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tech\"/>
    </mc:Choice>
  </mc:AlternateContent>
  <bookViews>
    <workbookView xWindow="3675" yWindow="330" windowWidth="2490" windowHeight="6840" tabRatio="730"/>
  </bookViews>
  <sheets>
    <sheet name="Info" sheetId="1" r:id="rId1"/>
    <sheet name="Projekt" sheetId="3" r:id="rId2"/>
    <sheet name="Bau" sheetId="4" r:id="rId3"/>
    <sheet name="Fenster" sheetId="5" r:id="rId4"/>
    <sheet name="UWert" sheetId="6" r:id="rId5"/>
    <sheet name="Nachweis" sheetId="7" r:id="rId6"/>
    <sheet name="Grafik" sheetId="8" state="hidden" r:id="rId7"/>
    <sheet name="Zonen" sheetId="27" r:id="rId8"/>
    <sheet name="M" sheetId="26" r:id="rId9"/>
    <sheet name="M1" sheetId="9" state="hidden" r:id="rId10"/>
    <sheet name="Uebersetzung" sheetId="25" state="hidden" r:id="rId11"/>
    <sheet name="erneuerbar" sheetId="10" state="hidden" r:id="rId12"/>
    <sheet name="Technik" sheetId="11" state="hidden" r:id="rId13"/>
    <sheet name="Grafik2" sheetId="12" state="hidden" r:id="rId14"/>
    <sheet name="M2" sheetId="13" state="hidden" r:id="rId15"/>
    <sheet name="Minergie" sheetId="14" state="hidden" r:id="rId16"/>
    <sheet name="M3" sheetId="15" state="hidden" r:id="rId17"/>
    <sheet name="GE" sheetId="16" state="hidden" r:id="rId18"/>
    <sheet name="Bauteile" sheetId="17" r:id="rId19"/>
    <sheet name="Wände" sheetId="29" state="hidden" r:id="rId20"/>
    <sheet name="Fenster &amp; Türen" sheetId="31" state="hidden" r:id="rId21"/>
    <sheet name="Dach &amp; Decke" sheetId="32" state="hidden" r:id="rId22"/>
    <sheet name="Boden &amp; Keller" sheetId="33" state="hidden" r:id="rId23"/>
    <sheet name="Wärmebrücken" sheetId="34" state="hidden" r:id="rId24"/>
    <sheet name="DropDownData" sheetId="30" state="hidden" r:id="rId25"/>
    <sheet name="SIA2001" sheetId="28" state="hidden" r:id="rId26"/>
    <sheet name="Kondens" sheetId="18" state="hidden" r:id="rId27"/>
    <sheet name="Leistung" sheetId="19" state="hidden" r:id="rId28"/>
    <sheet name="Log" sheetId="20" state="hidden" r:id="rId29"/>
    <sheet name="Klima" sheetId="21" state="hidden" r:id="rId30"/>
    <sheet name="Tab" sheetId="22" state="hidden" r:id="rId31"/>
    <sheet name="Helas" sheetId="23" state="hidden" r:id="rId32"/>
    <sheet name="Tabelle1" sheetId="24" state="hidden" r:id="rId33"/>
  </sheets>
  <definedNames>
    <definedName name="_EBF1">erneuerbar!$E$13</definedName>
    <definedName name="_EBF2">erneuerbar!$F$13</definedName>
    <definedName name="_EBF3">erneuerbar!$G$13</definedName>
    <definedName name="_EBF4">erneuerbar!$H$13</definedName>
    <definedName name="_kWB1">Projekt!$T$42</definedName>
    <definedName name="_tc1">'M1'!$C$16</definedName>
    <definedName name="_tc10">'M1'!$L$16</definedName>
    <definedName name="_tc11">'M1'!$M$16</definedName>
    <definedName name="_tc12">'M1'!$N$16</definedName>
    <definedName name="_tc2">'M1'!$D$16</definedName>
    <definedName name="_tc3">'M1'!$E$16</definedName>
    <definedName name="_tc4">'M1'!$F$16</definedName>
    <definedName name="_tc5">'M1'!$G$16</definedName>
    <definedName name="_tc6">'M1'!$H$16</definedName>
    <definedName name="_tc7">'M1'!$I$16</definedName>
    <definedName name="_tc8">'M1'!$J$16</definedName>
    <definedName name="_tc9">'M1'!$K$16</definedName>
    <definedName name="_Ver09">Projekt!$AU$34</definedName>
    <definedName name="_Vth1">'M2'!$C$45</definedName>
    <definedName name="_Vth10">'M2'!$L$45</definedName>
    <definedName name="_Vth11">'M2'!$M$45</definedName>
    <definedName name="_Vth12">'M2'!$N$45</definedName>
    <definedName name="_Vth2">'M2'!$D$45</definedName>
    <definedName name="_Vth3">'M2'!$E$45</definedName>
    <definedName name="_Vth4">'M2'!$F$45</definedName>
    <definedName name="_Vth5">'M2'!$G$45</definedName>
    <definedName name="_Vth6">'M2'!$H$45</definedName>
    <definedName name="_Vth7">'M2'!$I$45</definedName>
    <definedName name="_Vth8">'M2'!$J$45</definedName>
    <definedName name="_Vth9">'M2'!$K$45</definedName>
    <definedName name="A">Nachweis!$V$59</definedName>
    <definedName name="A_TWD">Bau!$AL$33</definedName>
    <definedName name="A_TWD_N">Bau!$Y$98</definedName>
    <definedName name="A_TWD_O">Bau!$M$98</definedName>
    <definedName name="A_TWD_S">Bau!$G$98</definedName>
    <definedName name="A_TWD_W">Bau!$T$98</definedName>
    <definedName name="a0">Tab!$E$26</definedName>
    <definedName name="AEBF1">erneuerbar!$E$14</definedName>
    <definedName name="AEBF2">erneuerbar!$F$14</definedName>
    <definedName name="AEBF3">erneuerbar!$G$14</definedName>
    <definedName name="AEBF4">erneuerbar!$H$14</definedName>
    <definedName name="AEHK">Fenster!$AT$73</definedName>
    <definedName name="AFe">Bau!$AE$23</definedName>
    <definedName name="AFG">Bau!$AE$25</definedName>
    <definedName name="AFn">Bau!$AE$26</definedName>
    <definedName name="AFu">Bau!$AE$24</definedName>
    <definedName name="Ak">UWert!$V$4</definedName>
    <definedName name="Altbau">Nachweis!$V$63</definedName>
    <definedName name="ANHK">Fenster!$AT$119</definedName>
    <definedName name="Anteil">erneuerbar!$M$22</definedName>
    <definedName name="AP">Projekt!$O$40</definedName>
    <definedName name="ARe">Bau!$AE$31</definedName>
    <definedName name="ARn">Bau!$AE$33</definedName>
    <definedName name="ARu">Bau!$AE$32</definedName>
    <definedName name="ASHK">Fenster!$AT$50</definedName>
    <definedName name="Ath">Nachweis!$I$100</definedName>
    <definedName name="Ausrichtung">Fenster!$BA$8</definedName>
    <definedName name="AW.e">Bau!$BD$34</definedName>
    <definedName name="AW.n">Bau!$AE$18</definedName>
    <definedName name="AwE">Bau!$T$19</definedName>
    <definedName name="AWG">Bau!$AE$17</definedName>
    <definedName name="AwH">Bau!$I$83</definedName>
    <definedName name="AWHK">Fenster!$AT$96</definedName>
    <definedName name="AwN">Bau!$G$19</definedName>
    <definedName name="AwS">Bau!$T$38</definedName>
    <definedName name="AWu">Bau!$AE$19</definedName>
    <definedName name="AwW">Bau!$G$38</definedName>
    <definedName name="BasementHeatingLevel">DropDownData!$R$4:$R$6</definedName>
    <definedName name="Baujahr">Projekt!$AT$13</definedName>
    <definedName name="bGF">Bau!$AG$25</definedName>
    <definedName name="bGFF">Bau!$AH$25</definedName>
    <definedName name="bGW">Bau!$AG$17</definedName>
    <definedName name="bGWW">Bau!$AH$17</definedName>
    <definedName name="Bk">UWert!$X$4</definedName>
    <definedName name="boden1">Bau!$AH$103</definedName>
    <definedName name="boden2">Bau!$AH$104</definedName>
    <definedName name="bodend1">Bau!$AH$105</definedName>
    <definedName name="bodend2">Bau!$AH$106</definedName>
    <definedName name="Boolean">DropDownData!$O$4:$O$5</definedName>
    <definedName name="buF">Bau!$AG$24</definedName>
    <definedName name="buFF">Bau!$AH$24</definedName>
    <definedName name="buR">Bau!$AG$32</definedName>
    <definedName name="buRR">Bau!$AH$32</definedName>
    <definedName name="buW">Bau!$AG$19</definedName>
    <definedName name="buWW">Bau!$AH$19</definedName>
    <definedName name="CEBF0">Projekt!$T$49</definedName>
    <definedName name="Chi">Projekt!$P$87</definedName>
    <definedName name="deltaTheta">Projekt!$M$53</definedName>
    <definedName name="deltaThetaH">Projekt!$M$57</definedName>
    <definedName name="diche1">Bau!$AH$105</definedName>
    <definedName name="dicke">Bau!$AH$105</definedName>
    <definedName name="dicke1">Bau!$AH$105</definedName>
    <definedName name="dreh">Bau!$AC$17</definedName>
    <definedName name="Drehung" localSheetId="4">Bau!$AG$6</definedName>
    <definedName name="Drehung">Bau!$AG$6</definedName>
    <definedName name="_xlnm.Print_Area" localSheetId="2">Bau!$B$1:$AA$100</definedName>
    <definedName name="_xlnm.Print_Area" localSheetId="18">Bauteile!$A$1:$R$594</definedName>
    <definedName name="_xlnm.Print_Area" localSheetId="11">erneuerbar!$B$1:$J$49</definedName>
    <definedName name="_xlnm.Print_Area" localSheetId="3">Fenster!$A$1:$AL$120</definedName>
    <definedName name="_xlnm.Print_Area" localSheetId="17">GE!$A$1:$I$65</definedName>
    <definedName name="_xlnm.Print_Area" localSheetId="29">Klima!$A$1:$R$795</definedName>
    <definedName name="_xlnm.Print_Area" localSheetId="26">Kondens!$A$1:$Z$188</definedName>
    <definedName name="_xlnm.Print_Area" localSheetId="27">Leistung!$A$1:$O$77</definedName>
    <definedName name="_xlnm.Print_Area" localSheetId="28">Log!$A$1:$E$75</definedName>
    <definedName name="_xlnm.Print_Area" localSheetId="8">M!$B$1:$P$68</definedName>
    <definedName name="_xlnm.Print_Area" localSheetId="9">'M1'!$B$1:$P$68</definedName>
    <definedName name="_xlnm.Print_Area" localSheetId="14">'M2'!$A$1:$P$68</definedName>
    <definedName name="_xlnm.Print_Area" localSheetId="16">'M3'!$B$1:$P$69</definedName>
    <definedName name="_xlnm.Print_Area" localSheetId="15">Minergie!$B$2:$R$66</definedName>
    <definedName name="_xlnm.Print_Area" localSheetId="5">Nachweis!$B$1:$R$165</definedName>
    <definedName name="_xlnm.Print_Area" localSheetId="1">Projekt!$A$1:$S$88</definedName>
    <definedName name="_xlnm.Print_Area" localSheetId="30">Tab!$A$1:$S$84</definedName>
    <definedName name="_xlnm.Print_Area" localSheetId="12">Technik!$B$1:$N$62</definedName>
    <definedName name="_xlnm.Print_Area" localSheetId="4">UWert!$A$1:$Q$189</definedName>
    <definedName name="_xlnm.Print_Area" localSheetId="7">Zonen!$B$1:$N$49</definedName>
    <definedName name="dt">Bau!$AH$107</definedName>
    <definedName name="dtt">Bau!$AH$105</definedName>
    <definedName name="EBF">Projekt!$F$63</definedName>
    <definedName name="EBF0">Projekt!$F$64</definedName>
    <definedName name="EBFalt">erneuerbar!$AC$21</definedName>
    <definedName name="EBFneu">erneuerbar!$AB$21</definedName>
    <definedName name="EBFtotal">erneuerbar!$J$13</definedName>
    <definedName name="eff">M!$R$6</definedName>
    <definedName name="Eta_jan">'M3'!$C$63</definedName>
    <definedName name="FacadeStructure">DropDownData!$I$4:$I$6</definedName>
    <definedName name="fE">Projekt!$O$44</definedName>
    <definedName name="Fehler1">Bau!$AG$12</definedName>
    <definedName name="Fenstertool">Fenster!$AN$4</definedName>
    <definedName name="FF">Bau!$AJ$10</definedName>
    <definedName name="FFE">Fenster!$O$73</definedName>
    <definedName name="FFh">Fenster!$O$27</definedName>
    <definedName name="FFN">Fenster!$O$119</definedName>
    <definedName name="FFS">Fenster!$O$50</definedName>
    <definedName name="FFW">Fenster!$O$96</definedName>
    <definedName name="Fg">Projekt!$U$49</definedName>
    <definedName name="Firma" localSheetId="4">Info!$D$17</definedName>
    <definedName name="Firma">Info!$D$17</definedName>
    <definedName name="FloorType">DropDownData!$S$4:$S$9</definedName>
    <definedName name="FSE">Fenster!$AK$73</definedName>
    <definedName name="FSh">Fenster!$AK$27</definedName>
    <definedName name="FSN">Fenster!$AK$119</definedName>
    <definedName name="FSS">Fenster!$AK$50</definedName>
    <definedName name="FSW">Fenster!$AK$96</definedName>
    <definedName name="Funktion">Projekt!$AV$33</definedName>
    <definedName name="gE">Fenster!$N$73</definedName>
    <definedName name="GeneralCondition">DropDownData!$H$4:$H$6</definedName>
    <definedName name="gh">Fenster!$N$27</definedName>
    <definedName name="gN">Fenster!$N$119</definedName>
    <definedName name="GraueEnergie">UWert!$S$4</definedName>
    <definedName name="Grenzwert" localSheetId="1">Projekt!$U$35</definedName>
    <definedName name="GrenzwertHg">Nachweis!$V$62</definedName>
    <definedName name="Grossprojekt">Projekt!$V$53</definedName>
    <definedName name="gS">Fenster!$N$50</definedName>
    <definedName name="gW">Fenster!$N$96</definedName>
    <definedName name="h">Projekt!$O$37</definedName>
    <definedName name="hg">'M1'!$O$63</definedName>
    <definedName name="HGT" localSheetId="1">Projekt!$E$114</definedName>
    <definedName name="hkorr">Projekt!$Y$61</definedName>
    <definedName name="HT">'M1'!$O$16</definedName>
    <definedName name="IsEA">Leistung!$J$58</definedName>
    <definedName name="IsEB">Leistung!$K$58</definedName>
    <definedName name="IsH">'M3'!$C$17</definedName>
    <definedName name="IsHA">Leistung!$J$56</definedName>
    <definedName name="IsHB">Leistung!$K$56</definedName>
    <definedName name="IsN">'M3'!$C$21</definedName>
    <definedName name="IsNA">Leistung!$J$60</definedName>
    <definedName name="IsNB">Leistung!$K$60</definedName>
    <definedName name="IsO">'M3'!$C$19</definedName>
    <definedName name="IsS">'M3'!$C$18</definedName>
    <definedName name="IsSA">Leistung!$J$57</definedName>
    <definedName name="IsSB">Leistung!$K$57</definedName>
    <definedName name="IsW">'M3'!$C$20</definedName>
    <definedName name="IsWA">Leistung!$J$59</definedName>
    <definedName name="IsWB">Leistung!$K$59</definedName>
    <definedName name="Kategorie" localSheetId="1">Projekt!$AV$29</definedName>
    <definedName name="Kategorie">Projekt!$AV$29</definedName>
    <definedName name="Klima">Projekt!$BC$34</definedName>
    <definedName name="Klimakorr">Nachweis!$V$64</definedName>
    <definedName name="Klimastation" localSheetId="1">Projekt!$BC$36</definedName>
    <definedName name="Klimastation" localSheetId="4">Projekt!$BC$36</definedName>
    <definedName name="Klimastation">Projekt!$BC$36</definedName>
    <definedName name="lamda">Bau!$AK$75</definedName>
    <definedName name="lB">Projekt!$L$79</definedName>
    <definedName name="lF">Projekt!$L$83</definedName>
    <definedName name="Liechtenstein">Projekt!$V$51</definedName>
    <definedName name="Lizenz">Info!$D$16</definedName>
    <definedName name="lR">Projekt!$L$85</definedName>
    <definedName name="lRW">Projekt!$L$75</definedName>
    <definedName name="lW">Projekt!$L$81</definedName>
    <definedName name="lWF">Projekt!$L$77</definedName>
    <definedName name="MaxNr">Wände!$P$43</definedName>
    <definedName name="MaxNr2">'Fenster &amp; Türen'!$P$53</definedName>
    <definedName name="MaxNr3">'Dach &amp; Decke'!$P$13</definedName>
    <definedName name="MaxNr4">'Boden &amp; Keller'!$P$14</definedName>
    <definedName name="MaxNr5">Wärmebrücken!$P$10</definedName>
    <definedName name="mj">UWert!$Z$4</definedName>
    <definedName name="muken14">Projekt!$AV$39</definedName>
    <definedName name="opti">M!$R$7</definedName>
    <definedName name="Orientation">DropDownData!$K$4:$K$13</definedName>
    <definedName name="OrientationH">DropDownData!$Q$4:$Q$12</definedName>
    <definedName name="OrientationHExtended">DropDownData!$N$4:$N$13</definedName>
    <definedName name="Projekt">Projekt!$AV$31</definedName>
    <definedName name="PsiB">Projekt!$P$79</definedName>
    <definedName name="PsiF">Projekt!$P$83</definedName>
    <definedName name="PsiR">Projekt!$P$85</definedName>
    <definedName name="PsiRW">Projekt!$P$75</definedName>
    <definedName name="PsiW">Projekt!$P$81</definedName>
    <definedName name="PsiWF">Projekt!$P$77</definedName>
    <definedName name="Q.t">'M1'!$O$47</definedName>
    <definedName name="QE">Projekt!$T$43</definedName>
    <definedName name="Qg">'M1'!$O$59</definedName>
    <definedName name="Qh" localSheetId="4">'M1'!$O$68</definedName>
    <definedName name="Qh">'M1'!$O$68</definedName>
    <definedName name="QhMin">'M3'!$O$68</definedName>
    <definedName name="QhmL">'M2'!$O$68</definedName>
    <definedName name="qhMPA">Leistung!$C$75</definedName>
    <definedName name="qhMPB">Leistung!$D$75</definedName>
    <definedName name="qhMPmax">Leistung!$J$74</definedName>
    <definedName name="Qhneu">erneuerbar!$R$28</definedName>
    <definedName name="Qhtot">Nachweis!$G$53</definedName>
    <definedName name="Qhtotal">erneuerbar!$M$15</definedName>
    <definedName name="Qi">'M1'!$O$52</definedName>
    <definedName name="QiE">'M1'!$O$50</definedName>
    <definedName name="QiP">'M1'!$O$51</definedName>
    <definedName name="QP">Projekt!$O$41</definedName>
    <definedName name="Qs">'M1'!$O$58</definedName>
    <definedName name="qsA">Leistung!$J$65</definedName>
    <definedName name="qsB">Leistung!$K$65</definedName>
    <definedName name="qsEA">Leistung!$C$67</definedName>
    <definedName name="qsEB">Leistung!$D$67</definedName>
    <definedName name="qsHA">Leistung!$C$65</definedName>
    <definedName name="qsHB">Leistung!$D$65</definedName>
    <definedName name="qsNA">Leistung!$C$69</definedName>
    <definedName name="qsNB">Leistung!$D$69</definedName>
    <definedName name="qsSA">Leistung!$C$66</definedName>
    <definedName name="qsSB">Leistung!$D$66</definedName>
    <definedName name="qsWA">Leistung!$C$68</definedName>
    <definedName name="qsWB">Leistung!$D$68</definedName>
    <definedName name="QT">'M1'!$O$42</definedName>
    <definedName name="Qug">'M1'!$O$64</definedName>
    <definedName name="qugA">Leistung!$J$69</definedName>
    <definedName name="qugB">Leistung!$K$69</definedName>
    <definedName name="QV">'M1'!$O$44</definedName>
    <definedName name="QWW">Projekt!$T$46</definedName>
    <definedName name="Qwwneu">erneuerbar!$J$34</definedName>
    <definedName name="Qwwtotal">erneuerbar!$R$20</definedName>
    <definedName name="Raumhöhe">Projekt!$AV$53</definedName>
    <definedName name="Rh_aussen">Kondens!$O$7</definedName>
    <definedName name="Rh_innen">Kondens!$O$6</definedName>
    <definedName name="Ro" localSheetId="4">UWert!$BB$129</definedName>
    <definedName name="RoofCeilingType">DropDownData!$M$4:$M$7</definedName>
    <definedName name="RoofType">DropDownData!$L$4:$L$7</definedName>
    <definedName name="Rtot" localSheetId="4">UWert!$BB$131</definedName>
    <definedName name="Ru" localSheetId="4">UWert!$BB$130</definedName>
    <definedName name="Sperrzeit">Leistung!$D$36</definedName>
    <definedName name="Station">Tab!$H$269</definedName>
    <definedName name="Ta_feuchte">Kondens!$H$7</definedName>
    <definedName name="Takorr">Projekt!$AV$37</definedName>
    <definedName name="TaMin">Leistung!$D$31</definedName>
    <definedName name="TaMinPA">Leistung!$J$55</definedName>
    <definedName name="TaMinPB">Leistung!$K$55</definedName>
    <definedName name="tau">'M1'!$C$61</definedName>
    <definedName name="tau0">Tab!$E$27</definedName>
    <definedName name="Td" localSheetId="1">Bau!$I$97</definedName>
    <definedName name="TEstrich">Leistung!$D$34</definedName>
    <definedName name="ThermalBridgeType">DropDownData!$T$4:$T$11</definedName>
    <definedName name="Theta">'M1'!$R$16</definedName>
    <definedName name="Thetaea" localSheetId="4">'M1'!$O$15</definedName>
    <definedName name="Thetaea">'M1'!$O$15</definedName>
    <definedName name="Thetah">Projekt!$M$52</definedName>
    <definedName name="ThetahH">Projekt!$M$56</definedName>
    <definedName name="Thetai" localSheetId="4">Projekt!$O$39</definedName>
    <definedName name="Thetai">Projekt!$O$39</definedName>
    <definedName name="Thetain">Bau!$AG$18</definedName>
    <definedName name="ThetainF">Bau!$AG$26</definedName>
    <definedName name="ThetainR">Bau!$AG$33</definedName>
    <definedName name="Thetamin" localSheetId="4">UWert!$BM$4</definedName>
    <definedName name="Ti_feuchte">Kondens!$H$6</definedName>
    <definedName name="Tiefe_1">Tab!$W$63</definedName>
    <definedName name="Tiefe_2">Tab!$X$63</definedName>
    <definedName name="Tiefe_3">Tab!$Y$63</definedName>
    <definedName name="Tiefe_4">Tab!$Z$63</definedName>
    <definedName name="Tiefe_5">Tab!$AA$63</definedName>
    <definedName name="Tiefe_6">Tab!$AB$63</definedName>
    <definedName name="Tiefe_7">Tab!$AC$63</definedName>
    <definedName name="Tiefe_8">Tab!$AD$63</definedName>
    <definedName name="Tiefe1">Bau!$I$57</definedName>
    <definedName name="Tiefe2">Bau!$I$58</definedName>
    <definedName name="Tiefe3">Bau!$N$67</definedName>
    <definedName name="Tiefe4">Bau!$N$68</definedName>
    <definedName name="Tiefe9">Tab!$W$39</definedName>
    <definedName name="tP">Projekt!$O$42</definedName>
    <definedName name="U_TWD">Bau!$AM$33</definedName>
    <definedName name="UBoden3">Bau!$M$67</definedName>
    <definedName name="UBoden4">Bau!$M$68</definedName>
    <definedName name="UDecke1">Bau!$M$94</definedName>
    <definedName name="UFe">Bau!$AF$23</definedName>
    <definedName name="UFG0">Bau!$AF$25</definedName>
    <definedName name="UFn">Bau!$AF$26</definedName>
    <definedName name="UFu">Bau!$AF$24</definedName>
    <definedName name="Umbau" localSheetId="1">Projekt!$V$37</definedName>
    <definedName name="URe">Bau!$AF$31</definedName>
    <definedName name="URn">Bau!$AF$33</definedName>
    <definedName name="URu">Bau!$AF$32</definedName>
    <definedName name="UW.e">Bau!$BG$34</definedName>
    <definedName name="UW.n">Bau!$AF$18</definedName>
    <definedName name="UWand_1">Tab!$AA$36</definedName>
    <definedName name="UWand_2">Tab!$AB$36</definedName>
    <definedName name="UWand1">Bau!$M$23</definedName>
    <definedName name="UWand2">Bau!$M$24</definedName>
    <definedName name="UWand3">Bau!$Z$23</definedName>
    <definedName name="UWand4">Bau!$Z$24</definedName>
    <definedName name="UWand5">Bau!$M$42</definedName>
    <definedName name="UWand6">Bau!$M$43</definedName>
    <definedName name="UWand7">Bau!$Z$42</definedName>
    <definedName name="UWand8">Bau!$Z$43</definedName>
    <definedName name="UwE">Fenster!$L$73</definedName>
    <definedName name="UWG0">Bau!$AF$17</definedName>
    <definedName name="UwH">Fenster!$L$27</definedName>
    <definedName name="UwN">Fenster!$L$119</definedName>
    <definedName name="UwS">Fenster!$L$50</definedName>
    <definedName name="UWu">Bau!$AF$19</definedName>
    <definedName name="UwW">Fenster!$L$96</definedName>
    <definedName name="Vbrutto">Projekt!$F$68</definedName>
    <definedName name="VEBF0">Projekt!$O$45</definedName>
    <definedName name="Vnetto">Projekt!$F$69</definedName>
    <definedName name="VStandard">Projekt!$AX$47</definedName>
    <definedName name="Vth">Projekt!$AV$57</definedName>
    <definedName name="WallOpeningType">DropDownData!$P$4:$P$8</definedName>
    <definedName name="WallType">DropDownData!$J$4:$J$10</definedName>
    <definedName name="wandd1">Bau!$AH$108</definedName>
    <definedName name="wandd2">Bau!$AH$109</definedName>
    <definedName name="Wettbewerb">Projekt!$AV$20</definedName>
    <definedName name="z.">Projekt!$L$87</definedName>
    <definedName name="Zertifikat">Projekt!$AU$35</definedName>
    <definedName name="Zone1neu">erneuerbar!$AA$17</definedName>
    <definedName name="Zone2neu">erneuerbar!$AA$18</definedName>
    <definedName name="Zone3neu">erneuerbar!$AA$19</definedName>
    <definedName name="Zone4neu">erneuerbar!$AA$20</definedName>
    <definedName name="Zonen">Zonen!$M$12</definedName>
    <definedName name="ZulaessigerEnergiebedarf">erneuerbar!$J$29</definedName>
    <definedName name="ZulässigerEnergiebedarf">erneuerbar!$J$29</definedName>
  </definedNames>
  <calcPr calcId="152511"/>
</workbook>
</file>

<file path=xl/calcChain.xml><?xml version="1.0" encoding="utf-8"?>
<calcChain xmlns="http://schemas.openxmlformats.org/spreadsheetml/2006/main">
  <c r="AC17" i="4" l="1"/>
  <c r="AY6" i="5"/>
  <c r="AY5" i="5"/>
  <c r="AY4" i="5"/>
  <c r="AY3" i="5"/>
  <c r="AY2" i="5"/>
  <c r="AX6" i="5"/>
  <c r="AX5" i="5"/>
  <c r="AX4" i="5"/>
  <c r="AX3" i="5"/>
  <c r="AX2" i="5"/>
  <c r="AW6" i="5"/>
  <c r="AW5" i="5"/>
  <c r="AW4" i="5"/>
  <c r="AW3" i="5"/>
  <c r="AW2" i="5"/>
  <c r="AV6" i="5"/>
  <c r="AV5" i="5"/>
  <c r="AV4" i="5"/>
  <c r="AV3" i="5"/>
  <c r="AV2" i="5"/>
  <c r="V25" i="29"/>
  <c r="U25" i="29"/>
  <c r="R25" i="29"/>
  <c r="R24" i="29"/>
  <c r="R23" i="29"/>
  <c r="R22" i="29"/>
  <c r="V21" i="29"/>
  <c r="U21" i="29"/>
  <c r="R21" i="29"/>
  <c r="R20" i="29"/>
  <c r="R19" i="29"/>
  <c r="R18" i="29"/>
  <c r="R17" i="29"/>
  <c r="V16" i="29"/>
  <c r="U16" i="29"/>
  <c r="R16" i="29"/>
  <c r="R15" i="29"/>
  <c r="R14" i="29"/>
  <c r="R13" i="29"/>
  <c r="R12" i="29"/>
  <c r="V11" i="29"/>
  <c r="U11" i="29"/>
  <c r="R11" i="29"/>
  <c r="R10" i="29"/>
  <c r="R9" i="29"/>
  <c r="R8" i="29"/>
  <c r="V7" i="29"/>
  <c r="U7" i="29"/>
  <c r="R7" i="29"/>
  <c r="V6" i="29"/>
  <c r="U6" i="29"/>
  <c r="R6" i="29"/>
  <c r="AG6" i="4"/>
  <c r="A1" i="25"/>
  <c r="D137" i="25"/>
  <c r="D139" i="25"/>
  <c r="V10" i="4" s="1"/>
  <c r="AE44" i="4" s="1"/>
  <c r="D141" i="25"/>
  <c r="I29" i="4" s="1"/>
  <c r="D143" i="25"/>
  <c r="V29" i="4" s="1"/>
  <c r="AC52" i="4"/>
  <c r="V43" i="29"/>
  <c r="U43" i="29"/>
  <c r="R43" i="29"/>
  <c r="AC51" i="4"/>
  <c r="AG46" i="4" s="1"/>
  <c r="K89" i="7" s="1"/>
  <c r="K90" i="7" s="1"/>
  <c r="V42" i="29"/>
  <c r="U42" i="29"/>
  <c r="R42" i="29"/>
  <c r="R41" i="29"/>
  <c r="R40" i="29"/>
  <c r="R39" i="29"/>
  <c r="V38" i="29"/>
  <c r="U38" i="29"/>
  <c r="R38" i="29"/>
  <c r="R37" i="29"/>
  <c r="R36" i="29"/>
  <c r="R35" i="29"/>
  <c r="R34" i="29"/>
  <c r="R33" i="29"/>
  <c r="V32" i="29"/>
  <c r="U32" i="29"/>
  <c r="R32" i="29"/>
  <c r="V31" i="29"/>
  <c r="U31" i="29"/>
  <c r="R31" i="29"/>
  <c r="V30" i="29"/>
  <c r="U30" i="29"/>
  <c r="R30" i="29"/>
  <c r="V29" i="29"/>
  <c r="U29" i="29"/>
  <c r="R29" i="29"/>
  <c r="V28" i="29"/>
  <c r="U28" i="29"/>
  <c r="R28" i="29"/>
  <c r="V27" i="29"/>
  <c r="U27" i="29"/>
  <c r="R27" i="29"/>
  <c r="V26" i="29"/>
  <c r="U26" i="29"/>
  <c r="R26" i="29"/>
  <c r="V22" i="29"/>
  <c r="V23" i="29"/>
  <c r="V24" i="29"/>
  <c r="V17" i="29"/>
  <c r="V18" i="29"/>
  <c r="V19" i="29"/>
  <c r="V20" i="29"/>
  <c r="V12" i="29"/>
  <c r="V13" i="29"/>
  <c r="V14" i="29"/>
  <c r="V15" i="29"/>
  <c r="V8" i="29"/>
  <c r="V9" i="29"/>
  <c r="V10" i="29"/>
  <c r="AC47" i="31"/>
  <c r="AC48" i="31"/>
  <c r="AC49" i="31"/>
  <c r="V50" i="31"/>
  <c r="BE5" i="5"/>
  <c r="AC50" i="31"/>
  <c r="AC51" i="31"/>
  <c r="V52" i="31"/>
  <c r="BE7" i="5"/>
  <c r="AC52" i="31"/>
  <c r="V53" i="31"/>
  <c r="BE8" i="5"/>
  <c r="AC53" i="31"/>
  <c r="V46" i="31"/>
  <c r="BE1" i="5"/>
  <c r="AC46" i="31"/>
  <c r="BD2" i="5"/>
  <c r="V39" i="31"/>
  <c r="AC39" i="31"/>
  <c r="AC40" i="31"/>
  <c r="AC41" i="31"/>
  <c r="AC42" i="31"/>
  <c r="AC43" i="31"/>
  <c r="BD7" i="5"/>
  <c r="V44" i="31"/>
  <c r="AC44" i="31"/>
  <c r="BD8" i="5"/>
  <c r="V45" i="31"/>
  <c r="AC45" i="31"/>
  <c r="BD1" i="5"/>
  <c r="V38" i="31"/>
  <c r="AC38" i="31"/>
  <c r="BC2" i="5"/>
  <c r="V31" i="31"/>
  <c r="AC31" i="31"/>
  <c r="BC3" i="5"/>
  <c r="V32" i="31"/>
  <c r="AC32" i="31"/>
  <c r="AC33" i="31"/>
  <c r="AC34" i="31"/>
  <c r="AC35" i="31"/>
  <c r="AC36" i="31"/>
  <c r="AC37" i="31"/>
  <c r="BC1" i="5"/>
  <c r="V30" i="31"/>
  <c r="AC30" i="31"/>
  <c r="BB2" i="5"/>
  <c r="V23" i="31"/>
  <c r="AC23" i="31"/>
  <c r="BB3" i="5"/>
  <c r="V24" i="31"/>
  <c r="AC24" i="31"/>
  <c r="AC25" i="31"/>
  <c r="AC26" i="31"/>
  <c r="AC27" i="31"/>
  <c r="AC28" i="31"/>
  <c r="AC29" i="31"/>
  <c r="BB1" i="5"/>
  <c r="V22" i="31"/>
  <c r="AC22" i="31"/>
  <c r="AC15" i="31"/>
  <c r="AC16" i="31"/>
  <c r="AC17" i="31"/>
  <c r="V18" i="31"/>
  <c r="BF5" i="5"/>
  <c r="AC18" i="31"/>
  <c r="AC19" i="31"/>
  <c r="AC20" i="31"/>
  <c r="AC21" i="31"/>
  <c r="BF1" i="5"/>
  <c r="V14" i="31"/>
  <c r="AC14" i="31"/>
  <c r="S14" i="31"/>
  <c r="BF8" i="5"/>
  <c r="BF7" i="5"/>
  <c r="BF6" i="5"/>
  <c r="BF4" i="5"/>
  <c r="BF3" i="5"/>
  <c r="BF2" i="5"/>
  <c r="BE6" i="5"/>
  <c r="BE4" i="5"/>
  <c r="BE3" i="5"/>
  <c r="BE2" i="5"/>
  <c r="BD6" i="5"/>
  <c r="BD5" i="5"/>
  <c r="BD4" i="5"/>
  <c r="BD3" i="5"/>
  <c r="BC8" i="5"/>
  <c r="BC7" i="5"/>
  <c r="BC6" i="5"/>
  <c r="BC5" i="5"/>
  <c r="BC4" i="5"/>
  <c r="BB8" i="5"/>
  <c r="BB7" i="5"/>
  <c r="BB6" i="5"/>
  <c r="BB5" i="5"/>
  <c r="BB4" i="5"/>
  <c r="AZ4" i="5"/>
  <c r="AZ3" i="5"/>
  <c r="AZ2" i="5"/>
  <c r="D717" i="25"/>
  <c r="C52" i="5" s="1"/>
  <c r="BC33" i="3"/>
  <c r="D49" i="25"/>
  <c r="AY33" i="3" s="1"/>
  <c r="D50" i="25"/>
  <c r="AY34" i="3" s="1"/>
  <c r="D52" i="25"/>
  <c r="AY35" i="3" s="1"/>
  <c r="D53" i="25"/>
  <c r="AY36" i="3" s="1"/>
  <c r="D51" i="25"/>
  <c r="AY37" i="3" s="1"/>
  <c r="BC34" i="3"/>
  <c r="BC35" i="3" s="1"/>
  <c r="E8" i="19" s="1"/>
  <c r="D110" i="25"/>
  <c r="C31" i="22" s="1"/>
  <c r="U12" i="3" s="1"/>
  <c r="AV29" i="3"/>
  <c r="G18" i="22" s="1"/>
  <c r="D107" i="25"/>
  <c r="B68" i="22" s="1"/>
  <c r="W42" i="3" s="1"/>
  <c r="D108" i="25"/>
  <c r="B69" i="22" s="1"/>
  <c r="W43" i="3" s="1"/>
  <c r="D109" i="25"/>
  <c r="B70" i="22" s="1"/>
  <c r="W44" i="3" s="1"/>
  <c r="AO11" i="5"/>
  <c r="AO19" i="5"/>
  <c r="L11" i="5"/>
  <c r="L13" i="5"/>
  <c r="L15" i="5"/>
  <c r="L17" i="5"/>
  <c r="L19" i="5"/>
  <c r="L21" i="5"/>
  <c r="L23" i="5"/>
  <c r="L25" i="5"/>
  <c r="F63" i="3"/>
  <c r="C35" i="15"/>
  <c r="AV40" i="3"/>
  <c r="P75" i="3" s="1"/>
  <c r="A94" i="23" s="1"/>
  <c r="AV41" i="3"/>
  <c r="P77" i="3" s="1"/>
  <c r="AV42" i="3"/>
  <c r="P79" i="3" s="1"/>
  <c r="A100" i="23" s="1"/>
  <c r="AV43" i="3"/>
  <c r="P81" i="3" s="1"/>
  <c r="A103" i="23" s="1"/>
  <c r="AV44" i="3"/>
  <c r="P83" i="3" s="1"/>
  <c r="A106" i="23" s="1"/>
  <c r="AV45" i="3"/>
  <c r="P87" i="3" s="1"/>
  <c r="A109" i="23" s="1"/>
  <c r="AV46" i="3"/>
  <c r="P85" i="3" s="1"/>
  <c r="C40" i="15"/>
  <c r="C41" i="15"/>
  <c r="I14" i="4"/>
  <c r="BE27" i="4"/>
  <c r="I15" i="4"/>
  <c r="BE26" i="4"/>
  <c r="V14" i="4"/>
  <c r="BE23" i="4"/>
  <c r="BE22" i="4"/>
  <c r="I33" i="4"/>
  <c r="BE25" i="4"/>
  <c r="BE24" i="4"/>
  <c r="V33" i="4"/>
  <c r="BE21" i="4"/>
  <c r="V37" i="4"/>
  <c r="BE20" i="4"/>
  <c r="BD32" i="4"/>
  <c r="BD33" i="4"/>
  <c r="BD34" i="4"/>
  <c r="BG33" i="4"/>
  <c r="M14" i="4"/>
  <c r="M15" i="4"/>
  <c r="M16" i="4"/>
  <c r="M17" i="4"/>
  <c r="M18" i="4"/>
  <c r="M20" i="4"/>
  <c r="BH26" i="4"/>
  <c r="Z33" i="4"/>
  <c r="Z34" i="4"/>
  <c r="Z35" i="4"/>
  <c r="Z36" i="4"/>
  <c r="Z37" i="4"/>
  <c r="Z39" i="4"/>
  <c r="BH20" i="4"/>
  <c r="Z14" i="4"/>
  <c r="Z15" i="4"/>
  <c r="Z16" i="4"/>
  <c r="Z17" i="4"/>
  <c r="Z18" i="4"/>
  <c r="Z20" i="4"/>
  <c r="BH22" i="4"/>
  <c r="M33" i="4"/>
  <c r="M34" i="4"/>
  <c r="M35" i="4"/>
  <c r="M36" i="4"/>
  <c r="M37" i="4"/>
  <c r="M39" i="4"/>
  <c r="BH24" i="4"/>
  <c r="BG32" i="4"/>
  <c r="C27" i="15"/>
  <c r="D54" i="25"/>
  <c r="AX34" i="3" s="1"/>
  <c r="U26" i="3" s="1"/>
  <c r="AV31" i="3"/>
  <c r="H14" i="22" s="1"/>
  <c r="O37" i="3"/>
  <c r="A61" i="23" s="1"/>
  <c r="AE31" i="4"/>
  <c r="M84" i="4"/>
  <c r="M85" i="4"/>
  <c r="M86" i="4"/>
  <c r="C24" i="15"/>
  <c r="AE32" i="4"/>
  <c r="M88" i="4"/>
  <c r="AC90" i="4"/>
  <c r="M89" i="4"/>
  <c r="AC91" i="4"/>
  <c r="T89" i="4"/>
  <c r="C25" i="15"/>
  <c r="AE33" i="4"/>
  <c r="M91" i="4"/>
  <c r="M92" i="4"/>
  <c r="C26" i="15"/>
  <c r="AE19" i="4"/>
  <c r="M41" i="4"/>
  <c r="M44" i="4"/>
  <c r="AF19" i="4"/>
  <c r="AG19" i="4" s="1"/>
  <c r="N44" i="4"/>
  <c r="C28" i="15"/>
  <c r="AE17" i="4"/>
  <c r="M42" i="4"/>
  <c r="AA64" i="22" s="1"/>
  <c r="AA71" i="22" s="1"/>
  <c r="N42" i="4" s="1"/>
  <c r="M43" i="4"/>
  <c r="Z42" i="4"/>
  <c r="AC64" i="22" s="1"/>
  <c r="AC71" i="22" s="1"/>
  <c r="AA42" i="4" s="1"/>
  <c r="AF17" i="4"/>
  <c r="M23" i="4"/>
  <c r="W64" i="22" s="1"/>
  <c r="W71" i="22" s="1"/>
  <c r="N23" i="4" s="1"/>
  <c r="Z23" i="4"/>
  <c r="Y66" i="22" s="1"/>
  <c r="M24" i="4"/>
  <c r="X64" i="22" s="1"/>
  <c r="X72" i="22" s="1"/>
  <c r="N24" i="4" s="1"/>
  <c r="Z24" i="4"/>
  <c r="Z64" i="22" s="1"/>
  <c r="Z72" i="22"/>
  <c r="AA24" i="4" s="1"/>
  <c r="AB64" i="22"/>
  <c r="AB72" i="22" s="1"/>
  <c r="N43" i="4" s="1"/>
  <c r="Z43" i="4"/>
  <c r="AD64" i="22" s="1"/>
  <c r="AD72" i="22" s="1"/>
  <c r="AA43" i="4" s="1"/>
  <c r="AG17" i="4"/>
  <c r="C29" i="15"/>
  <c r="AE18" i="4"/>
  <c r="C30" i="15"/>
  <c r="C31" i="15"/>
  <c r="C32" i="15"/>
  <c r="C33" i="15"/>
  <c r="C34" i="15"/>
  <c r="T38" i="4"/>
  <c r="M57" i="3"/>
  <c r="A77" i="23" s="1"/>
  <c r="L34" i="5"/>
  <c r="L36" i="5"/>
  <c r="L38" i="5"/>
  <c r="L40" i="5"/>
  <c r="L42" i="5"/>
  <c r="L44" i="5"/>
  <c r="L46" i="5"/>
  <c r="L48" i="5"/>
  <c r="AO38" i="5"/>
  <c r="AO36" i="5"/>
  <c r="AO34" i="5"/>
  <c r="AT38" i="5"/>
  <c r="AT36" i="5"/>
  <c r="AT34" i="5"/>
  <c r="AT50" i="5"/>
  <c r="C36" i="15"/>
  <c r="T19" i="4"/>
  <c r="L57" i="5"/>
  <c r="L59" i="5"/>
  <c r="L61" i="5"/>
  <c r="L63" i="5"/>
  <c r="L65" i="5"/>
  <c r="L67" i="5"/>
  <c r="L69" i="5"/>
  <c r="L71" i="5"/>
  <c r="AO61" i="5"/>
  <c r="AO59" i="5"/>
  <c r="AO57" i="5"/>
  <c r="AT61" i="5"/>
  <c r="AT59" i="5"/>
  <c r="AT57" i="5"/>
  <c r="AT73" i="5"/>
  <c r="C37" i="15"/>
  <c r="G38" i="4"/>
  <c r="L80" i="5"/>
  <c r="L82" i="5"/>
  <c r="L84" i="5"/>
  <c r="L86" i="5"/>
  <c r="L88" i="5"/>
  <c r="L90" i="5"/>
  <c r="L92" i="5"/>
  <c r="L94" i="5"/>
  <c r="AO94" i="5"/>
  <c r="AO92" i="5"/>
  <c r="AO82" i="5"/>
  <c r="AO80" i="5"/>
  <c r="AT94" i="5"/>
  <c r="AT92" i="5"/>
  <c r="AT82" i="5"/>
  <c r="AT80" i="5"/>
  <c r="AT96" i="5"/>
  <c r="C38" i="15"/>
  <c r="G19" i="4"/>
  <c r="L103" i="5"/>
  <c r="L105" i="5"/>
  <c r="L107" i="5"/>
  <c r="L109" i="5"/>
  <c r="L111" i="5"/>
  <c r="L113" i="5"/>
  <c r="L115" i="5"/>
  <c r="L117" i="5"/>
  <c r="AO117" i="5"/>
  <c r="AO115" i="5"/>
  <c r="AO111" i="5"/>
  <c r="AO103" i="5"/>
  <c r="AT117" i="5"/>
  <c r="AT115" i="5"/>
  <c r="AT111" i="5"/>
  <c r="AT103" i="5"/>
  <c r="AT119" i="5"/>
  <c r="C39" i="15"/>
  <c r="O27" i="5"/>
  <c r="BA8" i="5"/>
  <c r="D81" i="22"/>
  <c r="BB11" i="5"/>
  <c r="D80" i="22"/>
  <c r="BA11" i="5"/>
  <c r="BC11" i="5"/>
  <c r="F81" i="22"/>
  <c r="BJ11" i="5"/>
  <c r="F80" i="22"/>
  <c r="BI11" i="5"/>
  <c r="BK11" i="5"/>
  <c r="H81" i="22"/>
  <c r="BS11" i="5"/>
  <c r="H80" i="22"/>
  <c r="BR11" i="5"/>
  <c r="BT11" i="5"/>
  <c r="J81" i="22"/>
  <c r="CB11" i="5"/>
  <c r="J80" i="22"/>
  <c r="CA11" i="5"/>
  <c r="CC11" i="5"/>
  <c r="AK11" i="5"/>
  <c r="BB13" i="5"/>
  <c r="BA13" i="5"/>
  <c r="BC13" i="5"/>
  <c r="BJ13" i="5"/>
  <c r="BI13" i="5"/>
  <c r="BK13" i="5"/>
  <c r="BS13" i="5"/>
  <c r="BR13" i="5"/>
  <c r="BT13" i="5"/>
  <c r="CB13" i="5"/>
  <c r="CA13" i="5"/>
  <c r="CC13" i="5"/>
  <c r="AK13" i="5"/>
  <c r="BB15" i="5"/>
  <c r="BA15" i="5"/>
  <c r="BC15" i="5"/>
  <c r="BJ15" i="5"/>
  <c r="BI15" i="5"/>
  <c r="BK15" i="5"/>
  <c r="BS15" i="5"/>
  <c r="BR15" i="5"/>
  <c r="BT15" i="5"/>
  <c r="CB15" i="5"/>
  <c r="CA15" i="5"/>
  <c r="CC15" i="5"/>
  <c r="AK15" i="5"/>
  <c r="BB17" i="5"/>
  <c r="BA17" i="5"/>
  <c r="BC17" i="5"/>
  <c r="BJ17" i="5"/>
  <c r="BI17" i="5"/>
  <c r="BK17" i="5"/>
  <c r="BS17" i="5"/>
  <c r="BR17" i="5"/>
  <c r="BT17" i="5"/>
  <c r="CB17" i="5"/>
  <c r="CA17" i="5"/>
  <c r="CC17" i="5"/>
  <c r="AK17" i="5"/>
  <c r="BB19" i="5"/>
  <c r="BA19" i="5"/>
  <c r="BC19" i="5"/>
  <c r="BJ19" i="5"/>
  <c r="BI19" i="5"/>
  <c r="BK19" i="5"/>
  <c r="BS19" i="5"/>
  <c r="BR19" i="5"/>
  <c r="BT19" i="5"/>
  <c r="CB19" i="5"/>
  <c r="CA19" i="5"/>
  <c r="CC19" i="5"/>
  <c r="AK19" i="5"/>
  <c r="BB21" i="5"/>
  <c r="BA21" i="5"/>
  <c r="BC21" i="5"/>
  <c r="BJ21" i="5"/>
  <c r="BI21" i="5"/>
  <c r="BK21" i="5"/>
  <c r="BS21" i="5"/>
  <c r="BR21" i="5"/>
  <c r="BT21" i="5"/>
  <c r="CB21" i="5"/>
  <c r="CA21" i="5"/>
  <c r="CC21" i="5"/>
  <c r="AK21" i="5"/>
  <c r="BB23" i="5"/>
  <c r="BA23" i="5"/>
  <c r="BC23" i="5"/>
  <c r="BJ23" i="5"/>
  <c r="BI23" i="5"/>
  <c r="BK23" i="5"/>
  <c r="BS23" i="5"/>
  <c r="BR23" i="5"/>
  <c r="BT23" i="5"/>
  <c r="CB23" i="5"/>
  <c r="CA23" i="5"/>
  <c r="CC23" i="5"/>
  <c r="AK23" i="5"/>
  <c r="BB25" i="5"/>
  <c r="BA25" i="5"/>
  <c r="BC25" i="5"/>
  <c r="BJ25" i="5"/>
  <c r="BI25" i="5"/>
  <c r="BK25" i="5"/>
  <c r="BS25" i="5"/>
  <c r="BR25" i="5"/>
  <c r="BT25" i="5"/>
  <c r="CB25" i="5"/>
  <c r="CA25" i="5"/>
  <c r="CC25" i="5"/>
  <c r="AK25" i="5"/>
  <c r="AK27" i="5"/>
  <c r="AO27" i="5"/>
  <c r="N11" i="5"/>
  <c r="AN11" i="5" s="1"/>
  <c r="N13" i="5"/>
  <c r="AN13" i="5" s="1"/>
  <c r="N15" i="5"/>
  <c r="AN15" i="5" s="1"/>
  <c r="N17" i="5"/>
  <c r="N19" i="5"/>
  <c r="AN19" i="5" s="1"/>
  <c r="N21" i="5"/>
  <c r="AN21" i="5" s="1"/>
  <c r="N23" i="5"/>
  <c r="AN23" i="5" s="1"/>
  <c r="N25" i="5"/>
  <c r="AN25" i="5" s="1"/>
  <c r="C53" i="15"/>
  <c r="BB34" i="5"/>
  <c r="BA34" i="5"/>
  <c r="D84" i="22"/>
  <c r="BC34" i="5"/>
  <c r="D88" i="22"/>
  <c r="X34" i="5"/>
  <c r="BE34" i="5" s="1"/>
  <c r="BG34" i="5" s="1"/>
  <c r="D87" i="22"/>
  <c r="D92" i="22"/>
  <c r="D98" i="22"/>
  <c r="AH34" i="5"/>
  <c r="D97" i="22"/>
  <c r="D102" i="22"/>
  <c r="AR34" i="5"/>
  <c r="BB36" i="5"/>
  <c r="BA36" i="5"/>
  <c r="BC36" i="5"/>
  <c r="X36" i="5"/>
  <c r="BE36" i="5" s="1"/>
  <c r="BG36" i="5" s="1"/>
  <c r="AH36" i="5"/>
  <c r="AR36" i="5"/>
  <c r="BB38" i="5"/>
  <c r="BA38" i="5"/>
  <c r="BC38" i="5"/>
  <c r="X38" i="5"/>
  <c r="BE38" i="5" s="1"/>
  <c r="BG38" i="5" s="1"/>
  <c r="BK38" i="5" s="1"/>
  <c r="AH38" i="5"/>
  <c r="BN38" i="5" s="1"/>
  <c r="BP38" i="5" s="1"/>
  <c r="BT38" i="5" s="1"/>
  <c r="AR38" i="5"/>
  <c r="BB40" i="5"/>
  <c r="BA40" i="5"/>
  <c r="BC40" i="5"/>
  <c r="X40" i="5"/>
  <c r="BE40" i="5" s="1"/>
  <c r="BG40" i="5" s="1"/>
  <c r="BH40" i="5" s="1"/>
  <c r="AH40" i="5"/>
  <c r="BN40" i="5" s="1"/>
  <c r="BP40" i="5" s="1"/>
  <c r="BQ40" i="5" s="1"/>
  <c r="AR40" i="5"/>
  <c r="BB42" i="5"/>
  <c r="BA42" i="5"/>
  <c r="BC42" i="5"/>
  <c r="X42" i="5"/>
  <c r="BE42" i="5" s="1"/>
  <c r="BG42" i="5" s="1"/>
  <c r="AH42" i="5"/>
  <c r="BN42" i="5"/>
  <c r="BP42" i="5" s="1"/>
  <c r="AR42" i="5"/>
  <c r="BB44" i="5"/>
  <c r="BA44" i="5"/>
  <c r="BC44" i="5"/>
  <c r="X44" i="5"/>
  <c r="AH44" i="5"/>
  <c r="BN44" i="5" s="1"/>
  <c r="BP44" i="5" s="1"/>
  <c r="BS44" i="5" s="1"/>
  <c r="AR44" i="5"/>
  <c r="BB46" i="5"/>
  <c r="BA46" i="5"/>
  <c r="BC46" i="5"/>
  <c r="X46" i="5"/>
  <c r="BE46" i="5" s="1"/>
  <c r="BG46" i="5" s="1"/>
  <c r="AH46" i="5"/>
  <c r="BN46" i="5" s="1"/>
  <c r="BP46" i="5" s="1"/>
  <c r="AR46" i="5"/>
  <c r="BB48" i="5"/>
  <c r="BA48" i="5"/>
  <c r="BC48" i="5"/>
  <c r="X48" i="5"/>
  <c r="BE48" i="5" s="1"/>
  <c r="BG48" i="5" s="1"/>
  <c r="AH48" i="5"/>
  <c r="BN48" i="5" s="1"/>
  <c r="BP48" i="5" s="1"/>
  <c r="AR48" i="5"/>
  <c r="AK50" i="5"/>
  <c r="O50" i="5"/>
  <c r="AO50" i="5"/>
  <c r="N34" i="5"/>
  <c r="AN34" i="5" s="1"/>
  <c r="N36" i="5"/>
  <c r="AN36" i="5" s="1"/>
  <c r="N38" i="5"/>
  <c r="AN38" i="5" s="1"/>
  <c r="N40" i="5"/>
  <c r="AN40" i="5" s="1"/>
  <c r="N42" i="5"/>
  <c r="AN42" i="5" s="1"/>
  <c r="N44" i="5"/>
  <c r="AN44" i="5" s="1"/>
  <c r="N46" i="5"/>
  <c r="AN46" i="5"/>
  <c r="N48" i="5"/>
  <c r="AN48" i="5" s="1"/>
  <c r="C54" i="9"/>
  <c r="C54" i="15" s="1"/>
  <c r="BB57" i="5"/>
  <c r="BA57" i="5"/>
  <c r="F84" i="22"/>
  <c r="BC57" i="5"/>
  <c r="F88" i="22"/>
  <c r="X57" i="5"/>
  <c r="BE57" i="5" s="1"/>
  <c r="BG57" i="5" s="1"/>
  <c r="BJ57" i="5" s="1"/>
  <c r="F87" i="22"/>
  <c r="F92" i="22"/>
  <c r="F98" i="22"/>
  <c r="AH57" i="5"/>
  <c r="BN57" i="5" s="1"/>
  <c r="BP57" i="5" s="1"/>
  <c r="F97" i="22"/>
  <c r="F102" i="22"/>
  <c r="AR57" i="5"/>
  <c r="BB59" i="5"/>
  <c r="BA59" i="5"/>
  <c r="BC59" i="5"/>
  <c r="X59" i="5"/>
  <c r="BE59" i="5" s="1"/>
  <c r="BG59" i="5" s="1"/>
  <c r="BK59" i="5" s="1"/>
  <c r="AH59" i="5"/>
  <c r="BN59" i="5" s="1"/>
  <c r="BP59" i="5" s="1"/>
  <c r="BT59" i="5" s="1"/>
  <c r="AR59" i="5"/>
  <c r="BB61" i="5"/>
  <c r="BA61" i="5"/>
  <c r="BC61" i="5"/>
  <c r="X61" i="5"/>
  <c r="BE61" i="5" s="1"/>
  <c r="BG61" i="5" s="1"/>
  <c r="AH61" i="5"/>
  <c r="BN61" i="5" s="1"/>
  <c r="BP61" i="5" s="1"/>
  <c r="BQ61" i="5" s="1"/>
  <c r="AR61" i="5"/>
  <c r="BB63" i="5"/>
  <c r="BA63" i="5"/>
  <c r="BC63" i="5"/>
  <c r="X63" i="5"/>
  <c r="BE63" i="5" s="1"/>
  <c r="BG63" i="5" s="1"/>
  <c r="AH63" i="5"/>
  <c r="BN63" i="5" s="1"/>
  <c r="BP63" i="5" s="1"/>
  <c r="AR63" i="5"/>
  <c r="BB65" i="5"/>
  <c r="BA65" i="5"/>
  <c r="BC65" i="5"/>
  <c r="X65" i="5"/>
  <c r="BE65" i="5" s="1"/>
  <c r="BG65" i="5" s="1"/>
  <c r="BJ65" i="5" s="1"/>
  <c r="AH65" i="5"/>
  <c r="BN65" i="5" s="1"/>
  <c r="BP65" i="5" s="1"/>
  <c r="BS65" i="5" s="1"/>
  <c r="AR65" i="5"/>
  <c r="BB67" i="5"/>
  <c r="BA67" i="5"/>
  <c r="BC67" i="5"/>
  <c r="X67" i="5"/>
  <c r="BE67" i="5" s="1"/>
  <c r="BG67" i="5" s="1"/>
  <c r="AH67" i="5"/>
  <c r="BN67" i="5" s="1"/>
  <c r="BP67" i="5" s="1"/>
  <c r="AR67" i="5"/>
  <c r="BB69" i="5"/>
  <c r="BA69" i="5"/>
  <c r="BC69" i="5"/>
  <c r="X69" i="5"/>
  <c r="BE69" i="5" s="1"/>
  <c r="BG69" i="5" s="1"/>
  <c r="AH69" i="5"/>
  <c r="BN69" i="5" s="1"/>
  <c r="BP69" i="5" s="1"/>
  <c r="AR69" i="5"/>
  <c r="BB71" i="5"/>
  <c r="BA71" i="5"/>
  <c r="BC71" i="5"/>
  <c r="X71" i="5"/>
  <c r="BE71" i="5" s="1"/>
  <c r="BG71" i="5" s="1"/>
  <c r="BJ71" i="5" s="1"/>
  <c r="AH71" i="5"/>
  <c r="BN71" i="5" s="1"/>
  <c r="BP71" i="5" s="1"/>
  <c r="BS71" i="5" s="1"/>
  <c r="AR71" i="5"/>
  <c r="AK73" i="5"/>
  <c r="O73" i="5"/>
  <c r="AO73" i="5"/>
  <c r="N57" i="5"/>
  <c r="AN57" i="5" s="1"/>
  <c r="N59" i="5"/>
  <c r="AN59" i="5" s="1"/>
  <c r="N61" i="5"/>
  <c r="AN61" i="5" s="1"/>
  <c r="N63" i="5"/>
  <c r="AN63" i="5" s="1"/>
  <c r="N65" i="5"/>
  <c r="AN65" i="5" s="1"/>
  <c r="N67" i="5"/>
  <c r="N69" i="5"/>
  <c r="AN69" i="5" s="1"/>
  <c r="N71" i="5"/>
  <c r="AN71" i="5" s="1"/>
  <c r="C55" i="9"/>
  <c r="C55" i="15" s="1"/>
  <c r="BB80" i="5"/>
  <c r="BA80" i="5"/>
  <c r="H84" i="22"/>
  <c r="BC80" i="5"/>
  <c r="H88" i="22"/>
  <c r="X80" i="5"/>
  <c r="BE80" i="5" s="1"/>
  <c r="BG80" i="5" s="1"/>
  <c r="H87" i="22"/>
  <c r="H92" i="22"/>
  <c r="H98" i="22"/>
  <c r="AH80" i="5"/>
  <c r="H97" i="22"/>
  <c r="H102" i="22"/>
  <c r="BB82" i="5"/>
  <c r="BA82" i="5"/>
  <c r="BC82" i="5"/>
  <c r="X82" i="5"/>
  <c r="AH82" i="5"/>
  <c r="BN82" i="5" s="1"/>
  <c r="BP82" i="5" s="1"/>
  <c r="BQ82" i="5" s="1"/>
  <c r="BB84" i="5"/>
  <c r="BA84" i="5"/>
  <c r="BC84" i="5"/>
  <c r="X84" i="5"/>
  <c r="BE84" i="5" s="1"/>
  <c r="BG84" i="5" s="1"/>
  <c r="BK84" i="5" s="1"/>
  <c r="AH84" i="5"/>
  <c r="BN84" i="5" s="1"/>
  <c r="BP84" i="5" s="1"/>
  <c r="BB86" i="5"/>
  <c r="BA86" i="5"/>
  <c r="BC86" i="5"/>
  <c r="X86" i="5"/>
  <c r="BE86" i="5" s="1"/>
  <c r="BG86" i="5" s="1"/>
  <c r="BH86" i="5" s="1"/>
  <c r="AH86" i="5"/>
  <c r="BN86" i="5" s="1"/>
  <c r="BP86" i="5" s="1"/>
  <c r="BQ86" i="5" s="1"/>
  <c r="BB88" i="5"/>
  <c r="BA88" i="5"/>
  <c r="BC88" i="5"/>
  <c r="X88" i="5"/>
  <c r="BE88" i="5" s="1"/>
  <c r="BG88" i="5" s="1"/>
  <c r="AH88" i="5"/>
  <c r="BN88" i="5" s="1"/>
  <c r="BP88" i="5" s="1"/>
  <c r="BT88" i="5" s="1"/>
  <c r="BB90" i="5"/>
  <c r="BA90" i="5"/>
  <c r="BC90" i="5"/>
  <c r="X90" i="5"/>
  <c r="BE90" i="5" s="1"/>
  <c r="BG90" i="5" s="1"/>
  <c r="AH90" i="5"/>
  <c r="BN90" i="5" s="1"/>
  <c r="BP90" i="5" s="1"/>
  <c r="BQ90" i="5" s="1"/>
  <c r="BB92" i="5"/>
  <c r="BA92" i="5"/>
  <c r="BC92" i="5"/>
  <c r="X92" i="5"/>
  <c r="BE92" i="5" s="1"/>
  <c r="BG92" i="5" s="1"/>
  <c r="BK92" i="5" s="1"/>
  <c r="AH92" i="5"/>
  <c r="BN92" i="5" s="1"/>
  <c r="BP92" i="5" s="1"/>
  <c r="BB94" i="5"/>
  <c r="BA94" i="5"/>
  <c r="BC94" i="5"/>
  <c r="X94" i="5"/>
  <c r="BE94" i="5" s="1"/>
  <c r="BG94" i="5" s="1"/>
  <c r="BH94" i="5" s="1"/>
  <c r="AH94" i="5"/>
  <c r="BN94" i="5" s="1"/>
  <c r="BP94" i="5" s="1"/>
  <c r="BQ94" i="5" s="1"/>
  <c r="AK96" i="5"/>
  <c r="A732" i="23" s="1"/>
  <c r="O96" i="5"/>
  <c r="AO96" i="5"/>
  <c r="N80" i="5"/>
  <c r="AN80" i="5" s="1"/>
  <c r="N82" i="5"/>
  <c r="AN82" i="5" s="1"/>
  <c r="N84" i="5"/>
  <c r="N86" i="5"/>
  <c r="AN86" i="5" s="1"/>
  <c r="N88" i="5"/>
  <c r="AN88" i="5" s="1"/>
  <c r="N90" i="5"/>
  <c r="AN90" i="5" s="1"/>
  <c r="N92" i="5"/>
  <c r="AN92" i="5" s="1"/>
  <c r="N94" i="5"/>
  <c r="AN94" i="5" s="1"/>
  <c r="C56" i="9"/>
  <c r="BB103" i="5"/>
  <c r="BA103" i="5"/>
  <c r="J84" i="22"/>
  <c r="BC103" i="5"/>
  <c r="J88" i="22"/>
  <c r="X103" i="5"/>
  <c r="BE103" i="5" s="1"/>
  <c r="BG103" i="5" s="1"/>
  <c r="J87" i="22"/>
  <c r="J92" i="22"/>
  <c r="AH103" i="5"/>
  <c r="BN103" i="5" s="1"/>
  <c r="BP103" i="5" s="1"/>
  <c r="J98" i="22"/>
  <c r="J97" i="22"/>
  <c r="J102" i="22"/>
  <c r="BB105" i="5"/>
  <c r="BA105" i="5"/>
  <c r="BC105" i="5"/>
  <c r="X105" i="5"/>
  <c r="BE105" i="5" s="1"/>
  <c r="BG105" i="5" s="1"/>
  <c r="BK105" i="5" s="1"/>
  <c r="AH105" i="5"/>
  <c r="BN105" i="5" s="1"/>
  <c r="BP105" i="5" s="1"/>
  <c r="BB107" i="5"/>
  <c r="BA107" i="5"/>
  <c r="BC107" i="5"/>
  <c r="X107" i="5"/>
  <c r="BE107" i="5" s="1"/>
  <c r="BG107" i="5" s="1"/>
  <c r="BJ107" i="5" s="1"/>
  <c r="AH107" i="5"/>
  <c r="BN107" i="5" s="1"/>
  <c r="BP107" i="5" s="1"/>
  <c r="BS107" i="5" s="1"/>
  <c r="BB109" i="5"/>
  <c r="BA109" i="5"/>
  <c r="BC109" i="5"/>
  <c r="X109" i="5"/>
  <c r="BE109" i="5" s="1"/>
  <c r="BG109" i="5" s="1"/>
  <c r="AH109" i="5"/>
  <c r="BN109" i="5" s="1"/>
  <c r="BP109" i="5" s="1"/>
  <c r="BB111" i="5"/>
  <c r="BA111" i="5"/>
  <c r="BC111" i="5"/>
  <c r="X111" i="5"/>
  <c r="BE111" i="5" s="1"/>
  <c r="BG111" i="5" s="1"/>
  <c r="AH111" i="5"/>
  <c r="BN111" i="5" s="1"/>
  <c r="BP111" i="5" s="1"/>
  <c r="BQ111" i="5" s="1"/>
  <c r="BB113" i="5"/>
  <c r="BA113" i="5"/>
  <c r="BC113" i="5"/>
  <c r="X113" i="5"/>
  <c r="BE113" i="5" s="1"/>
  <c r="BG113" i="5" s="1"/>
  <c r="BI113" i="5" s="1"/>
  <c r="AH113" i="5"/>
  <c r="BN113" i="5" s="1"/>
  <c r="BP113" i="5" s="1"/>
  <c r="BR113" i="5" s="1"/>
  <c r="BB115" i="5"/>
  <c r="BA115" i="5"/>
  <c r="BC115" i="5"/>
  <c r="X115" i="5"/>
  <c r="BE115" i="5" s="1"/>
  <c r="BG115" i="5" s="1"/>
  <c r="AH115" i="5"/>
  <c r="BN115" i="5" s="1"/>
  <c r="BP115" i="5" s="1"/>
  <c r="BB117" i="5"/>
  <c r="BA117" i="5"/>
  <c r="BC117" i="5"/>
  <c r="X117" i="5"/>
  <c r="BE117" i="5" s="1"/>
  <c r="BG117" i="5" s="1"/>
  <c r="BI117" i="5" s="1"/>
  <c r="AH117" i="5"/>
  <c r="BN117" i="5" s="1"/>
  <c r="BP117" i="5" s="1"/>
  <c r="BR117" i="5" s="1"/>
  <c r="AK119" i="5"/>
  <c r="O119" i="5"/>
  <c r="AO119" i="5"/>
  <c r="N103" i="5"/>
  <c r="N105" i="5"/>
  <c r="AN105" i="5" s="1"/>
  <c r="N107" i="5"/>
  <c r="AN107" i="5" s="1"/>
  <c r="N109" i="5"/>
  <c r="AN109" i="5" s="1"/>
  <c r="N111" i="5"/>
  <c r="AN111" i="5" s="1"/>
  <c r="N113" i="5"/>
  <c r="AN113" i="5" s="1"/>
  <c r="N115" i="5"/>
  <c r="AN115" i="5" s="1"/>
  <c r="N117" i="5"/>
  <c r="AN117" i="5" s="1"/>
  <c r="C57" i="9"/>
  <c r="C57" i="15" s="1"/>
  <c r="C49" i="15"/>
  <c r="C50" i="15"/>
  <c r="C51" i="15"/>
  <c r="D103" i="25"/>
  <c r="B61" i="22" s="1"/>
  <c r="U42" i="3" s="1"/>
  <c r="AV36" i="3" s="1"/>
  <c r="D104" i="25"/>
  <c r="B62" i="22" s="1"/>
  <c r="U43" i="3" s="1"/>
  <c r="D105" i="25"/>
  <c r="B63" i="22" s="1"/>
  <c r="U44" i="3" s="1"/>
  <c r="D106" i="25"/>
  <c r="B64" i="22" s="1"/>
  <c r="U45" i="3" s="1"/>
  <c r="AF31" i="4"/>
  <c r="AF32" i="4"/>
  <c r="AG32" i="4" s="1"/>
  <c r="BG34" i="4"/>
  <c r="AF23" i="4"/>
  <c r="AF24" i="4"/>
  <c r="AG24" i="4" s="1"/>
  <c r="AF25" i="4"/>
  <c r="AG25" i="4" s="1"/>
  <c r="X63" i="3"/>
  <c r="X71" i="3"/>
  <c r="C69" i="15"/>
  <c r="D35" i="15"/>
  <c r="D40" i="15"/>
  <c r="D41" i="15"/>
  <c r="D27" i="15"/>
  <c r="D24" i="15"/>
  <c r="D25" i="15"/>
  <c r="D26" i="15"/>
  <c r="D28" i="15"/>
  <c r="D29" i="15"/>
  <c r="D30" i="15"/>
  <c r="D31" i="15"/>
  <c r="D32" i="15"/>
  <c r="D33" i="15"/>
  <c r="D34" i="15"/>
  <c r="D36" i="15"/>
  <c r="D37" i="15"/>
  <c r="D38" i="15"/>
  <c r="D39" i="15"/>
  <c r="D53" i="15"/>
  <c r="D54" i="9"/>
  <c r="D54" i="15" s="1"/>
  <c r="D55" i="9"/>
  <c r="D55" i="15" s="1"/>
  <c r="D56" i="9"/>
  <c r="D56" i="15" s="1"/>
  <c r="D57" i="9"/>
  <c r="D57" i="15" s="1"/>
  <c r="D49" i="15"/>
  <c r="D50" i="15"/>
  <c r="D51" i="15"/>
  <c r="D69" i="15"/>
  <c r="E35" i="15"/>
  <c r="E40" i="15"/>
  <c r="E41" i="15"/>
  <c r="E27" i="15"/>
  <c r="E24" i="15"/>
  <c r="E25" i="15"/>
  <c r="E26" i="15"/>
  <c r="E28" i="15"/>
  <c r="E29" i="15"/>
  <c r="E30" i="15"/>
  <c r="E31" i="15"/>
  <c r="E32" i="15"/>
  <c r="E33" i="15"/>
  <c r="E34" i="15"/>
  <c r="E36" i="15"/>
  <c r="E37" i="15"/>
  <c r="E38" i="15"/>
  <c r="E39" i="15"/>
  <c r="E53" i="15"/>
  <c r="E54" i="9"/>
  <c r="E54" i="15" s="1"/>
  <c r="E55" i="9"/>
  <c r="E55" i="15" s="1"/>
  <c r="E56" i="9"/>
  <c r="E56" i="15" s="1"/>
  <c r="E57" i="9"/>
  <c r="E57" i="15" s="1"/>
  <c r="E49" i="15"/>
  <c r="E50" i="15"/>
  <c r="E52" i="15" s="1"/>
  <c r="E51" i="15"/>
  <c r="E69" i="15"/>
  <c r="F35" i="15"/>
  <c r="F40" i="15"/>
  <c r="F41" i="15"/>
  <c r="F27" i="15"/>
  <c r="F24" i="15"/>
  <c r="F25" i="15"/>
  <c r="F26" i="15"/>
  <c r="F28" i="15"/>
  <c r="F29" i="15"/>
  <c r="F30" i="15"/>
  <c r="F31" i="15"/>
  <c r="F32" i="15"/>
  <c r="F33" i="15"/>
  <c r="F34" i="15"/>
  <c r="F36" i="15"/>
  <c r="F37" i="15"/>
  <c r="F38" i="15"/>
  <c r="F39" i="15"/>
  <c r="F53" i="15"/>
  <c r="F54" i="9"/>
  <c r="F54" i="15" s="1"/>
  <c r="F55" i="9"/>
  <c r="F55" i="15" s="1"/>
  <c r="F56" i="9"/>
  <c r="F57" i="9"/>
  <c r="F57" i="15" s="1"/>
  <c r="F49" i="15"/>
  <c r="F50" i="15"/>
  <c r="F51" i="15"/>
  <c r="F69" i="15"/>
  <c r="G35" i="15"/>
  <c r="G40" i="15"/>
  <c r="G41" i="15"/>
  <c r="G27" i="15"/>
  <c r="G24" i="15"/>
  <c r="G25" i="15"/>
  <c r="G26" i="15"/>
  <c r="G28" i="15"/>
  <c r="G29" i="15"/>
  <c r="G30" i="15"/>
  <c r="G31" i="15"/>
  <c r="G32" i="15"/>
  <c r="G33" i="15"/>
  <c r="G34" i="15"/>
  <c r="G36" i="15"/>
  <c r="G37" i="15"/>
  <c r="G38" i="15"/>
  <c r="G39" i="15"/>
  <c r="G53" i="15"/>
  <c r="G54" i="9"/>
  <c r="G54" i="15" s="1"/>
  <c r="G55" i="9"/>
  <c r="G55" i="15" s="1"/>
  <c r="G56" i="9"/>
  <c r="G56" i="15" s="1"/>
  <c r="G57" i="9"/>
  <c r="G57" i="15" s="1"/>
  <c r="G49" i="15"/>
  <c r="G50" i="15"/>
  <c r="G51" i="15"/>
  <c r="G69" i="15"/>
  <c r="H35" i="15"/>
  <c r="H40" i="15"/>
  <c r="H41" i="15"/>
  <c r="H27" i="15"/>
  <c r="H24" i="15"/>
  <c r="H25" i="15"/>
  <c r="H26" i="15"/>
  <c r="H28" i="15"/>
  <c r="H29" i="15"/>
  <c r="H30" i="15"/>
  <c r="H31" i="15"/>
  <c r="H32" i="15"/>
  <c r="H33" i="15"/>
  <c r="H34" i="15"/>
  <c r="H36" i="15"/>
  <c r="H37" i="15"/>
  <c r="H38" i="15"/>
  <c r="H39" i="15"/>
  <c r="H53" i="15"/>
  <c r="H54" i="9"/>
  <c r="H54" i="15" s="1"/>
  <c r="H55" i="9"/>
  <c r="H55" i="15" s="1"/>
  <c r="H56" i="9"/>
  <c r="H56" i="15" s="1"/>
  <c r="H57" i="9"/>
  <c r="H57" i="15" s="1"/>
  <c r="H49" i="15"/>
  <c r="H50" i="15"/>
  <c r="H51" i="15"/>
  <c r="H69" i="15"/>
  <c r="I35" i="15"/>
  <c r="I40" i="15"/>
  <c r="I41" i="15"/>
  <c r="I27" i="15"/>
  <c r="I24" i="15"/>
  <c r="I25" i="15"/>
  <c r="I26" i="15"/>
  <c r="I28" i="15"/>
  <c r="I29" i="15"/>
  <c r="I30" i="15"/>
  <c r="I31" i="15"/>
  <c r="I32" i="15"/>
  <c r="I33" i="15"/>
  <c r="I34" i="15"/>
  <c r="I36" i="15"/>
  <c r="I37" i="15"/>
  <c r="I38" i="15"/>
  <c r="I39" i="15"/>
  <c r="I53" i="15"/>
  <c r="I54" i="9"/>
  <c r="I54" i="15" s="1"/>
  <c r="I55" i="9"/>
  <c r="I55" i="15" s="1"/>
  <c r="I56" i="9"/>
  <c r="I56" i="15" s="1"/>
  <c r="I57" i="9"/>
  <c r="I57" i="15" s="1"/>
  <c r="I49" i="15"/>
  <c r="I50" i="15"/>
  <c r="I51" i="15"/>
  <c r="I69" i="15"/>
  <c r="J35" i="15"/>
  <c r="J40" i="15"/>
  <c r="J41" i="15"/>
  <c r="J27" i="15"/>
  <c r="J24" i="15"/>
  <c r="J25" i="15"/>
  <c r="J26" i="15"/>
  <c r="J28" i="15"/>
  <c r="J29" i="15"/>
  <c r="J30" i="15"/>
  <c r="J31" i="15"/>
  <c r="J32" i="15"/>
  <c r="J33" i="15"/>
  <c r="J34" i="15"/>
  <c r="J36" i="15"/>
  <c r="J37" i="15"/>
  <c r="J38" i="15"/>
  <c r="J39" i="15"/>
  <c r="J53" i="15"/>
  <c r="J54" i="9"/>
  <c r="J54" i="15" s="1"/>
  <c r="J55" i="9"/>
  <c r="J55" i="15" s="1"/>
  <c r="J56" i="9"/>
  <c r="J56" i="15" s="1"/>
  <c r="J57" i="9"/>
  <c r="J57" i="15" s="1"/>
  <c r="J49" i="15"/>
  <c r="J50" i="15"/>
  <c r="J51" i="15"/>
  <c r="J69" i="15"/>
  <c r="K35" i="15"/>
  <c r="K40" i="15"/>
  <c r="K41" i="15"/>
  <c r="K27" i="15"/>
  <c r="K24" i="15"/>
  <c r="K25" i="15"/>
  <c r="K26" i="15"/>
  <c r="K28" i="15"/>
  <c r="K29" i="15"/>
  <c r="K30" i="15"/>
  <c r="K31" i="15"/>
  <c r="K32" i="15"/>
  <c r="K33" i="15"/>
  <c r="K34" i="15"/>
  <c r="K36" i="15"/>
  <c r="K37" i="15"/>
  <c r="K38" i="15"/>
  <c r="K39" i="15"/>
  <c r="K53" i="15"/>
  <c r="K54" i="9"/>
  <c r="K54" i="15" s="1"/>
  <c r="K55" i="9"/>
  <c r="K55" i="15" s="1"/>
  <c r="K56" i="9"/>
  <c r="K56" i="15" s="1"/>
  <c r="K57" i="9"/>
  <c r="K57" i="15" s="1"/>
  <c r="K49" i="15"/>
  <c r="K50" i="15"/>
  <c r="K51" i="15"/>
  <c r="K69" i="15"/>
  <c r="L35" i="15"/>
  <c r="L40" i="15"/>
  <c r="L41" i="15"/>
  <c r="L27" i="15"/>
  <c r="L24" i="15"/>
  <c r="L25" i="15"/>
  <c r="L26" i="15"/>
  <c r="L28" i="15"/>
  <c r="L29" i="15"/>
  <c r="L30" i="15"/>
  <c r="L31" i="15"/>
  <c r="L32" i="15"/>
  <c r="L33" i="15"/>
  <c r="L34" i="15"/>
  <c r="L36" i="15"/>
  <c r="L37" i="15"/>
  <c r="L38" i="15"/>
  <c r="L39" i="15"/>
  <c r="L53" i="15"/>
  <c r="L54" i="9"/>
  <c r="L54" i="15" s="1"/>
  <c r="L55" i="9"/>
  <c r="L55" i="15" s="1"/>
  <c r="L56" i="9"/>
  <c r="L56" i="15" s="1"/>
  <c r="L57" i="9"/>
  <c r="L57" i="15" s="1"/>
  <c r="L49" i="15"/>
  <c r="L50" i="15"/>
  <c r="L51" i="15"/>
  <c r="L69" i="15"/>
  <c r="M35" i="15"/>
  <c r="M40" i="15"/>
  <c r="M41" i="15"/>
  <c r="M27" i="15"/>
  <c r="M24" i="15"/>
  <c r="M25" i="15"/>
  <c r="M26" i="15"/>
  <c r="M28" i="15"/>
  <c r="M29" i="15"/>
  <c r="M30" i="15"/>
  <c r="M31" i="15"/>
  <c r="M32" i="15"/>
  <c r="M33" i="15"/>
  <c r="M34" i="15"/>
  <c r="M36" i="15"/>
  <c r="M37" i="15"/>
  <c r="M38" i="15"/>
  <c r="M39" i="15"/>
  <c r="M53" i="15"/>
  <c r="M54" i="9"/>
  <c r="M54" i="15" s="1"/>
  <c r="M55" i="9"/>
  <c r="M55" i="15" s="1"/>
  <c r="M56" i="9"/>
  <c r="M56" i="15" s="1"/>
  <c r="M57" i="9"/>
  <c r="M57" i="15" s="1"/>
  <c r="M49" i="15"/>
  <c r="M50" i="15"/>
  <c r="M52" i="15" s="1"/>
  <c r="M51" i="15"/>
  <c r="M69" i="15"/>
  <c r="N35" i="15"/>
  <c r="N40" i="15"/>
  <c r="N41" i="15"/>
  <c r="N27" i="15"/>
  <c r="N24" i="15"/>
  <c r="N25" i="15"/>
  <c r="N26" i="15"/>
  <c r="N28" i="15"/>
  <c r="N29" i="15"/>
  <c r="N30" i="15"/>
  <c r="N31" i="15"/>
  <c r="N32" i="15"/>
  <c r="N33" i="15"/>
  <c r="N34" i="15"/>
  <c r="N36" i="15"/>
  <c r="N37" i="15"/>
  <c r="N38" i="15"/>
  <c r="N39" i="15"/>
  <c r="N53" i="15"/>
  <c r="N54" i="9"/>
  <c r="N54" i="15" s="1"/>
  <c r="N55" i="9"/>
  <c r="N55" i="15" s="1"/>
  <c r="N56" i="9"/>
  <c r="N57" i="9"/>
  <c r="N49" i="15"/>
  <c r="N50" i="15"/>
  <c r="N51" i="15"/>
  <c r="N69" i="15"/>
  <c r="P46" i="4"/>
  <c r="C46" i="4"/>
  <c r="P27" i="4"/>
  <c r="C27" i="4"/>
  <c r="R53" i="31"/>
  <c r="R52" i="31"/>
  <c r="V51" i="31"/>
  <c r="R51" i="31"/>
  <c r="R50" i="31"/>
  <c r="V49" i="31"/>
  <c r="R49" i="31"/>
  <c r="V48" i="31"/>
  <c r="R48" i="31"/>
  <c r="V47" i="31"/>
  <c r="R47" i="31"/>
  <c r="R46" i="31"/>
  <c r="AC6" i="4"/>
  <c r="AK13" i="4"/>
  <c r="AL13" i="4"/>
  <c r="AM13" i="4"/>
  <c r="AN13" i="4"/>
  <c r="AK14" i="4"/>
  <c r="AL14" i="4"/>
  <c r="AM14" i="4"/>
  <c r="AN14" i="4"/>
  <c r="AK15" i="4"/>
  <c r="AL15" i="4"/>
  <c r="AM15" i="4"/>
  <c r="AN15" i="4"/>
  <c r="AK16" i="4"/>
  <c r="AL16" i="4"/>
  <c r="AM16" i="4"/>
  <c r="AN16" i="4"/>
  <c r="AH17" i="4"/>
  <c r="AK17" i="4"/>
  <c r="AL17" i="4"/>
  <c r="AM17" i="4"/>
  <c r="AN17" i="4"/>
  <c r="AF18" i="4"/>
  <c r="AG18" i="4" s="1"/>
  <c r="AH18" i="4"/>
  <c r="AK18" i="4"/>
  <c r="AL18" i="4"/>
  <c r="AM18" i="4"/>
  <c r="AN18" i="4"/>
  <c r="AH19" i="4"/>
  <c r="AK19" i="4"/>
  <c r="AL19" i="4"/>
  <c r="AM19" i="4"/>
  <c r="AN19" i="4"/>
  <c r="AK20" i="4"/>
  <c r="AL20" i="4"/>
  <c r="AM20" i="4"/>
  <c r="AN20" i="4"/>
  <c r="AK21" i="4"/>
  <c r="AL21" i="4"/>
  <c r="AM21" i="4"/>
  <c r="AN21" i="4"/>
  <c r="AK22" i="4"/>
  <c r="AL22" i="4"/>
  <c r="AM22" i="4"/>
  <c r="AN22" i="4"/>
  <c r="AE23" i="4"/>
  <c r="AK23" i="4"/>
  <c r="AL23" i="4"/>
  <c r="AM23" i="4"/>
  <c r="AN23" i="4"/>
  <c r="AE24" i="4"/>
  <c r="AK24" i="4"/>
  <c r="AL24" i="4"/>
  <c r="AM24" i="4"/>
  <c r="AN24" i="4"/>
  <c r="AE25" i="4"/>
  <c r="AH25" i="4"/>
  <c r="AE26" i="4"/>
  <c r="AF26" i="4"/>
  <c r="AG26" i="4" s="1"/>
  <c r="AH26" i="4"/>
  <c r="AI26" i="4"/>
  <c r="AH27" i="4"/>
  <c r="O98" i="7" s="1"/>
  <c r="AL28" i="4"/>
  <c r="AM28" i="4"/>
  <c r="AN28" i="4"/>
  <c r="AL29" i="4"/>
  <c r="AM29" i="4"/>
  <c r="AN29" i="4"/>
  <c r="AL30" i="4"/>
  <c r="AM30" i="4"/>
  <c r="AN30" i="4"/>
  <c r="AL31" i="4"/>
  <c r="AM31" i="4"/>
  <c r="AN31" i="4"/>
  <c r="AH32" i="4"/>
  <c r="AH33" i="4"/>
  <c r="M94" i="4"/>
  <c r="W40" i="22" s="1"/>
  <c r="W47" i="22" s="1"/>
  <c r="T94" i="4" s="1"/>
  <c r="AH34" i="4"/>
  <c r="E98" i="7" s="1"/>
  <c r="AF40" i="4"/>
  <c r="AF39" i="4"/>
  <c r="AG40" i="4"/>
  <c r="AG39" i="4"/>
  <c r="AC48" i="4"/>
  <c r="AC49" i="4"/>
  <c r="AJ49" i="4"/>
  <c r="AP49" i="4"/>
  <c r="AE50" i="4"/>
  <c r="AH50" i="4"/>
  <c r="AE51" i="4"/>
  <c r="AH51" i="4"/>
  <c r="AG53" i="4"/>
  <c r="AG54" i="4"/>
  <c r="AC55" i="4"/>
  <c r="AC56" i="4"/>
  <c r="AC57" i="4"/>
  <c r="AJ62" i="4"/>
  <c r="AG66" i="4"/>
  <c r="AG67" i="4"/>
  <c r="AE69" i="4"/>
  <c r="AH69" i="4"/>
  <c r="AE70" i="4"/>
  <c r="AH70" i="4"/>
  <c r="AC72" i="4"/>
  <c r="AC73" i="4"/>
  <c r="AC75" i="4"/>
  <c r="AC76" i="4"/>
  <c r="AG82" i="4"/>
  <c r="AG83" i="4"/>
  <c r="AG84" i="4"/>
  <c r="AL84" i="4"/>
  <c r="AR84" i="4"/>
  <c r="AC85" i="4"/>
  <c r="AG85" i="4"/>
  <c r="AL85" i="4"/>
  <c r="AR85" i="4"/>
  <c r="AC86" i="4"/>
  <c r="AL86" i="4"/>
  <c r="AR86" i="4"/>
  <c r="AL87" i="4"/>
  <c r="AR87" i="4"/>
  <c r="AL88" i="4"/>
  <c r="AR88" i="4"/>
  <c r="AL89" i="4"/>
  <c r="AR89" i="4"/>
  <c r="AL90" i="4"/>
  <c r="AR90" i="4"/>
  <c r="AL91" i="4"/>
  <c r="AR91" i="4"/>
  <c r="AL92" i="4"/>
  <c r="AR92" i="4"/>
  <c r="AL93" i="4"/>
  <c r="AR93" i="4"/>
  <c r="AL94" i="4"/>
  <c r="AR94" i="4"/>
  <c r="AL95" i="4"/>
  <c r="AR95" i="4"/>
  <c r="AL96" i="4"/>
  <c r="AR96" i="4"/>
  <c r="AL97" i="4"/>
  <c r="AR97" i="4"/>
  <c r="AL98" i="4"/>
  <c r="AR98" i="4"/>
  <c r="AL99" i="4"/>
  <c r="AR99" i="4"/>
  <c r="AL100" i="4"/>
  <c r="AR100" i="4"/>
  <c r="AL101" i="4"/>
  <c r="AR101" i="4"/>
  <c r="AL102" i="4"/>
  <c r="AR102" i="4"/>
  <c r="AH103" i="4"/>
  <c r="AL103" i="4"/>
  <c r="AR103" i="4"/>
  <c r="AH104" i="4"/>
  <c r="AL104" i="4"/>
  <c r="AR104" i="4"/>
  <c r="AL105" i="4"/>
  <c r="AR105" i="4"/>
  <c r="AL106" i="4"/>
  <c r="AR106" i="4"/>
  <c r="AH107" i="4"/>
  <c r="AL107" i="4"/>
  <c r="AR107" i="4"/>
  <c r="AL108" i="4"/>
  <c r="AR108" i="4"/>
  <c r="AL109" i="4"/>
  <c r="AR109" i="4"/>
  <c r="AL110" i="4"/>
  <c r="AR110" i="4"/>
  <c r="AL111" i="4"/>
  <c r="AR111" i="4"/>
  <c r="AH112" i="4"/>
  <c r="AL112" i="4"/>
  <c r="AR112" i="4"/>
  <c r="AH113" i="4"/>
  <c r="AL113" i="4"/>
  <c r="AR113" i="4"/>
  <c r="AH114" i="4"/>
  <c r="AL114" i="4"/>
  <c r="AR114" i="4"/>
  <c r="AH115" i="4"/>
  <c r="AL115" i="4"/>
  <c r="AR115" i="4"/>
  <c r="AH116" i="4"/>
  <c r="AL116" i="4"/>
  <c r="AR116" i="4"/>
  <c r="AH117" i="4"/>
  <c r="AL117" i="4"/>
  <c r="AR117" i="4"/>
  <c r="AL118" i="4"/>
  <c r="AR118" i="4"/>
  <c r="AL119" i="4"/>
  <c r="AR119" i="4"/>
  <c r="AL120" i="4"/>
  <c r="AR120" i="4"/>
  <c r="AL121" i="4"/>
  <c r="AR121" i="4"/>
  <c r="AH122" i="4"/>
  <c r="AL122" i="4"/>
  <c r="AR122" i="4"/>
  <c r="AH123" i="4"/>
  <c r="AL123" i="4"/>
  <c r="AR123" i="4"/>
  <c r="AL124" i="4"/>
  <c r="AR124" i="4"/>
  <c r="AL125" i="4"/>
  <c r="AR125" i="4"/>
  <c r="AL126" i="4"/>
  <c r="AR126" i="4"/>
  <c r="AL127" i="4"/>
  <c r="AR127" i="4"/>
  <c r="AL128" i="4"/>
  <c r="AR128" i="4"/>
  <c r="AG129" i="4"/>
  <c r="AI129" i="4"/>
  <c r="AL129" i="4"/>
  <c r="AR129" i="4"/>
  <c r="AG130" i="4"/>
  <c r="AG140" i="4"/>
  <c r="AI130" i="4"/>
  <c r="AI140" i="4"/>
  <c r="AL130" i="4"/>
  <c r="AR130" i="4"/>
  <c r="AL131" i="4"/>
  <c r="AR131" i="4"/>
  <c r="AL132" i="4"/>
  <c r="AR132" i="4"/>
  <c r="AL133" i="4"/>
  <c r="AR133" i="4"/>
  <c r="AG134" i="4"/>
  <c r="AI134" i="4"/>
  <c r="AL134" i="4"/>
  <c r="AR134" i="4"/>
  <c r="AL135" i="4"/>
  <c r="AR135" i="4"/>
  <c r="AL136" i="4"/>
  <c r="AR136" i="4"/>
  <c r="AG137" i="4"/>
  <c r="AI137" i="4"/>
  <c r="AL137" i="4"/>
  <c r="AR137" i="4"/>
  <c r="AL138" i="4"/>
  <c r="AR138" i="4"/>
  <c r="AL139" i="4"/>
  <c r="AR139" i="4"/>
  <c r="AL140" i="4"/>
  <c r="AR140" i="4"/>
  <c r="AL141" i="4"/>
  <c r="AR141" i="4"/>
  <c r="AL142" i="4"/>
  <c r="AR142" i="4"/>
  <c r="AL143" i="4"/>
  <c r="AR143" i="4"/>
  <c r="AL144" i="4"/>
  <c r="AR144" i="4"/>
  <c r="AL145" i="4"/>
  <c r="AR145" i="4"/>
  <c r="AL146" i="4"/>
  <c r="AR146" i="4"/>
  <c r="AL147" i="4"/>
  <c r="AR147" i="4"/>
  <c r="AL148" i="4"/>
  <c r="AR148" i="4"/>
  <c r="AR149" i="4"/>
  <c r="AR150" i="4"/>
  <c r="AR151" i="4"/>
  <c r="AR152" i="4"/>
  <c r="AT15" i="4"/>
  <c r="AW15" i="4"/>
  <c r="AZ15" i="4"/>
  <c r="BA15" i="4"/>
  <c r="BB15" i="4"/>
  <c r="BC15" i="4"/>
  <c r="AT16" i="4"/>
  <c r="AW16" i="4"/>
  <c r="AZ16" i="4"/>
  <c r="BH21" i="4"/>
  <c r="BA16" i="4"/>
  <c r="BB16" i="4"/>
  <c r="AT17" i="4"/>
  <c r="AW17" i="4"/>
  <c r="AZ17" i="4"/>
  <c r="BA17" i="4"/>
  <c r="BB17" i="4"/>
  <c r="BC17" i="4"/>
  <c r="BH27" i="4"/>
  <c r="AT18" i="4"/>
  <c r="AW18" i="4"/>
  <c r="AZ18" i="4"/>
  <c r="BA18" i="4"/>
  <c r="BB18" i="4"/>
  <c r="BC18" i="4"/>
  <c r="AT19" i="4"/>
  <c r="AW19" i="4"/>
  <c r="AZ19" i="4"/>
  <c r="BA19" i="4"/>
  <c r="BB19" i="4"/>
  <c r="BC19" i="4"/>
  <c r="AT20" i="4"/>
  <c r="AW20" i="4"/>
  <c r="AT21" i="4"/>
  <c r="AW21" i="4"/>
  <c r="AT22" i="4"/>
  <c r="AL33" i="4"/>
  <c r="AO15" i="4"/>
  <c r="AC41" i="4"/>
  <c r="AH24" i="4"/>
  <c r="AG41" i="4"/>
  <c r="AF41" i="4"/>
  <c r="AO16" i="4"/>
  <c r="AO20" i="4"/>
  <c r="AO23" i="4"/>
  <c r="AM33" i="4"/>
  <c r="AO14" i="4"/>
  <c r="BH23" i="4"/>
  <c r="AC40" i="4"/>
  <c r="BH25" i="4"/>
  <c r="AO24" i="4"/>
  <c r="AO21" i="4"/>
  <c r="AO22" i="4"/>
  <c r="AO13" i="4"/>
  <c r="AO18" i="4"/>
  <c r="AO17" i="4"/>
  <c r="AO19" i="4"/>
  <c r="Q34" i="9"/>
  <c r="Q30" i="9"/>
  <c r="Q26" i="9"/>
  <c r="S10" i="34"/>
  <c r="R10" i="34"/>
  <c r="S9" i="34"/>
  <c r="R9" i="34"/>
  <c r="S8" i="34"/>
  <c r="R8" i="34"/>
  <c r="H50" i="5"/>
  <c r="H27" i="5"/>
  <c r="H73" i="5"/>
  <c r="H96" i="5"/>
  <c r="H119" i="5"/>
  <c r="L81" i="3"/>
  <c r="U7" i="34"/>
  <c r="D98" i="25"/>
  <c r="C81" i="3" s="1"/>
  <c r="S7" i="34"/>
  <c r="R7" i="34"/>
  <c r="S6" i="34"/>
  <c r="R6" i="34"/>
  <c r="S5" i="34"/>
  <c r="R5" i="34"/>
  <c r="S4" i="34"/>
  <c r="R4" i="34"/>
  <c r="X10" i="34"/>
  <c r="V10" i="34"/>
  <c r="U10" i="34"/>
  <c r="Y10" i="34"/>
  <c r="T10" i="34"/>
  <c r="W9" i="34"/>
  <c r="U9" i="34"/>
  <c r="T9" i="34"/>
  <c r="X8" i="34"/>
  <c r="W8" i="34"/>
  <c r="V8" i="34"/>
  <c r="U8" i="34"/>
  <c r="O8" i="34"/>
  <c r="Q8" i="34"/>
  <c r="W7" i="34"/>
  <c r="Y6" i="34"/>
  <c r="X6" i="34"/>
  <c r="W6" i="34"/>
  <c r="V6" i="34"/>
  <c r="U6" i="34"/>
  <c r="T6" i="34"/>
  <c r="Y5" i="34"/>
  <c r="W5" i="34"/>
  <c r="V5" i="34"/>
  <c r="U5" i="34"/>
  <c r="X5" i="34"/>
  <c r="T5" i="34"/>
  <c r="Q5" i="34"/>
  <c r="O5" i="34"/>
  <c r="Y4" i="34"/>
  <c r="W4" i="34"/>
  <c r="V4" i="34"/>
  <c r="U4" i="34"/>
  <c r="T4" i="34"/>
  <c r="O4" i="34"/>
  <c r="Q4" i="34"/>
  <c r="Z12" i="33"/>
  <c r="U14" i="33"/>
  <c r="U13" i="33"/>
  <c r="V13" i="33"/>
  <c r="U12" i="33"/>
  <c r="AA14" i="33"/>
  <c r="U11" i="33"/>
  <c r="T11" i="33"/>
  <c r="U10" i="33"/>
  <c r="Z10" i="33"/>
  <c r="U9" i="33"/>
  <c r="W9" i="33"/>
  <c r="U8" i="33"/>
  <c r="Z8" i="33"/>
  <c r="U7" i="33"/>
  <c r="V7" i="33"/>
  <c r="U6" i="33"/>
  <c r="V6" i="33"/>
  <c r="AC14" i="33"/>
  <c r="AB14" i="33"/>
  <c r="AC13" i="33"/>
  <c r="AB13" i="33"/>
  <c r="AC12" i="33"/>
  <c r="AB12" i="33"/>
  <c r="AA12" i="33"/>
  <c r="AC11" i="33"/>
  <c r="AB11" i="33"/>
  <c r="AA11" i="33"/>
  <c r="AC10" i="33"/>
  <c r="AB10" i="33"/>
  <c r="AA10" i="33"/>
  <c r="AC9" i="33"/>
  <c r="AB9" i="33"/>
  <c r="AA9" i="33"/>
  <c r="T9" i="33"/>
  <c r="AC8" i="33"/>
  <c r="AB8" i="33"/>
  <c r="AA8" i="33"/>
  <c r="AC7" i="33"/>
  <c r="AB7" i="33"/>
  <c r="AA7" i="33"/>
  <c r="AC6" i="33"/>
  <c r="AB6" i="33"/>
  <c r="AA6" i="33"/>
  <c r="V13" i="32"/>
  <c r="X13" i="32"/>
  <c r="V12" i="32"/>
  <c r="AA12" i="32"/>
  <c r="V11" i="32"/>
  <c r="Y11" i="32"/>
  <c r="V10" i="32"/>
  <c r="X10" i="32"/>
  <c r="V9" i="32"/>
  <c r="V8" i="32"/>
  <c r="Y8" i="32"/>
  <c r="V7" i="32"/>
  <c r="W7" i="32"/>
  <c r="V6" i="32"/>
  <c r="Y6" i="32"/>
  <c r="AC13" i="32"/>
  <c r="AB13" i="32"/>
  <c r="AA13" i="32"/>
  <c r="Z13" i="32"/>
  <c r="AC12" i="32"/>
  <c r="AB12" i="32"/>
  <c r="Z12" i="32"/>
  <c r="AC11" i="32"/>
  <c r="AB11" i="32"/>
  <c r="Z11" i="32"/>
  <c r="AC10" i="32"/>
  <c r="AB10" i="32"/>
  <c r="AA10" i="32"/>
  <c r="Z10" i="32"/>
  <c r="AC9" i="32"/>
  <c r="AB9" i="32"/>
  <c r="AA9" i="32"/>
  <c r="Z9" i="32"/>
  <c r="AC8" i="32"/>
  <c r="AB8" i="32"/>
  <c r="AA8" i="32"/>
  <c r="Z8" i="32"/>
  <c r="AC7" i="32"/>
  <c r="AB7" i="32"/>
  <c r="AA7" i="32"/>
  <c r="Z7" i="32"/>
  <c r="AC6" i="32"/>
  <c r="AB6" i="32"/>
  <c r="AA6" i="32"/>
  <c r="Z6" i="32"/>
  <c r="S6" i="32"/>
  <c r="AA53" i="31"/>
  <c r="AB53" i="31"/>
  <c r="AB52" i="31"/>
  <c r="X52" i="31"/>
  <c r="Z52" i="31" s="1"/>
  <c r="AA52" i="31"/>
  <c r="U52" i="31"/>
  <c r="S52" i="31"/>
  <c r="AA51" i="31"/>
  <c r="X51" i="31"/>
  <c r="Z51" i="31" s="1"/>
  <c r="W51" i="31"/>
  <c r="AB51" i="31"/>
  <c r="S51" i="31"/>
  <c r="X50" i="31"/>
  <c r="Z50" i="31" s="1"/>
  <c r="X49" i="31"/>
  <c r="Z49" i="31" s="1"/>
  <c r="W49" i="31"/>
  <c r="AB48" i="31"/>
  <c r="AA48" i="31"/>
  <c r="W48" i="31"/>
  <c r="X48" i="31"/>
  <c r="Z48" i="31" s="1"/>
  <c r="S48" i="31"/>
  <c r="S47" i="31"/>
  <c r="AB46" i="31"/>
  <c r="AA46" i="31"/>
  <c r="X46" i="31"/>
  <c r="Z46" i="31" s="1"/>
  <c r="W46" i="31"/>
  <c r="U46" i="31"/>
  <c r="S46" i="31"/>
  <c r="AA45" i="31"/>
  <c r="AB45" i="31"/>
  <c r="AB44" i="31"/>
  <c r="X44" i="31"/>
  <c r="Z44" i="31" s="1"/>
  <c r="AA44" i="31"/>
  <c r="U44" i="31"/>
  <c r="S44" i="31"/>
  <c r="V43" i="31"/>
  <c r="AA43" i="31"/>
  <c r="X43" i="31"/>
  <c r="Z43" i="31" s="1"/>
  <c r="W43" i="31"/>
  <c r="AB43" i="31"/>
  <c r="S43" i="31"/>
  <c r="V42" i="31"/>
  <c r="X42" i="31"/>
  <c r="Z42" i="31" s="1"/>
  <c r="V41" i="31"/>
  <c r="X41" i="31"/>
  <c r="Z41" i="31" s="1"/>
  <c r="W41" i="31"/>
  <c r="V40" i="31"/>
  <c r="AB40" i="31"/>
  <c r="AA40" i="31"/>
  <c r="W40" i="31"/>
  <c r="X40" i="31"/>
  <c r="Z40" i="31" s="1"/>
  <c r="S40" i="31"/>
  <c r="U39" i="31"/>
  <c r="S39" i="31"/>
  <c r="AB38" i="31"/>
  <c r="AA38" i="31"/>
  <c r="X38" i="31"/>
  <c r="Z38" i="31" s="1"/>
  <c r="W38" i="31"/>
  <c r="U38" i="31"/>
  <c r="S38" i="31"/>
  <c r="V37" i="31"/>
  <c r="AA37" i="31"/>
  <c r="AB37" i="31"/>
  <c r="V36" i="31"/>
  <c r="AB36" i="31"/>
  <c r="X36" i="31"/>
  <c r="Z36" i="31" s="1"/>
  <c r="AA36" i="31"/>
  <c r="S36" i="31"/>
  <c r="V35" i="31"/>
  <c r="AA35" i="31"/>
  <c r="X35" i="31"/>
  <c r="Z35" i="31" s="1"/>
  <c r="W35" i="31"/>
  <c r="AB35" i="31"/>
  <c r="S35" i="31"/>
  <c r="V34" i="31"/>
  <c r="W34" i="31"/>
  <c r="X34" i="31"/>
  <c r="Z34" i="31" s="1"/>
  <c r="V33" i="31"/>
  <c r="X33" i="31"/>
  <c r="Z33" i="31" s="1"/>
  <c r="W33" i="31"/>
  <c r="AA32" i="31"/>
  <c r="W32" i="31"/>
  <c r="AB32" i="31"/>
  <c r="U32" i="31"/>
  <c r="S32" i="31"/>
  <c r="U31" i="31"/>
  <c r="S31" i="31"/>
  <c r="AB30" i="31"/>
  <c r="AA30" i="31"/>
  <c r="X30" i="31"/>
  <c r="Z30" i="31" s="1"/>
  <c r="W30" i="31"/>
  <c r="U30" i="31"/>
  <c r="S30" i="31"/>
  <c r="V29" i="31"/>
  <c r="AA29" i="31"/>
  <c r="AB29" i="31"/>
  <c r="V28" i="31"/>
  <c r="AB28" i="31"/>
  <c r="X28" i="31"/>
  <c r="Z28" i="31" s="1"/>
  <c r="AA28" i="31"/>
  <c r="S28" i="31"/>
  <c r="V27" i="31"/>
  <c r="AA27" i="31"/>
  <c r="X27" i="31"/>
  <c r="Z27" i="31" s="1"/>
  <c r="W27" i="31"/>
  <c r="AB27" i="31"/>
  <c r="S27" i="31"/>
  <c r="V26" i="31"/>
  <c r="W26" i="31"/>
  <c r="X26" i="31"/>
  <c r="Z26" i="31" s="1"/>
  <c r="V25" i="31"/>
  <c r="X25" i="31"/>
  <c r="Z25" i="31" s="1"/>
  <c r="W25" i="31"/>
  <c r="AA24" i="31"/>
  <c r="W24" i="31"/>
  <c r="AB24" i="31"/>
  <c r="U24" i="31"/>
  <c r="S24" i="31"/>
  <c r="U23" i="31"/>
  <c r="S23" i="31"/>
  <c r="AB22" i="31"/>
  <c r="AA22" i="31"/>
  <c r="X22" i="31"/>
  <c r="Z22" i="31" s="1"/>
  <c r="W22" i="31"/>
  <c r="U22" i="31"/>
  <c r="S22" i="31"/>
  <c r="V21" i="31"/>
  <c r="AA21" i="31"/>
  <c r="AB21" i="31"/>
  <c r="V20" i="31"/>
  <c r="AB20" i="31"/>
  <c r="X20" i="31"/>
  <c r="Z20" i="31" s="1"/>
  <c r="AA20" i="31"/>
  <c r="S20" i="31"/>
  <c r="V19" i="31"/>
  <c r="AA19" i="31"/>
  <c r="X19" i="31"/>
  <c r="Z19" i="31" s="1"/>
  <c r="W19" i="31"/>
  <c r="AB19" i="31"/>
  <c r="S19" i="31"/>
  <c r="W18" i="31"/>
  <c r="X18" i="31"/>
  <c r="Z18" i="31" s="1"/>
  <c r="V17" i="31"/>
  <c r="X17" i="31"/>
  <c r="Z17" i="31" s="1"/>
  <c r="W17" i="31"/>
  <c r="V16" i="31"/>
  <c r="AA16" i="31"/>
  <c r="W16" i="31"/>
  <c r="AB16" i="31"/>
  <c r="S16" i="31"/>
  <c r="V15" i="31"/>
  <c r="S15" i="31"/>
  <c r="AB14" i="31"/>
  <c r="AA14" i="31"/>
  <c r="X14" i="31"/>
  <c r="Z14" i="31" s="1"/>
  <c r="W14" i="31"/>
  <c r="U14" i="31"/>
  <c r="V13" i="31"/>
  <c r="Y13" i="31"/>
  <c r="V12" i="31"/>
  <c r="Y12" i="31"/>
  <c r="V11" i="31"/>
  <c r="Y11" i="31"/>
  <c r="V10" i="31"/>
  <c r="W10" i="31"/>
  <c r="V9" i="31"/>
  <c r="W9" i="31"/>
  <c r="V8" i="31"/>
  <c r="AA8" i="31"/>
  <c r="V7" i="31"/>
  <c r="W7" i="31"/>
  <c r="V6" i="31"/>
  <c r="W6" i="31"/>
  <c r="Y53" i="31"/>
  <c r="U53" i="31"/>
  <c r="T53" i="31"/>
  <c r="O52" i="31"/>
  <c r="Y51" i="31"/>
  <c r="U51" i="31"/>
  <c r="O51" i="31"/>
  <c r="Y49" i="31"/>
  <c r="U49" i="31"/>
  <c r="O49" i="31"/>
  <c r="Y48" i="31"/>
  <c r="U48" i="31"/>
  <c r="T48" i="31"/>
  <c r="Y46" i="31"/>
  <c r="O46" i="31"/>
  <c r="Y45" i="31"/>
  <c r="U45" i="31"/>
  <c r="T45" i="31"/>
  <c r="R45" i="31"/>
  <c r="O44" i="31"/>
  <c r="Y43" i="31"/>
  <c r="U43" i="31"/>
  <c r="T43" i="31"/>
  <c r="R43" i="31"/>
  <c r="O43" i="31"/>
  <c r="U42" i="31"/>
  <c r="Y41" i="31"/>
  <c r="U41" i="31"/>
  <c r="O41" i="31"/>
  <c r="Y40" i="31"/>
  <c r="U40" i="31"/>
  <c r="T40" i="31"/>
  <c r="R40" i="31"/>
  <c r="Y38" i="31"/>
  <c r="R38" i="31"/>
  <c r="O38" i="31"/>
  <c r="Y37" i="31"/>
  <c r="U37" i="31"/>
  <c r="T37" i="31"/>
  <c r="R37" i="31"/>
  <c r="O36" i="31"/>
  <c r="Y35" i="31"/>
  <c r="U35" i="31"/>
  <c r="T35" i="31"/>
  <c r="R35" i="31"/>
  <c r="O35" i="31"/>
  <c r="Y32" i="31"/>
  <c r="T32" i="31"/>
  <c r="R32" i="31"/>
  <c r="Y30" i="31"/>
  <c r="R30" i="31"/>
  <c r="O30" i="31"/>
  <c r="U29" i="31"/>
  <c r="T29" i="31"/>
  <c r="R29" i="31"/>
  <c r="U28" i="31"/>
  <c r="Y27" i="31"/>
  <c r="U27" i="31"/>
  <c r="T27" i="31"/>
  <c r="R27" i="31"/>
  <c r="O27" i="31"/>
  <c r="U26" i="31"/>
  <c r="T26" i="31"/>
  <c r="Y25" i="31"/>
  <c r="U25" i="31"/>
  <c r="O25" i="31"/>
  <c r="O24" i="31"/>
  <c r="Y22" i="31"/>
  <c r="T22" i="31"/>
  <c r="R22" i="31"/>
  <c r="Y21" i="31"/>
  <c r="R21" i="31"/>
  <c r="U21" i="31"/>
  <c r="T21" i="31"/>
  <c r="O21" i="31"/>
  <c r="Y20" i="31"/>
  <c r="R20" i="31"/>
  <c r="Y19" i="31"/>
  <c r="U19" i="31"/>
  <c r="Y18" i="31"/>
  <c r="T18" i="31"/>
  <c r="O17" i="31"/>
  <c r="R16" i="31"/>
  <c r="O16" i="31"/>
  <c r="Y14" i="31"/>
  <c r="T14" i="31"/>
  <c r="R14" i="31"/>
  <c r="AC13" i="31"/>
  <c r="AC12" i="31"/>
  <c r="AC11" i="31"/>
  <c r="AC10" i="31"/>
  <c r="AC9" i="31"/>
  <c r="AC8" i="31"/>
  <c r="AC7" i="31"/>
  <c r="AC6" i="31"/>
  <c r="AA6" i="31"/>
  <c r="AC43" i="29"/>
  <c r="AB43" i="29"/>
  <c r="Z43" i="29"/>
  <c r="AC42" i="29"/>
  <c r="AB42" i="29"/>
  <c r="Z42" i="29"/>
  <c r="AC41" i="29"/>
  <c r="AB41" i="29"/>
  <c r="AA41" i="29"/>
  <c r="Z41" i="29"/>
  <c r="AC40" i="29"/>
  <c r="AB40" i="29"/>
  <c r="AA40" i="29"/>
  <c r="Z40" i="29"/>
  <c r="AC39" i="29"/>
  <c r="AB39" i="29"/>
  <c r="AA39" i="29"/>
  <c r="Z39" i="29"/>
  <c r="AC38" i="29"/>
  <c r="AB38" i="29"/>
  <c r="AA38" i="29"/>
  <c r="Z38" i="29"/>
  <c r="AC37" i="29"/>
  <c r="AB37" i="29"/>
  <c r="AA37" i="29"/>
  <c r="Z37" i="29"/>
  <c r="AC36" i="29"/>
  <c r="AB36" i="29"/>
  <c r="AA36" i="29"/>
  <c r="Z36" i="29"/>
  <c r="AC35" i="29"/>
  <c r="AB35" i="29"/>
  <c r="AA35" i="29"/>
  <c r="Z35" i="29"/>
  <c r="AC34" i="29"/>
  <c r="AB34" i="29"/>
  <c r="AA34" i="29"/>
  <c r="Z34" i="29"/>
  <c r="AC33" i="29"/>
  <c r="AB33" i="29"/>
  <c r="AA33" i="29"/>
  <c r="Z33" i="29"/>
  <c r="AC32" i="29"/>
  <c r="AB32" i="29"/>
  <c r="AA32" i="29"/>
  <c r="Z32" i="29"/>
  <c r="AC31" i="29"/>
  <c r="AB31" i="29"/>
  <c r="AA31" i="29"/>
  <c r="Z31" i="29"/>
  <c r="AC30" i="29"/>
  <c r="AB30" i="29"/>
  <c r="AA30" i="29"/>
  <c r="Z30" i="29"/>
  <c r="AC29" i="29"/>
  <c r="AB29" i="29"/>
  <c r="AA29" i="29"/>
  <c r="Z29" i="29"/>
  <c r="AC28" i="29"/>
  <c r="AB28" i="29"/>
  <c r="AA28" i="29"/>
  <c r="Z28" i="29"/>
  <c r="AC27" i="29"/>
  <c r="AB27" i="29"/>
  <c r="AA27" i="29"/>
  <c r="Z27" i="29"/>
  <c r="AC26" i="29"/>
  <c r="AB26" i="29"/>
  <c r="AA26" i="29"/>
  <c r="Z26" i="29"/>
  <c r="AC25" i="29"/>
  <c r="AB25" i="29"/>
  <c r="AA25" i="29"/>
  <c r="Z25" i="29"/>
  <c r="AC24" i="29"/>
  <c r="AB24" i="29"/>
  <c r="AA24" i="29"/>
  <c r="Z24" i="29"/>
  <c r="AC23" i="29"/>
  <c r="AB23" i="29"/>
  <c r="AA23" i="29"/>
  <c r="Z23" i="29"/>
  <c r="AC22" i="29"/>
  <c r="AB22" i="29"/>
  <c r="AA22" i="29"/>
  <c r="Z22" i="29"/>
  <c r="AC21" i="29"/>
  <c r="AB21" i="29"/>
  <c r="AA21" i="29"/>
  <c r="Z21" i="29"/>
  <c r="AC20" i="29"/>
  <c r="AB20" i="29"/>
  <c r="AA20" i="29"/>
  <c r="Z20" i="29"/>
  <c r="AC19" i="29"/>
  <c r="AB19" i="29"/>
  <c r="AA19" i="29"/>
  <c r="Z19" i="29"/>
  <c r="AC18" i="29"/>
  <c r="AB18" i="29"/>
  <c r="AA18" i="29"/>
  <c r="Z18" i="29"/>
  <c r="AC17" i="29"/>
  <c r="AB17" i="29"/>
  <c r="AA17" i="29"/>
  <c r="Z17" i="29"/>
  <c r="AC16" i="29"/>
  <c r="AB16" i="29"/>
  <c r="AA16" i="29"/>
  <c r="Z16" i="29"/>
  <c r="AC15" i="29"/>
  <c r="AB15" i="29"/>
  <c r="AA15" i="29"/>
  <c r="Z15" i="29"/>
  <c r="AC14" i="29"/>
  <c r="AB14" i="29"/>
  <c r="AA14" i="29"/>
  <c r="Z14" i="29"/>
  <c r="AC13" i="29"/>
  <c r="AB13" i="29"/>
  <c r="AA13" i="29"/>
  <c r="Z13" i="29"/>
  <c r="AC12" i="29"/>
  <c r="AB12" i="29"/>
  <c r="AA12" i="29"/>
  <c r="Z12" i="29"/>
  <c r="AC11" i="29"/>
  <c r="AB11" i="29"/>
  <c r="AA11" i="29"/>
  <c r="Z11" i="29"/>
  <c r="AC10" i="29"/>
  <c r="AB10" i="29"/>
  <c r="AA10" i="29"/>
  <c r="Z10" i="29"/>
  <c r="AC9" i="29"/>
  <c r="AB9" i="29"/>
  <c r="AA9" i="29"/>
  <c r="Z9" i="29"/>
  <c r="AC8" i="29"/>
  <c r="AB8" i="29"/>
  <c r="AA8" i="29"/>
  <c r="Z8" i="29"/>
  <c r="AC7" i="29"/>
  <c r="AB7" i="29"/>
  <c r="AA7" i="29"/>
  <c r="Z7" i="29"/>
  <c r="AC6" i="29"/>
  <c r="AB6" i="29"/>
  <c r="AA6" i="29"/>
  <c r="Z6" i="29"/>
  <c r="J10" i="30"/>
  <c r="S43" i="29"/>
  <c r="V41" i="29"/>
  <c r="S41" i="29"/>
  <c r="V40" i="29"/>
  <c r="Y40" i="29"/>
  <c r="V39" i="29"/>
  <c r="X38" i="29"/>
  <c r="V37" i="29"/>
  <c r="U37" i="29"/>
  <c r="V36" i="29"/>
  <c r="Y36" i="29"/>
  <c r="V35" i="29"/>
  <c r="Y35" i="29"/>
  <c r="V34" i="29"/>
  <c r="V33" i="29"/>
  <c r="O33" i="29"/>
  <c r="Q33" i="29"/>
  <c r="W31" i="29"/>
  <c r="W30" i="29"/>
  <c r="W29" i="29"/>
  <c r="T13" i="31"/>
  <c r="U13" i="31"/>
  <c r="Z9" i="31"/>
  <c r="S12" i="33"/>
  <c r="X13" i="31"/>
  <c r="AB10" i="31"/>
  <c r="T10" i="31"/>
  <c r="U10" i="31"/>
  <c r="X10" i="31"/>
  <c r="X6" i="31"/>
  <c r="S8" i="33"/>
  <c r="R12" i="33"/>
  <c r="Y6" i="31"/>
  <c r="AB6" i="31"/>
  <c r="R6" i="32"/>
  <c r="Y11" i="33"/>
  <c r="T6" i="31"/>
  <c r="U6" i="31"/>
  <c r="T9" i="31"/>
  <c r="U9" i="31"/>
  <c r="X9" i="31"/>
  <c r="X12" i="32"/>
  <c r="Y9" i="31"/>
  <c r="AA9" i="31"/>
  <c r="O9" i="31"/>
  <c r="AB9" i="31"/>
  <c r="S9" i="31"/>
  <c r="Y12" i="32"/>
  <c r="W13" i="31"/>
  <c r="S13" i="33"/>
  <c r="U11" i="31"/>
  <c r="Y10" i="31"/>
  <c r="T8" i="33"/>
  <c r="U33" i="29"/>
  <c r="Z9" i="33"/>
  <c r="Y37" i="29"/>
  <c r="X33" i="29"/>
  <c r="W40" i="29"/>
  <c r="S33" i="29"/>
  <c r="T41" i="29"/>
  <c r="T6" i="33"/>
  <c r="T29" i="29"/>
  <c r="Y30" i="29"/>
  <c r="X41" i="29"/>
  <c r="S29" i="29"/>
  <c r="T30" i="29"/>
  <c r="U41" i="29"/>
  <c r="X29" i="29"/>
  <c r="W41" i="29"/>
  <c r="Z11" i="33"/>
  <c r="S30" i="29"/>
  <c r="X30" i="29"/>
  <c r="O29" i="29"/>
  <c r="O7" i="29"/>
  <c r="O6" i="29"/>
  <c r="P6" i="29"/>
  <c r="P7" i="29"/>
  <c r="P8" i="29"/>
  <c r="P9" i="29"/>
  <c r="P10" i="29"/>
  <c r="O11" i="29"/>
  <c r="P11" i="29"/>
  <c r="P12" i="29"/>
  <c r="P13" i="29"/>
  <c r="P14" i="29"/>
  <c r="P15" i="29"/>
  <c r="O16" i="29"/>
  <c r="P16" i="29"/>
  <c r="P17" i="29"/>
  <c r="P18" i="29"/>
  <c r="P19" i="29"/>
  <c r="P20" i="29"/>
  <c r="O21" i="29"/>
  <c r="P21" i="29"/>
  <c r="P22" i="29"/>
  <c r="P23" i="29"/>
  <c r="P24" i="29"/>
  <c r="O25" i="29"/>
  <c r="P25" i="29"/>
  <c r="O26" i="29"/>
  <c r="P26" i="29"/>
  <c r="O27" i="29"/>
  <c r="P27" i="29"/>
  <c r="O28" i="29"/>
  <c r="P28" i="29"/>
  <c r="P29" i="29"/>
  <c r="Q29" i="29"/>
  <c r="O10" i="32"/>
  <c r="O11" i="33"/>
  <c r="U10" i="32"/>
  <c r="O8" i="33"/>
  <c r="S11" i="33"/>
  <c r="T38" i="29"/>
  <c r="S38" i="29"/>
  <c r="T37" i="29"/>
  <c r="Y41" i="29"/>
  <c r="X37" i="29"/>
  <c r="O38" i="29"/>
  <c r="O31" i="29"/>
  <c r="O30" i="29"/>
  <c r="P30" i="29"/>
  <c r="P31" i="29"/>
  <c r="O32" i="29"/>
  <c r="P32" i="29"/>
  <c r="P33" i="29"/>
  <c r="P34" i="29"/>
  <c r="P35" i="29"/>
  <c r="P36" i="29"/>
  <c r="P37" i="29"/>
  <c r="P38" i="29"/>
  <c r="Q38" i="29"/>
  <c r="S40" i="29"/>
  <c r="W37" i="29"/>
  <c r="O41" i="29"/>
  <c r="Q41" i="29"/>
  <c r="X6" i="33"/>
  <c r="Y38" i="29"/>
  <c r="W38" i="29"/>
  <c r="V8" i="33"/>
  <c r="R10" i="33"/>
  <c r="Y13" i="33"/>
  <c r="W8" i="33"/>
  <c r="X13" i="33"/>
  <c r="X9" i="32"/>
  <c r="Y9" i="32"/>
  <c r="T9" i="32"/>
  <c r="W9" i="32"/>
  <c r="R9" i="32"/>
  <c r="X32" i="29"/>
  <c r="Y32" i="29"/>
  <c r="S32" i="29"/>
  <c r="T32" i="29"/>
  <c r="Q32" i="29"/>
  <c r="O40" i="29"/>
  <c r="Q40" i="29"/>
  <c r="X40" i="29"/>
  <c r="U40" i="29"/>
  <c r="S36" i="29"/>
  <c r="T31" i="29"/>
  <c r="W28" i="29"/>
  <c r="O39" i="29"/>
  <c r="Q39" i="29"/>
  <c r="X39" i="29"/>
  <c r="Y39" i="29"/>
  <c r="T39" i="29"/>
  <c r="X26" i="29"/>
  <c r="Q26" i="29"/>
  <c r="Y34" i="29"/>
  <c r="O34" i="29"/>
  <c r="Q34" i="29"/>
  <c r="X42" i="29"/>
  <c r="Y42" i="29"/>
  <c r="S42" i="29"/>
  <c r="T42" i="29"/>
  <c r="W42" i="29"/>
  <c r="AA42" i="29"/>
  <c r="O42" i="29"/>
  <c r="P39" i="29"/>
  <c r="P40" i="29"/>
  <c r="P41" i="29"/>
  <c r="P42" i="29"/>
  <c r="Q42" i="29"/>
  <c r="S39" i="29"/>
  <c r="T40" i="29"/>
  <c r="W32" i="29"/>
  <c r="W39" i="29"/>
  <c r="X27" i="29"/>
  <c r="Q27" i="29"/>
  <c r="T43" i="29"/>
  <c r="W43" i="29"/>
  <c r="Y43" i="29"/>
  <c r="AA43" i="29"/>
  <c r="O43" i="29"/>
  <c r="P43" i="29"/>
  <c r="Q43" i="29"/>
  <c r="O35" i="29"/>
  <c r="Q35" i="29"/>
  <c r="X31" i="29"/>
  <c r="S31" i="29"/>
  <c r="Q31" i="29"/>
  <c r="U39" i="29"/>
  <c r="Z14" i="33"/>
  <c r="X14" i="33"/>
  <c r="T14" i="33"/>
  <c r="U36" i="29"/>
  <c r="O36" i="29"/>
  <c r="Q36" i="29"/>
  <c r="X36" i="29"/>
  <c r="O9" i="32"/>
  <c r="Q28" i="29"/>
  <c r="X28" i="29"/>
  <c r="Y28" i="29"/>
  <c r="T28" i="29"/>
  <c r="S28" i="29"/>
  <c r="T36" i="29"/>
  <c r="Y31" i="29"/>
  <c r="W36" i="29"/>
  <c r="X43" i="29"/>
  <c r="S37" i="29"/>
  <c r="Y29" i="29"/>
  <c r="W33" i="29"/>
  <c r="Q30" i="29"/>
  <c r="U6" i="32"/>
  <c r="T10" i="32"/>
  <c r="X12" i="33"/>
  <c r="Z13" i="33"/>
  <c r="O37" i="29"/>
  <c r="Q37" i="29"/>
  <c r="W11" i="31"/>
  <c r="X6" i="32"/>
  <c r="S10" i="32"/>
  <c r="W10" i="32"/>
  <c r="S7" i="33"/>
  <c r="T10" i="33"/>
  <c r="V10" i="33"/>
  <c r="X7" i="33"/>
  <c r="Z6" i="33"/>
  <c r="Y10" i="33"/>
  <c r="X8" i="33"/>
  <c r="Z7" i="33"/>
  <c r="Y33" i="29"/>
  <c r="W6" i="32"/>
  <c r="W13" i="33"/>
  <c r="V11" i="33"/>
  <c r="X9" i="33"/>
  <c r="T33" i="29"/>
  <c r="X10" i="33"/>
  <c r="T12" i="33"/>
  <c r="X11" i="33"/>
  <c r="O6" i="34"/>
  <c r="Q6" i="34"/>
  <c r="T7" i="34"/>
  <c r="Y8" i="34"/>
  <c r="V9" i="34"/>
  <c r="O9" i="34"/>
  <c r="Q9" i="34"/>
  <c r="V7" i="34"/>
  <c r="X9" i="34"/>
  <c r="P4" i="34"/>
  <c r="P5" i="34"/>
  <c r="P6" i="34"/>
  <c r="O7" i="34"/>
  <c r="P7" i="34"/>
  <c r="P8" i="34"/>
  <c r="P9" i="34"/>
  <c r="P10" i="34"/>
  <c r="X4" i="34"/>
  <c r="Q7" i="34"/>
  <c r="T8" i="34"/>
  <c r="Y9" i="34"/>
  <c r="X7" i="34"/>
  <c r="O10" i="34"/>
  <c r="Q10" i="34"/>
  <c r="W10" i="34"/>
  <c r="Y7" i="34"/>
  <c r="R8" i="33"/>
  <c r="W11" i="33"/>
  <c r="AA13" i="33"/>
  <c r="W10" i="33"/>
  <c r="V14" i="33"/>
  <c r="S10" i="33"/>
  <c r="V12" i="33"/>
  <c r="O6" i="33"/>
  <c r="W6" i="33"/>
  <c r="T7" i="33"/>
  <c r="Y8" i="33"/>
  <c r="V9" i="33"/>
  <c r="R13" i="33"/>
  <c r="O14" i="33"/>
  <c r="W14" i="33"/>
  <c r="Y6" i="33"/>
  <c r="R11" i="33"/>
  <c r="O12" i="33"/>
  <c r="W12" i="33"/>
  <c r="T13" i="33"/>
  <c r="Y14" i="33"/>
  <c r="O9" i="33"/>
  <c r="R6" i="33"/>
  <c r="O7" i="33"/>
  <c r="W7" i="33"/>
  <c r="Y9" i="33"/>
  <c r="R14" i="33"/>
  <c r="S6" i="33"/>
  <c r="R9" i="33"/>
  <c r="O10" i="33"/>
  <c r="Y12" i="33"/>
  <c r="S14" i="33"/>
  <c r="Y7" i="33"/>
  <c r="S9" i="33"/>
  <c r="O13" i="33"/>
  <c r="R7" i="33"/>
  <c r="O8" i="32"/>
  <c r="W8" i="32"/>
  <c r="R8" i="32"/>
  <c r="AA11" i="32"/>
  <c r="S8" i="32"/>
  <c r="X7" i="32"/>
  <c r="T8" i="32"/>
  <c r="R11" i="32"/>
  <c r="W12" i="32"/>
  <c r="U8" i="32"/>
  <c r="T11" i="32"/>
  <c r="Y10" i="32"/>
  <c r="U13" i="32"/>
  <c r="T6" i="32"/>
  <c r="Y7" i="32"/>
  <c r="S9" i="32"/>
  <c r="U11" i="32"/>
  <c r="R12" i="32"/>
  <c r="O13" i="32"/>
  <c r="W13" i="32"/>
  <c r="R7" i="32"/>
  <c r="S12" i="32"/>
  <c r="S7" i="32"/>
  <c r="X8" i="32"/>
  <c r="U9" i="32"/>
  <c r="R10" i="32"/>
  <c r="O11" i="32"/>
  <c r="T12" i="32"/>
  <c r="Y13" i="32"/>
  <c r="O6" i="32"/>
  <c r="T7" i="32"/>
  <c r="X11" i="32"/>
  <c r="U12" i="32"/>
  <c r="R13" i="32"/>
  <c r="U7" i="32"/>
  <c r="S13" i="32"/>
  <c r="O12" i="32"/>
  <c r="T13" i="32"/>
  <c r="O7" i="32"/>
  <c r="P6" i="32"/>
  <c r="P7" i="32"/>
  <c r="Q7" i="32"/>
  <c r="S11" i="32"/>
  <c r="AA13" i="31"/>
  <c r="R15" i="31"/>
  <c r="T17" i="31"/>
  <c r="W8" i="31"/>
  <c r="W15" i="31"/>
  <c r="X16" i="31"/>
  <c r="Z16" i="31" s="1"/>
  <c r="AA18" i="31"/>
  <c r="S21" i="31"/>
  <c r="W23" i="31"/>
  <c r="X24" i="31"/>
  <c r="Z24" i="31" s="1"/>
  <c r="AA26" i="31"/>
  <c r="S29" i="31"/>
  <c r="W31" i="31"/>
  <c r="X32" i="31"/>
  <c r="Z32" i="31" s="1"/>
  <c r="AA34" i="31"/>
  <c r="S37" i="31"/>
  <c r="W39" i="31"/>
  <c r="AA42" i="31"/>
  <c r="S45" i="31"/>
  <c r="W47" i="31"/>
  <c r="AA50" i="31"/>
  <c r="S53" i="31"/>
  <c r="U7" i="31"/>
  <c r="AB13" i="31"/>
  <c r="U15" i="31"/>
  <c r="U17" i="31"/>
  <c r="O39" i="31"/>
  <c r="O47" i="31"/>
  <c r="X15" i="31"/>
  <c r="Z15" i="31" s="1"/>
  <c r="AA17" i="31"/>
  <c r="AB18" i="31"/>
  <c r="X23" i="31"/>
  <c r="Z23" i="31" s="1"/>
  <c r="AA25" i="31"/>
  <c r="AB26" i="31"/>
  <c r="X31" i="31"/>
  <c r="Z31" i="31" s="1"/>
  <c r="AA33" i="31"/>
  <c r="AB34" i="31"/>
  <c r="X39" i="31"/>
  <c r="Z39" i="31" s="1"/>
  <c r="AA41" i="31"/>
  <c r="AB42" i="31"/>
  <c r="X47" i="31"/>
  <c r="Z47" i="31" s="1"/>
  <c r="AA49" i="31"/>
  <c r="AB50" i="31"/>
  <c r="Y7" i="31"/>
  <c r="O13" i="31"/>
  <c r="Y15" i="31"/>
  <c r="R17" i="31"/>
  <c r="R23" i="31"/>
  <c r="R25" i="31"/>
  <c r="U47" i="31"/>
  <c r="W12" i="31"/>
  <c r="AB17" i="31"/>
  <c r="W21" i="31"/>
  <c r="AB25" i="31"/>
  <c r="W29" i="31"/>
  <c r="AB33" i="31"/>
  <c r="W37" i="31"/>
  <c r="AB41" i="31"/>
  <c r="W45" i="31"/>
  <c r="AB49" i="31"/>
  <c r="W53" i="31"/>
  <c r="Z7" i="31"/>
  <c r="S13" i="31"/>
  <c r="Y17" i="31"/>
  <c r="T25" i="31"/>
  <c r="O31" i="31"/>
  <c r="AA15" i="31"/>
  <c r="S18" i="31"/>
  <c r="W20" i="31"/>
  <c r="X21" i="31"/>
  <c r="Z21" i="31" s="1"/>
  <c r="AA23" i="31"/>
  <c r="S26" i="31"/>
  <c r="W28" i="31"/>
  <c r="X29" i="31"/>
  <c r="Z29" i="31" s="1"/>
  <c r="AA31" i="31"/>
  <c r="S34" i="31"/>
  <c r="W36" i="31"/>
  <c r="X37" i="31"/>
  <c r="Z37" i="31" s="1"/>
  <c r="AA39" i="31"/>
  <c r="S42" i="31"/>
  <c r="W44" i="31"/>
  <c r="X45" i="31"/>
  <c r="Z45" i="31" s="1"/>
  <c r="AA47" i="31"/>
  <c r="U50" i="31"/>
  <c r="S50" i="31"/>
  <c r="W52" i="31"/>
  <c r="X53" i="31"/>
  <c r="Z53" i="31" s="1"/>
  <c r="Y23" i="31"/>
  <c r="T31" i="31"/>
  <c r="AB15" i="31"/>
  <c r="S17" i="31"/>
  <c r="AB23" i="31"/>
  <c r="S25" i="31"/>
  <c r="AB31" i="31"/>
  <c r="S33" i="31"/>
  <c r="AB39" i="31"/>
  <c r="S41" i="31"/>
  <c r="AB47" i="31"/>
  <c r="S49" i="31"/>
  <c r="O8" i="31"/>
  <c r="W42" i="31"/>
  <c r="W50" i="31"/>
  <c r="Z13" i="31"/>
  <c r="U18" i="31"/>
  <c r="AB11" i="31"/>
  <c r="T11" i="31"/>
  <c r="AA11" i="31"/>
  <c r="S11" i="31"/>
  <c r="Z11" i="31"/>
  <c r="R11" i="31"/>
  <c r="X11" i="31"/>
  <c r="O11" i="31"/>
  <c r="X12" i="31"/>
  <c r="O12" i="31"/>
  <c r="U12" i="31"/>
  <c r="S12" i="31"/>
  <c r="AB12" i="31"/>
  <c r="T12" i="31"/>
  <c r="R34" i="31"/>
  <c r="Y34" i="31"/>
  <c r="O34" i="31"/>
  <c r="U34" i="31"/>
  <c r="T34" i="31"/>
  <c r="U8" i="31"/>
  <c r="AB8" i="31"/>
  <c r="T8" i="31"/>
  <c r="Y8" i="31"/>
  <c r="X8" i="31"/>
  <c r="Z12" i="31"/>
  <c r="U33" i="31"/>
  <c r="T33" i="31"/>
  <c r="R33" i="31"/>
  <c r="O33" i="31"/>
  <c r="Y33" i="31"/>
  <c r="R7" i="31"/>
  <c r="AA12" i="31"/>
  <c r="T50" i="31"/>
  <c r="Y50" i="31"/>
  <c r="O50" i="31"/>
  <c r="Z8" i="31"/>
  <c r="U16" i="31"/>
  <c r="T16" i="31"/>
  <c r="Y16" i="31"/>
  <c r="T19" i="31"/>
  <c r="R19" i="31"/>
  <c r="O19" i="31"/>
  <c r="X7" i="31"/>
  <c r="O7" i="31"/>
  <c r="AB7" i="31"/>
  <c r="T7" i="31"/>
  <c r="AA7" i="31"/>
  <c r="S7" i="31"/>
  <c r="R10" i="31"/>
  <c r="Z10" i="31"/>
  <c r="R18" i="31"/>
  <c r="T20" i="31"/>
  <c r="R26" i="31"/>
  <c r="Y29" i="31"/>
  <c r="O29" i="31"/>
  <c r="O6" i="31"/>
  <c r="S10" i="31"/>
  <c r="AA10" i="31"/>
  <c r="R13" i="31"/>
  <c r="O14" i="31"/>
  <c r="T15" i="31"/>
  <c r="U20" i="31"/>
  <c r="O22" i="31"/>
  <c r="T23" i="31"/>
  <c r="Y24" i="31"/>
  <c r="O28" i="31"/>
  <c r="Y28" i="31"/>
  <c r="R31" i="31"/>
  <c r="Y31" i="31"/>
  <c r="R24" i="31"/>
  <c r="O20" i="31"/>
  <c r="U36" i="31"/>
  <c r="T36" i="31"/>
  <c r="R36" i="31"/>
  <c r="Y36" i="31"/>
  <c r="T39" i="31"/>
  <c r="R39" i="31"/>
  <c r="Y39" i="31"/>
  <c r="R6" i="31"/>
  <c r="Z6" i="31"/>
  <c r="O15" i="31"/>
  <c r="O23" i="31"/>
  <c r="T24" i="31"/>
  <c r="Y26" i="31"/>
  <c r="T28" i="31"/>
  <c r="S6" i="31"/>
  <c r="R9" i="31"/>
  <c r="O10" i="31"/>
  <c r="O18" i="31"/>
  <c r="O26" i="31"/>
  <c r="Q26" i="31"/>
  <c r="T42" i="31"/>
  <c r="R42" i="31"/>
  <c r="Y42" i="31"/>
  <c r="O42" i="31"/>
  <c r="R28" i="31"/>
  <c r="R41" i="31"/>
  <c r="Y44" i="31"/>
  <c r="T51" i="31"/>
  <c r="Y52" i="31"/>
  <c r="T30" i="31"/>
  <c r="O37" i="31"/>
  <c r="T38" i="31"/>
  <c r="R44" i="31"/>
  <c r="O45" i="31"/>
  <c r="T46" i="31"/>
  <c r="Y47" i="31"/>
  <c r="O53" i="31"/>
  <c r="O32" i="31"/>
  <c r="O40" i="31"/>
  <c r="T41" i="31"/>
  <c r="O48" i="31"/>
  <c r="T49" i="31"/>
  <c r="T44" i="31"/>
  <c r="T52" i="31"/>
  <c r="T47" i="31"/>
  <c r="W26" i="29"/>
  <c r="W27" i="29"/>
  <c r="W34" i="29"/>
  <c r="X34" i="29"/>
  <c r="X35" i="29"/>
  <c r="W35" i="29"/>
  <c r="T35" i="29"/>
  <c r="T34" i="29"/>
  <c r="Y27" i="29"/>
  <c r="T27" i="29"/>
  <c r="T26" i="29"/>
  <c r="Y26" i="29"/>
  <c r="C10" i="34"/>
  <c r="F9" i="34"/>
  <c r="A8" i="34"/>
  <c r="D7" i="34"/>
  <c r="G6" i="34"/>
  <c r="B5" i="34"/>
  <c r="E4" i="34"/>
  <c r="F4" i="34"/>
  <c r="B10" i="34"/>
  <c r="E9" i="34"/>
  <c r="H8" i="34"/>
  <c r="C7" i="34"/>
  <c r="F6" i="34"/>
  <c r="A5" i="34"/>
  <c r="D4" i="34"/>
  <c r="B8" i="34"/>
  <c r="E7" i="34"/>
  <c r="H6" i="34"/>
  <c r="A10" i="34"/>
  <c r="D9" i="34"/>
  <c r="G8" i="34"/>
  <c r="B7" i="34"/>
  <c r="E6" i="34"/>
  <c r="H5" i="34"/>
  <c r="C4" i="34"/>
  <c r="G9" i="34"/>
  <c r="H10" i="34"/>
  <c r="C9" i="34"/>
  <c r="F8" i="34"/>
  <c r="A7" i="34"/>
  <c r="D6" i="34"/>
  <c r="G5" i="34"/>
  <c r="B4" i="34"/>
  <c r="C5" i="34"/>
  <c r="G10" i="34"/>
  <c r="B9" i="34"/>
  <c r="E8" i="34"/>
  <c r="H7" i="34"/>
  <c r="C6" i="34"/>
  <c r="F5" i="34"/>
  <c r="A4" i="34"/>
  <c r="F10" i="34"/>
  <c r="A9" i="34"/>
  <c r="D8" i="34"/>
  <c r="G7" i="34"/>
  <c r="B6" i="34"/>
  <c r="E5" i="34"/>
  <c r="H4" i="34"/>
  <c r="D10" i="34"/>
  <c r="E10" i="34"/>
  <c r="H9" i="34"/>
  <c r="C8" i="34"/>
  <c r="F7" i="34"/>
  <c r="A6" i="34"/>
  <c r="D5" i="34"/>
  <c r="G4" i="34"/>
  <c r="P6" i="33"/>
  <c r="P7" i="33"/>
  <c r="P8" i="33"/>
  <c r="Q6" i="33"/>
  <c r="Q7" i="33"/>
  <c r="P8" i="32"/>
  <c r="P6" i="31"/>
  <c r="P7" i="31"/>
  <c r="P8" i="31"/>
  <c r="S8" i="31"/>
  <c r="R8" i="31"/>
  <c r="R12" i="31"/>
  <c r="P9" i="33"/>
  <c r="Q8" i="33"/>
  <c r="P9" i="32"/>
  <c r="Q8" i="32"/>
  <c r="Q6" i="32"/>
  <c r="Q6" i="31"/>
  <c r="P9" i="31"/>
  <c r="Q8" i="31"/>
  <c r="Q7" i="31"/>
  <c r="Q31" i="9"/>
  <c r="Q25" i="9"/>
  <c r="Q24" i="9"/>
  <c r="P10" i="33"/>
  <c r="Q9" i="33"/>
  <c r="P10" i="32"/>
  <c r="Q9" i="32"/>
  <c r="P10" i="31"/>
  <c r="Q9" i="31"/>
  <c r="BW714" i="6"/>
  <c r="P11" i="33"/>
  <c r="Q10" i="33"/>
  <c r="P11" i="32"/>
  <c r="Q10" i="32"/>
  <c r="P11" i="31"/>
  <c r="Q10" i="31"/>
  <c r="BB11" i="6"/>
  <c r="BB12" i="6"/>
  <c r="BA17" i="18" s="1"/>
  <c r="BB14" i="6"/>
  <c r="BB15" i="6"/>
  <c r="BB10" i="6"/>
  <c r="AL10" i="6" s="1"/>
  <c r="AN10" i="6" s="1"/>
  <c r="BA12" i="6"/>
  <c r="BA13" i="6"/>
  <c r="BA14" i="6"/>
  <c r="BP1010" i="6"/>
  <c r="BP987" i="6"/>
  <c r="BP988" i="6"/>
  <c r="BP989" i="6"/>
  <c r="BP990" i="6"/>
  <c r="BP991" i="6"/>
  <c r="BP992" i="6"/>
  <c r="BP993" i="6"/>
  <c r="BP994" i="6"/>
  <c r="BP995" i="6"/>
  <c r="BP996" i="6"/>
  <c r="BP997" i="6"/>
  <c r="BP998" i="6"/>
  <c r="BP999" i="6"/>
  <c r="BP1000" i="6"/>
  <c r="BP1001" i="6"/>
  <c r="BP1002" i="6"/>
  <c r="BP1003" i="6"/>
  <c r="BP1004" i="6"/>
  <c r="BP1005" i="6"/>
  <c r="BP1006" i="6"/>
  <c r="BP1007" i="6"/>
  <c r="BP1008" i="6"/>
  <c r="BP1009" i="6"/>
  <c r="BP368" i="6"/>
  <c r="BP397" i="6"/>
  <c r="BP456" i="6"/>
  <c r="BP457" i="6"/>
  <c r="BP458" i="6"/>
  <c r="BP460" i="6"/>
  <c r="BP461" i="6"/>
  <c r="BP462" i="6"/>
  <c r="BP463" i="6"/>
  <c r="BP464" i="6"/>
  <c r="BP489" i="6"/>
  <c r="BP494" i="6"/>
  <c r="BP498" i="6"/>
  <c r="BP499" i="6"/>
  <c r="BP583" i="6"/>
  <c r="BP597" i="6"/>
  <c r="BP659" i="6"/>
  <c r="BP757" i="6"/>
  <c r="BP758" i="6"/>
  <c r="BP761" i="6"/>
  <c r="BP823" i="6"/>
  <c r="BP827" i="6"/>
  <c r="BP828" i="6"/>
  <c r="BP829" i="6"/>
  <c r="BP830" i="6"/>
  <c r="BP831" i="6"/>
  <c r="BP832" i="6"/>
  <c r="BP833" i="6"/>
  <c r="BP840" i="6"/>
  <c r="BP896" i="6"/>
  <c r="BP906" i="6"/>
  <c r="BP907" i="6"/>
  <c r="BP924" i="6"/>
  <c r="BP925" i="6"/>
  <c r="BP951" i="6"/>
  <c r="BP956" i="6"/>
  <c r="BP958" i="6"/>
  <c r="BP961" i="6"/>
  <c r="BP968" i="6"/>
  <c r="BP970" i="6"/>
  <c r="BP971" i="6"/>
  <c r="BP972" i="6"/>
  <c r="BP973" i="6"/>
  <c r="BP974" i="6"/>
  <c r="BP981" i="6"/>
  <c r="BP982" i="6"/>
  <c r="BP983" i="6"/>
  <c r="BP984" i="6"/>
  <c r="BP985" i="6"/>
  <c r="BP986" i="6"/>
  <c r="BW628" i="6"/>
  <c r="BX628" i="6"/>
  <c r="BW629" i="6"/>
  <c r="BX629" i="6"/>
  <c r="BX630" i="6"/>
  <c r="BX631" i="6"/>
  <c r="BX632" i="6"/>
  <c r="BX633" i="6"/>
  <c r="BX634" i="6"/>
  <c r="BX635" i="6"/>
  <c r="BX636" i="6"/>
  <c r="BX637" i="6"/>
  <c r="BX638" i="6"/>
  <c r="BX639" i="6"/>
  <c r="BX640" i="6"/>
  <c r="BX641" i="6"/>
  <c r="BX642" i="6"/>
  <c r="BX643" i="6"/>
  <c r="BX644" i="6"/>
  <c r="BX645" i="6"/>
  <c r="BX646" i="6"/>
  <c r="BX647" i="6"/>
  <c r="BX648" i="6"/>
  <c r="BX649" i="6"/>
  <c r="BX650" i="6"/>
  <c r="BX651" i="6"/>
  <c r="BX652" i="6"/>
  <c r="BX653" i="6"/>
  <c r="BX654" i="6"/>
  <c r="BW655" i="6"/>
  <c r="BX655" i="6"/>
  <c r="BX656" i="6"/>
  <c r="BX657" i="6"/>
  <c r="BX658" i="6"/>
  <c r="BX659" i="6"/>
  <c r="BW660" i="6"/>
  <c r="BX660" i="6"/>
  <c r="BX661" i="6"/>
  <c r="BW662" i="6"/>
  <c r="BX662" i="6"/>
  <c r="BX663" i="6"/>
  <c r="BX664" i="6"/>
  <c r="BW665" i="6"/>
  <c r="BX665" i="6"/>
  <c r="BX666" i="6"/>
  <c r="BX667" i="6"/>
  <c r="BX668" i="6"/>
  <c r="BX669" i="6"/>
  <c r="BX670" i="6"/>
  <c r="BX671" i="6"/>
  <c r="BW672" i="6"/>
  <c r="BX672" i="6"/>
  <c r="BX673" i="6"/>
  <c r="BW674" i="6"/>
  <c r="BX674" i="6"/>
  <c r="BW675" i="6"/>
  <c r="BX675" i="6"/>
  <c r="BW676" i="6"/>
  <c r="BX676" i="6"/>
  <c r="BW677" i="6"/>
  <c r="BX677" i="6"/>
  <c r="BW678" i="6"/>
  <c r="BX678" i="6"/>
  <c r="BX679" i="6"/>
  <c r="BX680" i="6"/>
  <c r="BX681" i="6"/>
  <c r="BX682" i="6"/>
  <c r="BX683" i="6"/>
  <c r="BX684" i="6"/>
  <c r="BW685" i="6"/>
  <c r="BX685" i="6"/>
  <c r="BW686" i="6"/>
  <c r="BX686" i="6"/>
  <c r="BW687" i="6"/>
  <c r="BX687" i="6"/>
  <c r="BW688" i="6"/>
  <c r="BX688" i="6"/>
  <c r="BW689" i="6"/>
  <c r="BX689" i="6"/>
  <c r="BW690" i="6"/>
  <c r="BX690" i="6"/>
  <c r="BW691" i="6"/>
  <c r="BX691" i="6"/>
  <c r="BW692" i="6"/>
  <c r="BX692" i="6"/>
  <c r="BW693" i="6"/>
  <c r="BX693" i="6"/>
  <c r="BW694" i="6"/>
  <c r="BX694" i="6"/>
  <c r="BW695" i="6"/>
  <c r="BX695" i="6"/>
  <c r="BW696" i="6"/>
  <c r="BX696" i="6"/>
  <c r="BW697" i="6"/>
  <c r="BX697" i="6"/>
  <c r="BW698" i="6"/>
  <c r="BX698" i="6"/>
  <c r="BW699" i="6"/>
  <c r="BX699" i="6"/>
  <c r="BW700" i="6"/>
  <c r="BX700" i="6"/>
  <c r="BW701" i="6"/>
  <c r="BX701" i="6"/>
  <c r="BW702" i="6"/>
  <c r="BX702" i="6"/>
  <c r="BW703" i="6"/>
  <c r="BX703" i="6"/>
  <c r="BW704" i="6"/>
  <c r="BX704" i="6"/>
  <c r="BW705" i="6"/>
  <c r="BX705" i="6"/>
  <c r="BW706" i="6"/>
  <c r="BX706" i="6"/>
  <c r="BW707" i="6"/>
  <c r="BX707" i="6"/>
  <c r="BW708" i="6"/>
  <c r="BX708" i="6"/>
  <c r="BW709" i="6"/>
  <c r="BX709" i="6"/>
  <c r="BW710" i="6"/>
  <c r="BX710" i="6"/>
  <c r="BW711" i="6"/>
  <c r="BX711" i="6"/>
  <c r="BW712" i="6"/>
  <c r="BX712" i="6"/>
  <c r="BW713" i="6"/>
  <c r="BX713" i="6"/>
  <c r="BX714" i="6"/>
  <c r="BX496" i="6"/>
  <c r="BX497" i="6"/>
  <c r="BX498" i="6"/>
  <c r="BX499" i="6"/>
  <c r="BX500" i="6"/>
  <c r="BX501" i="6"/>
  <c r="BX502" i="6"/>
  <c r="BX503" i="6"/>
  <c r="BX504" i="6"/>
  <c r="BX505" i="6"/>
  <c r="BX506" i="6"/>
  <c r="BX507" i="6"/>
  <c r="BX508" i="6"/>
  <c r="BX509" i="6"/>
  <c r="BX510" i="6"/>
  <c r="BX511" i="6"/>
  <c r="BX512" i="6"/>
  <c r="BX513" i="6"/>
  <c r="BX514" i="6"/>
  <c r="BX515" i="6"/>
  <c r="BX516" i="6"/>
  <c r="BX517" i="6"/>
  <c r="BX518" i="6"/>
  <c r="BX519" i="6"/>
  <c r="BX520" i="6"/>
  <c r="BX521" i="6"/>
  <c r="BX522" i="6"/>
  <c r="BX523" i="6"/>
  <c r="BX524" i="6"/>
  <c r="BX525" i="6"/>
  <c r="BX526" i="6"/>
  <c r="BW527" i="6"/>
  <c r="BX527" i="6"/>
  <c r="BX528" i="6"/>
  <c r="BX529" i="6"/>
  <c r="BX530" i="6"/>
  <c r="BW531" i="6"/>
  <c r="BX531" i="6"/>
  <c r="BW532" i="6"/>
  <c r="BX532" i="6"/>
  <c r="BW533" i="6"/>
  <c r="BX533" i="6"/>
  <c r="BW534" i="6"/>
  <c r="BX534" i="6"/>
  <c r="BW535" i="6"/>
  <c r="BX535" i="6"/>
  <c r="BW536" i="6"/>
  <c r="BX536" i="6"/>
  <c r="BW537" i="6"/>
  <c r="BX537" i="6"/>
  <c r="BX538" i="6"/>
  <c r="BX539" i="6"/>
  <c r="BX540" i="6"/>
  <c r="BX541" i="6"/>
  <c r="BX542" i="6"/>
  <c r="BX543" i="6"/>
  <c r="BW544" i="6"/>
  <c r="BX544" i="6"/>
  <c r="BX545" i="6"/>
  <c r="BX546" i="6"/>
  <c r="BX547" i="6"/>
  <c r="BX548" i="6"/>
  <c r="BX549" i="6"/>
  <c r="BX550" i="6"/>
  <c r="BX551" i="6"/>
  <c r="BX552" i="6"/>
  <c r="BX553" i="6"/>
  <c r="BX554" i="6"/>
  <c r="BX555" i="6"/>
  <c r="BX556" i="6"/>
  <c r="BX557" i="6"/>
  <c r="BX558" i="6"/>
  <c r="BX559" i="6"/>
  <c r="BX560" i="6"/>
  <c r="BX561" i="6"/>
  <c r="BX562" i="6"/>
  <c r="BX563" i="6"/>
  <c r="BX564" i="6"/>
  <c r="BX565" i="6"/>
  <c r="BX566" i="6"/>
  <c r="BX567" i="6"/>
  <c r="BX568" i="6"/>
  <c r="BX569" i="6"/>
  <c r="BX570" i="6"/>
  <c r="BX571" i="6"/>
  <c r="BX572" i="6"/>
  <c r="BX573" i="6"/>
  <c r="BX574" i="6"/>
  <c r="BX575" i="6"/>
  <c r="BX576" i="6"/>
  <c r="BX577" i="6"/>
  <c r="BX578" i="6"/>
  <c r="BX579" i="6"/>
  <c r="BX580" i="6"/>
  <c r="BX581" i="6"/>
  <c r="BX582" i="6"/>
  <c r="BX583" i="6"/>
  <c r="BX584" i="6"/>
  <c r="BX585" i="6"/>
  <c r="BX586" i="6"/>
  <c r="BX587" i="6"/>
  <c r="BX588" i="6"/>
  <c r="BX589" i="6"/>
  <c r="BX590" i="6"/>
  <c r="BX591" i="6"/>
  <c r="BX592" i="6"/>
  <c r="BX593" i="6"/>
  <c r="BX594" i="6"/>
  <c r="BX595" i="6"/>
  <c r="BX596" i="6"/>
  <c r="BX597" i="6"/>
  <c r="BX598" i="6"/>
  <c r="BX599" i="6"/>
  <c r="BW600" i="6"/>
  <c r="BX600" i="6"/>
  <c r="BX601" i="6"/>
  <c r="BX602" i="6"/>
  <c r="BX603" i="6"/>
  <c r="BX604" i="6"/>
  <c r="BX605" i="6"/>
  <c r="BX606" i="6"/>
  <c r="BX607" i="6"/>
  <c r="BX608" i="6"/>
  <c r="BX609" i="6"/>
  <c r="BW610" i="6"/>
  <c r="BX610" i="6"/>
  <c r="BW611" i="6"/>
  <c r="BX611" i="6"/>
  <c r="BX612" i="6"/>
  <c r="BX613" i="6"/>
  <c r="BX614" i="6"/>
  <c r="BX615" i="6"/>
  <c r="BX616" i="6"/>
  <c r="BX617" i="6"/>
  <c r="BX618" i="6"/>
  <c r="BX619" i="6"/>
  <c r="BX620" i="6"/>
  <c r="BX621" i="6"/>
  <c r="BX622" i="6"/>
  <c r="BX623" i="6"/>
  <c r="BX624" i="6"/>
  <c r="BX625" i="6"/>
  <c r="BX626" i="6"/>
  <c r="BX627" i="6"/>
  <c r="BX47" i="6"/>
  <c r="BX48" i="6"/>
  <c r="BX49" i="6"/>
  <c r="BX50" i="6"/>
  <c r="BX51" i="6"/>
  <c r="BX52" i="6"/>
  <c r="BX53" i="6"/>
  <c r="BX54" i="6"/>
  <c r="BX55" i="6"/>
  <c r="BX56" i="6"/>
  <c r="BX57" i="6"/>
  <c r="BX58" i="6"/>
  <c r="BX59" i="6"/>
  <c r="BX60" i="6"/>
  <c r="BX61" i="6"/>
  <c r="BX62" i="6"/>
  <c r="BX63" i="6"/>
  <c r="BX64" i="6"/>
  <c r="BX65" i="6"/>
  <c r="BX66" i="6"/>
  <c r="BX67" i="6"/>
  <c r="BX68" i="6"/>
  <c r="BX69" i="6"/>
  <c r="BX70" i="6"/>
  <c r="BX71" i="6"/>
  <c r="BW72" i="6"/>
  <c r="BX72" i="6"/>
  <c r="BX73" i="6"/>
  <c r="BX74" i="6"/>
  <c r="BX75" i="6"/>
  <c r="BX76" i="6"/>
  <c r="BX77" i="6"/>
  <c r="BX78" i="6"/>
  <c r="BX79" i="6"/>
  <c r="BX80" i="6"/>
  <c r="BX81" i="6"/>
  <c r="BX82" i="6"/>
  <c r="BX83" i="6"/>
  <c r="BX84" i="6"/>
  <c r="BX85" i="6"/>
  <c r="BX86" i="6"/>
  <c r="BX87" i="6"/>
  <c r="BX88" i="6"/>
  <c r="BX89" i="6"/>
  <c r="BX90" i="6"/>
  <c r="BX91" i="6"/>
  <c r="BX92" i="6"/>
  <c r="BX93" i="6"/>
  <c r="BX94" i="6"/>
  <c r="BX95" i="6"/>
  <c r="BX96" i="6"/>
  <c r="BX97" i="6"/>
  <c r="BX98" i="6"/>
  <c r="BX99" i="6"/>
  <c r="BX100" i="6"/>
  <c r="BW101" i="6"/>
  <c r="BX101" i="6"/>
  <c r="BX102" i="6"/>
  <c r="BX103" i="6"/>
  <c r="BX104" i="6"/>
  <c r="BX105" i="6"/>
  <c r="BX106" i="6"/>
  <c r="BX107" i="6"/>
  <c r="BX108" i="6"/>
  <c r="BX109" i="6"/>
  <c r="BX110" i="6"/>
  <c r="BX111" i="6"/>
  <c r="BX112" i="6"/>
  <c r="BX113" i="6"/>
  <c r="BX114" i="6"/>
  <c r="BX115" i="6"/>
  <c r="BX116" i="6"/>
  <c r="BX117" i="6"/>
  <c r="BX118" i="6"/>
  <c r="BX119" i="6"/>
  <c r="BX120" i="6"/>
  <c r="BX121" i="6"/>
  <c r="BX122" i="6"/>
  <c r="BX123" i="6"/>
  <c r="BX124" i="6"/>
  <c r="BX125" i="6"/>
  <c r="BX126" i="6"/>
  <c r="BX127" i="6"/>
  <c r="BX128" i="6"/>
  <c r="BX129" i="6"/>
  <c r="BX130" i="6"/>
  <c r="BX131" i="6"/>
  <c r="BX132" i="6"/>
  <c r="BX133" i="6"/>
  <c r="BX134" i="6"/>
  <c r="BX135" i="6"/>
  <c r="BX136" i="6"/>
  <c r="BX137" i="6"/>
  <c r="BX138" i="6"/>
  <c r="BX139" i="6"/>
  <c r="BX140" i="6"/>
  <c r="BX141" i="6"/>
  <c r="BX142" i="6"/>
  <c r="BX143" i="6"/>
  <c r="BX144" i="6"/>
  <c r="BX145" i="6"/>
  <c r="BX146" i="6"/>
  <c r="BX147" i="6"/>
  <c r="BX148" i="6"/>
  <c r="BX149" i="6"/>
  <c r="BX150" i="6"/>
  <c r="BX151" i="6"/>
  <c r="BX152" i="6"/>
  <c r="BX153" i="6"/>
  <c r="BX154" i="6"/>
  <c r="BX155" i="6"/>
  <c r="BX156" i="6"/>
  <c r="BX157" i="6"/>
  <c r="BX158" i="6"/>
  <c r="BX159" i="6"/>
  <c r="BW160" i="6"/>
  <c r="BX160" i="6"/>
  <c r="BW161" i="6"/>
  <c r="BX161" i="6"/>
  <c r="BW162" i="6"/>
  <c r="BX162" i="6"/>
  <c r="BX163" i="6"/>
  <c r="BW164" i="6"/>
  <c r="BX164" i="6"/>
  <c r="BW165" i="6"/>
  <c r="BX165" i="6"/>
  <c r="BW166" i="6"/>
  <c r="BX166" i="6"/>
  <c r="BW167" i="6"/>
  <c r="BX167" i="6"/>
  <c r="BW168" i="6"/>
  <c r="BX168" i="6"/>
  <c r="BX169" i="6"/>
  <c r="BX170" i="6"/>
  <c r="BX171" i="6"/>
  <c r="BX172" i="6"/>
  <c r="BX173" i="6"/>
  <c r="BX174" i="6"/>
  <c r="BX175" i="6"/>
  <c r="BX176" i="6"/>
  <c r="BX177" i="6"/>
  <c r="BX178" i="6"/>
  <c r="BX179" i="6"/>
  <c r="BX180" i="6"/>
  <c r="BX181" i="6"/>
  <c r="BX182" i="6"/>
  <c r="BX183" i="6"/>
  <c r="BX184" i="6"/>
  <c r="BX185" i="6"/>
  <c r="BX186" i="6"/>
  <c r="BX187" i="6"/>
  <c r="BX188" i="6"/>
  <c r="BX189" i="6"/>
  <c r="BX190" i="6"/>
  <c r="BX191" i="6"/>
  <c r="BX192" i="6"/>
  <c r="BW193" i="6"/>
  <c r="BX193" i="6"/>
  <c r="BX194" i="6"/>
  <c r="BX195" i="6"/>
  <c r="BX196" i="6"/>
  <c r="BX197" i="6"/>
  <c r="BW198" i="6"/>
  <c r="BX198" i="6"/>
  <c r="BX199" i="6"/>
  <c r="BX200" i="6"/>
  <c r="BX201" i="6"/>
  <c r="BW202" i="6"/>
  <c r="BX202" i="6"/>
  <c r="BW203" i="6"/>
  <c r="BX203" i="6"/>
  <c r="BX204" i="6"/>
  <c r="BX205" i="6"/>
  <c r="BX206" i="6"/>
  <c r="BX207" i="6"/>
  <c r="BX208" i="6"/>
  <c r="BX209" i="6"/>
  <c r="BX210" i="6"/>
  <c r="BX211" i="6"/>
  <c r="BX212" i="6"/>
  <c r="BX213" i="6"/>
  <c r="BX214" i="6"/>
  <c r="BX215" i="6"/>
  <c r="BX216" i="6"/>
  <c r="BX217" i="6"/>
  <c r="BX218" i="6"/>
  <c r="BX219" i="6"/>
  <c r="BX220" i="6"/>
  <c r="BX221" i="6"/>
  <c r="BX222" i="6"/>
  <c r="BX223" i="6"/>
  <c r="BX224" i="6"/>
  <c r="BX225" i="6"/>
  <c r="BX226" i="6"/>
  <c r="BX227" i="6"/>
  <c r="BX228" i="6"/>
  <c r="BX229" i="6"/>
  <c r="BX230" i="6"/>
  <c r="BX231" i="6"/>
  <c r="BX232" i="6"/>
  <c r="BX233" i="6"/>
  <c r="BX234" i="6"/>
  <c r="BX235" i="6"/>
  <c r="BX236" i="6"/>
  <c r="BX237" i="6"/>
  <c r="BX238" i="6"/>
  <c r="BX239" i="6"/>
  <c r="BX240" i="6"/>
  <c r="BX241" i="6"/>
  <c r="BX242" i="6"/>
  <c r="BX243" i="6"/>
  <c r="BX244" i="6"/>
  <c r="BX245" i="6"/>
  <c r="BX246" i="6"/>
  <c r="BX247" i="6"/>
  <c r="BX248" i="6"/>
  <c r="BX249" i="6"/>
  <c r="BX250" i="6"/>
  <c r="BX251" i="6"/>
  <c r="BX252" i="6"/>
  <c r="BX253" i="6"/>
  <c r="BX254" i="6"/>
  <c r="BX255" i="6"/>
  <c r="BX256" i="6"/>
  <c r="BX257" i="6"/>
  <c r="BX258" i="6"/>
  <c r="BX259" i="6"/>
  <c r="BX260" i="6"/>
  <c r="BX261" i="6"/>
  <c r="BX262" i="6"/>
  <c r="BX263" i="6"/>
  <c r="BX264" i="6"/>
  <c r="BX265" i="6"/>
  <c r="BX266" i="6"/>
  <c r="BX267" i="6"/>
  <c r="BX268" i="6"/>
  <c r="BX269" i="6"/>
  <c r="BX270" i="6"/>
  <c r="BX271" i="6"/>
  <c r="BX272" i="6"/>
  <c r="BX273" i="6"/>
  <c r="BX274" i="6"/>
  <c r="BX275" i="6"/>
  <c r="BX276" i="6"/>
  <c r="BX277" i="6"/>
  <c r="BX278" i="6"/>
  <c r="BX279" i="6"/>
  <c r="BX280" i="6"/>
  <c r="BX281" i="6"/>
  <c r="BX282" i="6"/>
  <c r="BX283" i="6"/>
  <c r="BX284" i="6"/>
  <c r="BX285" i="6"/>
  <c r="BX286" i="6"/>
  <c r="BW287" i="6"/>
  <c r="BX287" i="6"/>
  <c r="BX288" i="6"/>
  <c r="BX289" i="6"/>
  <c r="BX290" i="6"/>
  <c r="BX291" i="6"/>
  <c r="BX292" i="6"/>
  <c r="BX293" i="6"/>
  <c r="BX294" i="6"/>
  <c r="BX295" i="6"/>
  <c r="BX296" i="6"/>
  <c r="BX297" i="6"/>
  <c r="BX298" i="6"/>
  <c r="BX299" i="6"/>
  <c r="BX300" i="6"/>
  <c r="BW301" i="6"/>
  <c r="BX301" i="6"/>
  <c r="BX302" i="6"/>
  <c r="BX303" i="6"/>
  <c r="BX304" i="6"/>
  <c r="BX305" i="6"/>
  <c r="BX306" i="6"/>
  <c r="BX307" i="6"/>
  <c r="BX308" i="6"/>
  <c r="BX309" i="6"/>
  <c r="BX310" i="6"/>
  <c r="BX311" i="6"/>
  <c r="BX312" i="6"/>
  <c r="BX313" i="6"/>
  <c r="BX314" i="6"/>
  <c r="BX315" i="6"/>
  <c r="BX316" i="6"/>
  <c r="BX317" i="6"/>
  <c r="BX318" i="6"/>
  <c r="BX319" i="6"/>
  <c r="BX320" i="6"/>
  <c r="BX321" i="6"/>
  <c r="BX322" i="6"/>
  <c r="BX323" i="6"/>
  <c r="BX324" i="6"/>
  <c r="BX325" i="6"/>
  <c r="BX326" i="6"/>
  <c r="BX327" i="6"/>
  <c r="BX328" i="6"/>
  <c r="BX329" i="6"/>
  <c r="BX330" i="6"/>
  <c r="BX331" i="6"/>
  <c r="BX332" i="6"/>
  <c r="BX333" i="6"/>
  <c r="BX334" i="6"/>
  <c r="BX335" i="6"/>
  <c r="BX336" i="6"/>
  <c r="BX337" i="6"/>
  <c r="BX338" i="6"/>
  <c r="BX339" i="6"/>
  <c r="BX340" i="6"/>
  <c r="BX341" i="6"/>
  <c r="BX342" i="6"/>
  <c r="BX343" i="6"/>
  <c r="BX344" i="6"/>
  <c r="BX345" i="6"/>
  <c r="BX346" i="6"/>
  <c r="BX347" i="6"/>
  <c r="BX348" i="6"/>
  <c r="BX349" i="6"/>
  <c r="BX350" i="6"/>
  <c r="BX351" i="6"/>
  <c r="BX352" i="6"/>
  <c r="BX353" i="6"/>
  <c r="BX354" i="6"/>
  <c r="BX355" i="6"/>
  <c r="BX356" i="6"/>
  <c r="BX357" i="6"/>
  <c r="BX358" i="6"/>
  <c r="BX359" i="6"/>
  <c r="BX360" i="6"/>
  <c r="BX361" i="6"/>
  <c r="BX362" i="6"/>
  <c r="BW363" i="6"/>
  <c r="BX363" i="6"/>
  <c r="BX364" i="6"/>
  <c r="BX365" i="6"/>
  <c r="BX366" i="6"/>
  <c r="BX367" i="6"/>
  <c r="BX368" i="6"/>
  <c r="BX369" i="6"/>
  <c r="BX370" i="6"/>
  <c r="BX371" i="6"/>
  <c r="BX372" i="6"/>
  <c r="BX373" i="6"/>
  <c r="BX374" i="6"/>
  <c r="BX375" i="6"/>
  <c r="BX376" i="6"/>
  <c r="BX377" i="6"/>
  <c r="BX378" i="6"/>
  <c r="BX379" i="6"/>
  <c r="BX380" i="6"/>
  <c r="BX381" i="6"/>
  <c r="BX382" i="6"/>
  <c r="BX383" i="6"/>
  <c r="BX384" i="6"/>
  <c r="BX385" i="6"/>
  <c r="BX386" i="6"/>
  <c r="BX387" i="6"/>
  <c r="BX388" i="6"/>
  <c r="BX389" i="6"/>
  <c r="BX390" i="6"/>
  <c r="BX391" i="6"/>
  <c r="BX392" i="6"/>
  <c r="BX393" i="6"/>
  <c r="BX394" i="6"/>
  <c r="BX395" i="6"/>
  <c r="BX396" i="6"/>
  <c r="BX397" i="6"/>
  <c r="BX398" i="6"/>
  <c r="BX399" i="6"/>
  <c r="BX400" i="6"/>
  <c r="BX401" i="6"/>
  <c r="BX402" i="6"/>
  <c r="BX403" i="6"/>
  <c r="BX404" i="6"/>
  <c r="BX405" i="6"/>
  <c r="BX406" i="6"/>
  <c r="BX407" i="6"/>
  <c r="BX408" i="6"/>
  <c r="BX409" i="6"/>
  <c r="BX410" i="6"/>
  <c r="BX411" i="6"/>
  <c r="BX412" i="6"/>
  <c r="BX413" i="6"/>
  <c r="BX414" i="6"/>
  <c r="BX415" i="6"/>
  <c r="BX416" i="6"/>
  <c r="BX417" i="6"/>
  <c r="BX418" i="6"/>
  <c r="BX419" i="6"/>
  <c r="BX420" i="6"/>
  <c r="BX421" i="6"/>
  <c r="BX422" i="6"/>
  <c r="BX423" i="6"/>
  <c r="BX424" i="6"/>
  <c r="BX425" i="6"/>
  <c r="BX426" i="6"/>
  <c r="BX427" i="6"/>
  <c r="BX428" i="6"/>
  <c r="BX429" i="6"/>
  <c r="BX430" i="6"/>
  <c r="BX431" i="6"/>
  <c r="BX432" i="6"/>
  <c r="BX433" i="6"/>
  <c r="BX434" i="6"/>
  <c r="BX435" i="6"/>
  <c r="BX436" i="6"/>
  <c r="BX437" i="6"/>
  <c r="BX438" i="6"/>
  <c r="BX439" i="6"/>
  <c r="BX440" i="6"/>
  <c r="BX441" i="6"/>
  <c r="BX442" i="6"/>
  <c r="BX443" i="6"/>
  <c r="BX444" i="6"/>
  <c r="BX445" i="6"/>
  <c r="BX446" i="6"/>
  <c r="BX447" i="6"/>
  <c r="BX448" i="6"/>
  <c r="BX449" i="6"/>
  <c r="BX450" i="6"/>
  <c r="BX451" i="6"/>
  <c r="BX452" i="6"/>
  <c r="BX453" i="6"/>
  <c r="BX454" i="6"/>
  <c r="BX455" i="6"/>
  <c r="BX456" i="6"/>
  <c r="BX457" i="6"/>
  <c r="BX458" i="6"/>
  <c r="BX459" i="6"/>
  <c r="BX460" i="6"/>
  <c r="BW461" i="6"/>
  <c r="BX461" i="6"/>
  <c r="BW462" i="6"/>
  <c r="BX462" i="6"/>
  <c r="BX463" i="6"/>
  <c r="BX464" i="6"/>
  <c r="BW465" i="6"/>
  <c r="BX465" i="6"/>
  <c r="BX466" i="6"/>
  <c r="BX467" i="6"/>
  <c r="BX468" i="6"/>
  <c r="BX469" i="6"/>
  <c r="BX470" i="6"/>
  <c r="BX471" i="6"/>
  <c r="BX472" i="6"/>
  <c r="BX473" i="6"/>
  <c r="BX474" i="6"/>
  <c r="BX475" i="6"/>
  <c r="BX476" i="6"/>
  <c r="BX477" i="6"/>
  <c r="BX478" i="6"/>
  <c r="BX479" i="6"/>
  <c r="BX480" i="6"/>
  <c r="BX481" i="6"/>
  <c r="BX482" i="6"/>
  <c r="BX483" i="6"/>
  <c r="BX484" i="6"/>
  <c r="BX485" i="6"/>
  <c r="BX486" i="6"/>
  <c r="BX487" i="6"/>
  <c r="BX488" i="6"/>
  <c r="BX489" i="6"/>
  <c r="BX490" i="6"/>
  <c r="BX491" i="6"/>
  <c r="BX492" i="6"/>
  <c r="BX493" i="6"/>
  <c r="BX494" i="6"/>
  <c r="BX495" i="6"/>
  <c r="BX9" i="6"/>
  <c r="BX10" i="6"/>
  <c r="BX11" i="6"/>
  <c r="BX12" i="6"/>
  <c r="BX13" i="6"/>
  <c r="BX14" i="6"/>
  <c r="BX15" i="6"/>
  <c r="BX16" i="6"/>
  <c r="BX17" i="6"/>
  <c r="BX18" i="6"/>
  <c r="BX19" i="6"/>
  <c r="BX20" i="6"/>
  <c r="BX21" i="6"/>
  <c r="BX22" i="6"/>
  <c r="BX23" i="6"/>
  <c r="BX24" i="6"/>
  <c r="BX25" i="6"/>
  <c r="BX26" i="6"/>
  <c r="BX27" i="6"/>
  <c r="BX28" i="6"/>
  <c r="BX29" i="6"/>
  <c r="BX30" i="6"/>
  <c r="BX31" i="6"/>
  <c r="BX32" i="6"/>
  <c r="BX33" i="6"/>
  <c r="BX34" i="6"/>
  <c r="BX35" i="6"/>
  <c r="BX36" i="6"/>
  <c r="BX37" i="6"/>
  <c r="BX38" i="6"/>
  <c r="BX39" i="6"/>
  <c r="BX40" i="6"/>
  <c r="BX41" i="6"/>
  <c r="BX42" i="6"/>
  <c r="BX43" i="6"/>
  <c r="BX44" i="6"/>
  <c r="BX45" i="6"/>
  <c r="BX46" i="6"/>
  <c r="H757" i="17"/>
  <c r="I757" i="17"/>
  <c r="G964" i="17"/>
  <c r="H964" i="17"/>
  <c r="G965" i="17"/>
  <c r="H965" i="17"/>
  <c r="G966" i="17"/>
  <c r="H966" i="17"/>
  <c r="G967" i="17"/>
  <c r="H967" i="17"/>
  <c r="G969" i="17"/>
  <c r="H969" i="17"/>
  <c r="G954" i="17"/>
  <c r="G960" i="17"/>
  <c r="H960" i="17"/>
  <c r="I960" i="17"/>
  <c r="G962" i="17"/>
  <c r="H962" i="17"/>
  <c r="G963" i="17"/>
  <c r="H963" i="17"/>
  <c r="G953" i="17"/>
  <c r="H928" i="17"/>
  <c r="G929" i="17"/>
  <c r="H929" i="17"/>
  <c r="H930" i="17"/>
  <c r="G931" i="17"/>
  <c r="H931" i="17"/>
  <c r="H932" i="17"/>
  <c r="G933" i="17"/>
  <c r="H933" i="17"/>
  <c r="H934" i="17"/>
  <c r="H935" i="17"/>
  <c r="G936" i="17"/>
  <c r="H936" i="17"/>
  <c r="H937" i="17"/>
  <c r="G938" i="17"/>
  <c r="H938" i="17"/>
  <c r="G939" i="17"/>
  <c r="H939" i="17"/>
  <c r="G940" i="17"/>
  <c r="H940" i="17"/>
  <c r="G941" i="17"/>
  <c r="H941" i="17"/>
  <c r="G942" i="17"/>
  <c r="H942" i="17"/>
  <c r="G943" i="17"/>
  <c r="H943" i="17"/>
  <c r="G944" i="17"/>
  <c r="H944" i="17"/>
  <c r="G945" i="17"/>
  <c r="H945" i="17"/>
  <c r="G946" i="17"/>
  <c r="H946" i="17"/>
  <c r="G947" i="17"/>
  <c r="H947" i="17"/>
  <c r="G948" i="17"/>
  <c r="H948" i="17"/>
  <c r="G949" i="17"/>
  <c r="H949" i="17"/>
  <c r="G950" i="17"/>
  <c r="H950" i="17"/>
  <c r="H927" i="17"/>
  <c r="G927" i="17"/>
  <c r="H917" i="17"/>
  <c r="H918" i="17"/>
  <c r="H919" i="17"/>
  <c r="H920" i="17"/>
  <c r="H922" i="17"/>
  <c r="G923" i="17"/>
  <c r="H923" i="17"/>
  <c r="G926" i="17"/>
  <c r="H926" i="17"/>
  <c r="H901" i="17"/>
  <c r="H921" i="17"/>
  <c r="H910" i="17"/>
  <c r="I910" i="17"/>
  <c r="H911" i="17"/>
  <c r="I911" i="17"/>
  <c r="H912" i="17"/>
  <c r="I912" i="17"/>
  <c r="H913" i="17"/>
  <c r="I913" i="17"/>
  <c r="H914" i="17"/>
  <c r="I914" i="17"/>
  <c r="H915" i="17"/>
  <c r="I915" i="17"/>
  <c r="I909" i="17"/>
  <c r="H909" i="17"/>
  <c r="G906" i="17"/>
  <c r="H899" i="17"/>
  <c r="H902" i="17"/>
  <c r="H903" i="17"/>
  <c r="G904" i="17"/>
  <c r="H904" i="17"/>
  <c r="H905" i="17"/>
  <c r="G897" i="17"/>
  <c r="H897" i="17"/>
  <c r="I897" i="17"/>
  <c r="G898" i="17"/>
  <c r="H898" i="17"/>
  <c r="I898" i="17"/>
  <c r="H871" i="17"/>
  <c r="I871" i="17"/>
  <c r="H872" i="17"/>
  <c r="I872" i="17"/>
  <c r="G873" i="17"/>
  <c r="H873" i="17"/>
  <c r="I873" i="17"/>
  <c r="G874" i="17"/>
  <c r="H874" i="17"/>
  <c r="I874" i="17"/>
  <c r="G875" i="17"/>
  <c r="H875" i="17"/>
  <c r="I875" i="17"/>
  <c r="G876" i="17"/>
  <c r="H876" i="17"/>
  <c r="I876" i="17"/>
  <c r="G877" i="17"/>
  <c r="H877" i="17"/>
  <c r="I877" i="17"/>
  <c r="G878" i="17"/>
  <c r="H878" i="17"/>
  <c r="I878" i="17"/>
  <c r="G879" i="17"/>
  <c r="H879" i="17"/>
  <c r="I879" i="17"/>
  <c r="G880" i="17"/>
  <c r="H880" i="17"/>
  <c r="I880" i="17"/>
  <c r="G881" i="17"/>
  <c r="H881" i="17"/>
  <c r="I881" i="17"/>
  <c r="G882" i="17"/>
  <c r="H882" i="17"/>
  <c r="I882" i="17"/>
  <c r="G883" i="17"/>
  <c r="H883" i="17"/>
  <c r="I883" i="17"/>
  <c r="G884" i="17"/>
  <c r="H884" i="17"/>
  <c r="I884" i="17"/>
  <c r="G885" i="17"/>
  <c r="H885" i="17"/>
  <c r="I885" i="17"/>
  <c r="G886" i="17"/>
  <c r="H886" i="17"/>
  <c r="I886" i="17"/>
  <c r="G887" i="17"/>
  <c r="H887" i="17"/>
  <c r="I887" i="17"/>
  <c r="G888" i="17"/>
  <c r="H888" i="17"/>
  <c r="I888" i="17"/>
  <c r="G889" i="17"/>
  <c r="H889" i="17"/>
  <c r="I889" i="17"/>
  <c r="G890" i="17"/>
  <c r="H890" i="17"/>
  <c r="I890" i="17"/>
  <c r="G891" i="17"/>
  <c r="H891" i="17"/>
  <c r="I891" i="17"/>
  <c r="G892" i="17"/>
  <c r="H892" i="17"/>
  <c r="I892" i="17"/>
  <c r="G893" i="17"/>
  <c r="H893" i="17"/>
  <c r="I893" i="17"/>
  <c r="G894" i="17"/>
  <c r="H894" i="17"/>
  <c r="I894" i="17"/>
  <c r="G895" i="17"/>
  <c r="H895" i="17"/>
  <c r="I895" i="17"/>
  <c r="G896" i="17"/>
  <c r="H896" i="17"/>
  <c r="I896" i="17"/>
  <c r="G843" i="17"/>
  <c r="H843" i="17"/>
  <c r="I843" i="17"/>
  <c r="G844" i="17"/>
  <c r="H844" i="17"/>
  <c r="I844" i="17"/>
  <c r="G845" i="17"/>
  <c r="H845" i="17"/>
  <c r="I845" i="17"/>
  <c r="G846" i="17"/>
  <c r="H846" i="17"/>
  <c r="I846" i="17"/>
  <c r="G847" i="17"/>
  <c r="H847" i="17"/>
  <c r="I847" i="17"/>
  <c r="G848" i="17"/>
  <c r="H848" i="17"/>
  <c r="I848" i="17"/>
  <c r="G849" i="17"/>
  <c r="H849" i="17"/>
  <c r="I849" i="17"/>
  <c r="G850" i="17"/>
  <c r="H850" i="17"/>
  <c r="I850" i="17"/>
  <c r="G851" i="17"/>
  <c r="H851" i="17"/>
  <c r="I851" i="17"/>
  <c r="G852" i="17"/>
  <c r="H852" i="17"/>
  <c r="I852" i="17"/>
  <c r="G853" i="17"/>
  <c r="H853" i="17"/>
  <c r="I853" i="17"/>
  <c r="G854" i="17"/>
  <c r="H854" i="17"/>
  <c r="I854" i="17"/>
  <c r="G855" i="17"/>
  <c r="H855" i="17"/>
  <c r="I855" i="17"/>
  <c r="G856" i="17"/>
  <c r="H856" i="17"/>
  <c r="I856" i="17"/>
  <c r="G857" i="17"/>
  <c r="H857" i="17"/>
  <c r="I857" i="17"/>
  <c r="G858" i="17"/>
  <c r="H858" i="17"/>
  <c r="I858" i="17"/>
  <c r="G859" i="17"/>
  <c r="H859" i="17"/>
  <c r="I859" i="17"/>
  <c r="G860" i="17"/>
  <c r="H860" i="17"/>
  <c r="I860" i="17"/>
  <c r="G861" i="17"/>
  <c r="H861" i="17"/>
  <c r="I861" i="17"/>
  <c r="G862" i="17"/>
  <c r="H862" i="17"/>
  <c r="I862" i="17"/>
  <c r="G863" i="17"/>
  <c r="H863" i="17"/>
  <c r="I863" i="17"/>
  <c r="G864" i="17"/>
  <c r="H864" i="17"/>
  <c r="I864" i="17"/>
  <c r="G865" i="17"/>
  <c r="H865" i="17"/>
  <c r="I865" i="17"/>
  <c r="G866" i="17"/>
  <c r="H866" i="17"/>
  <c r="I866" i="17"/>
  <c r="H867" i="17"/>
  <c r="I867" i="17"/>
  <c r="H868" i="17"/>
  <c r="I868" i="17"/>
  <c r="H869" i="17"/>
  <c r="I869" i="17"/>
  <c r="H870" i="17"/>
  <c r="I870" i="17"/>
  <c r="I842" i="17"/>
  <c r="H842" i="17"/>
  <c r="G842" i="17"/>
  <c r="H836" i="17"/>
  <c r="I836" i="17"/>
  <c r="H837" i="17"/>
  <c r="I837" i="17"/>
  <c r="G838" i="17"/>
  <c r="H838" i="17"/>
  <c r="I838" i="17"/>
  <c r="H839" i="17"/>
  <c r="I839" i="17"/>
  <c r="I835" i="17"/>
  <c r="H835" i="17"/>
  <c r="H826" i="17"/>
  <c r="I826" i="17"/>
  <c r="I825" i="17"/>
  <c r="H825" i="17"/>
  <c r="G825" i="17"/>
  <c r="G815" i="17"/>
  <c r="H815" i="17"/>
  <c r="I815" i="17"/>
  <c r="G816" i="17"/>
  <c r="H816" i="17"/>
  <c r="I816" i="17"/>
  <c r="G817" i="17"/>
  <c r="H817" i="17"/>
  <c r="I817" i="17"/>
  <c r="G818" i="17"/>
  <c r="H818" i="17"/>
  <c r="I818" i="17"/>
  <c r="G819" i="17"/>
  <c r="H819" i="17"/>
  <c r="I819" i="17"/>
  <c r="G820" i="17"/>
  <c r="H820" i="17"/>
  <c r="I820" i="17"/>
  <c r="G821" i="17"/>
  <c r="H821" i="17"/>
  <c r="I821" i="17"/>
  <c r="G822" i="17"/>
  <c r="H822" i="17"/>
  <c r="I822" i="17"/>
  <c r="H800" i="17"/>
  <c r="I800" i="17"/>
  <c r="H801" i="17"/>
  <c r="I801" i="17"/>
  <c r="H802" i="17"/>
  <c r="I802" i="17"/>
  <c r="H803" i="17"/>
  <c r="I803" i="17"/>
  <c r="G804" i="17"/>
  <c r="H804" i="17"/>
  <c r="I804" i="17"/>
  <c r="G805" i="17"/>
  <c r="H805" i="17"/>
  <c r="I805" i="17"/>
  <c r="G806" i="17"/>
  <c r="H806" i="17"/>
  <c r="I806" i="17"/>
  <c r="G807" i="17"/>
  <c r="H807" i="17"/>
  <c r="I807" i="17"/>
  <c r="G808" i="17"/>
  <c r="H808" i="17"/>
  <c r="I808" i="17"/>
  <c r="G809" i="17"/>
  <c r="H809" i="17"/>
  <c r="I809" i="17"/>
  <c r="G810" i="17"/>
  <c r="H810" i="17"/>
  <c r="I810" i="17"/>
  <c r="G811" i="17"/>
  <c r="H811" i="17"/>
  <c r="I811" i="17"/>
  <c r="G812" i="17"/>
  <c r="H812" i="17"/>
  <c r="I812" i="17"/>
  <c r="G813" i="17"/>
  <c r="H813" i="17"/>
  <c r="I813" i="17"/>
  <c r="G814" i="17"/>
  <c r="H814" i="17"/>
  <c r="I814" i="17"/>
  <c r="G785" i="17"/>
  <c r="H785" i="17"/>
  <c r="I785" i="17"/>
  <c r="G786" i="17"/>
  <c r="H786" i="17"/>
  <c r="I786" i="17"/>
  <c r="G787" i="17"/>
  <c r="H787" i="17"/>
  <c r="I787" i="17"/>
  <c r="G788" i="17"/>
  <c r="H788" i="17"/>
  <c r="I788" i="17"/>
  <c r="G789" i="17"/>
  <c r="H789" i="17"/>
  <c r="I789" i="17"/>
  <c r="G790" i="17"/>
  <c r="H790" i="17"/>
  <c r="I790" i="17"/>
  <c r="G791" i="17"/>
  <c r="H791" i="17"/>
  <c r="I791" i="17"/>
  <c r="H792" i="17"/>
  <c r="I792" i="17"/>
  <c r="H793" i="17"/>
  <c r="I793" i="17"/>
  <c r="H794" i="17"/>
  <c r="I794" i="17"/>
  <c r="H795" i="17"/>
  <c r="I795" i="17"/>
  <c r="H796" i="17"/>
  <c r="I796" i="17"/>
  <c r="G797" i="17"/>
  <c r="H797" i="17"/>
  <c r="I797" i="17"/>
  <c r="H798" i="17"/>
  <c r="I798" i="17"/>
  <c r="H799" i="17"/>
  <c r="I799" i="17"/>
  <c r="G764" i="17"/>
  <c r="H764" i="17"/>
  <c r="I764" i="17"/>
  <c r="G765" i="17"/>
  <c r="H765" i="17"/>
  <c r="I765" i="17"/>
  <c r="G766" i="17"/>
  <c r="H766" i="17"/>
  <c r="I766" i="17"/>
  <c r="H767" i="17"/>
  <c r="I767" i="17"/>
  <c r="I768" i="17"/>
  <c r="H769" i="17"/>
  <c r="I769" i="17"/>
  <c r="H770" i="17"/>
  <c r="I770" i="17"/>
  <c r="H771" i="17"/>
  <c r="I771" i="17"/>
  <c r="H772" i="17"/>
  <c r="I772" i="17"/>
  <c r="G773" i="17"/>
  <c r="H773" i="17"/>
  <c r="I773" i="17"/>
  <c r="G774" i="17"/>
  <c r="H774" i="17"/>
  <c r="I774" i="17"/>
  <c r="G775" i="17"/>
  <c r="H775" i="17"/>
  <c r="I775" i="17"/>
  <c r="G776" i="17"/>
  <c r="H776" i="17"/>
  <c r="I776" i="17"/>
  <c r="H777" i="17"/>
  <c r="I777" i="17"/>
  <c r="H778" i="17"/>
  <c r="I778" i="17"/>
  <c r="H779" i="17"/>
  <c r="I779" i="17"/>
  <c r="H780" i="17"/>
  <c r="I780" i="17"/>
  <c r="H781" i="17"/>
  <c r="I781" i="17"/>
  <c r="H782" i="17"/>
  <c r="I782" i="17"/>
  <c r="H783" i="17"/>
  <c r="I783" i="17"/>
  <c r="H784" i="17"/>
  <c r="I784" i="17"/>
  <c r="I763" i="17"/>
  <c r="H763" i="17"/>
  <c r="G763" i="17"/>
  <c r="H723" i="17"/>
  <c r="I723" i="17"/>
  <c r="H724" i="17"/>
  <c r="I724" i="17"/>
  <c r="H725" i="17"/>
  <c r="I725" i="17"/>
  <c r="H726" i="17"/>
  <c r="I726" i="17"/>
  <c r="H727" i="17"/>
  <c r="I727" i="17"/>
  <c r="H728" i="17"/>
  <c r="I728" i="17"/>
  <c r="H729" i="17"/>
  <c r="I729" i="17"/>
  <c r="H730" i="17"/>
  <c r="I730" i="17"/>
  <c r="H731" i="17"/>
  <c r="I731" i="17"/>
  <c r="H732" i="17"/>
  <c r="I732" i="17"/>
  <c r="H733" i="17"/>
  <c r="I733" i="17"/>
  <c r="H734" i="17"/>
  <c r="I734" i="17"/>
  <c r="H735" i="17"/>
  <c r="I735" i="17"/>
  <c r="H736" i="17"/>
  <c r="I736" i="17"/>
  <c r="H737" i="17"/>
  <c r="I737" i="17"/>
  <c r="H738" i="17"/>
  <c r="I738" i="17"/>
  <c r="H739" i="17"/>
  <c r="I739" i="17"/>
  <c r="H740" i="17"/>
  <c r="I740" i="17"/>
  <c r="H741" i="17"/>
  <c r="I741" i="17"/>
  <c r="H742" i="17"/>
  <c r="I742" i="17"/>
  <c r="H743" i="17"/>
  <c r="I743" i="17"/>
  <c r="G744" i="17"/>
  <c r="H744" i="17"/>
  <c r="I744" i="17"/>
  <c r="H745" i="17"/>
  <c r="I745" i="17"/>
  <c r="H746" i="17"/>
  <c r="I746" i="17"/>
  <c r="H747" i="17"/>
  <c r="I747" i="17"/>
  <c r="H748" i="17"/>
  <c r="I748" i="17"/>
  <c r="H749" i="17"/>
  <c r="I749" i="17"/>
  <c r="H750" i="17"/>
  <c r="I750" i="17"/>
  <c r="H751" i="17"/>
  <c r="I751" i="17"/>
  <c r="H752" i="17"/>
  <c r="I752" i="17"/>
  <c r="H753" i="17"/>
  <c r="I753" i="17"/>
  <c r="H754" i="17"/>
  <c r="I754" i="17"/>
  <c r="H755" i="17"/>
  <c r="I755" i="17"/>
  <c r="H756" i="17"/>
  <c r="I756" i="17"/>
  <c r="H758" i="17"/>
  <c r="I758" i="17"/>
  <c r="H759" i="17"/>
  <c r="I759" i="17"/>
  <c r="H760" i="17"/>
  <c r="I760" i="17"/>
  <c r="H662" i="17"/>
  <c r="I662" i="17"/>
  <c r="H663" i="17"/>
  <c r="I663" i="17"/>
  <c r="G664" i="17"/>
  <c r="H664" i="17"/>
  <c r="I664" i="17"/>
  <c r="G665" i="17"/>
  <c r="H665" i="17"/>
  <c r="I665" i="17"/>
  <c r="G666" i="17"/>
  <c r="H666" i="17"/>
  <c r="I666" i="17"/>
  <c r="G667" i="17"/>
  <c r="H667" i="17"/>
  <c r="I667" i="17"/>
  <c r="G668" i="17"/>
  <c r="H668" i="17"/>
  <c r="I668" i="17"/>
  <c r="G669" i="17"/>
  <c r="H669" i="17"/>
  <c r="I669" i="17"/>
  <c r="G670" i="17"/>
  <c r="H670" i="17"/>
  <c r="I670" i="17"/>
  <c r="G671" i="17"/>
  <c r="H671" i="17"/>
  <c r="I671" i="17"/>
  <c r="G672" i="17"/>
  <c r="H672" i="17"/>
  <c r="I672" i="17"/>
  <c r="H673" i="17"/>
  <c r="I673" i="17"/>
  <c r="H674" i="17"/>
  <c r="I674" i="17"/>
  <c r="H675" i="17"/>
  <c r="I675" i="17"/>
  <c r="H676" i="17"/>
  <c r="I676" i="17"/>
  <c r="H677" i="17"/>
  <c r="I677" i="17"/>
  <c r="H678" i="17"/>
  <c r="I678" i="17"/>
  <c r="H679" i="17"/>
  <c r="I679" i="17"/>
  <c r="H680" i="17"/>
  <c r="I680" i="17"/>
  <c r="G681" i="17"/>
  <c r="H681" i="17"/>
  <c r="I681" i="17"/>
  <c r="G682" i="17"/>
  <c r="H682" i="17"/>
  <c r="I682" i="17"/>
  <c r="G683" i="17"/>
  <c r="H683" i="17"/>
  <c r="I683" i="17"/>
  <c r="G684" i="17"/>
  <c r="H684" i="17"/>
  <c r="I684" i="17"/>
  <c r="G685" i="17"/>
  <c r="H685" i="17"/>
  <c r="I685" i="17"/>
  <c r="G686" i="17"/>
  <c r="H686" i="17"/>
  <c r="I686" i="17"/>
  <c r="G687" i="17"/>
  <c r="H687" i="17"/>
  <c r="I687" i="17"/>
  <c r="G688" i="17"/>
  <c r="H688" i="17"/>
  <c r="I688" i="17"/>
  <c r="G689" i="17"/>
  <c r="H689" i="17"/>
  <c r="I689" i="17"/>
  <c r="G690" i="17"/>
  <c r="H690" i="17"/>
  <c r="I690" i="17"/>
  <c r="G691" i="17"/>
  <c r="H691" i="17"/>
  <c r="I691" i="17"/>
  <c r="G692" i="17"/>
  <c r="H692" i="17"/>
  <c r="I692" i="17"/>
  <c r="G693" i="17"/>
  <c r="H693" i="17"/>
  <c r="I693" i="17"/>
  <c r="G694" i="17"/>
  <c r="H694" i="17"/>
  <c r="I694" i="17"/>
  <c r="G695" i="17"/>
  <c r="H695" i="17"/>
  <c r="I695" i="17"/>
  <c r="G696" i="17"/>
  <c r="H696" i="17"/>
  <c r="I696" i="17"/>
  <c r="G697" i="17"/>
  <c r="H697" i="17"/>
  <c r="I697" i="17"/>
  <c r="G698" i="17"/>
  <c r="H698" i="17"/>
  <c r="I698" i="17"/>
  <c r="G699" i="17"/>
  <c r="H699" i="17"/>
  <c r="I699" i="17"/>
  <c r="G700" i="17"/>
  <c r="H700" i="17"/>
  <c r="I700" i="17"/>
  <c r="G701" i="17"/>
  <c r="H701" i="17"/>
  <c r="I701" i="17"/>
  <c r="G702" i="17"/>
  <c r="H702" i="17"/>
  <c r="I702" i="17"/>
  <c r="H703" i="17"/>
  <c r="I703" i="17"/>
  <c r="H704" i="17"/>
  <c r="I704" i="17"/>
  <c r="H705" i="17"/>
  <c r="I705" i="17"/>
  <c r="H706" i="17"/>
  <c r="I706" i="17"/>
  <c r="H707" i="17"/>
  <c r="I707" i="17"/>
  <c r="H708" i="17"/>
  <c r="I708" i="17"/>
  <c r="H709" i="17"/>
  <c r="I709" i="17"/>
  <c r="H710" i="17"/>
  <c r="I710" i="17"/>
  <c r="H711" i="17"/>
  <c r="I711" i="17"/>
  <c r="H712" i="17"/>
  <c r="I712" i="17"/>
  <c r="H713" i="17"/>
  <c r="I713" i="17"/>
  <c r="H714" i="17"/>
  <c r="I714" i="17"/>
  <c r="H715" i="17"/>
  <c r="I715" i="17"/>
  <c r="H716" i="17"/>
  <c r="I716" i="17"/>
  <c r="H717" i="17"/>
  <c r="I717" i="17"/>
  <c r="H718" i="17"/>
  <c r="I718" i="17"/>
  <c r="H719" i="17"/>
  <c r="I719" i="17"/>
  <c r="H720" i="17"/>
  <c r="I720" i="17"/>
  <c r="H721" i="17"/>
  <c r="I721" i="17"/>
  <c r="H722" i="17"/>
  <c r="I722" i="17"/>
  <c r="I661" i="17"/>
  <c r="H661" i="17"/>
  <c r="H649" i="17"/>
  <c r="I649" i="17"/>
  <c r="G650" i="17"/>
  <c r="H650" i="17"/>
  <c r="I650" i="17"/>
  <c r="G651" i="17"/>
  <c r="H651" i="17"/>
  <c r="I651" i="17"/>
  <c r="G652" i="17"/>
  <c r="H652" i="17"/>
  <c r="I652" i="17"/>
  <c r="G653" i="17"/>
  <c r="H653" i="17"/>
  <c r="I653" i="17"/>
  <c r="G654" i="17"/>
  <c r="H654" i="17"/>
  <c r="I654" i="17"/>
  <c r="G655" i="17"/>
  <c r="H655" i="17"/>
  <c r="I655" i="17"/>
  <c r="G656" i="17"/>
  <c r="H656" i="17"/>
  <c r="I656" i="17"/>
  <c r="G657" i="17"/>
  <c r="H657" i="17"/>
  <c r="H658" i="17"/>
  <c r="I658" i="17"/>
  <c r="G635" i="17"/>
  <c r="H635" i="17"/>
  <c r="I635" i="17"/>
  <c r="G636" i="17"/>
  <c r="H636" i="17"/>
  <c r="I636" i="17"/>
  <c r="G637" i="17"/>
  <c r="H637" i="17"/>
  <c r="I637" i="17"/>
  <c r="G638" i="17"/>
  <c r="H638" i="17"/>
  <c r="I638" i="17"/>
  <c r="G639" i="17"/>
  <c r="H639" i="17"/>
  <c r="I639" i="17"/>
  <c r="H640" i="17"/>
  <c r="I640" i="17"/>
  <c r="H641" i="17"/>
  <c r="I641" i="17"/>
  <c r="H642" i="17"/>
  <c r="I642" i="17"/>
  <c r="G643" i="17"/>
  <c r="H643" i="17"/>
  <c r="I643" i="17"/>
  <c r="G644" i="17"/>
  <c r="H644" i="17"/>
  <c r="I644" i="17"/>
  <c r="H645" i="17"/>
  <c r="I645" i="17"/>
  <c r="H646" i="17"/>
  <c r="I646" i="17"/>
  <c r="H647" i="17"/>
  <c r="I647" i="17"/>
  <c r="H648" i="17"/>
  <c r="I648" i="17"/>
  <c r="H603" i="17"/>
  <c r="I603" i="17"/>
  <c r="H604" i="17"/>
  <c r="I604" i="17"/>
  <c r="H605" i="17"/>
  <c r="I605" i="17"/>
  <c r="H606" i="17"/>
  <c r="I606" i="17"/>
  <c r="H607" i="17"/>
  <c r="I607" i="17"/>
  <c r="H608" i="17"/>
  <c r="I608" i="17"/>
  <c r="H609" i="17"/>
  <c r="I609" i="17"/>
  <c r="G610" i="17"/>
  <c r="H610" i="17"/>
  <c r="I610" i="17"/>
  <c r="G611" i="17"/>
  <c r="H611" i="17"/>
  <c r="I611" i="17"/>
  <c r="G612" i="17"/>
  <c r="H612" i="17"/>
  <c r="I612" i="17"/>
  <c r="G613" i="17"/>
  <c r="H613" i="17"/>
  <c r="I613" i="17"/>
  <c r="H614" i="17"/>
  <c r="I614" i="17"/>
  <c r="H615" i="17"/>
  <c r="I615" i="17"/>
  <c r="H616" i="17"/>
  <c r="I616" i="17"/>
  <c r="H617" i="17"/>
  <c r="I617" i="17"/>
  <c r="H618" i="17"/>
  <c r="I618" i="17"/>
  <c r="H619" i="17"/>
  <c r="I619" i="17"/>
  <c r="H620" i="17"/>
  <c r="I620" i="17"/>
  <c r="H621" i="17"/>
  <c r="I621" i="17"/>
  <c r="H622" i="17"/>
  <c r="I622" i="17"/>
  <c r="H623" i="17"/>
  <c r="I623" i="17"/>
  <c r="H624" i="17"/>
  <c r="I624" i="17"/>
  <c r="H625" i="17"/>
  <c r="I625" i="17"/>
  <c r="H626" i="17"/>
  <c r="I626" i="17"/>
  <c r="H627" i="17"/>
  <c r="I627" i="17"/>
  <c r="H628" i="17"/>
  <c r="I628" i="17"/>
  <c r="H629" i="17"/>
  <c r="I629" i="17"/>
  <c r="H630" i="17"/>
  <c r="I630" i="17"/>
  <c r="H631" i="17"/>
  <c r="I631" i="17"/>
  <c r="G632" i="17"/>
  <c r="H632" i="17"/>
  <c r="I632" i="17"/>
  <c r="G633" i="17"/>
  <c r="H633" i="17"/>
  <c r="I633" i="17"/>
  <c r="G634" i="17"/>
  <c r="H634" i="17"/>
  <c r="I634" i="17"/>
  <c r="G575" i="17"/>
  <c r="H575" i="17"/>
  <c r="I575" i="17"/>
  <c r="G576" i="17"/>
  <c r="H576" i="17"/>
  <c r="I576" i="17"/>
  <c r="G577" i="17"/>
  <c r="H577" i="17"/>
  <c r="I577" i="17"/>
  <c r="G578" i="17"/>
  <c r="H578" i="17"/>
  <c r="I578" i="17"/>
  <c r="G579" i="17"/>
  <c r="H579" i="17"/>
  <c r="I579" i="17"/>
  <c r="G580" i="17"/>
  <c r="H580" i="17"/>
  <c r="I580" i="17"/>
  <c r="G581" i="17"/>
  <c r="H581" i="17"/>
  <c r="I581" i="17"/>
  <c r="G582" i="17"/>
  <c r="H582" i="17"/>
  <c r="I582" i="17"/>
  <c r="G583" i="17"/>
  <c r="H583" i="17"/>
  <c r="I583" i="17"/>
  <c r="G584" i="17"/>
  <c r="H584" i="17"/>
  <c r="I584" i="17"/>
  <c r="G585" i="17"/>
  <c r="H585" i="17"/>
  <c r="I585" i="17"/>
  <c r="G586" i="17"/>
  <c r="H586" i="17"/>
  <c r="I586" i="17"/>
  <c r="G587" i="17"/>
  <c r="H587" i="17"/>
  <c r="I587" i="17"/>
  <c r="G588" i="17"/>
  <c r="H588" i="17"/>
  <c r="I588" i="17"/>
  <c r="G589" i="17"/>
  <c r="H589" i="17"/>
  <c r="I589" i="17"/>
  <c r="G590" i="17"/>
  <c r="H590" i="17"/>
  <c r="I590" i="17"/>
  <c r="G591" i="17"/>
  <c r="H591" i="17"/>
  <c r="I591" i="17"/>
  <c r="G592" i="17"/>
  <c r="H592" i="17"/>
  <c r="I592" i="17"/>
  <c r="G593" i="17"/>
  <c r="H593" i="17"/>
  <c r="I593" i="17"/>
  <c r="G594" i="17"/>
  <c r="H594" i="17"/>
  <c r="I594" i="17"/>
  <c r="H595" i="17"/>
  <c r="I595" i="17"/>
  <c r="H596" i="17"/>
  <c r="I596" i="17"/>
  <c r="H597" i="17"/>
  <c r="I597" i="17"/>
  <c r="H598" i="17"/>
  <c r="I598" i="17"/>
  <c r="H599" i="17"/>
  <c r="I599" i="17"/>
  <c r="H600" i="17"/>
  <c r="I600" i="17"/>
  <c r="H601" i="17"/>
  <c r="I601" i="17"/>
  <c r="H602" i="17"/>
  <c r="I602" i="17"/>
  <c r="G555" i="17"/>
  <c r="H555" i="17"/>
  <c r="I555" i="17"/>
  <c r="G556" i="17"/>
  <c r="H556" i="17"/>
  <c r="I556" i="17"/>
  <c r="G557" i="17"/>
  <c r="H557" i="17"/>
  <c r="I557" i="17"/>
  <c r="G558" i="17"/>
  <c r="H558" i="17"/>
  <c r="I558" i="17"/>
  <c r="G559" i="17"/>
  <c r="H559" i="17"/>
  <c r="I559" i="17"/>
  <c r="G560" i="17"/>
  <c r="H560" i="17"/>
  <c r="I560" i="17"/>
  <c r="G561" i="17"/>
  <c r="H561" i="17"/>
  <c r="I561" i="17"/>
  <c r="G562" i="17"/>
  <c r="H562" i="17"/>
  <c r="I562" i="17"/>
  <c r="G563" i="17"/>
  <c r="H563" i="17"/>
  <c r="I563" i="17"/>
  <c r="H564" i="17"/>
  <c r="I564" i="17"/>
  <c r="G565" i="17"/>
  <c r="H565" i="17"/>
  <c r="I565" i="17"/>
  <c r="G566" i="17"/>
  <c r="H566" i="17"/>
  <c r="I566" i="17"/>
  <c r="G567" i="17"/>
  <c r="H567" i="17"/>
  <c r="I567" i="17"/>
  <c r="G568" i="17"/>
  <c r="H568" i="17"/>
  <c r="I568" i="17"/>
  <c r="G569" i="17"/>
  <c r="H569" i="17"/>
  <c r="I569" i="17"/>
  <c r="G570" i="17"/>
  <c r="H570" i="17"/>
  <c r="I570" i="17"/>
  <c r="H571" i="17"/>
  <c r="I571" i="17"/>
  <c r="G572" i="17"/>
  <c r="H572" i="17"/>
  <c r="I572" i="17"/>
  <c r="G573" i="17"/>
  <c r="H573" i="17"/>
  <c r="I573" i="17"/>
  <c r="G574" i="17"/>
  <c r="H574" i="17"/>
  <c r="I574" i="17"/>
  <c r="H538" i="17"/>
  <c r="I538" i="17"/>
  <c r="H539" i="17"/>
  <c r="I539" i="17"/>
  <c r="H540" i="17"/>
  <c r="I540" i="17"/>
  <c r="H541" i="17"/>
  <c r="I541" i="17"/>
  <c r="H542" i="17"/>
  <c r="I542" i="17"/>
  <c r="H543" i="17"/>
  <c r="I543" i="17"/>
  <c r="H544" i="17"/>
  <c r="I544" i="17"/>
  <c r="H545" i="17"/>
  <c r="I545" i="17"/>
  <c r="H546" i="17"/>
  <c r="I546" i="17"/>
  <c r="H547" i="17"/>
  <c r="I547" i="17"/>
  <c r="H548" i="17"/>
  <c r="I548" i="17"/>
  <c r="H549" i="17"/>
  <c r="I549" i="17"/>
  <c r="H550" i="17"/>
  <c r="I550" i="17"/>
  <c r="H551" i="17"/>
  <c r="I551" i="17"/>
  <c r="H552" i="17"/>
  <c r="I552" i="17"/>
  <c r="G553" i="17"/>
  <c r="H553" i="17"/>
  <c r="I553" i="17"/>
  <c r="G554" i="17"/>
  <c r="H554" i="17"/>
  <c r="I554" i="17"/>
  <c r="H502" i="17"/>
  <c r="I502" i="17"/>
  <c r="H503" i="17"/>
  <c r="I503" i="17"/>
  <c r="H504" i="17"/>
  <c r="I504" i="17"/>
  <c r="H505" i="17"/>
  <c r="I505" i="17"/>
  <c r="H506" i="17"/>
  <c r="I506" i="17"/>
  <c r="H507" i="17"/>
  <c r="I507" i="17"/>
  <c r="H508" i="17"/>
  <c r="I508" i="17"/>
  <c r="H509" i="17"/>
  <c r="I509" i="17"/>
  <c r="H510" i="17"/>
  <c r="I510" i="17"/>
  <c r="H511" i="17"/>
  <c r="I511" i="17"/>
  <c r="H512" i="17"/>
  <c r="I512" i="17"/>
  <c r="G513" i="17"/>
  <c r="H513" i="17"/>
  <c r="I513" i="17"/>
  <c r="G514" i="17"/>
  <c r="H514" i="17"/>
  <c r="I514" i="17"/>
  <c r="G515" i="17"/>
  <c r="H515" i="17"/>
  <c r="I515" i="17"/>
  <c r="H516" i="17"/>
  <c r="I516" i="17"/>
  <c r="H517" i="17"/>
  <c r="I517" i="17"/>
  <c r="H518" i="17"/>
  <c r="I518" i="17"/>
  <c r="H519" i="17"/>
  <c r="I519" i="17"/>
  <c r="H520" i="17"/>
  <c r="I520" i="17"/>
  <c r="H521" i="17"/>
  <c r="I521" i="17"/>
  <c r="H522" i="17"/>
  <c r="I522" i="17"/>
  <c r="H523" i="17"/>
  <c r="I523" i="17"/>
  <c r="H524" i="17"/>
  <c r="I524" i="17"/>
  <c r="H525" i="17"/>
  <c r="I525" i="17"/>
  <c r="H526" i="17"/>
  <c r="I526" i="17"/>
  <c r="H527" i="17"/>
  <c r="I527" i="17"/>
  <c r="H528" i="17"/>
  <c r="I528" i="17"/>
  <c r="H529" i="17"/>
  <c r="I529" i="17"/>
  <c r="H530" i="17"/>
  <c r="I530" i="17"/>
  <c r="G531" i="17"/>
  <c r="H531" i="17"/>
  <c r="I531" i="17"/>
  <c r="G532" i="17"/>
  <c r="H532" i="17"/>
  <c r="I532" i="17"/>
  <c r="G533" i="17"/>
  <c r="H533" i="17"/>
  <c r="I533" i="17"/>
  <c r="H534" i="17"/>
  <c r="I534" i="17"/>
  <c r="H535" i="17"/>
  <c r="I535" i="17"/>
  <c r="G536" i="17"/>
  <c r="H536" i="17"/>
  <c r="I536" i="17"/>
  <c r="H537" i="17"/>
  <c r="I537" i="17"/>
  <c r="I501" i="17"/>
  <c r="H501" i="17"/>
  <c r="H493" i="17"/>
  <c r="I493" i="17"/>
  <c r="G495" i="17"/>
  <c r="H495" i="17"/>
  <c r="G496" i="17"/>
  <c r="H496" i="17"/>
  <c r="G497" i="17"/>
  <c r="H497" i="17"/>
  <c r="G472" i="17"/>
  <c r="H472" i="17"/>
  <c r="I472" i="17"/>
  <c r="G473" i="17"/>
  <c r="H473" i="17"/>
  <c r="I473" i="17"/>
  <c r="G474" i="17"/>
  <c r="H474" i="17"/>
  <c r="I474" i="17"/>
  <c r="G475" i="17"/>
  <c r="H475" i="17"/>
  <c r="I475" i="17"/>
  <c r="G476" i="17"/>
  <c r="H476" i="17"/>
  <c r="I476" i="17"/>
  <c r="G477" i="17"/>
  <c r="H477" i="17"/>
  <c r="I477" i="17"/>
  <c r="G478" i="17"/>
  <c r="H478" i="17"/>
  <c r="I478" i="17"/>
  <c r="G479" i="17"/>
  <c r="H479" i="17"/>
  <c r="I479" i="17"/>
  <c r="G480" i="17"/>
  <c r="H480" i="17"/>
  <c r="I480" i="17"/>
  <c r="G481" i="17"/>
  <c r="H481" i="17"/>
  <c r="I481" i="17"/>
  <c r="G482" i="17"/>
  <c r="H482" i="17"/>
  <c r="I482" i="17"/>
  <c r="G483" i="17"/>
  <c r="H483" i="17"/>
  <c r="I483" i="17"/>
  <c r="G484" i="17"/>
  <c r="H484" i="17"/>
  <c r="I484" i="17"/>
  <c r="G485" i="17"/>
  <c r="H485" i="17"/>
  <c r="I485" i="17"/>
  <c r="G486" i="17"/>
  <c r="H486" i="17"/>
  <c r="I486" i="17"/>
  <c r="G487" i="17"/>
  <c r="H487" i="17"/>
  <c r="I487" i="17"/>
  <c r="G488" i="17"/>
  <c r="H488" i="17"/>
  <c r="I488" i="17"/>
  <c r="I471" i="17"/>
  <c r="H471" i="17"/>
  <c r="G471" i="17"/>
  <c r="G465" i="17"/>
  <c r="H465" i="17"/>
  <c r="I465" i="17"/>
  <c r="H466" i="17"/>
  <c r="H467" i="17"/>
  <c r="G468" i="17"/>
  <c r="H468" i="17"/>
  <c r="G469" i="17"/>
  <c r="H469" i="17"/>
  <c r="I469" i="17"/>
  <c r="H464" i="17"/>
  <c r="I464" i="17"/>
  <c r="H461" i="17"/>
  <c r="I461" i="17"/>
  <c r="H462" i="17"/>
  <c r="I462" i="17"/>
  <c r="H463" i="17"/>
  <c r="I463" i="17"/>
  <c r="G450" i="17"/>
  <c r="H450" i="17"/>
  <c r="I450" i="17"/>
  <c r="G451" i="17"/>
  <c r="H451" i="17"/>
  <c r="I451" i="17"/>
  <c r="G452" i="17"/>
  <c r="H452" i="17"/>
  <c r="I452" i="17"/>
  <c r="G453" i="17"/>
  <c r="H453" i="17"/>
  <c r="I453" i="17"/>
  <c r="H454" i="17"/>
  <c r="I454" i="17"/>
  <c r="H455" i="17"/>
  <c r="I455" i="17"/>
  <c r="H456" i="17"/>
  <c r="I456" i="17"/>
  <c r="H457" i="17"/>
  <c r="I457" i="17"/>
  <c r="H458" i="17"/>
  <c r="I458" i="17"/>
  <c r="H459" i="17"/>
  <c r="I459" i="17"/>
  <c r="H460" i="17"/>
  <c r="I460" i="17"/>
  <c r="G443" i="17"/>
  <c r="H443" i="17"/>
  <c r="I443" i="17"/>
  <c r="G444" i="17"/>
  <c r="H444" i="17"/>
  <c r="I444" i="17"/>
  <c r="G445" i="17"/>
  <c r="H445" i="17"/>
  <c r="I445" i="17"/>
  <c r="G446" i="17"/>
  <c r="H446" i="17"/>
  <c r="I446" i="17"/>
  <c r="G447" i="17"/>
  <c r="H447" i="17"/>
  <c r="I447" i="17"/>
  <c r="G448" i="17"/>
  <c r="H448" i="17"/>
  <c r="I448" i="17"/>
  <c r="G449" i="17"/>
  <c r="H449" i="17"/>
  <c r="I449" i="17"/>
  <c r="G436" i="17"/>
  <c r="H436" i="17"/>
  <c r="I436" i="17"/>
  <c r="G437" i="17"/>
  <c r="H437" i="17"/>
  <c r="I437" i="17"/>
  <c r="G438" i="17"/>
  <c r="H438" i="17"/>
  <c r="I438" i="17"/>
  <c r="G439" i="17"/>
  <c r="H439" i="17"/>
  <c r="I439" i="17"/>
  <c r="G440" i="17"/>
  <c r="H440" i="17"/>
  <c r="I440" i="17"/>
  <c r="G441" i="17"/>
  <c r="H441" i="17"/>
  <c r="I441" i="17"/>
  <c r="G442" i="17"/>
  <c r="H442" i="17"/>
  <c r="I442" i="17"/>
  <c r="G429" i="17"/>
  <c r="H429" i="17"/>
  <c r="I429" i="17"/>
  <c r="G430" i="17"/>
  <c r="H430" i="17"/>
  <c r="I430" i="17"/>
  <c r="G431" i="17"/>
  <c r="H431" i="17"/>
  <c r="I431" i="17"/>
  <c r="G432" i="17"/>
  <c r="H432" i="17"/>
  <c r="I432" i="17"/>
  <c r="G433" i="17"/>
  <c r="H433" i="17"/>
  <c r="I433" i="17"/>
  <c r="G434" i="17"/>
  <c r="H434" i="17"/>
  <c r="I434" i="17"/>
  <c r="G435" i="17"/>
  <c r="H435" i="17"/>
  <c r="I435" i="17"/>
  <c r="G418" i="17"/>
  <c r="H418" i="17"/>
  <c r="I418" i="17"/>
  <c r="G419" i="17"/>
  <c r="H419" i="17"/>
  <c r="I419" i="17"/>
  <c r="G420" i="17"/>
  <c r="H420" i="17"/>
  <c r="I420" i="17"/>
  <c r="G421" i="17"/>
  <c r="H421" i="17"/>
  <c r="I421" i="17"/>
  <c r="G422" i="17"/>
  <c r="H422" i="17"/>
  <c r="I422" i="17"/>
  <c r="G423" i="17"/>
  <c r="H423" i="17"/>
  <c r="I423" i="17"/>
  <c r="G424" i="17"/>
  <c r="H424" i="17"/>
  <c r="I424" i="17"/>
  <c r="G425" i="17"/>
  <c r="H425" i="17"/>
  <c r="I425" i="17"/>
  <c r="G426" i="17"/>
  <c r="H426" i="17"/>
  <c r="I426" i="17"/>
  <c r="G427" i="17"/>
  <c r="H427" i="17"/>
  <c r="I427" i="17"/>
  <c r="G428" i="17"/>
  <c r="H428" i="17"/>
  <c r="I428" i="17"/>
  <c r="G387" i="17"/>
  <c r="H387" i="17"/>
  <c r="I387" i="17"/>
  <c r="H388" i="17"/>
  <c r="I388" i="17"/>
  <c r="H389" i="17"/>
  <c r="I389" i="17"/>
  <c r="H390" i="17"/>
  <c r="I390" i="17"/>
  <c r="H391" i="17"/>
  <c r="I391" i="17"/>
  <c r="G392" i="17"/>
  <c r="H392" i="17"/>
  <c r="I392" i="17"/>
  <c r="H393" i="17"/>
  <c r="I393" i="17"/>
  <c r="G394" i="17"/>
  <c r="H394" i="17"/>
  <c r="I394" i="17"/>
  <c r="G395" i="17"/>
  <c r="H395" i="17"/>
  <c r="I395" i="17"/>
  <c r="G396" i="17"/>
  <c r="H396" i="17"/>
  <c r="I396" i="17"/>
  <c r="H397" i="17"/>
  <c r="I397" i="17"/>
  <c r="G398" i="17"/>
  <c r="H398" i="17"/>
  <c r="I398" i="17"/>
  <c r="G399" i="17"/>
  <c r="H399" i="17"/>
  <c r="I399" i="17"/>
  <c r="G400" i="17"/>
  <c r="H400" i="17"/>
  <c r="I400" i="17"/>
  <c r="G401" i="17"/>
  <c r="H401" i="17"/>
  <c r="I401" i="17"/>
  <c r="G402" i="17"/>
  <c r="H402" i="17"/>
  <c r="I402" i="17"/>
  <c r="G403" i="17"/>
  <c r="H403" i="17"/>
  <c r="I403" i="17"/>
  <c r="G404" i="17"/>
  <c r="H404" i="17"/>
  <c r="I404" i="17"/>
  <c r="G405" i="17"/>
  <c r="H405" i="17"/>
  <c r="I405" i="17"/>
  <c r="G406" i="17"/>
  <c r="H406" i="17"/>
  <c r="I406" i="17"/>
  <c r="G407" i="17"/>
  <c r="H407" i="17"/>
  <c r="I407" i="17"/>
  <c r="G408" i="17"/>
  <c r="H408" i="17"/>
  <c r="I408" i="17"/>
  <c r="G409" i="17"/>
  <c r="H409" i="17"/>
  <c r="I409" i="17"/>
  <c r="G410" i="17"/>
  <c r="H410" i="17"/>
  <c r="I410" i="17"/>
  <c r="G411" i="17"/>
  <c r="H411" i="17"/>
  <c r="I411" i="17"/>
  <c r="G412" i="17"/>
  <c r="H412" i="17"/>
  <c r="I412" i="17"/>
  <c r="G413" i="17"/>
  <c r="H413" i="17"/>
  <c r="I413" i="17"/>
  <c r="G414" i="17"/>
  <c r="H414" i="17"/>
  <c r="I414" i="17"/>
  <c r="G415" i="17"/>
  <c r="H415" i="17"/>
  <c r="I415" i="17"/>
  <c r="G416" i="17"/>
  <c r="H416" i="17"/>
  <c r="I416" i="17"/>
  <c r="G417" i="17"/>
  <c r="H417" i="17"/>
  <c r="I417" i="17"/>
  <c r="H371" i="17"/>
  <c r="I371" i="17"/>
  <c r="H372" i="17"/>
  <c r="I372" i="17"/>
  <c r="H373" i="17"/>
  <c r="I373" i="17"/>
  <c r="H374" i="17"/>
  <c r="I374" i="17"/>
  <c r="H375" i="17"/>
  <c r="I375" i="17"/>
  <c r="H376" i="17"/>
  <c r="I376" i="17"/>
  <c r="H377" i="17"/>
  <c r="I377" i="17"/>
  <c r="G378" i="17"/>
  <c r="H378" i="17"/>
  <c r="I378" i="17"/>
  <c r="G379" i="17"/>
  <c r="H379" i="17"/>
  <c r="I379" i="17"/>
  <c r="G380" i="17"/>
  <c r="H380" i="17"/>
  <c r="I380" i="17"/>
  <c r="G381" i="17"/>
  <c r="H381" i="17"/>
  <c r="I381" i="17"/>
  <c r="G382" i="17"/>
  <c r="H382" i="17"/>
  <c r="I382" i="17"/>
  <c r="G383" i="17"/>
  <c r="H383" i="17"/>
  <c r="I383" i="17"/>
  <c r="G384" i="17"/>
  <c r="H384" i="17"/>
  <c r="I384" i="17"/>
  <c r="H385" i="17"/>
  <c r="I385" i="17"/>
  <c r="G386" i="17"/>
  <c r="H386" i="17"/>
  <c r="I386" i="17"/>
  <c r="I370" i="17"/>
  <c r="H370" i="17"/>
  <c r="G370" i="17"/>
  <c r="I363" i="17"/>
  <c r="H351" i="17"/>
  <c r="I351" i="17"/>
  <c r="H352" i="17"/>
  <c r="I352" i="17"/>
  <c r="G353" i="17"/>
  <c r="H353" i="17"/>
  <c r="I353" i="17"/>
  <c r="G354" i="17"/>
  <c r="H354" i="17"/>
  <c r="I354" i="17"/>
  <c r="G355" i="17"/>
  <c r="H355" i="17"/>
  <c r="I355" i="17"/>
  <c r="G356" i="17"/>
  <c r="H356" i="17"/>
  <c r="I356" i="17"/>
  <c r="G357" i="17"/>
  <c r="H357" i="17"/>
  <c r="I357" i="17"/>
  <c r="G358" i="17"/>
  <c r="H358" i="17"/>
  <c r="I358" i="17"/>
  <c r="G359" i="17"/>
  <c r="H359" i="17"/>
  <c r="I359" i="17"/>
  <c r="G360" i="17"/>
  <c r="H360" i="17"/>
  <c r="I360" i="17"/>
  <c r="G361" i="17"/>
  <c r="H361" i="17"/>
  <c r="I361" i="17"/>
  <c r="G362" i="17"/>
  <c r="H362" i="17"/>
  <c r="I362" i="17"/>
  <c r="G363" i="17"/>
  <c r="H363" i="17"/>
  <c r="H364" i="17"/>
  <c r="H365" i="17"/>
  <c r="H366" i="17"/>
  <c r="H367"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04" i="17"/>
  <c r="G305" i="17"/>
  <c r="G306" i="17"/>
  <c r="G307" i="17"/>
  <c r="G308" i="17"/>
  <c r="G309" i="17"/>
  <c r="G310" i="17"/>
  <c r="G311" i="17"/>
  <c r="G312" i="17"/>
  <c r="G313" i="17"/>
  <c r="G314" i="17"/>
  <c r="G315" i="17"/>
  <c r="G316" i="17"/>
  <c r="G317" i="17"/>
  <c r="G318" i="17"/>
  <c r="G319" i="17"/>
  <c r="G320" i="17"/>
  <c r="G321" i="17"/>
  <c r="G322" i="17"/>
  <c r="G323" i="17"/>
  <c r="G324" i="17"/>
  <c r="G325" i="17"/>
  <c r="G331" i="17"/>
  <c r="G332" i="17"/>
  <c r="G333" i="17"/>
  <c r="G334" i="17"/>
  <c r="G335" i="17"/>
  <c r="G336" i="17"/>
  <c r="G337" i="17"/>
  <c r="G338" i="17"/>
  <c r="G339" i="17"/>
  <c r="G340" i="17"/>
  <c r="G341" i="17"/>
  <c r="G342" i="17"/>
  <c r="G343" i="17"/>
  <c r="G344" i="17"/>
  <c r="G345" i="17"/>
  <c r="G346" i="17"/>
  <c r="G347" i="17"/>
  <c r="G348" i="17"/>
  <c r="G349" i="17"/>
  <c r="G350" i="17"/>
  <c r="G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04" i="17"/>
  <c r="P12" i="33"/>
  <c r="Q11" i="33"/>
  <c r="P12" i="32"/>
  <c r="Q11" i="32"/>
  <c r="P12" i="31"/>
  <c r="Q11" i="31"/>
  <c r="P13" i="33"/>
  <c r="Q12" i="33"/>
  <c r="P13" i="32"/>
  <c r="Q12" i="32"/>
  <c r="P13" i="31"/>
  <c r="Q12" i="31"/>
  <c r="I164" i="7"/>
  <c r="I163" i="7"/>
  <c r="P14" i="33"/>
  <c r="Q13" i="33"/>
  <c r="Q13" i="32"/>
  <c r="K13" i="32"/>
  <c r="C13" i="32"/>
  <c r="I11" i="32"/>
  <c r="A11" i="32"/>
  <c r="L10" i="32"/>
  <c r="D10" i="32"/>
  <c r="G9" i="32"/>
  <c r="J8" i="32"/>
  <c r="B8" i="32"/>
  <c r="E7" i="32"/>
  <c r="H6" i="32"/>
  <c r="E10" i="32"/>
  <c r="H9" i="32"/>
  <c r="A6" i="32"/>
  <c r="J13" i="32"/>
  <c r="B13" i="32"/>
  <c r="H11" i="32"/>
  <c r="K10" i="32"/>
  <c r="C10" i="32"/>
  <c r="F9" i="32"/>
  <c r="I8" i="32"/>
  <c r="A8" i="32"/>
  <c r="L7" i="32"/>
  <c r="D7" i="32"/>
  <c r="G6" i="32"/>
  <c r="J11" i="32"/>
  <c r="I13" i="32"/>
  <c r="A13" i="32"/>
  <c r="G11" i="32"/>
  <c r="J10" i="32"/>
  <c r="B10" i="32"/>
  <c r="E9" i="32"/>
  <c r="H8" i="32"/>
  <c r="K7" i="32"/>
  <c r="C7" i="32"/>
  <c r="K8" i="32"/>
  <c r="H13" i="32"/>
  <c r="W11" i="32"/>
  <c r="F11" i="32"/>
  <c r="I10" i="32"/>
  <c r="A10" i="32"/>
  <c r="L9" i="32"/>
  <c r="D9" i="32"/>
  <c r="G8" i="32"/>
  <c r="J7" i="32"/>
  <c r="B7" i="32"/>
  <c r="E6" i="32"/>
  <c r="F7" i="32"/>
  <c r="G13" i="32"/>
  <c r="E11" i="32"/>
  <c r="H10" i="32"/>
  <c r="K9" i="32"/>
  <c r="C9" i="32"/>
  <c r="F8" i="32"/>
  <c r="I7" i="32"/>
  <c r="A7" i="32"/>
  <c r="L6" i="32"/>
  <c r="D6" i="32"/>
  <c r="D13" i="32"/>
  <c r="F13" i="32"/>
  <c r="L11" i="32"/>
  <c r="D11" i="32"/>
  <c r="G10" i="32"/>
  <c r="J9" i="32"/>
  <c r="B9" i="32"/>
  <c r="E8" i="32"/>
  <c r="H7" i="32"/>
  <c r="K6" i="32"/>
  <c r="C6" i="32"/>
  <c r="L13" i="32"/>
  <c r="B11" i="32"/>
  <c r="C8" i="32"/>
  <c r="I6" i="32"/>
  <c r="E13" i="32"/>
  <c r="K11" i="32"/>
  <c r="C11" i="32"/>
  <c r="F10" i="32"/>
  <c r="I9" i="32"/>
  <c r="A9" i="32"/>
  <c r="L8" i="32"/>
  <c r="D8" i="32"/>
  <c r="G7" i="32"/>
  <c r="J6" i="32"/>
  <c r="B6" i="32"/>
  <c r="D12" i="32"/>
  <c r="P14" i="31"/>
  <c r="Q13" i="31"/>
  <c r="AB37" i="22"/>
  <c r="AA37" i="22"/>
  <c r="F13" i="33"/>
  <c r="I12" i="33"/>
  <c r="A12" i="33"/>
  <c r="L11" i="33"/>
  <c r="D11" i="33"/>
  <c r="G10" i="33"/>
  <c r="J9" i="33"/>
  <c r="B9" i="33"/>
  <c r="E8" i="33"/>
  <c r="H7" i="33"/>
  <c r="K6" i="33"/>
  <c r="C6" i="33"/>
  <c r="H8" i="33"/>
  <c r="I7" i="33"/>
  <c r="E13" i="33"/>
  <c r="H12" i="33"/>
  <c r="K11" i="33"/>
  <c r="C11" i="33"/>
  <c r="F10" i="33"/>
  <c r="I9" i="33"/>
  <c r="A9" i="33"/>
  <c r="L8" i="33"/>
  <c r="D8" i="33"/>
  <c r="G7" i="33"/>
  <c r="J6" i="33"/>
  <c r="B6" i="33"/>
  <c r="A13" i="33"/>
  <c r="D12" i="33"/>
  <c r="G11" i="33"/>
  <c r="J10" i="33"/>
  <c r="F6" i="33"/>
  <c r="A14" i="33"/>
  <c r="L13" i="33"/>
  <c r="D13" i="33"/>
  <c r="G12" i="33"/>
  <c r="J11" i="33"/>
  <c r="B11" i="33"/>
  <c r="E10" i="33"/>
  <c r="H9" i="33"/>
  <c r="K8" i="33"/>
  <c r="C8" i="33"/>
  <c r="F7" i="33"/>
  <c r="I6" i="33"/>
  <c r="A6" i="33"/>
  <c r="I13" i="33"/>
  <c r="L12" i="33"/>
  <c r="E9" i="33"/>
  <c r="K7" i="33"/>
  <c r="L6" i="33"/>
  <c r="H14" i="33"/>
  <c r="K13" i="33"/>
  <c r="C13" i="33"/>
  <c r="F12" i="33"/>
  <c r="I11" i="33"/>
  <c r="A11" i="33"/>
  <c r="L10" i="33"/>
  <c r="D10" i="33"/>
  <c r="G9" i="33"/>
  <c r="J8" i="33"/>
  <c r="B8" i="33"/>
  <c r="E7" i="33"/>
  <c r="H6" i="33"/>
  <c r="B10" i="33"/>
  <c r="C7" i="33"/>
  <c r="J13" i="33"/>
  <c r="B13" i="33"/>
  <c r="E12" i="33"/>
  <c r="H11" i="33"/>
  <c r="K10" i="33"/>
  <c r="C10" i="33"/>
  <c r="F9" i="33"/>
  <c r="I8" i="33"/>
  <c r="A8" i="33"/>
  <c r="L7" i="33"/>
  <c r="D7" i="33"/>
  <c r="G6" i="33"/>
  <c r="H13" i="33"/>
  <c r="K12" i="33"/>
  <c r="C12" i="33"/>
  <c r="F11" i="33"/>
  <c r="I10" i="33"/>
  <c r="A10" i="33"/>
  <c r="L9" i="33"/>
  <c r="D9" i="33"/>
  <c r="G8" i="33"/>
  <c r="J7" i="33"/>
  <c r="B7" i="33"/>
  <c r="E6" i="33"/>
  <c r="G13" i="33"/>
  <c r="J12" i="33"/>
  <c r="B12" i="33"/>
  <c r="E11" i="33"/>
  <c r="H10" i="33"/>
  <c r="K9" i="33"/>
  <c r="C9" i="33"/>
  <c r="F8" i="33"/>
  <c r="A7" i="33"/>
  <c r="D6" i="33"/>
  <c r="Q14" i="33"/>
  <c r="K14" i="33"/>
  <c r="L12" i="32"/>
  <c r="A12" i="32"/>
  <c r="H12" i="32"/>
  <c r="I12" i="32"/>
  <c r="C12" i="32"/>
  <c r="K12" i="32"/>
  <c r="G12" i="32"/>
  <c r="F12" i="32"/>
  <c r="B12" i="32"/>
  <c r="E12" i="32"/>
  <c r="J12" i="32"/>
  <c r="P15" i="31"/>
  <c r="Q14" i="31"/>
  <c r="G14" i="33"/>
  <c r="F14" i="33"/>
  <c r="I14" i="33"/>
  <c r="E14" i="33"/>
  <c r="D14" i="33"/>
  <c r="B14" i="33"/>
  <c r="C14" i="33"/>
  <c r="L14" i="33"/>
  <c r="J14" i="33"/>
  <c r="P16" i="31"/>
  <c r="Q15" i="31"/>
  <c r="E8" i="27"/>
  <c r="E7" i="27"/>
  <c r="M137" i="7"/>
  <c r="M136" i="7"/>
  <c r="M135" i="7"/>
  <c r="J137" i="7"/>
  <c r="J136" i="7"/>
  <c r="J135" i="7"/>
  <c r="G137" i="7"/>
  <c r="G136" i="7"/>
  <c r="G135" i="7"/>
  <c r="D137" i="7"/>
  <c r="D136" i="7"/>
  <c r="D135" i="7"/>
  <c r="M164" i="7"/>
  <c r="M163" i="7"/>
  <c r="M162" i="7"/>
  <c r="K164" i="7"/>
  <c r="K163" i="7"/>
  <c r="K162" i="7"/>
  <c r="E164" i="7"/>
  <c r="E163" i="7"/>
  <c r="E162" i="7"/>
  <c r="O154" i="7"/>
  <c r="O153" i="7"/>
  <c r="O152" i="7"/>
  <c r="Q154" i="7"/>
  <c r="G164" i="7"/>
  <c r="Q153" i="7"/>
  <c r="G163" i="7"/>
  <c r="Q152" i="7"/>
  <c r="G162" i="7"/>
  <c r="P137" i="7"/>
  <c r="P136" i="7"/>
  <c r="P135" i="7"/>
  <c r="M154" i="7"/>
  <c r="M153" i="7"/>
  <c r="M152" i="7"/>
  <c r="G154" i="7"/>
  <c r="G153" i="7"/>
  <c r="G152" i="7"/>
  <c r="Q144" i="7"/>
  <c r="Q143" i="7"/>
  <c r="Q142" i="7"/>
  <c r="O144" i="7"/>
  <c r="O143" i="7"/>
  <c r="O142" i="7"/>
  <c r="M144" i="7"/>
  <c r="M143" i="7"/>
  <c r="M142" i="7"/>
  <c r="K144" i="7"/>
  <c r="K154" i="7"/>
  <c r="K155" i="7"/>
  <c r="K143" i="7"/>
  <c r="K153" i="7"/>
  <c r="K142" i="7"/>
  <c r="K152" i="7"/>
  <c r="I144" i="7"/>
  <c r="I154" i="7"/>
  <c r="I143" i="7"/>
  <c r="I153" i="7"/>
  <c r="I142" i="7"/>
  <c r="I152" i="7"/>
  <c r="G144" i="7"/>
  <c r="G143" i="7"/>
  <c r="G142" i="7"/>
  <c r="E144" i="7"/>
  <c r="E154" i="7"/>
  <c r="E143" i="7"/>
  <c r="E153" i="7"/>
  <c r="E142" i="7"/>
  <c r="E152" i="7"/>
  <c r="L127" i="7"/>
  <c r="L126" i="7"/>
  <c r="O127" i="7"/>
  <c r="O126" i="7"/>
  <c r="O125" i="7"/>
  <c r="L125" i="7"/>
  <c r="I127" i="7"/>
  <c r="I126" i="7"/>
  <c r="I125" i="7"/>
  <c r="D127" i="7"/>
  <c r="D126" i="7"/>
  <c r="D125" i="7"/>
  <c r="P17" i="31"/>
  <c r="Q16" i="31"/>
  <c r="C118" i="7"/>
  <c r="C74" i="7"/>
  <c r="B118" i="7"/>
  <c r="P18" i="31"/>
  <c r="Q17" i="31"/>
  <c r="M12" i="27"/>
  <c r="V15" i="27"/>
  <c r="P19" i="31"/>
  <c r="Q18" i="31"/>
  <c r="B162" i="7"/>
  <c r="B152" i="7"/>
  <c r="B142" i="7"/>
  <c r="B135" i="7"/>
  <c r="B125" i="7"/>
  <c r="B163" i="7"/>
  <c r="B153" i="7"/>
  <c r="B143" i="7"/>
  <c r="B136" i="7"/>
  <c r="B126" i="7"/>
  <c r="B164" i="7"/>
  <c r="B154" i="7"/>
  <c r="B144" i="7"/>
  <c r="B137" i="7"/>
  <c r="B127" i="7"/>
  <c r="E14" i="27"/>
  <c r="M14" i="27"/>
  <c r="E13" i="27"/>
  <c r="M13" i="27"/>
  <c r="E16" i="27"/>
  <c r="E15" i="27"/>
  <c r="B3" i="27"/>
  <c r="F2" i="27"/>
  <c r="C2" i="27"/>
  <c r="P20" i="31"/>
  <c r="Q19" i="31"/>
  <c r="K6" i="4"/>
  <c r="P21" i="31"/>
  <c r="Q20" i="31"/>
  <c r="P22" i="31"/>
  <c r="Q21" i="31"/>
  <c r="U34" i="29"/>
  <c r="U35" i="29"/>
  <c r="H83" i="22"/>
  <c r="D100" i="22"/>
  <c r="F82" i="22"/>
  <c r="D77" i="22"/>
  <c r="H101" i="22"/>
  <c r="H77" i="22"/>
  <c r="J89" i="22"/>
  <c r="J77" i="22"/>
  <c r="D78" i="22"/>
  <c r="J90" i="22"/>
  <c r="J78" i="22"/>
  <c r="H99" i="22"/>
  <c r="J83" i="22"/>
  <c r="H78" i="22"/>
  <c r="D79" i="22"/>
  <c r="F99" i="22"/>
  <c r="F91" i="22"/>
  <c r="F79" i="22"/>
  <c r="H79" i="22"/>
  <c r="J99" i="22"/>
  <c r="J91" i="22"/>
  <c r="J79" i="22"/>
  <c r="D90" i="22"/>
  <c r="H82" i="22"/>
  <c r="J82" i="22"/>
  <c r="D99" i="22"/>
  <c r="D91" i="22"/>
  <c r="D83" i="22"/>
  <c r="F83" i="22"/>
  <c r="H91" i="22"/>
  <c r="F100" i="22"/>
  <c r="F78" i="22"/>
  <c r="J100" i="22"/>
  <c r="D89" i="22"/>
  <c r="F101" i="22"/>
  <c r="F77" i="22"/>
  <c r="H89" i="22"/>
  <c r="J101" i="22"/>
  <c r="D82" i="22"/>
  <c r="H90" i="22"/>
  <c r="M5" i="4"/>
  <c r="R34" i="9"/>
  <c r="K37" i="19" s="1"/>
  <c r="P23" i="31"/>
  <c r="Q22" i="31"/>
  <c r="F90" i="22"/>
  <c r="F89" i="22"/>
  <c r="H100" i="22"/>
  <c r="S35" i="29"/>
  <c r="D101" i="22"/>
  <c r="S34" i="29"/>
  <c r="S26" i="29"/>
  <c r="S27" i="29"/>
  <c r="BB10" i="26"/>
  <c r="AY10" i="26"/>
  <c r="AV10" i="26"/>
  <c r="AS10" i="26"/>
  <c r="AP10" i="26"/>
  <c r="AM10" i="26"/>
  <c r="AJ10" i="26"/>
  <c r="AG10" i="26"/>
  <c r="AD10" i="26"/>
  <c r="AA10" i="26"/>
  <c r="X10" i="26"/>
  <c r="U10" i="26"/>
  <c r="C8" i="26"/>
  <c r="C2" i="26"/>
  <c r="F2" i="26"/>
  <c r="P24" i="31"/>
  <c r="Q23" i="31"/>
  <c r="J134" i="7"/>
  <c r="E37" i="27"/>
  <c r="M37" i="27"/>
  <c r="O51" i="7"/>
  <c r="M134" i="7"/>
  <c r="E38" i="27"/>
  <c r="P25" i="31"/>
  <c r="Q24" i="31"/>
  <c r="I64" i="22"/>
  <c r="I63" i="22"/>
  <c r="I62" i="22"/>
  <c r="I61" i="22"/>
  <c r="N14" i="14"/>
  <c r="N15" i="14"/>
  <c r="N16" i="14"/>
  <c r="N17" i="14"/>
  <c r="N18" i="14"/>
  <c r="N20" i="14"/>
  <c r="N21" i="14"/>
  <c r="N22" i="14"/>
  <c r="N23" i="14"/>
  <c r="N24" i="14"/>
  <c r="N25" i="14"/>
  <c r="N26" i="14"/>
  <c r="N27" i="14"/>
  <c r="N28" i="14"/>
  <c r="N30" i="14"/>
  <c r="N31" i="14"/>
  <c r="N32" i="14"/>
  <c r="N33" i="14"/>
  <c r="N34" i="14"/>
  <c r="N36" i="14"/>
  <c r="N37" i="14"/>
  <c r="N38" i="14"/>
  <c r="N13" i="14"/>
  <c r="L14" i="14"/>
  <c r="L15" i="14"/>
  <c r="L16" i="14"/>
  <c r="L17" i="14"/>
  <c r="L18" i="14"/>
  <c r="L20" i="14"/>
  <c r="L21" i="14"/>
  <c r="L22" i="14"/>
  <c r="L23" i="14"/>
  <c r="L24" i="14"/>
  <c r="L25" i="14"/>
  <c r="L26" i="14"/>
  <c r="L27" i="14"/>
  <c r="L28" i="14"/>
  <c r="L30" i="14"/>
  <c r="L31" i="14"/>
  <c r="L32" i="14"/>
  <c r="L33" i="14"/>
  <c r="L34" i="14"/>
  <c r="L36" i="14"/>
  <c r="L37" i="14"/>
  <c r="L38" i="14"/>
  <c r="L13" i="14"/>
  <c r="C14" i="14"/>
  <c r="C16" i="14"/>
  <c r="C18" i="14"/>
  <c r="C20" i="14"/>
  <c r="C21" i="14"/>
  <c r="C22" i="14"/>
  <c r="C24" i="14"/>
  <c r="C26" i="14"/>
  <c r="C28" i="14"/>
  <c r="C30" i="14"/>
  <c r="C31" i="14"/>
  <c r="C32" i="14"/>
  <c r="C34" i="14"/>
  <c r="C36" i="14"/>
  <c r="C38" i="14"/>
  <c r="B14" i="14"/>
  <c r="B16" i="14"/>
  <c r="B18" i="14"/>
  <c r="B20" i="14"/>
  <c r="B22" i="14"/>
  <c r="B24" i="14"/>
  <c r="B26" i="14"/>
  <c r="B28" i="14"/>
  <c r="B30" i="14"/>
  <c r="B32" i="14"/>
  <c r="B34" i="14"/>
  <c r="B36" i="14"/>
  <c r="B38" i="14"/>
  <c r="B3" i="14"/>
  <c r="B45" i="13"/>
  <c r="B45" i="15" s="1"/>
  <c r="F4" i="25"/>
  <c r="F414" i="25"/>
  <c r="E414" i="25"/>
  <c r="K99" i="5"/>
  <c r="K76" i="5"/>
  <c r="K53" i="5"/>
  <c r="K30" i="5"/>
  <c r="P26" i="31"/>
  <c r="P27" i="31"/>
  <c r="Q25" i="31"/>
  <c r="M25" i="4"/>
  <c r="P28" i="31"/>
  <c r="Q27" i="31"/>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10" i="16"/>
  <c r="P29" i="31"/>
  <c r="Q28" i="31"/>
  <c r="O88" i="7"/>
  <c r="M88" i="7"/>
  <c r="K88" i="7"/>
  <c r="I88" i="7"/>
  <c r="G88" i="7"/>
  <c r="E88" i="7"/>
  <c r="W39" i="22"/>
  <c r="O87" i="7"/>
  <c r="M87" i="7"/>
  <c r="K87" i="7"/>
  <c r="I87" i="7"/>
  <c r="G87" i="7"/>
  <c r="O85" i="7"/>
  <c r="R86" i="22"/>
  <c r="R87" i="22"/>
  <c r="R85" i="22"/>
  <c r="R78" i="22"/>
  <c r="R79" i="22"/>
  <c r="AD63" i="22"/>
  <c r="AC63" i="22"/>
  <c r="AB63" i="22"/>
  <c r="AA63" i="22"/>
  <c r="Z63" i="22"/>
  <c r="Y63" i="22"/>
  <c r="X63" i="22"/>
  <c r="W63" i="22"/>
  <c r="Z51" i="4"/>
  <c r="M45" i="4"/>
  <c r="Z45" i="4"/>
  <c r="Z44" i="4"/>
  <c r="Z41" i="4"/>
  <c r="Z26" i="4"/>
  <c r="Z25" i="4"/>
  <c r="Z22" i="4"/>
  <c r="M22" i="4"/>
  <c r="M26" i="4"/>
  <c r="P30" i="31"/>
  <c r="Q29" i="31"/>
  <c r="Z65" i="22"/>
  <c r="R58" i="4"/>
  <c r="Z68" i="22"/>
  <c r="Z62" i="22"/>
  <c r="AD62" i="22"/>
  <c r="AB69" i="22"/>
  <c r="AB68" i="22"/>
  <c r="AB70" i="22"/>
  <c r="AB67" i="22"/>
  <c r="AB66" i="22"/>
  <c r="AB65" i="22"/>
  <c r="AB62" i="22"/>
  <c r="Z70" i="22"/>
  <c r="Z69" i="22"/>
  <c r="Z67" i="22"/>
  <c r="Z66" i="22"/>
  <c r="P31" i="31"/>
  <c r="Q30" i="31"/>
  <c r="P32" i="31"/>
  <c r="Q31" i="31"/>
  <c r="D42" i="7"/>
  <c r="D42" i="14"/>
  <c r="N7" i="7"/>
  <c r="N7" i="14"/>
  <c r="N35" i="7"/>
  <c r="N35" i="14"/>
  <c r="C27" i="7"/>
  <c r="C27" i="14"/>
  <c r="C17" i="7"/>
  <c r="C17" i="14"/>
  <c r="C9" i="7"/>
  <c r="C9" i="14"/>
  <c r="P33" i="31"/>
  <c r="Q32" i="31"/>
  <c r="E7" i="25"/>
  <c r="G5" i="25"/>
  <c r="F5" i="25"/>
  <c r="F7" i="25" s="1"/>
  <c r="D7" i="25" s="1"/>
  <c r="B4" i="1" s="1"/>
  <c r="E6" i="25"/>
  <c r="P34" i="31"/>
  <c r="Q33" i="31"/>
  <c r="G4" i="25"/>
  <c r="F6" i="25"/>
  <c r="H3" i="25"/>
  <c r="H2" i="25"/>
  <c r="H1" i="25"/>
  <c r="P35" i="31"/>
  <c r="Q34" i="31"/>
  <c r="D56" i="25"/>
  <c r="AX36" i="3" s="1"/>
  <c r="U28" i="3" s="1"/>
  <c r="B978" i="17"/>
  <c r="B966" i="17"/>
  <c r="B954" i="17"/>
  <c r="B928" i="17"/>
  <c r="B938" i="17"/>
  <c r="B946" i="17"/>
  <c r="B920" i="17"/>
  <c r="B911" i="17"/>
  <c r="B874" i="17"/>
  <c r="B876" i="17"/>
  <c r="B878" i="17"/>
  <c r="B880" i="17"/>
  <c r="B882" i="17"/>
  <c r="B884" i="17"/>
  <c r="B886" i="17"/>
  <c r="B888" i="17"/>
  <c r="B890" i="17"/>
  <c r="B892" i="17"/>
  <c r="B979" i="17"/>
  <c r="B935" i="17"/>
  <c r="B941" i="17"/>
  <c r="B949" i="17"/>
  <c r="B927" i="17"/>
  <c r="B914" i="17"/>
  <c r="B909" i="17"/>
  <c r="B904" i="17"/>
  <c r="B872" i="17"/>
  <c r="B869" i="17"/>
  <c r="B838" i="17"/>
  <c r="B825" i="17"/>
  <c r="B793" i="17"/>
  <c r="B798" i="17"/>
  <c r="B769" i="17"/>
  <c r="B774" i="17"/>
  <c r="B776" i="17"/>
  <c r="B781" i="17"/>
  <c r="B723" i="17"/>
  <c r="B731" i="17"/>
  <c r="B739" i="17"/>
  <c r="B752" i="17"/>
  <c r="B678" i="17"/>
  <c r="B980" i="17"/>
  <c r="B955" i="17"/>
  <c r="B929" i="17"/>
  <c r="B932" i="17"/>
  <c r="B944" i="17"/>
  <c r="B917" i="17"/>
  <c r="B922" i="17"/>
  <c r="B901" i="17"/>
  <c r="B898" i="17"/>
  <c r="B842" i="17"/>
  <c r="B835" i="17"/>
  <c r="B815" i="17"/>
  <c r="B817" i="17"/>
  <c r="B819" i="17"/>
  <c r="B821" i="17"/>
  <c r="B800" i="17"/>
  <c r="B805" i="17"/>
  <c r="B807" i="17"/>
  <c r="B964" i="17"/>
  <c r="B967" i="17"/>
  <c r="B957" i="17"/>
  <c r="B963" i="17"/>
  <c r="B936" i="17"/>
  <c r="B939" i="17"/>
  <c r="B947" i="17"/>
  <c r="B912" i="17"/>
  <c r="B899" i="17"/>
  <c r="B843" i="17"/>
  <c r="B845" i="17"/>
  <c r="B847" i="17"/>
  <c r="B849" i="17"/>
  <c r="B851" i="17"/>
  <c r="B853" i="17"/>
  <c r="B855" i="17"/>
  <c r="B857" i="17"/>
  <c r="B859" i="17"/>
  <c r="B861" i="17"/>
  <c r="B863" i="17"/>
  <c r="B865" i="17"/>
  <c r="B867" i="17"/>
  <c r="B836" i="17"/>
  <c r="B826" i="17"/>
  <c r="B803" i="17"/>
  <c r="B765" i="17"/>
  <c r="B767" i="17"/>
  <c r="B779" i="17"/>
  <c r="B729" i="17"/>
  <c r="B737" i="17"/>
  <c r="B750" i="17"/>
  <c r="B663" i="17"/>
  <c r="B676" i="17"/>
  <c r="B706" i="17"/>
  <c r="B714" i="17"/>
  <c r="B722" i="17"/>
  <c r="B658" i="17"/>
  <c r="B643" i="17"/>
  <c r="B645" i="17"/>
  <c r="B607" i="17"/>
  <c r="B619" i="17"/>
  <c r="B627" i="17"/>
  <c r="B600" i="17"/>
  <c r="B565" i="17"/>
  <c r="B567" i="17"/>
  <c r="B569" i="17"/>
  <c r="B571" i="17"/>
  <c r="B541" i="17"/>
  <c r="B549" i="17"/>
  <c r="B554" i="17"/>
  <c r="B506" i="17"/>
  <c r="B521" i="17"/>
  <c r="B529" i="17"/>
  <c r="B536" i="17"/>
  <c r="B496" i="17"/>
  <c r="B492" i="17"/>
  <c r="B960" i="17"/>
  <c r="B930" i="17"/>
  <c r="B945" i="17"/>
  <c r="B910" i="17"/>
  <c r="B902" i="17"/>
  <c r="B839" i="17"/>
  <c r="B801" i="17"/>
  <c r="B797" i="17"/>
  <c r="B773" i="17"/>
  <c r="B775" i="17"/>
  <c r="B777" i="17"/>
  <c r="B727" i="17"/>
  <c r="B735" i="17"/>
  <c r="B743" i="17"/>
  <c r="B748" i="17"/>
  <c r="B756" i="17"/>
  <c r="B760" i="17"/>
  <c r="B674" i="17"/>
  <c r="B704" i="17"/>
  <c r="B712" i="17"/>
  <c r="B720" i="17"/>
  <c r="B641" i="17"/>
  <c r="B605" i="17"/>
  <c r="B617" i="17"/>
  <c r="B625" i="17"/>
  <c r="B585" i="17"/>
  <c r="B587" i="17"/>
  <c r="B589" i="17"/>
  <c r="B591" i="17"/>
  <c r="B593" i="17"/>
  <c r="B595" i="17"/>
  <c r="B598" i="17"/>
  <c r="B539" i="17"/>
  <c r="B547" i="17"/>
  <c r="B504" i="17"/>
  <c r="B512" i="17"/>
  <c r="B519" i="17"/>
  <c r="B527" i="17"/>
  <c r="B532" i="17"/>
  <c r="B534" i="17"/>
  <c r="B493" i="17"/>
  <c r="B976" i="17"/>
  <c r="B953" i="17"/>
  <c r="B931" i="17"/>
  <c r="B934" i="17"/>
  <c r="B943" i="17"/>
  <c r="B903" i="17"/>
  <c r="B844" i="17"/>
  <c r="B846" i="17"/>
  <c r="B848" i="17"/>
  <c r="B850" i="17"/>
  <c r="B852" i="17"/>
  <c r="B854" i="17"/>
  <c r="B856" i="17"/>
  <c r="B858" i="17"/>
  <c r="B860" i="17"/>
  <c r="B862" i="17"/>
  <c r="B864" i="17"/>
  <c r="B866" i="17"/>
  <c r="B795" i="17"/>
  <c r="B764" i="17"/>
  <c r="B766" i="17"/>
  <c r="B771" i="17"/>
  <c r="B783" i="17"/>
  <c r="B725" i="17"/>
  <c r="B733" i="17"/>
  <c r="B741" i="17"/>
  <c r="B746" i="17"/>
  <c r="B754" i="17"/>
  <c r="B680" i="17"/>
  <c r="B710" i="17"/>
  <c r="B718" i="17"/>
  <c r="B644" i="17"/>
  <c r="B603" i="17"/>
  <c r="B615" i="17"/>
  <c r="B940" i="17"/>
  <c r="B887" i="17"/>
  <c r="B778" i="17"/>
  <c r="B724" i="17"/>
  <c r="B740" i="17"/>
  <c r="B749" i="17"/>
  <c r="B664" i="17"/>
  <c r="B666" i="17"/>
  <c r="B668" i="17"/>
  <c r="B670" i="17"/>
  <c r="B672" i="17"/>
  <c r="B681" i="17"/>
  <c r="B683" i="17"/>
  <c r="B685" i="17"/>
  <c r="B687" i="17"/>
  <c r="B689" i="17"/>
  <c r="B691" i="17"/>
  <c r="B693" i="17"/>
  <c r="B695" i="17"/>
  <c r="B697" i="17"/>
  <c r="B699" i="17"/>
  <c r="B701" i="17"/>
  <c r="B703" i="17"/>
  <c r="B709" i="17"/>
  <c r="B631" i="17"/>
  <c r="B588" i="17"/>
  <c r="B553" i="17"/>
  <c r="B511" i="17"/>
  <c r="B376" i="17"/>
  <c r="B384" i="17"/>
  <c r="B392" i="17"/>
  <c r="B409" i="17"/>
  <c r="B417" i="17"/>
  <c r="B425" i="17"/>
  <c r="B433" i="17"/>
  <c r="B441" i="17"/>
  <c r="B306" i="17"/>
  <c r="B322" i="17"/>
  <c r="B346" i="17"/>
  <c r="B363" i="17"/>
  <c r="B410" i="17"/>
  <c r="B331" i="17"/>
  <c r="B364" i="17"/>
  <c r="B651" i="17"/>
  <c r="B407" i="17"/>
  <c r="B312" i="17"/>
  <c r="B353" i="17"/>
  <c r="B913" i="17"/>
  <c r="B905" i="17"/>
  <c r="B885" i="17"/>
  <c r="B894" i="17"/>
  <c r="B809" i="17"/>
  <c r="B811" i="17"/>
  <c r="B813" i="17"/>
  <c r="B785" i="17"/>
  <c r="B787" i="17"/>
  <c r="B789" i="17"/>
  <c r="B791" i="17"/>
  <c r="B734" i="17"/>
  <c r="B675" i="17"/>
  <c r="B620" i="17"/>
  <c r="B586" i="17"/>
  <c r="B556" i="17"/>
  <c r="B558" i="17"/>
  <c r="B560" i="17"/>
  <c r="B562" i="17"/>
  <c r="B564" i="17"/>
  <c r="B542" i="17"/>
  <c r="B514" i="17"/>
  <c r="B516" i="17"/>
  <c r="B522" i="17"/>
  <c r="B533" i="17"/>
  <c r="B455" i="17"/>
  <c r="B377" i="17"/>
  <c r="B385" i="17"/>
  <c r="B402" i="17"/>
  <c r="B418" i="17"/>
  <c r="B426" i="17"/>
  <c r="B434" i="17"/>
  <c r="B442" i="17"/>
  <c r="B315" i="17"/>
  <c r="B347" i="17"/>
  <c r="B745" i="17"/>
  <c r="B661" i="17"/>
  <c r="B613" i="17"/>
  <c r="B450" i="17"/>
  <c r="B382" i="17"/>
  <c r="B431" i="17"/>
  <c r="B336" i="17"/>
  <c r="B937" i="17"/>
  <c r="B948" i="17"/>
  <c r="B921" i="17"/>
  <c r="B871" i="17"/>
  <c r="B883" i="17"/>
  <c r="B822" i="17"/>
  <c r="B802" i="17"/>
  <c r="B794" i="17"/>
  <c r="B770" i="17"/>
  <c r="B782" i="17"/>
  <c r="B728" i="17"/>
  <c r="B744" i="17"/>
  <c r="B753" i="17"/>
  <c r="B707" i="17"/>
  <c r="B713" i="17"/>
  <c r="B716" i="17"/>
  <c r="B719" i="17"/>
  <c r="B650" i="17"/>
  <c r="B652" i="17"/>
  <c r="B654" i="17"/>
  <c r="B656" i="17"/>
  <c r="B647" i="17"/>
  <c r="B604" i="17"/>
  <c r="B610" i="17"/>
  <c r="B612" i="17"/>
  <c r="B614" i="17"/>
  <c r="B623" i="17"/>
  <c r="B626" i="17"/>
  <c r="B629" i="17"/>
  <c r="B584" i="17"/>
  <c r="B599" i="17"/>
  <c r="B602" i="17"/>
  <c r="B545" i="17"/>
  <c r="B548" i="17"/>
  <c r="B551" i="17"/>
  <c r="B503" i="17"/>
  <c r="B509" i="17"/>
  <c r="B525" i="17"/>
  <c r="B528" i="17"/>
  <c r="B531" i="17"/>
  <c r="B501" i="17"/>
  <c r="B497" i="17"/>
  <c r="B469" i="17"/>
  <c r="B451" i="17"/>
  <c r="B453" i="17"/>
  <c r="B459" i="17"/>
  <c r="B378" i="17"/>
  <c r="B386" i="17"/>
  <c r="B394" i="17"/>
  <c r="B403" i="17"/>
  <c r="B411" i="17"/>
  <c r="B419" i="17"/>
  <c r="B427" i="17"/>
  <c r="B435" i="17"/>
  <c r="B370" i="17"/>
  <c r="B308" i="17"/>
  <c r="B316" i="17"/>
  <c r="B324" i="17"/>
  <c r="B332" i="17"/>
  <c r="B340" i="17"/>
  <c r="B348" i="17"/>
  <c r="B357" i="17"/>
  <c r="B304" i="17"/>
  <c r="B379" i="17"/>
  <c r="B436" i="17"/>
  <c r="B317" i="17"/>
  <c r="B333" i="17"/>
  <c r="B349" i="17"/>
  <c r="B471" i="17"/>
  <c r="B439" i="17"/>
  <c r="B959" i="17"/>
  <c r="B933" i="17"/>
  <c r="B923" i="17"/>
  <c r="B897" i="17"/>
  <c r="B881" i="17"/>
  <c r="B870" i="17"/>
  <c r="B837" i="17"/>
  <c r="B820" i="17"/>
  <c r="B738" i="17"/>
  <c r="B747" i="17"/>
  <c r="B662" i="17"/>
  <c r="B679" i="17"/>
  <c r="B635" i="17"/>
  <c r="B637" i="17"/>
  <c r="B639" i="17"/>
  <c r="B632" i="17"/>
  <c r="B634" i="17"/>
  <c r="B576" i="17"/>
  <c r="B578" i="17"/>
  <c r="B580" i="17"/>
  <c r="B582" i="17"/>
  <c r="B596" i="17"/>
  <c r="B572" i="17"/>
  <c r="B574" i="17"/>
  <c r="B473" i="17"/>
  <c r="B475" i="17"/>
  <c r="B477" i="17"/>
  <c r="B479" i="17"/>
  <c r="B481" i="17"/>
  <c r="B483" i="17"/>
  <c r="B485" i="17"/>
  <c r="B487" i="17"/>
  <c r="B466" i="17"/>
  <c r="B444" i="17"/>
  <c r="B446" i="17"/>
  <c r="B448" i="17"/>
  <c r="B371" i="17"/>
  <c r="B387" i="17"/>
  <c r="B395" i="17"/>
  <c r="B404" i="17"/>
  <c r="B412" i="17"/>
  <c r="B420" i="17"/>
  <c r="B428" i="17"/>
  <c r="B351" i="17"/>
  <c r="B309" i="17"/>
  <c r="B325" i="17"/>
  <c r="B341" i="17"/>
  <c r="B915" i="17"/>
  <c r="B806" i="17"/>
  <c r="B736" i="17"/>
  <c r="B653" i="17"/>
  <c r="B592" i="17"/>
  <c r="B374" i="17"/>
  <c r="B423" i="17"/>
  <c r="B344" i="17"/>
  <c r="B879" i="17"/>
  <c r="B818" i="17"/>
  <c r="B732" i="17"/>
  <c r="B665" i="17"/>
  <c r="B667" i="17"/>
  <c r="B669" i="17"/>
  <c r="B671" i="17"/>
  <c r="B673" i="17"/>
  <c r="B682" i="17"/>
  <c r="B684" i="17"/>
  <c r="B686" i="17"/>
  <c r="B688" i="17"/>
  <c r="B690" i="17"/>
  <c r="B692" i="17"/>
  <c r="B694" i="17"/>
  <c r="B696" i="17"/>
  <c r="B698" i="17"/>
  <c r="B700" i="17"/>
  <c r="B702" i="17"/>
  <c r="B642" i="17"/>
  <c r="B608" i="17"/>
  <c r="B618" i="17"/>
  <c r="B621" i="17"/>
  <c r="B540" i="17"/>
  <c r="B543" i="17"/>
  <c r="B507" i="17"/>
  <c r="B517" i="17"/>
  <c r="B520" i="17"/>
  <c r="B523" i="17"/>
  <c r="B372" i="17"/>
  <c r="B380" i="17"/>
  <c r="B388" i="17"/>
  <c r="B396" i="17"/>
  <c r="B405" i="17"/>
  <c r="B413" i="17"/>
  <c r="B421" i="17"/>
  <c r="B429" i="17"/>
  <c r="B437" i="17"/>
  <c r="B367" i="17"/>
  <c r="B310" i="17"/>
  <c r="B318" i="17"/>
  <c r="B326" i="17"/>
  <c r="B334" i="17"/>
  <c r="B342" i="17"/>
  <c r="B350" i="17"/>
  <c r="B359" i="17"/>
  <c r="B513" i="17"/>
  <c r="B526" i="17"/>
  <c r="B495" i="17"/>
  <c r="B467" i="17"/>
  <c r="B373" i="17"/>
  <c r="B398" i="17"/>
  <c r="B414" i="17"/>
  <c r="B430" i="17"/>
  <c r="B438" i="17"/>
  <c r="B311" i="17"/>
  <c r="B319" i="17"/>
  <c r="B335" i="17"/>
  <c r="B352" i="17"/>
  <c r="B875" i="17"/>
  <c r="B868" i="17"/>
  <c r="B677" i="17"/>
  <c r="B655" i="17"/>
  <c r="B452" i="17"/>
  <c r="B390" i="17"/>
  <c r="B320" i="17"/>
  <c r="B942" i="17"/>
  <c r="B918" i="17"/>
  <c r="B877" i="17"/>
  <c r="B893" i="17"/>
  <c r="B895" i="17"/>
  <c r="B816" i="17"/>
  <c r="B808" i="17"/>
  <c r="B810" i="17"/>
  <c r="B812" i="17"/>
  <c r="B814" i="17"/>
  <c r="B786" i="17"/>
  <c r="B788" i="17"/>
  <c r="B790" i="17"/>
  <c r="B792" i="17"/>
  <c r="B768" i="17"/>
  <c r="B780" i="17"/>
  <c r="B763" i="17"/>
  <c r="B726" i="17"/>
  <c r="B742" i="17"/>
  <c r="B751" i="17"/>
  <c r="B705" i="17"/>
  <c r="B708" i="17"/>
  <c r="B711" i="17"/>
  <c r="B717" i="17"/>
  <c r="B648" i="17"/>
  <c r="B624" i="17"/>
  <c r="B630" i="17"/>
  <c r="B594" i="17"/>
  <c r="B555" i="17"/>
  <c r="B557" i="17"/>
  <c r="B559" i="17"/>
  <c r="B561" i="17"/>
  <c r="B563" i="17"/>
  <c r="B570" i="17"/>
  <c r="B546" i="17"/>
  <c r="B552" i="17"/>
  <c r="B510" i="17"/>
  <c r="B515" i="17"/>
  <c r="B537" i="17"/>
  <c r="B490" i="17"/>
  <c r="B381" i="17"/>
  <c r="B389" i="17"/>
  <c r="B406" i="17"/>
  <c r="B422" i="17"/>
  <c r="B366" i="17"/>
  <c r="B327" i="17"/>
  <c r="B343" i="17"/>
  <c r="B360" i="17"/>
  <c r="B891" i="17"/>
  <c r="B759" i="17"/>
  <c r="B657" i="17"/>
  <c r="B611" i="17"/>
  <c r="B568" i="17"/>
  <c r="B399" i="17"/>
  <c r="B365" i="17"/>
  <c r="B361" i="17"/>
  <c r="B950" i="17"/>
  <c r="B919" i="17"/>
  <c r="B873" i="17"/>
  <c r="B889" i="17"/>
  <c r="B804" i="17"/>
  <c r="B796" i="17"/>
  <c r="B799" i="17"/>
  <c r="B772" i="17"/>
  <c r="B784" i="17"/>
  <c r="B730" i="17"/>
  <c r="B755" i="17"/>
  <c r="B715" i="17"/>
  <c r="B721" i="17"/>
  <c r="B649" i="17"/>
  <c r="B636" i="17"/>
  <c r="B638" i="17"/>
  <c r="B640" i="17"/>
  <c r="B646" i="17"/>
  <c r="B606" i="17"/>
  <c r="B609" i="17"/>
  <c r="B616" i="17"/>
  <c r="B622" i="17"/>
  <c r="B628" i="17"/>
  <c r="B633" i="17"/>
  <c r="B575" i="17"/>
  <c r="B577" i="17"/>
  <c r="B579" i="17"/>
  <c r="B581" i="17"/>
  <c r="B590" i="17"/>
  <c r="B601" i="17"/>
  <c r="B566" i="17"/>
  <c r="B573" i="17"/>
  <c r="B538" i="17"/>
  <c r="B544" i="17"/>
  <c r="B550" i="17"/>
  <c r="B502" i="17"/>
  <c r="B505" i="17"/>
  <c r="B508" i="17"/>
  <c r="B518" i="17"/>
  <c r="B524" i="17"/>
  <c r="B530" i="17"/>
  <c r="B535" i="17"/>
  <c r="B472" i="17"/>
  <c r="B474" i="17"/>
  <c r="B476" i="17"/>
  <c r="B478" i="17"/>
  <c r="B480" i="17"/>
  <c r="B482" i="17"/>
  <c r="B484" i="17"/>
  <c r="B486" i="17"/>
  <c r="B488" i="17"/>
  <c r="B465" i="17"/>
  <c r="B468" i="17"/>
  <c r="B443" i="17"/>
  <c r="B445" i="17"/>
  <c r="B447" i="17"/>
  <c r="B449" i="17"/>
  <c r="B375" i="17"/>
  <c r="B383" i="17"/>
  <c r="B391" i="17"/>
  <c r="B400" i="17"/>
  <c r="B408" i="17"/>
  <c r="B416" i="17"/>
  <c r="B424" i="17"/>
  <c r="B432" i="17"/>
  <c r="B440" i="17"/>
  <c r="B305" i="17"/>
  <c r="B313" i="17"/>
  <c r="B321" i="17"/>
  <c r="B329" i="17"/>
  <c r="B337" i="17"/>
  <c r="B345" i="17"/>
  <c r="B354" i="17"/>
  <c r="B362" i="17"/>
  <c r="B401" i="17"/>
  <c r="B314" i="17"/>
  <c r="B330" i="17"/>
  <c r="B338" i="17"/>
  <c r="B355" i="17"/>
  <c r="B393" i="17"/>
  <c r="B307" i="17"/>
  <c r="B323" i="17"/>
  <c r="B339" i="17"/>
  <c r="B356" i="17"/>
  <c r="B358" i="17"/>
  <c r="B491" i="17"/>
  <c r="B454" i="17"/>
  <c r="B415" i="17"/>
  <c r="B328" i="17"/>
  <c r="B298"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160" i="17"/>
  <c r="B162" i="17"/>
  <c r="B164" i="17"/>
  <c r="B166" i="17"/>
  <c r="B168" i="17"/>
  <c r="B170" i="17"/>
  <c r="B172" i="17"/>
  <c r="B174" i="17"/>
  <c r="B176" i="17"/>
  <c r="B178" i="17"/>
  <c r="B180" i="17"/>
  <c r="B182" i="17"/>
  <c r="B184" i="17"/>
  <c r="B186" i="17"/>
  <c r="B188" i="17"/>
  <c r="G298"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160" i="17"/>
  <c r="G162" i="17"/>
  <c r="G164" i="17"/>
  <c r="G166" i="17"/>
  <c r="G168" i="17"/>
  <c r="G170" i="17"/>
  <c r="G172" i="17"/>
  <c r="G174" i="17"/>
  <c r="G176" i="17"/>
  <c r="G178" i="17"/>
  <c r="G180" i="17"/>
  <c r="G182" i="17"/>
  <c r="G184" i="17"/>
  <c r="G186" i="17"/>
  <c r="G188" i="17"/>
  <c r="G190" i="17"/>
  <c r="G192" i="17"/>
  <c r="G194" i="17"/>
  <c r="G196" i="17"/>
  <c r="G198" i="17"/>
  <c r="G200" i="17"/>
  <c r="G202" i="17"/>
  <c r="G204" i="17"/>
  <c r="G206" i="17"/>
  <c r="G208" i="17"/>
  <c r="G210" i="17"/>
  <c r="G212" i="17"/>
  <c r="G214" i="17"/>
  <c r="G216" i="17"/>
  <c r="G218" i="17"/>
  <c r="G220" i="17"/>
  <c r="G222" i="17"/>
  <c r="G224" i="17"/>
  <c r="G226" i="17"/>
  <c r="G228" i="17"/>
  <c r="G230" i="17"/>
  <c r="H298"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160" i="17"/>
  <c r="H162" i="17"/>
  <c r="H164" i="17"/>
  <c r="H166" i="17"/>
  <c r="H168" i="17"/>
  <c r="H170" i="17"/>
  <c r="H172" i="17"/>
  <c r="H174" i="17"/>
  <c r="H176" i="17"/>
  <c r="H178" i="17"/>
  <c r="H180" i="17"/>
  <c r="H182" i="17"/>
  <c r="H184" i="17"/>
  <c r="H186" i="17"/>
  <c r="H188" i="17"/>
  <c r="H190" i="17"/>
  <c r="H192" i="17"/>
  <c r="H194" i="17"/>
  <c r="H196" i="17"/>
  <c r="H198" i="17"/>
  <c r="H200" i="17"/>
  <c r="H202" i="17"/>
  <c r="H204" i="17"/>
  <c r="H206" i="17"/>
  <c r="H208" i="17"/>
  <c r="H210" i="17"/>
  <c r="H212" i="17"/>
  <c r="H214" i="17"/>
  <c r="H216" i="17"/>
  <c r="H218" i="17"/>
  <c r="H220" i="17"/>
  <c r="H222" i="17"/>
  <c r="H224" i="17"/>
  <c r="H226" i="17"/>
  <c r="H228" i="17"/>
  <c r="H230" i="17"/>
  <c r="I298"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160" i="17"/>
  <c r="I162" i="17"/>
  <c r="I164" i="17"/>
  <c r="I166" i="17"/>
  <c r="I168" i="17"/>
  <c r="I170" i="17"/>
  <c r="I172" i="17"/>
  <c r="I174" i="17"/>
  <c r="I176" i="17"/>
  <c r="I178" i="17"/>
  <c r="I180" i="17"/>
  <c r="I182" i="17"/>
  <c r="I184" i="17"/>
  <c r="I186" i="17"/>
  <c r="I188" i="17"/>
  <c r="I190" i="17"/>
  <c r="I192" i="17"/>
  <c r="I194" i="17"/>
  <c r="I196" i="17"/>
  <c r="I198" i="17"/>
  <c r="I200" i="17"/>
  <c r="I202" i="17"/>
  <c r="I204" i="17"/>
  <c r="I206" i="17"/>
  <c r="I208" i="17"/>
  <c r="I210" i="17"/>
  <c r="I212" i="17"/>
  <c r="I214" i="17"/>
  <c r="I216" i="17"/>
  <c r="I218" i="17"/>
  <c r="I220" i="17"/>
  <c r="I222" i="17"/>
  <c r="I224" i="17"/>
  <c r="I226" i="17"/>
  <c r="I228" i="17"/>
  <c r="I230" i="17"/>
  <c r="B297" i="17"/>
  <c r="B299" i="17"/>
  <c r="B65" i="17"/>
  <c r="B67" i="17"/>
  <c r="B69" i="17"/>
  <c r="B71" i="17"/>
  <c r="B73" i="17"/>
  <c r="B75" i="17"/>
  <c r="B77" i="17"/>
  <c r="B79" i="17"/>
  <c r="B81" i="17"/>
  <c r="B83" i="17"/>
  <c r="B85" i="17"/>
  <c r="B87" i="17"/>
  <c r="B89" i="17"/>
  <c r="B91" i="17"/>
  <c r="B93" i="17"/>
  <c r="B95" i="17"/>
  <c r="B97" i="17"/>
  <c r="B99" i="17"/>
  <c r="B101" i="17"/>
  <c r="B103" i="17"/>
  <c r="B105" i="17"/>
  <c r="B107" i="17"/>
  <c r="B109" i="17"/>
  <c r="B111" i="17"/>
  <c r="B113" i="17"/>
  <c r="B115" i="17"/>
  <c r="B117" i="17"/>
  <c r="B119" i="17"/>
  <c r="B121" i="17"/>
  <c r="B123" i="17"/>
  <c r="B125" i="17"/>
  <c r="B127" i="17"/>
  <c r="B129" i="17"/>
  <c r="B131" i="17"/>
  <c r="B133" i="17"/>
  <c r="B135" i="17"/>
  <c r="B137" i="17"/>
  <c r="B139" i="17"/>
  <c r="B141" i="17"/>
  <c r="B143" i="17"/>
  <c r="B145" i="17"/>
  <c r="B147" i="17"/>
  <c r="B149" i="17"/>
  <c r="B151" i="17"/>
  <c r="B153" i="17"/>
  <c r="B155" i="17"/>
  <c r="B157" i="17"/>
  <c r="B159" i="17"/>
  <c r="B161" i="17"/>
  <c r="B163" i="17"/>
  <c r="B165" i="17"/>
  <c r="B167" i="17"/>
  <c r="B169" i="17"/>
  <c r="B171" i="17"/>
  <c r="B173" i="17"/>
  <c r="B175" i="17"/>
  <c r="B177" i="17"/>
  <c r="B179" i="17"/>
  <c r="B181" i="17"/>
  <c r="B183" i="17"/>
  <c r="B185" i="17"/>
  <c r="B187" i="17"/>
  <c r="B189" i="17"/>
  <c r="B191" i="17"/>
  <c r="B193" i="17"/>
  <c r="B195" i="17"/>
  <c r="B197" i="17"/>
  <c r="B199" i="17"/>
  <c r="B201" i="17"/>
  <c r="B203" i="17"/>
  <c r="B205" i="17"/>
  <c r="B207" i="17"/>
  <c r="B209" i="17"/>
  <c r="B211" i="17"/>
  <c r="B213" i="17"/>
  <c r="B215" i="17"/>
  <c r="B217" i="17"/>
  <c r="B219" i="17"/>
  <c r="B221" i="17"/>
  <c r="B223" i="17"/>
  <c r="B225" i="17"/>
  <c r="G297" i="17"/>
  <c r="G299" i="17"/>
  <c r="G65" i="17"/>
  <c r="G67" i="17"/>
  <c r="G69" i="17"/>
  <c r="G71" i="17"/>
  <c r="G73" i="17"/>
  <c r="G75" i="17"/>
  <c r="G77" i="17"/>
  <c r="G79" i="17"/>
  <c r="G81" i="17"/>
  <c r="G83" i="17"/>
  <c r="G85" i="17"/>
  <c r="G87" i="17"/>
  <c r="G89" i="17"/>
  <c r="G91" i="17"/>
  <c r="G93" i="17"/>
  <c r="G95" i="17"/>
  <c r="G97" i="17"/>
  <c r="G99" i="17"/>
  <c r="G101" i="17"/>
  <c r="G103" i="17"/>
  <c r="G105" i="17"/>
  <c r="G107" i="17"/>
  <c r="G109" i="17"/>
  <c r="G111" i="17"/>
  <c r="G113" i="17"/>
  <c r="G115" i="17"/>
  <c r="G117" i="17"/>
  <c r="G119" i="17"/>
  <c r="G121" i="17"/>
  <c r="G123" i="17"/>
  <c r="G125" i="17"/>
  <c r="G127" i="17"/>
  <c r="G129" i="17"/>
  <c r="G131" i="17"/>
  <c r="G133" i="17"/>
  <c r="G135" i="17"/>
  <c r="G137" i="17"/>
  <c r="G139" i="17"/>
  <c r="G141" i="17"/>
  <c r="G143" i="17"/>
  <c r="G145" i="17"/>
  <c r="G147" i="17"/>
  <c r="G149" i="17"/>
  <c r="G151" i="17"/>
  <c r="G153" i="17"/>
  <c r="G155" i="17"/>
  <c r="G157" i="17"/>
  <c r="G159" i="17"/>
  <c r="G161" i="17"/>
  <c r="G163" i="17"/>
  <c r="G165" i="17"/>
  <c r="G167" i="17"/>
  <c r="G169" i="17"/>
  <c r="G171" i="17"/>
  <c r="G173" i="17"/>
  <c r="G175" i="17"/>
  <c r="G177" i="17"/>
  <c r="G179" i="17"/>
  <c r="G181" i="17"/>
  <c r="G183" i="17"/>
  <c r="G185" i="17"/>
  <c r="G187" i="17"/>
  <c r="G189" i="17"/>
  <c r="G191" i="17"/>
  <c r="G193" i="17"/>
  <c r="G195" i="17"/>
  <c r="G197" i="17"/>
  <c r="G199" i="17"/>
  <c r="G201" i="17"/>
  <c r="G203" i="17"/>
  <c r="G205" i="17"/>
  <c r="G207" i="17"/>
  <c r="G209" i="17"/>
  <c r="G211" i="17"/>
  <c r="G213" i="17"/>
  <c r="G215" i="17"/>
  <c r="G217" i="17"/>
  <c r="G219" i="17"/>
  <c r="G221" i="17"/>
  <c r="G223" i="17"/>
  <c r="I297" i="17"/>
  <c r="I299" i="17"/>
  <c r="I65" i="17"/>
  <c r="I67" i="17"/>
  <c r="I69" i="17"/>
  <c r="I71" i="17"/>
  <c r="I73" i="17"/>
  <c r="I75" i="17"/>
  <c r="I77" i="17"/>
  <c r="I79" i="17"/>
  <c r="I81" i="17"/>
  <c r="I83" i="17"/>
  <c r="I85" i="17"/>
  <c r="I87" i="17"/>
  <c r="I89" i="17"/>
  <c r="I91" i="17"/>
  <c r="I93" i="17"/>
  <c r="I95" i="17"/>
  <c r="I97" i="17"/>
  <c r="I99" i="17"/>
  <c r="I101" i="17"/>
  <c r="I103" i="17"/>
  <c r="I105" i="17"/>
  <c r="I107" i="17"/>
  <c r="I109" i="17"/>
  <c r="I111" i="17"/>
  <c r="I113" i="17"/>
  <c r="I115" i="17"/>
  <c r="I117" i="17"/>
  <c r="I119" i="17"/>
  <c r="I121" i="17"/>
  <c r="I123" i="17"/>
  <c r="I125" i="17"/>
  <c r="I127" i="17"/>
  <c r="I129" i="17"/>
  <c r="I131" i="17"/>
  <c r="I133" i="17"/>
  <c r="I135" i="17"/>
  <c r="I137" i="17"/>
  <c r="I139" i="17"/>
  <c r="I141" i="17"/>
  <c r="I143" i="17"/>
  <c r="I145" i="17"/>
  <c r="I147" i="17"/>
  <c r="I149" i="17"/>
  <c r="I151" i="17"/>
  <c r="I153" i="17"/>
  <c r="I155" i="17"/>
  <c r="I157" i="17"/>
  <c r="I159" i="17"/>
  <c r="I161" i="17"/>
  <c r="I163" i="17"/>
  <c r="I165" i="17"/>
  <c r="I167" i="17"/>
  <c r="I169" i="17"/>
  <c r="I171" i="17"/>
  <c r="I173" i="17"/>
  <c r="I175" i="17"/>
  <c r="I177" i="17"/>
  <c r="I179" i="17"/>
  <c r="I181" i="17"/>
  <c r="I183" i="17"/>
  <c r="I185" i="17"/>
  <c r="I187" i="17"/>
  <c r="I189" i="17"/>
  <c r="I191" i="17"/>
  <c r="I193" i="17"/>
  <c r="I195" i="17"/>
  <c r="I197" i="17"/>
  <c r="I199" i="17"/>
  <c r="I201" i="17"/>
  <c r="I203" i="17"/>
  <c r="I205" i="17"/>
  <c r="I207" i="17"/>
  <c r="I209" i="17"/>
  <c r="I211" i="17"/>
  <c r="I213" i="17"/>
  <c r="I215" i="17"/>
  <c r="I217" i="17"/>
  <c r="I219" i="17"/>
  <c r="I221" i="17"/>
  <c r="I223" i="17"/>
  <c r="I225" i="17"/>
  <c r="I227" i="17"/>
  <c r="I229" i="17"/>
  <c r="H69" i="17"/>
  <c r="H85" i="17"/>
  <c r="H101" i="17"/>
  <c r="H117" i="17"/>
  <c r="H133" i="17"/>
  <c r="H149" i="17"/>
  <c r="H165" i="17"/>
  <c r="H181" i="17"/>
  <c r="H193" i="17"/>
  <c r="H201" i="17"/>
  <c r="H209" i="17"/>
  <c r="H217" i="17"/>
  <c r="G225" i="17"/>
  <c r="G229" i="17"/>
  <c r="G232" i="17"/>
  <c r="G234" i="17"/>
  <c r="G236" i="17"/>
  <c r="G238" i="17"/>
  <c r="G240" i="17"/>
  <c r="G242" i="17"/>
  <c r="G244" i="17"/>
  <c r="G246" i="17"/>
  <c r="G248" i="17"/>
  <c r="G250" i="17"/>
  <c r="G252" i="17"/>
  <c r="G254" i="17"/>
  <c r="G256" i="17"/>
  <c r="G258" i="17"/>
  <c r="G260" i="17"/>
  <c r="G262" i="17"/>
  <c r="G264" i="17"/>
  <c r="G266" i="17"/>
  <c r="G268" i="17"/>
  <c r="G270" i="17"/>
  <c r="G272" i="17"/>
  <c r="G274" i="17"/>
  <c r="G276" i="17"/>
  <c r="G278" i="17"/>
  <c r="G280" i="17"/>
  <c r="G282" i="17"/>
  <c r="G284" i="17"/>
  <c r="G286" i="17"/>
  <c r="G288" i="17"/>
  <c r="G290" i="17"/>
  <c r="G292" i="17"/>
  <c r="G294" i="17"/>
  <c r="G296" i="17"/>
  <c r="H147" i="17"/>
  <c r="B200" i="17"/>
  <c r="B229" i="17"/>
  <c r="B242" i="17"/>
  <c r="B252" i="17"/>
  <c r="B264" i="17"/>
  <c r="B272" i="17"/>
  <c r="B284" i="17"/>
  <c r="B296" i="17"/>
  <c r="H71" i="17"/>
  <c r="H87" i="17"/>
  <c r="H103" i="17"/>
  <c r="H119" i="17"/>
  <c r="H135" i="17"/>
  <c r="H151" i="17"/>
  <c r="H167" i="17"/>
  <c r="H183" i="17"/>
  <c r="B194" i="17"/>
  <c r="B202" i="17"/>
  <c r="B210" i="17"/>
  <c r="B218" i="17"/>
  <c r="H225" i="17"/>
  <c r="H229" i="17"/>
  <c r="H232" i="17"/>
  <c r="H234" i="17"/>
  <c r="H236" i="17"/>
  <c r="H238" i="17"/>
  <c r="H240" i="17"/>
  <c r="H242" i="17"/>
  <c r="H244" i="17"/>
  <c r="H246" i="17"/>
  <c r="H248" i="17"/>
  <c r="H250" i="17"/>
  <c r="H252" i="17"/>
  <c r="H254" i="17"/>
  <c r="H256" i="17"/>
  <c r="H258" i="17"/>
  <c r="H260" i="17"/>
  <c r="H262" i="17"/>
  <c r="H264" i="17"/>
  <c r="H266" i="17"/>
  <c r="H268" i="17"/>
  <c r="H270" i="17"/>
  <c r="H272" i="17"/>
  <c r="H274" i="17"/>
  <c r="H276" i="17"/>
  <c r="H278" i="17"/>
  <c r="H280" i="17"/>
  <c r="H282" i="17"/>
  <c r="H284" i="17"/>
  <c r="H286" i="17"/>
  <c r="H288" i="17"/>
  <c r="H290" i="17"/>
  <c r="H292" i="17"/>
  <c r="H294" i="17"/>
  <c r="H296" i="17"/>
  <c r="I296" i="17"/>
  <c r="B227" i="17"/>
  <c r="B237" i="17"/>
  <c r="B243" i="17"/>
  <c r="B247" i="17"/>
  <c r="B251" i="17"/>
  <c r="B257" i="17"/>
  <c r="B263" i="17"/>
  <c r="B267" i="17"/>
  <c r="B273" i="17"/>
  <c r="B277" i="17"/>
  <c r="B283" i="17"/>
  <c r="B287" i="17"/>
  <c r="B291" i="17"/>
  <c r="I63" i="17"/>
  <c r="H223" i="17"/>
  <c r="I241" i="17"/>
  <c r="I249" i="17"/>
  <c r="I259" i="17"/>
  <c r="I267" i="17"/>
  <c r="I277" i="17"/>
  <c r="I287" i="17"/>
  <c r="B63" i="17"/>
  <c r="H67" i="17"/>
  <c r="H179" i="17"/>
  <c r="B224" i="17"/>
  <c r="B238" i="17"/>
  <c r="B248" i="17"/>
  <c r="B258" i="17"/>
  <c r="B270" i="17"/>
  <c r="B282" i="17"/>
  <c r="B294" i="17"/>
  <c r="H73" i="17"/>
  <c r="H89" i="17"/>
  <c r="H105" i="17"/>
  <c r="H121" i="17"/>
  <c r="H137" i="17"/>
  <c r="H153" i="17"/>
  <c r="H169" i="17"/>
  <c r="H185" i="17"/>
  <c r="H195" i="17"/>
  <c r="H203" i="17"/>
  <c r="H211" i="17"/>
  <c r="H219" i="17"/>
  <c r="B226" i="17"/>
  <c r="B230" i="17"/>
  <c r="I232" i="17"/>
  <c r="I234" i="17"/>
  <c r="I236" i="17"/>
  <c r="I238" i="17"/>
  <c r="I240" i="17"/>
  <c r="I242" i="17"/>
  <c r="I244" i="17"/>
  <c r="I246" i="17"/>
  <c r="I248" i="17"/>
  <c r="I250" i="17"/>
  <c r="I252" i="17"/>
  <c r="I254" i="17"/>
  <c r="I256" i="17"/>
  <c r="I258" i="17"/>
  <c r="I260" i="17"/>
  <c r="I262" i="17"/>
  <c r="I264" i="17"/>
  <c r="I266" i="17"/>
  <c r="I268" i="17"/>
  <c r="I270" i="17"/>
  <c r="I272" i="17"/>
  <c r="I274" i="17"/>
  <c r="I276" i="17"/>
  <c r="I278" i="17"/>
  <c r="I280" i="17"/>
  <c r="I282" i="17"/>
  <c r="I284" i="17"/>
  <c r="I286" i="17"/>
  <c r="I288" i="17"/>
  <c r="I290" i="17"/>
  <c r="I292" i="17"/>
  <c r="I294" i="17"/>
  <c r="B231" i="17"/>
  <c r="B241" i="17"/>
  <c r="B249" i="17"/>
  <c r="B255" i="17"/>
  <c r="B259" i="17"/>
  <c r="B265" i="17"/>
  <c r="B269" i="17"/>
  <c r="B275" i="17"/>
  <c r="B281" i="17"/>
  <c r="B289" i="17"/>
  <c r="B295" i="17"/>
  <c r="H215" i="17"/>
  <c r="I243" i="17"/>
  <c r="I251" i="17"/>
  <c r="I261" i="17"/>
  <c r="I271" i="17"/>
  <c r="I281" i="17"/>
  <c r="I289" i="17"/>
  <c r="H115" i="17"/>
  <c r="B216" i="17"/>
  <c r="B240" i="17"/>
  <c r="B254" i="17"/>
  <c r="B268" i="17"/>
  <c r="B280" i="17"/>
  <c r="B292" i="17"/>
  <c r="H75" i="17"/>
  <c r="H91" i="17"/>
  <c r="H107" i="17"/>
  <c r="H123" i="17"/>
  <c r="H139" i="17"/>
  <c r="H155" i="17"/>
  <c r="H171" i="17"/>
  <c r="H187" i="17"/>
  <c r="B196" i="17"/>
  <c r="B204" i="17"/>
  <c r="B212" i="17"/>
  <c r="B220" i="17"/>
  <c r="B233" i="17"/>
  <c r="B235" i="17"/>
  <c r="B239" i="17"/>
  <c r="B245" i="17"/>
  <c r="B253" i="17"/>
  <c r="B261" i="17"/>
  <c r="B271" i="17"/>
  <c r="B279" i="17"/>
  <c r="B285" i="17"/>
  <c r="B293" i="17"/>
  <c r="I233" i="17"/>
  <c r="I247" i="17"/>
  <c r="I257" i="17"/>
  <c r="I265" i="17"/>
  <c r="I275" i="17"/>
  <c r="I285" i="17"/>
  <c r="I293" i="17"/>
  <c r="H83" i="17"/>
  <c r="B192" i="17"/>
  <c r="B234" i="17"/>
  <c r="B244" i="17"/>
  <c r="B256" i="17"/>
  <c r="B266" i="17"/>
  <c r="B276" i="17"/>
  <c r="B286" i="17"/>
  <c r="H297" i="17"/>
  <c r="H77" i="17"/>
  <c r="H93" i="17"/>
  <c r="H109" i="17"/>
  <c r="H125" i="17"/>
  <c r="H141" i="17"/>
  <c r="H157" i="17"/>
  <c r="H173" i="17"/>
  <c r="H189" i="17"/>
  <c r="H197" i="17"/>
  <c r="H205" i="17"/>
  <c r="H213" i="17"/>
  <c r="H221" i="17"/>
  <c r="G227" i="17"/>
  <c r="G231" i="17"/>
  <c r="G233" i="17"/>
  <c r="G235" i="17"/>
  <c r="G237" i="17"/>
  <c r="G239" i="17"/>
  <c r="G241" i="17"/>
  <c r="G243" i="17"/>
  <c r="G245" i="17"/>
  <c r="G247" i="17"/>
  <c r="G249" i="17"/>
  <c r="G251" i="17"/>
  <c r="G253" i="17"/>
  <c r="G255" i="17"/>
  <c r="G257" i="17"/>
  <c r="G259" i="17"/>
  <c r="G261" i="17"/>
  <c r="G263" i="17"/>
  <c r="G265" i="17"/>
  <c r="G267" i="17"/>
  <c r="G269" i="17"/>
  <c r="G271" i="17"/>
  <c r="G273" i="17"/>
  <c r="G275" i="17"/>
  <c r="G277" i="17"/>
  <c r="G279" i="17"/>
  <c r="G281" i="17"/>
  <c r="G283" i="17"/>
  <c r="G285" i="17"/>
  <c r="G287" i="17"/>
  <c r="G289" i="17"/>
  <c r="G291" i="17"/>
  <c r="G293" i="17"/>
  <c r="G295" i="17"/>
  <c r="H63" i="17"/>
  <c r="H65" i="17"/>
  <c r="H81" i="17"/>
  <c r="H97" i="17"/>
  <c r="H129" i="17"/>
  <c r="H145" i="17"/>
  <c r="H161" i="17"/>
  <c r="H191" i="17"/>
  <c r="H207" i="17"/>
  <c r="I231" i="17"/>
  <c r="I235" i="17"/>
  <c r="I239" i="17"/>
  <c r="I253" i="17"/>
  <c r="I269" i="17"/>
  <c r="I279" i="17"/>
  <c r="I291" i="17"/>
  <c r="H131" i="17"/>
  <c r="B208" i="17"/>
  <c r="B236" i="17"/>
  <c r="B250" i="17"/>
  <c r="B262" i="17"/>
  <c r="B278" i="17"/>
  <c r="B290" i="17"/>
  <c r="H299" i="17"/>
  <c r="H79" i="17"/>
  <c r="H95" i="17"/>
  <c r="H111" i="17"/>
  <c r="H127" i="17"/>
  <c r="H143" i="17"/>
  <c r="H159" i="17"/>
  <c r="H175" i="17"/>
  <c r="B190" i="17"/>
  <c r="B198" i="17"/>
  <c r="B206" i="17"/>
  <c r="B214" i="17"/>
  <c r="B222" i="17"/>
  <c r="H227" i="17"/>
  <c r="H231" i="17"/>
  <c r="H233" i="17"/>
  <c r="H235" i="17"/>
  <c r="H237" i="17"/>
  <c r="H239" i="17"/>
  <c r="H241" i="17"/>
  <c r="H243" i="17"/>
  <c r="H245" i="17"/>
  <c r="H247" i="17"/>
  <c r="H249" i="17"/>
  <c r="H251" i="17"/>
  <c r="H253" i="17"/>
  <c r="H255" i="17"/>
  <c r="H257" i="17"/>
  <c r="H259" i="17"/>
  <c r="H261" i="17"/>
  <c r="H263" i="17"/>
  <c r="H265" i="17"/>
  <c r="H267" i="17"/>
  <c r="H269" i="17"/>
  <c r="H271" i="17"/>
  <c r="H273" i="17"/>
  <c r="H275" i="17"/>
  <c r="H277" i="17"/>
  <c r="H279" i="17"/>
  <c r="H281" i="17"/>
  <c r="H283" i="17"/>
  <c r="H285" i="17"/>
  <c r="H287" i="17"/>
  <c r="H289" i="17"/>
  <c r="H291" i="17"/>
  <c r="H293" i="17"/>
  <c r="H295" i="17"/>
  <c r="G63" i="17"/>
  <c r="H113" i="17"/>
  <c r="H177" i="17"/>
  <c r="H199" i="17"/>
  <c r="B228" i="17"/>
  <c r="I237" i="17"/>
  <c r="I245" i="17"/>
  <c r="I255" i="17"/>
  <c r="I263" i="17"/>
  <c r="I273" i="17"/>
  <c r="I283" i="17"/>
  <c r="I295" i="17"/>
  <c r="H99" i="17"/>
  <c r="H163" i="17"/>
  <c r="B232" i="17"/>
  <c r="B246" i="17"/>
  <c r="B260" i="17"/>
  <c r="B274" i="17"/>
  <c r="B288" i="17"/>
  <c r="K129" i="6"/>
  <c r="K128" i="6"/>
  <c r="Q9" i="5"/>
  <c r="Q8" i="5"/>
  <c r="D262" i="25"/>
  <c r="D270" i="25"/>
  <c r="B90" i="7" s="1"/>
  <c r="D278" i="25"/>
  <c r="B92" i="7" s="1"/>
  <c r="D286" i="25"/>
  <c r="AG12" i="4" s="1"/>
  <c r="D294" i="25"/>
  <c r="D302" i="25"/>
  <c r="L70" i="22" s="1"/>
  <c r="AJ56" i="4" s="1"/>
  <c r="AC54" i="4"/>
  <c r="D310" i="25"/>
  <c r="L6" i="5" s="1"/>
  <c r="L30" i="5" s="1"/>
  <c r="L53" i="5" s="1"/>
  <c r="L76" i="5" s="1"/>
  <c r="L99" i="5" s="1"/>
  <c r="D318" i="25"/>
  <c r="F9" i="5" s="1"/>
  <c r="F32" i="5" s="1"/>
  <c r="F55" i="5" s="1"/>
  <c r="F78" i="5" s="1"/>
  <c r="F101" i="5" s="1"/>
  <c r="D326" i="25"/>
  <c r="D334" i="25"/>
  <c r="D342" i="25"/>
  <c r="D350" i="25"/>
  <c r="L11" i="9" s="1"/>
  <c r="D358" i="25"/>
  <c r="B18" i="9" s="1"/>
  <c r="B18" i="15" s="1"/>
  <c r="D366" i="25"/>
  <c r="D374" i="25"/>
  <c r="D382" i="25"/>
  <c r="B39" i="9" s="1"/>
  <c r="D390" i="25"/>
  <c r="B48" i="9" s="1"/>
  <c r="D398" i="25"/>
  <c r="D406" i="25"/>
  <c r="D414" i="25"/>
  <c r="B1" i="13" s="1"/>
  <c r="B1" i="15" s="1"/>
  <c r="D422" i="25"/>
  <c r="C4" i="18" s="1"/>
  <c r="D430" i="25"/>
  <c r="T13" i="18"/>
  <c r="T20" i="18" s="1"/>
  <c r="T28" i="18" s="1"/>
  <c r="T35" i="18" s="1"/>
  <c r="T43" i="18" s="1"/>
  <c r="T50" i="18" s="1"/>
  <c r="T58" i="18" s="1"/>
  <c r="T65" i="18" s="1"/>
  <c r="T73" i="18" s="1"/>
  <c r="T80" i="18" s="1"/>
  <c r="T89" i="18" s="1"/>
  <c r="T96" i="18" s="1"/>
  <c r="T104" i="18" s="1"/>
  <c r="T111" i="18" s="1"/>
  <c r="T144" i="18" s="1"/>
  <c r="T150" i="18" s="1"/>
  <c r="T161" i="18" s="1"/>
  <c r="D438" i="25"/>
  <c r="C10" i="18" s="1"/>
  <c r="D446" i="25"/>
  <c r="N5" i="6" s="1"/>
  <c r="D454" i="25"/>
  <c r="C115" i="6" s="1"/>
  <c r="K115" i="6" s="1"/>
  <c r="D462" i="25"/>
  <c r="J133" i="6" s="1"/>
  <c r="J150" i="6" s="1"/>
  <c r="J167" i="6" s="1"/>
  <c r="D470" i="25"/>
  <c r="D478" i="25"/>
  <c r="C198" i="6" s="1"/>
  <c r="K198" i="6" s="1"/>
  <c r="K212" i="6" s="1"/>
  <c r="D486" i="25"/>
  <c r="C206" i="6" s="1"/>
  <c r="D494" i="25"/>
  <c r="C15" i="17" s="1"/>
  <c r="BP15" i="6" s="1"/>
  <c r="D502" i="25"/>
  <c r="C23" i="17" s="1"/>
  <c r="D510" i="25"/>
  <c r="L27" i="17" s="1"/>
  <c r="BR6" i="6" s="1"/>
  <c r="D518" i="25"/>
  <c r="C37" i="17" s="1"/>
  <c r="BP37" i="6" s="1"/>
  <c r="D526" i="25"/>
  <c r="C45" i="17" s="1"/>
  <c r="D534" i="25"/>
  <c r="K58" i="17" s="1"/>
  <c r="AA13" i="3" s="1"/>
  <c r="D542" i="25"/>
  <c r="N72" i="17" s="1"/>
  <c r="D550" i="25"/>
  <c r="K80" i="17" s="1"/>
  <c r="AD19" i="3" s="1"/>
  <c r="D558" i="25"/>
  <c r="K91" i="17" s="1"/>
  <c r="D566" i="25"/>
  <c r="N104" i="17" s="1"/>
  <c r="D574" i="25"/>
  <c r="K125" i="17" s="1"/>
  <c r="D582" i="25"/>
  <c r="N152" i="17" s="1"/>
  <c r="D590" i="25"/>
  <c r="K279" i="17" s="1"/>
  <c r="BR35" i="6" s="1"/>
  <c r="D598" i="25"/>
  <c r="L288" i="17" s="1"/>
  <c r="BR44" i="6" s="1"/>
  <c r="D606" i="25"/>
  <c r="L296" i="17" s="1"/>
  <c r="BR52" i="6" s="1"/>
  <c r="D614" i="25"/>
  <c r="D622" i="25"/>
  <c r="D630" i="25"/>
  <c r="D638" i="25"/>
  <c r="B834" i="17" s="1"/>
  <c r="BW538" i="6" s="1"/>
  <c r="D646" i="25"/>
  <c r="B51" i="14" s="1"/>
  <c r="D654" i="25"/>
  <c r="K4" i="17" s="1"/>
  <c r="D662" i="25"/>
  <c r="G132" i="7" s="1"/>
  <c r="D670" i="25"/>
  <c r="E94" i="4" s="1"/>
  <c r="D678" i="25"/>
  <c r="D686" i="25"/>
  <c r="N2" i="27" s="1"/>
  <c r="D694" i="25"/>
  <c r="E11" i="27" s="1"/>
  <c r="D702" i="25"/>
  <c r="N3" i="27" s="1"/>
  <c r="D710" i="25"/>
  <c r="BU4" i="6" s="1"/>
  <c r="D718" i="25"/>
  <c r="D726" i="25"/>
  <c r="D734" i="25"/>
  <c r="D742" i="25"/>
  <c r="D750" i="25"/>
  <c r="D758" i="25"/>
  <c r="D766" i="25"/>
  <c r="D774" i="25"/>
  <c r="D782" i="25"/>
  <c r="D790" i="25"/>
  <c r="D798" i="25"/>
  <c r="D806" i="25"/>
  <c r="D589" i="25"/>
  <c r="R185" i="17" s="1"/>
  <c r="D263" i="25"/>
  <c r="D271" i="25"/>
  <c r="B83" i="7" s="1"/>
  <c r="D279" i="25"/>
  <c r="C93" i="7" s="1"/>
  <c r="D287" i="25"/>
  <c r="D295" i="25"/>
  <c r="C66" i="3" s="1"/>
  <c r="D303" i="25"/>
  <c r="L71" i="22" s="1"/>
  <c r="AJ57" i="4" s="1"/>
  <c r="D311" i="25"/>
  <c r="D319" i="25"/>
  <c r="H9" i="5" s="1"/>
  <c r="H32" i="5" s="1"/>
  <c r="H55" i="5" s="1"/>
  <c r="H78" i="5" s="1"/>
  <c r="H101" i="5" s="1"/>
  <c r="D327" i="25"/>
  <c r="AB32" i="5" s="1"/>
  <c r="AB55" i="5" s="1"/>
  <c r="AB78" i="5" s="1"/>
  <c r="D335" i="25"/>
  <c r="D343" i="25"/>
  <c r="D351" i="25"/>
  <c r="D359" i="25"/>
  <c r="B19" i="26" s="1"/>
  <c r="D367" i="25"/>
  <c r="D375" i="25"/>
  <c r="D383" i="25"/>
  <c r="B40" i="9" s="1"/>
  <c r="B40" i="13" s="1"/>
  <c r="D391" i="25"/>
  <c r="D399" i="25"/>
  <c r="D407" i="25"/>
  <c r="D415" i="25"/>
  <c r="B5" i="13" s="1"/>
  <c r="D423" i="25"/>
  <c r="D6" i="18" s="1"/>
  <c r="D431" i="25"/>
  <c r="D439" i="25"/>
  <c r="J10" i="18" s="1"/>
  <c r="D447" i="25"/>
  <c r="C6" i="6" s="1"/>
  <c r="K6" i="6" s="1"/>
  <c r="D455" i="25"/>
  <c r="C117" i="6" s="1"/>
  <c r="K117" i="6" s="1"/>
  <c r="D463" i="25"/>
  <c r="B134" i="6" s="1"/>
  <c r="B151" i="6" s="1"/>
  <c r="B168" i="6" s="1"/>
  <c r="D471" i="25"/>
  <c r="D479" i="25"/>
  <c r="C199" i="6" s="1"/>
  <c r="D487" i="25"/>
  <c r="C8" i="17" s="1"/>
  <c r="BP8" i="6" s="1"/>
  <c r="D495" i="25"/>
  <c r="C16" i="17" s="1"/>
  <c r="BP16" i="6" s="1"/>
  <c r="D503" i="25"/>
  <c r="C24" i="17" s="1"/>
  <c r="BP24" i="6" s="1"/>
  <c r="D511" i="25"/>
  <c r="L29" i="17" s="1"/>
  <c r="BR8" i="6" s="1"/>
  <c r="D519" i="25"/>
  <c r="C38" i="17" s="1"/>
  <c r="BP38" i="6" s="1"/>
  <c r="D527" i="25"/>
  <c r="C46" i="17" s="1"/>
  <c r="BP46" i="6" s="1"/>
  <c r="D535" i="25"/>
  <c r="K59" i="17" s="1"/>
  <c r="D543" i="25"/>
  <c r="K73" i="17" s="1"/>
  <c r="AD12" i="3" s="1"/>
  <c r="D551" i="25"/>
  <c r="K81" i="17" s="1"/>
  <c r="AD20" i="3" s="1"/>
  <c r="D559" i="25"/>
  <c r="K92" i="17" s="1"/>
  <c r="AF15" i="3" s="1"/>
  <c r="D567" i="25"/>
  <c r="K105" i="17" s="1"/>
  <c r="AH12" i="3" s="1"/>
  <c r="D575" i="25"/>
  <c r="K126" i="17" s="1"/>
  <c r="AJ17" i="3" s="1"/>
  <c r="D583" i="25"/>
  <c r="K153" i="17"/>
  <c r="AL12" i="3" s="1"/>
  <c r="D591" i="25"/>
  <c r="M280" i="17" s="1"/>
  <c r="BR36" i="6" s="1"/>
  <c r="D599" i="25"/>
  <c r="L289" i="17" s="1"/>
  <c r="BR45" i="6" s="1"/>
  <c r="D607" i="25"/>
  <c r="K302" i="17" s="1"/>
  <c r="D615" i="25"/>
  <c r="D623" i="25"/>
  <c r="D631" i="25"/>
  <c r="D639" i="25"/>
  <c r="B841" i="17" s="1"/>
  <c r="D647" i="25"/>
  <c r="B49" i="14" s="1"/>
  <c r="D655" i="25"/>
  <c r="G5" i="17" s="1"/>
  <c r="D663" i="25"/>
  <c r="J132" i="7" s="1"/>
  <c r="D671" i="25"/>
  <c r="Q22" i="9" s="1"/>
  <c r="D679" i="25"/>
  <c r="D687" i="25"/>
  <c r="P2" i="26" s="1"/>
  <c r="D695" i="25"/>
  <c r="G11" i="27" s="1"/>
  <c r="D703" i="25"/>
  <c r="B900" i="17" s="1"/>
  <c r="D711" i="25"/>
  <c r="BW4" i="6" s="1"/>
  <c r="D719" i="25"/>
  <c r="D727" i="25"/>
  <c r="D735" i="25"/>
  <c r="D743" i="25"/>
  <c r="D751" i="25"/>
  <c r="D759" i="25"/>
  <c r="D767" i="25"/>
  <c r="D775" i="25"/>
  <c r="D783" i="25"/>
  <c r="D791" i="25"/>
  <c r="D799" i="25"/>
  <c r="D807" i="25"/>
  <c r="D752" i="25"/>
  <c r="D768" i="25"/>
  <c r="D784" i="25"/>
  <c r="D800" i="25"/>
  <c r="D633" i="25"/>
  <c r="B369" i="17" s="1"/>
  <c r="D665" i="25"/>
  <c r="P132" i="7" s="1"/>
  <c r="D689" i="25"/>
  <c r="B36" i="27" s="1"/>
  <c r="D705" i="25"/>
  <c r="B962" i="17" s="1"/>
  <c r="D729" i="25"/>
  <c r="D745" i="25"/>
  <c r="D769" i="25"/>
  <c r="D793" i="25"/>
  <c r="D421" i="25"/>
  <c r="D501" i="25"/>
  <c r="C22" i="17" s="1"/>
  <c r="BP22" i="6" s="1"/>
  <c r="D533" i="25"/>
  <c r="K57" i="17" s="1"/>
  <c r="AA12" i="3" s="1"/>
  <c r="D581" i="25"/>
  <c r="K140" i="17" s="1"/>
  <c r="AN15" i="3" s="1"/>
  <c r="D264" i="25"/>
  <c r="D272" i="25"/>
  <c r="B85" i="7" s="1"/>
  <c r="D280" i="25"/>
  <c r="C94" i="7" s="1"/>
  <c r="D288" i="25"/>
  <c r="D296" i="25"/>
  <c r="L64" i="22" s="1"/>
  <c r="L83" i="22" s="1"/>
  <c r="AP50" i="4" s="1"/>
  <c r="D304" i="25"/>
  <c r="L72" i="22" s="1"/>
  <c r="D312" i="25"/>
  <c r="T30" i="5" s="1"/>
  <c r="D320" i="25"/>
  <c r="M31" i="5" s="1"/>
  <c r="M54" i="5" s="1"/>
  <c r="M77" i="5" s="1"/>
  <c r="M100" i="5" s="1"/>
  <c r="D328" i="25"/>
  <c r="AG32" i="5" s="1"/>
  <c r="D336" i="25"/>
  <c r="D344" i="25"/>
  <c r="F11" i="9" s="1"/>
  <c r="F11" i="15" s="1"/>
  <c r="D352" i="25"/>
  <c r="N11" i="26" s="1"/>
  <c r="D360" i="25"/>
  <c r="B20" i="9" s="1"/>
  <c r="D368" i="25"/>
  <c r="D376" i="25"/>
  <c r="D384" i="25"/>
  <c r="D392" i="25"/>
  <c r="D400" i="25"/>
  <c r="B56" i="9" s="1"/>
  <c r="D408" i="25"/>
  <c r="B62" i="26" s="1"/>
  <c r="D416" i="25"/>
  <c r="S7" i="26" s="1"/>
  <c r="D424" i="25"/>
  <c r="D7" i="18" s="1"/>
  <c r="D432" i="25"/>
  <c r="V14" i="18" s="1"/>
  <c r="V21" i="18" s="1"/>
  <c r="V29" i="18" s="1"/>
  <c r="V36" i="18" s="1"/>
  <c r="V44" i="18" s="1"/>
  <c r="V51" i="18" s="1"/>
  <c r="V59" i="18" s="1"/>
  <c r="V66" i="18" s="1"/>
  <c r="V74" i="18" s="1"/>
  <c r="V81" i="18" s="1"/>
  <c r="V90" i="18" s="1"/>
  <c r="V97" i="18" s="1"/>
  <c r="V105" i="18" s="1"/>
  <c r="V112" i="18" s="1"/>
  <c r="V145" i="18" s="1"/>
  <c r="V151" i="18" s="1"/>
  <c r="V162" i="18" s="1"/>
  <c r="V168" i="18" s="1"/>
  <c r="V179" i="18" s="1"/>
  <c r="V185" i="18" s="1"/>
  <c r="D440" i="25"/>
  <c r="J9" i="18" s="1"/>
  <c r="D448" i="25"/>
  <c r="H27" i="17" s="1"/>
  <c r="D456" i="25"/>
  <c r="B120" i="6" s="1"/>
  <c r="D464" i="25"/>
  <c r="J134" i="6" s="1"/>
  <c r="J151" i="6" s="1"/>
  <c r="J168" i="6" s="1"/>
  <c r="D472" i="25"/>
  <c r="D480" i="25"/>
  <c r="C200" i="6" s="1"/>
  <c r="C214" i="6" s="1"/>
  <c r="D488" i="25"/>
  <c r="C9" i="17" s="1"/>
  <c r="BP9" i="6" s="1"/>
  <c r="D496" i="25"/>
  <c r="C17" i="17" s="1"/>
  <c r="BP17" i="6" s="1"/>
  <c r="D504" i="25"/>
  <c r="C25" i="17" s="1"/>
  <c r="BP25" i="6" s="1"/>
  <c r="D512" i="25"/>
  <c r="L30" i="17" s="1"/>
  <c r="D520" i="25"/>
  <c r="C39" i="17" s="1"/>
  <c r="D528" i="25"/>
  <c r="C47" i="17" s="1"/>
  <c r="BP47" i="6" s="1"/>
  <c r="D536" i="25"/>
  <c r="K60" i="17" s="1"/>
  <c r="AA15" i="3" s="1"/>
  <c r="D544" i="25"/>
  <c r="K74" i="17" s="1"/>
  <c r="AD13" i="3" s="1"/>
  <c r="D552" i="25"/>
  <c r="K82" i="17" s="1"/>
  <c r="AD21" i="3" s="1"/>
  <c r="D560" i="25"/>
  <c r="K93" i="17" s="1"/>
  <c r="AF16" i="3" s="1"/>
  <c r="D568" i="25"/>
  <c r="K106" i="17" s="1"/>
  <c r="AH13" i="3" s="1"/>
  <c r="D576" i="25"/>
  <c r="K127" i="17" s="1"/>
  <c r="AJ18" i="3" s="1"/>
  <c r="D584" i="25"/>
  <c r="K154" i="17" s="1"/>
  <c r="AL13" i="3" s="1"/>
  <c r="D592" i="25"/>
  <c r="M281" i="17" s="1"/>
  <c r="BR37" i="6" s="1"/>
  <c r="D600" i="25"/>
  <c r="L290" i="17" s="1"/>
  <c r="BR46" i="6" s="1"/>
  <c r="D608" i="25"/>
  <c r="P302" i="17" s="1"/>
  <c r="D616" i="25"/>
  <c r="D624" i="25"/>
  <c r="D632" i="25"/>
  <c r="B470" i="17" s="1"/>
  <c r="D640" i="25"/>
  <c r="B908" i="17" s="1"/>
  <c r="D648" i="25"/>
  <c r="B47" i="14" s="1"/>
  <c r="D656" i="25"/>
  <c r="H5" i="17" s="1"/>
  <c r="D664" i="25"/>
  <c r="M132" i="7" s="1"/>
  <c r="D672" i="25"/>
  <c r="Q16" i="9" s="1"/>
  <c r="D680" i="25"/>
  <c r="D688" i="25"/>
  <c r="B35" i="27" s="1"/>
  <c r="D696" i="25"/>
  <c r="I11" i="27" s="1"/>
  <c r="D704" i="25"/>
  <c r="B916" i="17" s="1"/>
  <c r="BP916" i="6" s="1"/>
  <c r="D712" i="25"/>
  <c r="BU2" i="6" s="1"/>
  <c r="D720" i="25"/>
  <c r="D728" i="25"/>
  <c r="D736" i="25"/>
  <c r="D744" i="25"/>
  <c r="D760" i="25"/>
  <c r="D776" i="25"/>
  <c r="D792" i="25"/>
  <c r="D808" i="25"/>
  <c r="D649" i="25"/>
  <c r="H47" i="14" s="1"/>
  <c r="D681" i="25"/>
  <c r="D713" i="25"/>
  <c r="D737" i="25"/>
  <c r="D761" i="25"/>
  <c r="D777" i="25"/>
  <c r="D801" i="25"/>
  <c r="D437" i="25"/>
  <c r="C9" i="18" s="1"/>
  <c r="D549" i="25"/>
  <c r="K79" i="17" s="1"/>
  <c r="AD18" i="3" s="1"/>
  <c r="D265" i="25"/>
  <c r="M84" i="7" s="1"/>
  <c r="D273" i="25"/>
  <c r="B86" i="7" s="1"/>
  <c r="D281" i="25"/>
  <c r="C95" i="7" s="1"/>
  <c r="D289" i="25"/>
  <c r="D297" i="25"/>
  <c r="L65" i="22" s="1"/>
  <c r="AJ51" i="4" s="1"/>
  <c r="D305" i="25"/>
  <c r="D313" i="25"/>
  <c r="AD30" i="5" s="1"/>
  <c r="D321" i="25"/>
  <c r="O9" i="5" s="1"/>
  <c r="O32" i="5" s="1"/>
  <c r="O55" i="5" s="1"/>
  <c r="O78" i="5" s="1"/>
  <c r="O101" i="5" s="1"/>
  <c r="D329" i="25"/>
  <c r="T6" i="5" s="1"/>
  <c r="D337" i="25"/>
  <c r="S5" i="26" s="1"/>
  <c r="R5" i="26" s="1"/>
  <c r="D345" i="25"/>
  <c r="D353" i="25"/>
  <c r="D361" i="25"/>
  <c r="D369" i="25"/>
  <c r="D377" i="25"/>
  <c r="D385" i="25"/>
  <c r="D393" i="25"/>
  <c r="D401" i="25"/>
  <c r="D409" i="25"/>
  <c r="D417" i="25"/>
  <c r="D425" i="25"/>
  <c r="L4" i="18" s="1"/>
  <c r="D433" i="25"/>
  <c r="X14" i="18" s="1"/>
  <c r="X21" i="18" s="1"/>
  <c r="X29" i="18" s="1"/>
  <c r="X36" i="18" s="1"/>
  <c r="X44" i="18" s="1"/>
  <c r="X51" i="18" s="1"/>
  <c r="X59" i="18" s="1"/>
  <c r="X66" i="18" s="1"/>
  <c r="X74" i="18" s="1"/>
  <c r="X81" i="18" s="1"/>
  <c r="X90" i="18" s="1"/>
  <c r="X97" i="18" s="1"/>
  <c r="X105" i="18" s="1"/>
  <c r="X112" i="18" s="1"/>
  <c r="X145" i="18" s="1"/>
  <c r="X151" i="18" s="1"/>
  <c r="X162" i="18" s="1"/>
  <c r="X168" i="18" s="1"/>
  <c r="X179" i="18" s="1"/>
  <c r="X185" i="18" s="1"/>
  <c r="D441" i="25"/>
  <c r="N6" i="18" s="1"/>
  <c r="D449" i="25"/>
  <c r="F113" i="6" s="1"/>
  <c r="F133" i="6" s="1"/>
  <c r="N133" i="6" s="1"/>
  <c r="D457" i="25"/>
  <c r="B126" i="6" s="1"/>
  <c r="D465" i="25"/>
  <c r="B182" i="6" s="1"/>
  <c r="D473" i="25"/>
  <c r="K207" i="6" s="1"/>
  <c r="D481" i="25"/>
  <c r="C201" i="6" s="1"/>
  <c r="C215" i="6" s="1"/>
  <c r="D489" i="25"/>
  <c r="C10" i="17" s="1"/>
  <c r="BP10" i="6" s="1"/>
  <c r="D497" i="25"/>
  <c r="C18" i="17"/>
  <c r="BP18" i="6" s="1"/>
  <c r="D505" i="25"/>
  <c r="C26" i="17" s="1"/>
  <c r="D513" i="25"/>
  <c r="L31" i="17" s="1"/>
  <c r="D521" i="25"/>
  <c r="C40" i="17" s="1"/>
  <c r="BP40" i="6" s="1"/>
  <c r="D529" i="25"/>
  <c r="C48" i="17" s="1"/>
  <c r="BP48" i="6" s="1"/>
  <c r="D537" i="25"/>
  <c r="K61" i="17" s="1"/>
  <c r="AA16" i="3" s="1"/>
  <c r="D545" i="25"/>
  <c r="K75" i="17" s="1"/>
  <c r="AD14" i="3" s="1"/>
  <c r="D553" i="25"/>
  <c r="K83" i="17" s="1"/>
  <c r="AD22" i="3" s="1"/>
  <c r="D561" i="25"/>
  <c r="K94" i="17" s="1"/>
  <c r="AF17" i="3" s="1"/>
  <c r="D569" i="25"/>
  <c r="N120" i="17" s="1"/>
  <c r="D577" i="25"/>
  <c r="M136" i="17" s="1"/>
  <c r="D585" i="25"/>
  <c r="K155" i="17" s="1"/>
  <c r="AL14" i="3" s="1"/>
  <c r="D593" i="25"/>
  <c r="D601" i="25"/>
  <c r="L291" i="17" s="1"/>
  <c r="BR47" i="6" s="1"/>
  <c r="D609" i="25"/>
  <c r="Q302" i="17" s="1"/>
  <c r="D617" i="25"/>
  <c r="D625" i="25"/>
  <c r="D641" i="25"/>
  <c r="B926" i="17" s="1"/>
  <c r="D657" i="25"/>
  <c r="B102" i="7" s="1"/>
  <c r="D673" i="25"/>
  <c r="Q23" i="9" s="1"/>
  <c r="D697" i="25"/>
  <c r="K11" i="27" s="1"/>
  <c r="D721" i="25"/>
  <c r="D753" i="25"/>
  <c r="D785" i="25"/>
  <c r="D809" i="25"/>
  <c r="D453" i="25"/>
  <c r="B111" i="6"/>
  <c r="D557" i="25"/>
  <c r="K90" i="17" s="1"/>
  <c r="AF13" i="3" s="1"/>
  <c r="D621" i="25"/>
  <c r="D266" i="25"/>
  <c r="D274" i="25"/>
  <c r="B87" i="7" s="1"/>
  <c r="D282" i="25"/>
  <c r="B97" i="7" s="1"/>
  <c r="D290" i="25"/>
  <c r="D298" i="25"/>
  <c r="L66" i="22" s="1"/>
  <c r="AJ52" i="4" s="1"/>
  <c r="D306" i="25"/>
  <c r="AA2" i="4" s="1"/>
  <c r="D314" i="25"/>
  <c r="D322" i="25"/>
  <c r="R32" i="5" s="1"/>
  <c r="R55" i="5" s="1"/>
  <c r="R78" i="5" s="1"/>
  <c r="R101" i="5" s="1"/>
  <c r="D330" i="25"/>
  <c r="D27" i="5" s="1"/>
  <c r="D50" i="5" s="1"/>
  <c r="D73" i="5" s="1"/>
  <c r="D96" i="5" s="1"/>
  <c r="D119" i="5" s="1"/>
  <c r="D338" i="25"/>
  <c r="D346" i="25"/>
  <c r="H11" i="26" s="1"/>
  <c r="D354" i="25"/>
  <c r="B14" i="9" s="1"/>
  <c r="D362" i="25"/>
  <c r="D370" i="25"/>
  <c r="B31" i="9" s="1"/>
  <c r="B31" i="13" s="1"/>
  <c r="D378" i="25"/>
  <c r="B37" i="9" s="1"/>
  <c r="B37" i="26" s="1"/>
  <c r="B42" i="27" s="1"/>
  <c r="D386" i="25"/>
  <c r="D394" i="25"/>
  <c r="D402" i="25"/>
  <c r="B57" i="9" s="1"/>
  <c r="B57" i="26" s="1"/>
  <c r="D410" i="25"/>
  <c r="D418" i="25"/>
  <c r="D426" i="25"/>
  <c r="U6" i="18" s="1"/>
  <c r="D434" i="25"/>
  <c r="T143" i="18" s="1"/>
  <c r="T160" i="18" s="1"/>
  <c r="T177" i="18" s="1"/>
  <c r="D442" i="25"/>
  <c r="N7" i="18" s="1"/>
  <c r="D450" i="25"/>
  <c r="I27" i="17" s="1"/>
  <c r="D458" i="25"/>
  <c r="D466" i="25"/>
  <c r="B192" i="6" s="1"/>
  <c r="D474" i="25"/>
  <c r="D482" i="25"/>
  <c r="C202" i="6" s="1"/>
  <c r="K202" i="6" s="1"/>
  <c r="K216" i="6" s="1"/>
  <c r="D490" i="25"/>
  <c r="C11" i="17" s="1"/>
  <c r="D498" i="25"/>
  <c r="C19" i="17" s="1"/>
  <c r="BP19" i="6" s="1"/>
  <c r="D506" i="25"/>
  <c r="B2" i="17" s="1"/>
  <c r="D514" i="25"/>
  <c r="L32" i="17" s="1"/>
  <c r="D522" i="25"/>
  <c r="C41" i="17" s="1"/>
  <c r="D530" i="25"/>
  <c r="B53" i="17" s="1"/>
  <c r="BP53" i="6" s="1"/>
  <c r="D538" i="25"/>
  <c r="K62" i="17" s="1"/>
  <c r="AA17" i="3" s="1"/>
  <c r="D546" i="25"/>
  <c r="K76" i="17" s="1"/>
  <c r="AD15" i="3" s="1"/>
  <c r="D554" i="25"/>
  <c r="K84" i="17" s="1"/>
  <c r="D562" i="25"/>
  <c r="K95" i="17" s="1"/>
  <c r="D570" i="25"/>
  <c r="K121" i="17" s="1"/>
  <c r="D578" i="25"/>
  <c r="K137" i="17" s="1"/>
  <c r="D586" i="25"/>
  <c r="K185" i="17" s="1"/>
  <c r="D594" i="25"/>
  <c r="K284" i="17" s="1"/>
  <c r="D602" i="25"/>
  <c r="L292" i="17" s="1"/>
  <c r="BR48" i="6" s="1"/>
  <c r="D610" i="25"/>
  <c r="R302" i="17" s="1"/>
  <c r="D618" i="25"/>
  <c r="D626" i="25"/>
  <c r="D634" i="25"/>
  <c r="B500" i="17" s="1"/>
  <c r="BW204" i="6" s="1"/>
  <c r="D642" i="25"/>
  <c r="B952" i="17" s="1"/>
  <c r="BW656" i="6" s="1"/>
  <c r="D650" i="25"/>
  <c r="B69" i="15" s="1"/>
  <c r="D658" i="25"/>
  <c r="B103" i="7" s="1"/>
  <c r="D666" i="25"/>
  <c r="B139" i="7" s="1"/>
  <c r="D674" i="25"/>
  <c r="D682" i="25"/>
  <c r="D690" i="25"/>
  <c r="B37" i="27" s="1"/>
  <c r="D698" i="25"/>
  <c r="B12" i="27" s="1"/>
  <c r="D706" i="25"/>
  <c r="B965" i="17" s="1"/>
  <c r="BW669" i="6" s="1"/>
  <c r="D714" i="25"/>
  <c r="D722" i="25"/>
  <c r="D730" i="25"/>
  <c r="D738" i="25"/>
  <c r="D746" i="25"/>
  <c r="D754" i="25"/>
  <c r="D762" i="25"/>
  <c r="D770" i="25"/>
  <c r="D778" i="25"/>
  <c r="D786" i="25"/>
  <c r="D794" i="25"/>
  <c r="D802" i="25"/>
  <c r="D788" i="25"/>
  <c r="D269" i="25"/>
  <c r="O83" i="7" s="1"/>
  <c r="D285" i="25"/>
  <c r="B100" i="7" s="1"/>
  <c r="D317" i="25"/>
  <c r="M9" i="5" s="1"/>
  <c r="M32" i="5" s="1"/>
  <c r="M55" i="5" s="1"/>
  <c r="M78" i="5" s="1"/>
  <c r="M101" i="5" s="1"/>
  <c r="D349" i="25"/>
  <c r="K11" i="26" s="1"/>
  <c r="D373" i="25"/>
  <c r="B34" i="26" s="1"/>
  <c r="D397" i="25"/>
  <c r="D429" i="25"/>
  <c r="T11" i="18" s="1"/>
  <c r="D469" i="25"/>
  <c r="D477" i="25"/>
  <c r="C197" i="6" s="1"/>
  <c r="K197" i="6" s="1"/>
  <c r="K211" i="6" s="1"/>
  <c r="D509" i="25"/>
  <c r="B27" i="17" s="1"/>
  <c r="D541" i="25"/>
  <c r="K65" i="17" s="1"/>
  <c r="AA20" i="3" s="1"/>
  <c r="D597" i="25"/>
  <c r="L287" i="17" s="1"/>
  <c r="BR43" i="6" s="1"/>
  <c r="D259" i="25"/>
  <c r="G84" i="7" s="1"/>
  <c r="D267" i="25"/>
  <c r="G83" i="7" s="1"/>
  <c r="D275" i="25"/>
  <c r="B88" i="7" s="1"/>
  <c r="D283" i="25"/>
  <c r="B98" i="7" s="1"/>
  <c r="D291" i="25"/>
  <c r="D299" i="25"/>
  <c r="L67" i="22" s="1"/>
  <c r="L77" i="22" s="1"/>
  <c r="D307" i="25"/>
  <c r="R48" i="4" s="1"/>
  <c r="D315" i="25"/>
  <c r="D323" i="25"/>
  <c r="V32" i="5" s="1"/>
  <c r="D331" i="25"/>
  <c r="D339" i="25"/>
  <c r="D347" i="25"/>
  <c r="D355" i="25"/>
  <c r="D363" i="25"/>
  <c r="D371" i="25"/>
  <c r="B32" i="9" s="1"/>
  <c r="B32" i="13" s="1"/>
  <c r="D379" i="25"/>
  <c r="D387" i="25"/>
  <c r="B44" i="9" s="1"/>
  <c r="D395" i="25"/>
  <c r="B53" i="9" s="1"/>
  <c r="D403" i="25"/>
  <c r="D411" i="25"/>
  <c r="D419" i="25"/>
  <c r="S6" i="26" s="1"/>
  <c r="D427" i="25"/>
  <c r="S3" i="18" s="1"/>
  <c r="D435" i="25"/>
  <c r="T149" i="18" s="1"/>
  <c r="T166" i="18" s="1"/>
  <c r="T183" i="18" s="1"/>
  <c r="D443" i="25"/>
  <c r="D451" i="25"/>
  <c r="F182" i="6" s="1"/>
  <c r="N182" i="6" s="1"/>
  <c r="D459" i="25"/>
  <c r="D467" i="25"/>
  <c r="D475" i="25"/>
  <c r="C195" i="6" s="1"/>
  <c r="D483" i="25"/>
  <c r="C203" i="6" s="1"/>
  <c r="D491" i="25"/>
  <c r="C12" i="17" s="1"/>
  <c r="BP12" i="6" s="1"/>
  <c r="D499" i="25"/>
  <c r="C20" i="17" s="1"/>
  <c r="D507" i="25"/>
  <c r="B4" i="17" s="1"/>
  <c r="D515" i="25"/>
  <c r="L33" i="17" s="1"/>
  <c r="D523" i="25"/>
  <c r="C42" i="17" s="1"/>
  <c r="BP42" i="6" s="1"/>
  <c r="D531" i="25"/>
  <c r="K53" i="17" s="1"/>
  <c r="D539" i="25"/>
  <c r="K63" i="17" s="1"/>
  <c r="AA18" i="3" s="1"/>
  <c r="D547" i="25"/>
  <c r="K77" i="17" s="1"/>
  <c r="AD16" i="3" s="1"/>
  <c r="D555" i="25"/>
  <c r="M88" i="17" s="1"/>
  <c r="D563" i="25"/>
  <c r="K96" i="17" s="1"/>
  <c r="D571" i="25"/>
  <c r="K122" i="17" s="1"/>
  <c r="D579" i="25"/>
  <c r="K138" i="17" s="1"/>
  <c r="AN13" i="3" s="1"/>
  <c r="D587" i="25"/>
  <c r="P185" i="17" s="1"/>
  <c r="D595" i="25"/>
  <c r="L285" i="17" s="1"/>
  <c r="D603" i="25"/>
  <c r="L293" i="17" s="1"/>
  <c r="BR49" i="6" s="1"/>
  <c r="D611" i="25"/>
  <c r="B301" i="17" s="1"/>
  <c r="BP301" i="6" s="1"/>
  <c r="D619" i="25"/>
  <c r="D627" i="25"/>
  <c r="D635" i="25"/>
  <c r="B660" i="17" s="1"/>
  <c r="BW364" i="6" s="1"/>
  <c r="D643" i="25"/>
  <c r="D651" i="25"/>
  <c r="D659" i="25"/>
  <c r="B121" i="7" s="1"/>
  <c r="D667" i="25"/>
  <c r="B149" i="7" s="1"/>
  <c r="D675" i="25"/>
  <c r="D683" i="25"/>
  <c r="D691" i="25"/>
  <c r="B38" i="27" s="1"/>
  <c r="D699" i="25"/>
  <c r="D707" i="25"/>
  <c r="B969" i="17" s="1"/>
  <c r="D715" i="25"/>
  <c r="D723" i="25"/>
  <c r="D731" i="25"/>
  <c r="D739" i="25"/>
  <c r="D747" i="25"/>
  <c r="D755" i="25"/>
  <c r="D763" i="25"/>
  <c r="D771" i="25"/>
  <c r="D779" i="25"/>
  <c r="D787" i="25"/>
  <c r="D795" i="25"/>
  <c r="D803" i="25"/>
  <c r="D732" i="25"/>
  <c r="D748" i="25"/>
  <c r="D764" i="25"/>
  <c r="D780" i="25"/>
  <c r="D796" i="25"/>
  <c r="D277" i="25"/>
  <c r="B91" i="7" s="1"/>
  <c r="D301" i="25"/>
  <c r="L69" i="22" s="1"/>
  <c r="L79" i="22" s="1"/>
  <c r="D325" i="25"/>
  <c r="Z29" i="5" s="1"/>
  <c r="D341" i="25"/>
  <c r="D365" i="25"/>
  <c r="D381" i="25"/>
  <c r="D405" i="25"/>
  <c r="B59" i="9" s="1"/>
  <c r="D461" i="25"/>
  <c r="B133" i="6" s="1"/>
  <c r="B150" i="6" s="1"/>
  <c r="B167" i="6" s="1"/>
  <c r="D493" i="25"/>
  <c r="C14" i="17" s="1"/>
  <c r="BP14" i="6" s="1"/>
  <c r="D525" i="25"/>
  <c r="C44" i="17" s="1"/>
  <c r="BP44" i="6" s="1"/>
  <c r="D573" i="25"/>
  <c r="K124" i="17" s="1"/>
  <c r="AJ15" i="3" s="1"/>
  <c r="D260" i="25"/>
  <c r="D268" i="25"/>
  <c r="D276" i="25"/>
  <c r="B89" i="7" s="1"/>
  <c r="D284" i="25"/>
  <c r="B99" i="7" s="1"/>
  <c r="D292" i="25"/>
  <c r="D300" i="25"/>
  <c r="L68" i="22" s="1"/>
  <c r="D308" i="25"/>
  <c r="D4" i="5" s="1"/>
  <c r="B13" i="8" s="1"/>
  <c r="D316" i="25"/>
  <c r="B29" i="5" s="1"/>
  <c r="B52" i="5" s="1"/>
  <c r="B75" i="5" s="1"/>
  <c r="B98" i="5" s="1"/>
  <c r="D324" i="25"/>
  <c r="AK9" i="5" s="1"/>
  <c r="AK32" i="5" s="1"/>
  <c r="AK55" i="5" s="1"/>
  <c r="AK78" i="5" s="1"/>
  <c r="AK101" i="5" s="1"/>
  <c r="D332" i="25"/>
  <c r="D340" i="25"/>
  <c r="B8" i="9" s="1"/>
  <c r="B8" i="13" s="1"/>
  <c r="D348" i="25"/>
  <c r="D356" i="25"/>
  <c r="B16" i="26" s="1"/>
  <c r="D364" i="25"/>
  <c r="D372" i="25"/>
  <c r="D380" i="25"/>
  <c r="D388" i="25"/>
  <c r="B46" i="26" s="1"/>
  <c r="D396" i="25"/>
  <c r="B54" i="9" s="1"/>
  <c r="D404" i="25"/>
  <c r="B58" i="9" s="1"/>
  <c r="B58" i="13" s="1"/>
  <c r="D412" i="25"/>
  <c r="D420" i="25"/>
  <c r="D428" i="25"/>
  <c r="U8" i="18" s="1"/>
  <c r="D436" i="25"/>
  <c r="C8" i="18" s="1"/>
  <c r="D444" i="25"/>
  <c r="B4" i="6" s="1"/>
  <c r="D452" i="25"/>
  <c r="H182" i="6" s="1"/>
  <c r="D460" i="25"/>
  <c r="D468" i="25"/>
  <c r="D476" i="25"/>
  <c r="C196" i="6" s="1"/>
  <c r="D484" i="25"/>
  <c r="C204" i="6" s="1"/>
  <c r="D492" i="25"/>
  <c r="C13" i="17" s="1"/>
  <c r="BP13" i="6" s="1"/>
  <c r="D500" i="25"/>
  <c r="C21" i="17" s="1"/>
  <c r="BP21" i="6" s="1"/>
  <c r="D508" i="25"/>
  <c r="B6" i="17" s="1"/>
  <c r="BP6" i="6" s="1"/>
  <c r="D516" i="25"/>
  <c r="D524" i="25"/>
  <c r="C43" i="17" s="1"/>
  <c r="BP43" i="6" s="1"/>
  <c r="D532" i="25"/>
  <c r="N56" i="17" s="1"/>
  <c r="D540" i="25"/>
  <c r="K64" i="17" s="1"/>
  <c r="AA19" i="3" s="1"/>
  <c r="D548" i="25"/>
  <c r="K78" i="17" s="1"/>
  <c r="AD17" i="3" s="1"/>
  <c r="D556" i="25"/>
  <c r="K89" i="17" s="1"/>
  <c r="AF12" i="3" s="1"/>
  <c r="D564" i="25"/>
  <c r="K97" i="17" s="1"/>
  <c r="D572" i="25"/>
  <c r="K123" i="17" s="1"/>
  <c r="AJ14" i="3" s="1"/>
  <c r="D580" i="25"/>
  <c r="K139" i="17" s="1"/>
  <c r="D588" i="25"/>
  <c r="Q185" i="17" s="1"/>
  <c r="D596" i="25"/>
  <c r="L286" i="17" s="1"/>
  <c r="BR42" i="6" s="1"/>
  <c r="D604" i="25"/>
  <c r="L294" i="17" s="1"/>
  <c r="BR50" i="6" s="1"/>
  <c r="D612" i="25"/>
  <c r="B303" i="17" s="1"/>
  <c r="D620" i="25"/>
  <c r="D628" i="25"/>
  <c r="D636" i="25"/>
  <c r="B762" i="17" s="1"/>
  <c r="BW466" i="6" s="1"/>
  <c r="D644" i="25"/>
  <c r="D652" i="25"/>
  <c r="D660" i="25"/>
  <c r="B132" i="7" s="1"/>
  <c r="D668" i="25"/>
  <c r="B159" i="7" s="1"/>
  <c r="D676" i="25"/>
  <c r="D684" i="25"/>
  <c r="P2" i="6" s="1"/>
  <c r="D692" i="25"/>
  <c r="B15" i="27" s="1"/>
  <c r="D700" i="25"/>
  <c r="B40" i="27" s="1"/>
  <c r="D708" i="25"/>
  <c r="B975" i="17" s="1"/>
  <c r="D716" i="25"/>
  <c r="Q94" i="4" s="1"/>
  <c r="D724" i="25"/>
  <c r="D740" i="25"/>
  <c r="D756" i="25"/>
  <c r="D772" i="25"/>
  <c r="D804" i="25"/>
  <c r="D261" i="25"/>
  <c r="I84" i="7" s="1"/>
  <c r="D293" i="25"/>
  <c r="D309" i="25"/>
  <c r="D7" i="5" s="1"/>
  <c r="D333" i="25"/>
  <c r="D357" i="25"/>
  <c r="D389" i="25"/>
  <c r="D413" i="25"/>
  <c r="O11" i="9" s="1"/>
  <c r="D445" i="25"/>
  <c r="C5" i="6" s="1"/>
  <c r="D485" i="25"/>
  <c r="C205" i="6" s="1"/>
  <c r="K205" i="6" s="1"/>
  <c r="K219" i="6" s="1"/>
  <c r="D517" i="25"/>
  <c r="B35" i="17" s="1"/>
  <c r="BP35" i="6" s="1"/>
  <c r="D565" i="25"/>
  <c r="K98" i="17" s="1"/>
  <c r="AF21" i="3" s="1"/>
  <c r="D605" i="25"/>
  <c r="L295" i="17" s="1"/>
  <c r="BR51" i="6" s="1"/>
  <c r="D645" i="25"/>
  <c r="D661" i="25"/>
  <c r="D132" i="7" s="1"/>
  <c r="D725" i="25"/>
  <c r="D789" i="25"/>
  <c r="D677" i="25"/>
  <c r="D805" i="25"/>
  <c r="D685" i="25"/>
  <c r="D709" i="25"/>
  <c r="B977" i="17" s="1"/>
  <c r="D669" i="25"/>
  <c r="D733" i="25"/>
  <c r="D797" i="25"/>
  <c r="D741" i="25"/>
  <c r="D613" i="25"/>
  <c r="D749" i="25"/>
  <c r="D773" i="25"/>
  <c r="D781" i="25"/>
  <c r="D629" i="25"/>
  <c r="D693" i="25"/>
  <c r="M11" i="27" s="1"/>
  <c r="D757" i="25"/>
  <c r="D637" i="25"/>
  <c r="B824" i="17" s="1"/>
  <c r="BW528" i="6" s="1"/>
  <c r="D701" i="25"/>
  <c r="D765" i="25"/>
  <c r="D653" i="25"/>
  <c r="AA50" i="4" s="1"/>
  <c r="D6" i="25"/>
  <c r="B3" i="1" s="1"/>
  <c r="D126" i="25"/>
  <c r="AC13" i="4" s="1"/>
  <c r="D221" i="25"/>
  <c r="T49" i="4" s="1"/>
  <c r="D173" i="25"/>
  <c r="D149" i="25"/>
  <c r="I13" i="4" s="1"/>
  <c r="D85" i="25"/>
  <c r="D69" i="25"/>
  <c r="E42" i="3" s="1"/>
  <c r="D29" i="25"/>
  <c r="K22" i="3" s="1"/>
  <c r="D13" i="25"/>
  <c r="B20" i="1" s="1"/>
  <c r="D252" i="25"/>
  <c r="R74" i="7" s="1"/>
  <c r="D244" i="25"/>
  <c r="D236" i="25"/>
  <c r="J52" i="7" s="1"/>
  <c r="D228" i="25"/>
  <c r="K303" i="17" s="1"/>
  <c r="AL83" i="4" s="1"/>
  <c r="AC44" i="4" s="1"/>
  <c r="AI159" i="4" s="1"/>
  <c r="D220" i="25"/>
  <c r="D212" i="25"/>
  <c r="E88" i="4" s="1"/>
  <c r="D204" i="25"/>
  <c r="N73" i="4"/>
  <c r="D196" i="25"/>
  <c r="AA59" i="4" s="1"/>
  <c r="D188" i="25"/>
  <c r="T63" i="4" s="1"/>
  <c r="D180" i="25"/>
  <c r="E71" i="4" s="1"/>
  <c r="D172" i="25"/>
  <c r="D164" i="25"/>
  <c r="D156" i="25"/>
  <c r="AZ38" i="4" s="1"/>
  <c r="D155" i="25"/>
  <c r="D148" i="25"/>
  <c r="I12" i="4" s="1"/>
  <c r="V12" i="4" s="1"/>
  <c r="D140" i="25"/>
  <c r="D132" i="25"/>
  <c r="E9" i="4" s="1"/>
  <c r="D124" i="25"/>
  <c r="E6" i="4" s="1"/>
  <c r="D116" i="25"/>
  <c r="C37" i="22" s="1"/>
  <c r="U18" i="3" s="1"/>
  <c r="D100" i="25"/>
  <c r="C85" i="3" s="1"/>
  <c r="D92" i="25"/>
  <c r="F74" i="3" s="1"/>
  <c r="D84" i="25"/>
  <c r="C64" i="3" s="1"/>
  <c r="D76" i="25"/>
  <c r="C51" i="3" s="1"/>
  <c r="D68" i="25"/>
  <c r="E41" i="3" s="1"/>
  <c r="D60" i="25"/>
  <c r="C35" i="3" s="1"/>
  <c r="B13" i="27" s="1"/>
  <c r="D44" i="25"/>
  <c r="B46" i="7" s="1"/>
  <c r="D36" i="25"/>
  <c r="C17" i="3" s="1"/>
  <c r="B21" i="7" s="1"/>
  <c r="B21" i="14" s="1"/>
  <c r="D28" i="25"/>
  <c r="M4" i="3" s="1"/>
  <c r="D12" i="25"/>
  <c r="B18" i="1" s="1"/>
  <c r="D229" i="25"/>
  <c r="B48" i="7" s="1"/>
  <c r="B17" i="27" s="1"/>
  <c r="D181" i="25"/>
  <c r="E73" i="4" s="1"/>
  <c r="M7" i="5"/>
  <c r="D61" i="25"/>
  <c r="K35" i="3" s="1"/>
  <c r="B47" i="7" s="1"/>
  <c r="D251" i="25"/>
  <c r="B73" i="7" s="1"/>
  <c r="B117" i="7" s="1"/>
  <c r="D243" i="25"/>
  <c r="D235" i="25"/>
  <c r="L51" i="7" s="1"/>
  <c r="D227" i="25"/>
  <c r="K186" i="17" s="1"/>
  <c r="AR83" i="4" s="1"/>
  <c r="AC69" i="4" s="1"/>
  <c r="D219" i="25"/>
  <c r="E51" i="4" s="1"/>
  <c r="D211" i="25"/>
  <c r="E86" i="4" s="1"/>
  <c r="D203" i="25"/>
  <c r="T75" i="4" s="1"/>
  <c r="AG75" i="4" s="1"/>
  <c r="D195" i="25"/>
  <c r="D187" i="25"/>
  <c r="R63" i="4" s="1"/>
  <c r="D179" i="25"/>
  <c r="E70" i="4" s="1"/>
  <c r="D171" i="25"/>
  <c r="D163" i="25"/>
  <c r="D147" i="25"/>
  <c r="G12" i="4" s="1"/>
  <c r="G31" i="4" s="1"/>
  <c r="L7" i="5"/>
  <c r="D131" i="25"/>
  <c r="R7" i="4" s="1"/>
  <c r="D123" i="25"/>
  <c r="B4" i="4" s="1"/>
  <c r="D115" i="25"/>
  <c r="C36" i="22" s="1"/>
  <c r="U17" i="3" s="1"/>
  <c r="D99" i="25"/>
  <c r="C83" i="3" s="1"/>
  <c r="A104" i="23" s="1"/>
  <c r="D91" i="25"/>
  <c r="D83" i="25"/>
  <c r="C63" i="3" s="1"/>
  <c r="D75" i="25"/>
  <c r="K48" i="3" s="1"/>
  <c r="D67" i="25"/>
  <c r="E40" i="3" s="1"/>
  <c r="D59" i="25"/>
  <c r="K33" i="3" s="1"/>
  <c r="D43" i="25"/>
  <c r="B45" i="7" s="1"/>
  <c r="D35" i="25"/>
  <c r="C13" i="3" s="1"/>
  <c r="B15" i="7" s="1"/>
  <c r="B15" i="14" s="1"/>
  <c r="D27" i="25"/>
  <c r="G18" i="1" s="1"/>
  <c r="D19" i="25"/>
  <c r="D11" i="25"/>
  <c r="B17" i="1" s="1"/>
  <c r="D237" i="25"/>
  <c r="B53" i="7" s="1"/>
  <c r="B19" i="27" s="1"/>
  <c r="D189" i="25"/>
  <c r="L55" i="4" s="1"/>
  <c r="D133" i="25"/>
  <c r="C8" i="4" s="1"/>
  <c r="P8" i="4" s="1"/>
  <c r="D258" i="25"/>
  <c r="B82" i="7" s="1"/>
  <c r="D250" i="25"/>
  <c r="M63" i="7" s="1"/>
  <c r="D242" i="25"/>
  <c r="D234" i="25"/>
  <c r="J48" i="7" s="1"/>
  <c r="B18" i="27" s="1"/>
  <c r="D226" i="25"/>
  <c r="L98" i="22" s="1"/>
  <c r="AJ72" i="4" s="1"/>
  <c r="D218" i="25"/>
  <c r="D210" i="25"/>
  <c r="E85" i="4" s="1"/>
  <c r="D202" i="25"/>
  <c r="D194" i="25"/>
  <c r="V58" i="4" s="1"/>
  <c r="V68" i="4" s="1"/>
  <c r="D186" i="25"/>
  <c r="R62" i="4" s="1"/>
  <c r="D178" i="25"/>
  <c r="E68" i="4" s="1"/>
  <c r="D170" i="25"/>
  <c r="R25" i="4" s="1"/>
  <c r="D162" i="25"/>
  <c r="V50" i="4" s="1"/>
  <c r="I82" i="4" s="1"/>
  <c r="D154" i="25"/>
  <c r="AZ37" i="4" s="1"/>
  <c r="D153" i="25"/>
  <c r="D146" i="25"/>
  <c r="E13" i="4" s="1"/>
  <c r="D138" i="25"/>
  <c r="D130" i="25"/>
  <c r="Q6" i="4" s="1"/>
  <c r="D122" i="25"/>
  <c r="Q2" i="3" s="1"/>
  <c r="D114" i="25"/>
  <c r="C35" i="22" s="1"/>
  <c r="U16" i="3" s="1"/>
  <c r="D90" i="25"/>
  <c r="D69" i="3" s="1"/>
  <c r="D82" i="25"/>
  <c r="C61" i="3" s="1"/>
  <c r="D74" i="25"/>
  <c r="C48" i="3" s="1"/>
  <c r="D66" i="25"/>
  <c r="E39" i="3" s="1"/>
  <c r="D58" i="25"/>
  <c r="AX40" i="3" s="1"/>
  <c r="D42" i="25"/>
  <c r="C33" i="3" s="1"/>
  <c r="D34" i="25"/>
  <c r="D26" i="25"/>
  <c r="E19" i="1" s="1"/>
  <c r="D18" i="25"/>
  <c r="D10" i="25"/>
  <c r="B16" i="1" s="1"/>
  <c r="D245" i="25"/>
  <c r="D213" i="25"/>
  <c r="E89" i="4" s="1"/>
  <c r="D165" i="25"/>
  <c r="D125" i="25"/>
  <c r="D93" i="25"/>
  <c r="L74" i="3" s="1"/>
  <c r="D37" i="25"/>
  <c r="D257" i="25"/>
  <c r="B80" i="7" s="1"/>
  <c r="B129" i="7" s="1"/>
  <c r="D249" i="25"/>
  <c r="B67" i="7" s="1"/>
  <c r="B64" i="14" s="1"/>
  <c r="D241" i="25"/>
  <c r="D233" i="25"/>
  <c r="B52" i="7" s="1"/>
  <c r="D225" i="25"/>
  <c r="L97" i="22" s="1"/>
  <c r="AJ71" i="4" s="1"/>
  <c r="D217" i="25"/>
  <c r="I96" i="4" s="1"/>
  <c r="D209" i="25"/>
  <c r="E84" i="4" s="1"/>
  <c r="D201" i="25"/>
  <c r="P75" i="4" s="1"/>
  <c r="D193" i="25"/>
  <c r="V57" i="4" s="1"/>
  <c r="V67" i="4" s="1"/>
  <c r="D185" i="25"/>
  <c r="N63" i="4" s="1"/>
  <c r="I56" i="4" s="1"/>
  <c r="D177" i="25"/>
  <c r="D169" i="25"/>
  <c r="R52" i="4" s="1"/>
  <c r="D161" i="25"/>
  <c r="E54" i="4" s="1"/>
  <c r="D145" i="25"/>
  <c r="E12" i="4" s="1"/>
  <c r="D129" i="25"/>
  <c r="AC16" i="4" s="1"/>
  <c r="D121" i="25"/>
  <c r="C42" i="22" s="1"/>
  <c r="U23" i="3" s="1"/>
  <c r="D113" i="25"/>
  <c r="C34" i="22" s="1"/>
  <c r="U15" i="3" s="1"/>
  <c r="D97" i="25"/>
  <c r="C79" i="3" s="1"/>
  <c r="A98" i="23" s="1"/>
  <c r="D89" i="25"/>
  <c r="D68" i="3" s="1"/>
  <c r="D81" i="25"/>
  <c r="G56" i="3" s="1"/>
  <c r="D73" i="25"/>
  <c r="E46" i="3" s="1"/>
  <c r="D65" i="25"/>
  <c r="C39" i="3" s="1"/>
  <c r="D57" i="25"/>
  <c r="AX37" i="3" s="1"/>
  <c r="U29" i="3" s="1"/>
  <c r="D41" i="25"/>
  <c r="B42" i="7" s="1"/>
  <c r="B42" i="14" s="1"/>
  <c r="D33" i="25"/>
  <c r="D25" i="25"/>
  <c r="C7" i="3" s="1"/>
  <c r="B9" i="7" s="1"/>
  <c r="B9" i="14" s="1"/>
  <c r="D17" i="25"/>
  <c r="B27" i="1" s="1"/>
  <c r="D9" i="25"/>
  <c r="B7" i="1" s="1"/>
  <c r="D256" i="25"/>
  <c r="B78" i="7" s="1"/>
  <c r="D248" i="25"/>
  <c r="B63" i="7" s="1"/>
  <c r="B59" i="14" s="1"/>
  <c r="D240" i="25"/>
  <c r="B56" i="7" s="1"/>
  <c r="D232" i="25"/>
  <c r="B51" i="7" s="1"/>
  <c r="D224" i="25"/>
  <c r="L96" i="22" s="1"/>
  <c r="AJ70" i="4" s="1"/>
  <c r="D216" i="25"/>
  <c r="D208" i="25"/>
  <c r="E83" i="4" s="1"/>
  <c r="D200" i="25"/>
  <c r="R82" i="4" s="1"/>
  <c r="D192" i="25"/>
  <c r="V56" i="4" s="1"/>
  <c r="V64" i="4" s="1"/>
  <c r="D184" i="25"/>
  <c r="D176" i="25"/>
  <c r="E65" i="4" s="1"/>
  <c r="D168" i="25"/>
  <c r="R51" i="4" s="1"/>
  <c r="D160" i="25"/>
  <c r="AZ40" i="4" s="1"/>
  <c r="D159" i="25"/>
  <c r="D152" i="25"/>
  <c r="E20" i="4" s="1"/>
  <c r="R39" i="4" s="1"/>
  <c r="D144" i="25"/>
  <c r="E11" i="4" s="1"/>
  <c r="D136" i="25"/>
  <c r="D128" i="25"/>
  <c r="AC15" i="4" s="1"/>
  <c r="D120" i="25"/>
  <c r="C41" i="22" s="1"/>
  <c r="U22" i="3" s="1"/>
  <c r="D112" i="25"/>
  <c r="C33" i="22" s="1"/>
  <c r="U14" i="3" s="1"/>
  <c r="D96" i="25"/>
  <c r="C77" i="3" s="1"/>
  <c r="A95" i="23" s="1"/>
  <c r="D88" i="25"/>
  <c r="C68" i="3" s="1"/>
  <c r="D80" i="25"/>
  <c r="C55" i="3" s="1"/>
  <c r="D72" i="25"/>
  <c r="E45" i="3" s="1"/>
  <c r="D64" i="25"/>
  <c r="D48" i="25"/>
  <c r="R4" i="7" s="1"/>
  <c r="D40" i="25"/>
  <c r="O5" i="3" s="1"/>
  <c r="M7" i="7" s="1"/>
  <c r="M7" i="14" s="1"/>
  <c r="D32" i="25"/>
  <c r="C10" i="3" s="1"/>
  <c r="B13" i="7" s="1"/>
  <c r="B13" i="14" s="1"/>
  <c r="D24" i="25"/>
  <c r="C5" i="3" s="1"/>
  <c r="B7" i="7" s="1"/>
  <c r="B7" i="14" s="1"/>
  <c r="D16" i="25"/>
  <c r="B25" i="1" s="1"/>
  <c r="D8" i="25"/>
  <c r="B6" i="1" s="1"/>
  <c r="D205" i="25"/>
  <c r="D157" i="25"/>
  <c r="D101" i="25"/>
  <c r="C87" i="3" s="1"/>
  <c r="A107" i="23" s="1"/>
  <c r="D77" i="25"/>
  <c r="G52" i="3" s="1"/>
  <c r="D45" i="25"/>
  <c r="B4" i="7" s="1"/>
  <c r="B4" i="14" s="1"/>
  <c r="D21" i="25"/>
  <c r="B2" i="3" s="1"/>
  <c r="B2" i="4" s="1"/>
  <c r="D255" i="25"/>
  <c r="B77" i="7" s="1"/>
  <c r="D247" i="25"/>
  <c r="B59" i="7" s="1"/>
  <c r="B56" i="14" s="1"/>
  <c r="D239" i="25"/>
  <c r="M55" i="7" s="1"/>
  <c r="B22" i="27" s="1"/>
  <c r="D231" i="25"/>
  <c r="B50" i="7" s="1"/>
  <c r="D223" i="25"/>
  <c r="E21" i="4" s="1"/>
  <c r="D215" i="25"/>
  <c r="E92" i="4" s="1"/>
  <c r="D207" i="25"/>
  <c r="D199" i="25"/>
  <c r="R81" i="4" s="1"/>
  <c r="D191" i="25"/>
  <c r="D183" i="25"/>
  <c r="E76" i="4" s="1"/>
  <c r="D175" i="25"/>
  <c r="E64" i="4" s="1"/>
  <c r="D167" i="25"/>
  <c r="D151" i="25"/>
  <c r="L12" i="4" s="1"/>
  <c r="K7" i="5"/>
  <c r="D135" i="25"/>
  <c r="D127" i="25"/>
  <c r="AC14" i="4" s="1"/>
  <c r="D119" i="25"/>
  <c r="C40" i="22" s="1"/>
  <c r="U21" i="3" s="1"/>
  <c r="D111" i="25"/>
  <c r="C32" i="22" s="1"/>
  <c r="D95" i="25"/>
  <c r="C75" i="3" s="1"/>
  <c r="A92" i="23" s="1"/>
  <c r="D87" i="25"/>
  <c r="N61" i="3" s="1"/>
  <c r="D79" i="25"/>
  <c r="D71" i="25"/>
  <c r="E44" i="3" s="1"/>
  <c r="D63" i="25"/>
  <c r="K37" i="3" s="1"/>
  <c r="D55" i="25"/>
  <c r="AX35" i="3" s="1"/>
  <c r="U27" i="3" s="1"/>
  <c r="D47" i="25"/>
  <c r="D39" i="25"/>
  <c r="C24" i="3" s="1"/>
  <c r="B31" i="7" s="1"/>
  <c r="B31" i="14" s="1"/>
  <c r="D31" i="25"/>
  <c r="C15" i="3" s="1"/>
  <c r="B17" i="7" s="1"/>
  <c r="B17" i="14" s="1"/>
  <c r="D23" i="25"/>
  <c r="R118" i="7" s="1"/>
  <c r="D15" i="25"/>
  <c r="B21" i="1" s="1"/>
  <c r="D253" i="25"/>
  <c r="B55" i="7" s="1"/>
  <c r="B21" i="27" s="1"/>
  <c r="D197" i="25"/>
  <c r="AA65" i="4" s="1"/>
  <c r="D117" i="25"/>
  <c r="C38" i="22" s="1"/>
  <c r="D254" i="25"/>
  <c r="D56" i="7" s="1"/>
  <c r="D246" i="25"/>
  <c r="B58" i="7" s="1"/>
  <c r="B55" i="14" s="1"/>
  <c r="D238" i="25"/>
  <c r="D230" i="25"/>
  <c r="B49" i="7" s="1"/>
  <c r="D222" i="25"/>
  <c r="T50" i="4" s="1"/>
  <c r="D214" i="25"/>
  <c r="E91" i="4" s="1"/>
  <c r="D206" i="25"/>
  <c r="D198" i="25"/>
  <c r="V82" i="4" s="1"/>
  <c r="D190" i="25"/>
  <c r="L56" i="4" s="1"/>
  <c r="D182" i="25"/>
  <c r="E75" i="4" s="1"/>
  <c r="D174" i="25"/>
  <c r="E62" i="4" s="1"/>
  <c r="D166" i="25"/>
  <c r="R24" i="4" s="1"/>
  <c r="D158" i="25"/>
  <c r="AZ39" i="4" s="1"/>
  <c r="D150" i="25"/>
  <c r="K12" i="4" s="1"/>
  <c r="K31" i="4" s="1"/>
  <c r="X49" i="4" s="1"/>
  <c r="K63" i="4" s="1"/>
  <c r="K82" i="4" s="1"/>
  <c r="D142" i="25"/>
  <c r="D134" i="25"/>
  <c r="C28" i="4" s="1"/>
  <c r="P28" i="4" s="1"/>
  <c r="D118" i="25"/>
  <c r="C39" i="22" s="1"/>
  <c r="U20" i="3" s="1"/>
  <c r="D102" i="25"/>
  <c r="L88" i="3" s="1"/>
  <c r="D94" i="25"/>
  <c r="N74" i="3" s="1"/>
  <c r="P74" i="3" s="1"/>
  <c r="D86" i="25"/>
  <c r="M62" i="3" s="1"/>
  <c r="D78" i="25"/>
  <c r="C53" i="3" s="1"/>
  <c r="D70" i="25"/>
  <c r="E43" i="3" s="1"/>
  <c r="D62" i="25"/>
  <c r="C37" i="3" s="1"/>
  <c r="D46" i="25"/>
  <c r="D38" i="25"/>
  <c r="C20" i="3" s="1"/>
  <c r="B25" i="7" s="1"/>
  <c r="B25" i="14" s="1"/>
  <c r="D30" i="25"/>
  <c r="K5" i="3" s="1"/>
  <c r="D14" i="25"/>
  <c r="D5" i="25"/>
  <c r="D4" i="25"/>
  <c r="L84" i="22"/>
  <c r="AP51" i="4" s="1"/>
  <c r="AI158" i="4"/>
  <c r="AI132" i="4" s="1"/>
  <c r="AC87" i="4"/>
  <c r="P36" i="31"/>
  <c r="Q35" i="31"/>
  <c r="BP660" i="6"/>
  <c r="BP328" i="6"/>
  <c r="BW32" i="6"/>
  <c r="BP307" i="6"/>
  <c r="BW11" i="6"/>
  <c r="BP354" i="6"/>
  <c r="BW58" i="6"/>
  <c r="BP432" i="6"/>
  <c r="BW136" i="6"/>
  <c r="BP449" i="6"/>
  <c r="BW153" i="6"/>
  <c r="BP484" i="6"/>
  <c r="BW188" i="6"/>
  <c r="BW234" i="6"/>
  <c r="BP530" i="6"/>
  <c r="BW242" i="6"/>
  <c r="BP538" i="6"/>
  <c r="BP575" i="6"/>
  <c r="BW279" i="6"/>
  <c r="BP640" i="6"/>
  <c r="BW344" i="6"/>
  <c r="BP784" i="6"/>
  <c r="BW488" i="6"/>
  <c r="BP950" i="6"/>
  <c r="BW654" i="6"/>
  <c r="BP891" i="6"/>
  <c r="BW595" i="6"/>
  <c r="BP381" i="6"/>
  <c r="BW85" i="6"/>
  <c r="BP563" i="6"/>
  <c r="BW267" i="6"/>
  <c r="BP648" i="6"/>
  <c r="BW352" i="6"/>
  <c r="BP763" i="6"/>
  <c r="BW467" i="6"/>
  <c r="BP812" i="6"/>
  <c r="BW516" i="6"/>
  <c r="BP942" i="6"/>
  <c r="BW646" i="6"/>
  <c r="BP352" i="6"/>
  <c r="BW56" i="6"/>
  <c r="BP373" i="6"/>
  <c r="BW77" i="6"/>
  <c r="BP334" i="6"/>
  <c r="BW38" i="6"/>
  <c r="BP413" i="6"/>
  <c r="BW117" i="6"/>
  <c r="BP517" i="6"/>
  <c r="BW221" i="6"/>
  <c r="BP702" i="6"/>
  <c r="BW406" i="6"/>
  <c r="BP686" i="6"/>
  <c r="BW390" i="6"/>
  <c r="BP732" i="6"/>
  <c r="BW436" i="6"/>
  <c r="BP736" i="6"/>
  <c r="BW440" i="6"/>
  <c r="BP420" i="6"/>
  <c r="BW124" i="6"/>
  <c r="BP444" i="6"/>
  <c r="BW148" i="6"/>
  <c r="BP475" i="6"/>
  <c r="BW179" i="6"/>
  <c r="BP576" i="6"/>
  <c r="BW280" i="6"/>
  <c r="BP747" i="6"/>
  <c r="BW451" i="6"/>
  <c r="BP933" i="6"/>
  <c r="BW637" i="6"/>
  <c r="BP379" i="6"/>
  <c r="BW83" i="6"/>
  <c r="BP308" i="6"/>
  <c r="BW12" i="6"/>
  <c r="BP386" i="6"/>
  <c r="BW90" i="6"/>
  <c r="BP531" i="6"/>
  <c r="BW235" i="6"/>
  <c r="BP602" i="6"/>
  <c r="BW306" i="6"/>
  <c r="BP610" i="6"/>
  <c r="BW314" i="6"/>
  <c r="BP716" i="6"/>
  <c r="BW420" i="6"/>
  <c r="BW498" i="6"/>
  <c r="BP794" i="6"/>
  <c r="BP336" i="6"/>
  <c r="BW40" i="6"/>
  <c r="BP315" i="6"/>
  <c r="BW19" i="6"/>
  <c r="BP455" i="6"/>
  <c r="BW159" i="6"/>
  <c r="BP560" i="6"/>
  <c r="BW264" i="6"/>
  <c r="BP789" i="6"/>
  <c r="BW493" i="6"/>
  <c r="BP905" i="6"/>
  <c r="BW609" i="6"/>
  <c r="BP410" i="6"/>
  <c r="BW114" i="6"/>
  <c r="BP417" i="6"/>
  <c r="BW121" i="6"/>
  <c r="BP631" i="6"/>
  <c r="BW335" i="6"/>
  <c r="BP691" i="6"/>
  <c r="BW395" i="6"/>
  <c r="BP668" i="6"/>
  <c r="BW372" i="6"/>
  <c r="BP940" i="6"/>
  <c r="BW644" i="6"/>
  <c r="BP746" i="6"/>
  <c r="BW450" i="6"/>
  <c r="BP795" i="6"/>
  <c r="BW499" i="6"/>
  <c r="BP852" i="6"/>
  <c r="BW556" i="6"/>
  <c r="BP931" i="6"/>
  <c r="BW635" i="6"/>
  <c r="BP512" i="6"/>
  <c r="BW216" i="6"/>
  <c r="BP589" i="6"/>
  <c r="BW293" i="6"/>
  <c r="BP712" i="6"/>
  <c r="BW416" i="6"/>
  <c r="BP727" i="6"/>
  <c r="BW431" i="6"/>
  <c r="BP910" i="6"/>
  <c r="BW614" i="6"/>
  <c r="BP521" i="6"/>
  <c r="BW225" i="6"/>
  <c r="BP565" i="6"/>
  <c r="BW269" i="6"/>
  <c r="BP722" i="6"/>
  <c r="BW426" i="6"/>
  <c r="BP779" i="6"/>
  <c r="BW483" i="6"/>
  <c r="BP863" i="6"/>
  <c r="BW567" i="6"/>
  <c r="BP847" i="6"/>
  <c r="BW551" i="6"/>
  <c r="BP963" i="6"/>
  <c r="BW667" i="6"/>
  <c r="BP819" i="6"/>
  <c r="BW523" i="6"/>
  <c r="BP917" i="6"/>
  <c r="BW621" i="6"/>
  <c r="BP739" i="6"/>
  <c r="BW443" i="6"/>
  <c r="BP793" i="6"/>
  <c r="BW497" i="6"/>
  <c r="BP927" i="6"/>
  <c r="BW631" i="6"/>
  <c r="BP886" i="6"/>
  <c r="BW590" i="6"/>
  <c r="BP920" i="6"/>
  <c r="BW624" i="6"/>
  <c r="BP965" i="6"/>
  <c r="BP952" i="6"/>
  <c r="BP415" i="6"/>
  <c r="BW119" i="6"/>
  <c r="BP393" i="6"/>
  <c r="BW97" i="6"/>
  <c r="BP345" i="6"/>
  <c r="BW49" i="6"/>
  <c r="BP424" i="6"/>
  <c r="BW128" i="6"/>
  <c r="BP447" i="6"/>
  <c r="BW151" i="6"/>
  <c r="BP482" i="6"/>
  <c r="BW186" i="6"/>
  <c r="BP524" i="6"/>
  <c r="BW228" i="6"/>
  <c r="BP573" i="6"/>
  <c r="BW277" i="6"/>
  <c r="BP633" i="6"/>
  <c r="BW337" i="6"/>
  <c r="BP638" i="6"/>
  <c r="BW342" i="6"/>
  <c r="BP772" i="6"/>
  <c r="BW476" i="6"/>
  <c r="BP361" i="6"/>
  <c r="BW65" i="6"/>
  <c r="BP360" i="6"/>
  <c r="BW64" i="6"/>
  <c r="BW194" i="6"/>
  <c r="BP490" i="6"/>
  <c r="BP561" i="6"/>
  <c r="BW265" i="6"/>
  <c r="BP717" i="6"/>
  <c r="BW421" i="6"/>
  <c r="BP780" i="6"/>
  <c r="BW484" i="6"/>
  <c r="BW514" i="6"/>
  <c r="BP810" i="6"/>
  <c r="BP320" i="6"/>
  <c r="BW24" i="6"/>
  <c r="BP335" i="6"/>
  <c r="BW39" i="6"/>
  <c r="BP467" i="6"/>
  <c r="BW171" i="6"/>
  <c r="BP326" i="6"/>
  <c r="BW30" i="6"/>
  <c r="BP405" i="6"/>
  <c r="BW109" i="6"/>
  <c r="BP507" i="6"/>
  <c r="BW211" i="6"/>
  <c r="BP700" i="6"/>
  <c r="BW404" i="6"/>
  <c r="BP684" i="6"/>
  <c r="BW388" i="6"/>
  <c r="BP818" i="6"/>
  <c r="BW522" i="6"/>
  <c r="BP806" i="6"/>
  <c r="BW510" i="6"/>
  <c r="BP412" i="6"/>
  <c r="BW116" i="6"/>
  <c r="BP466" i="6"/>
  <c r="BW170" i="6"/>
  <c r="BP473" i="6"/>
  <c r="BW177" i="6"/>
  <c r="BP634" i="6"/>
  <c r="BW338" i="6"/>
  <c r="BP738" i="6"/>
  <c r="BW442" i="6"/>
  <c r="BP959" i="6"/>
  <c r="BW663" i="6"/>
  <c r="BW74" i="6"/>
  <c r="BP370" i="6"/>
  <c r="BP378" i="6"/>
  <c r="BW82" i="6"/>
  <c r="BP528" i="6"/>
  <c r="BW232" i="6"/>
  <c r="BP599" i="6"/>
  <c r="BW303" i="6"/>
  <c r="BP604" i="6"/>
  <c r="BW308" i="6"/>
  <c r="BP713" i="6"/>
  <c r="BW417" i="6"/>
  <c r="BW506" i="6"/>
  <c r="BP802" i="6"/>
  <c r="BP431" i="6"/>
  <c r="BW135" i="6"/>
  <c r="BP442" i="6"/>
  <c r="BW146" i="6"/>
  <c r="BP533" i="6"/>
  <c r="BW237" i="6"/>
  <c r="BP558" i="6"/>
  <c r="BW262" i="6"/>
  <c r="BP787" i="6"/>
  <c r="BW491" i="6"/>
  <c r="BP913" i="6"/>
  <c r="BW617" i="6"/>
  <c r="BP363" i="6"/>
  <c r="BW67" i="6"/>
  <c r="BP409" i="6"/>
  <c r="BW113" i="6"/>
  <c r="BP709" i="6"/>
  <c r="BW413" i="6"/>
  <c r="BP689" i="6"/>
  <c r="BW393" i="6"/>
  <c r="BP666" i="6"/>
  <c r="BW370" i="6"/>
  <c r="BP615" i="6"/>
  <c r="BW319" i="6"/>
  <c r="BP741" i="6"/>
  <c r="BW445" i="6"/>
  <c r="BW570" i="6"/>
  <c r="BP866" i="6"/>
  <c r="BW554" i="6"/>
  <c r="BP850" i="6"/>
  <c r="BP953" i="6"/>
  <c r="BW657" i="6"/>
  <c r="BP504" i="6"/>
  <c r="BW208" i="6"/>
  <c r="BP587" i="6"/>
  <c r="BW291" i="6"/>
  <c r="BP704" i="6"/>
  <c r="BW408" i="6"/>
  <c r="BP777" i="6"/>
  <c r="BW481" i="6"/>
  <c r="BW649" i="6"/>
  <c r="BP945" i="6"/>
  <c r="BP506" i="6"/>
  <c r="BW210" i="6"/>
  <c r="BP600" i="6"/>
  <c r="BW304" i="6"/>
  <c r="BP714" i="6"/>
  <c r="BW418" i="6"/>
  <c r="BP767" i="6"/>
  <c r="BW471" i="6"/>
  <c r="BP861" i="6"/>
  <c r="BW565" i="6"/>
  <c r="BP845" i="6"/>
  <c r="BW549" i="6"/>
  <c r="BP957" i="6"/>
  <c r="BW661" i="6"/>
  <c r="BP817" i="6"/>
  <c r="BW521" i="6"/>
  <c r="BW648" i="6"/>
  <c r="BP944" i="6"/>
  <c r="BP731" i="6"/>
  <c r="BW435" i="6"/>
  <c r="BP825" i="6"/>
  <c r="BW529" i="6"/>
  <c r="BP949" i="6"/>
  <c r="BW653" i="6"/>
  <c r="BP884" i="6"/>
  <c r="BW588" i="6"/>
  <c r="BP946" i="6"/>
  <c r="BW650" i="6"/>
  <c r="BP454" i="6"/>
  <c r="BW158" i="6"/>
  <c r="BP355" i="6"/>
  <c r="BW59" i="6"/>
  <c r="BP337" i="6"/>
  <c r="BW41" i="6"/>
  <c r="BP416" i="6"/>
  <c r="BW120" i="6"/>
  <c r="BP445" i="6"/>
  <c r="BW149" i="6"/>
  <c r="BP480" i="6"/>
  <c r="BW184" i="6"/>
  <c r="BP518" i="6"/>
  <c r="BW222" i="6"/>
  <c r="BP566" i="6"/>
  <c r="BW270" i="6"/>
  <c r="BP628" i="6"/>
  <c r="BW332" i="6"/>
  <c r="BP636" i="6"/>
  <c r="BW340" i="6"/>
  <c r="BP799" i="6"/>
  <c r="BW503" i="6"/>
  <c r="BP365" i="6"/>
  <c r="BW69" i="6"/>
  <c r="BP343" i="6"/>
  <c r="BW47" i="6"/>
  <c r="BP537" i="6"/>
  <c r="BW241" i="6"/>
  <c r="BP559" i="6"/>
  <c r="BW263" i="6"/>
  <c r="BP711" i="6"/>
  <c r="BW415" i="6"/>
  <c r="BP768" i="6"/>
  <c r="BW472" i="6"/>
  <c r="BP808" i="6"/>
  <c r="BW512" i="6"/>
  <c r="BP390" i="6"/>
  <c r="BW94" i="6"/>
  <c r="BP319" i="6"/>
  <c r="BW23" i="6"/>
  <c r="BP495" i="6"/>
  <c r="BW199" i="6"/>
  <c r="BP318" i="6"/>
  <c r="BW22" i="6"/>
  <c r="BP396" i="6"/>
  <c r="BW100" i="6"/>
  <c r="BP543" i="6"/>
  <c r="BW247" i="6"/>
  <c r="BP698" i="6"/>
  <c r="BW402" i="6"/>
  <c r="BP682" i="6"/>
  <c r="BW386" i="6"/>
  <c r="BP879" i="6"/>
  <c r="BW583" i="6"/>
  <c r="BP915" i="6"/>
  <c r="BW619" i="6"/>
  <c r="BP404" i="6"/>
  <c r="BW108" i="6"/>
  <c r="BP487" i="6"/>
  <c r="BW191" i="6"/>
  <c r="BP574" i="6"/>
  <c r="BW278" i="6"/>
  <c r="BP632" i="6"/>
  <c r="BW336" i="6"/>
  <c r="BP820" i="6"/>
  <c r="BW524" i="6"/>
  <c r="BP439" i="6"/>
  <c r="BW143" i="6"/>
  <c r="BP357" i="6"/>
  <c r="BW61" i="6"/>
  <c r="BP435" i="6"/>
  <c r="BW139" i="6"/>
  <c r="BP459" i="6"/>
  <c r="BW163" i="6"/>
  <c r="BP525" i="6"/>
  <c r="BW229" i="6"/>
  <c r="BP584" i="6"/>
  <c r="BW288" i="6"/>
  <c r="BP647" i="6"/>
  <c r="BW351" i="6"/>
  <c r="BP707" i="6"/>
  <c r="BW411" i="6"/>
  <c r="BP822" i="6"/>
  <c r="BW526" i="6"/>
  <c r="BP382" i="6"/>
  <c r="BW86" i="6"/>
  <c r="BP434" i="6"/>
  <c r="BW138" i="6"/>
  <c r="BP522" i="6"/>
  <c r="BW226" i="6"/>
  <c r="BP556" i="6"/>
  <c r="BW260" i="6"/>
  <c r="BP785" i="6"/>
  <c r="BW489" i="6"/>
  <c r="BP353" i="6"/>
  <c r="BW57" i="6"/>
  <c r="BP346" i="6"/>
  <c r="BW50" i="6"/>
  <c r="BP392" i="6"/>
  <c r="BW96" i="6"/>
  <c r="BP703" i="6"/>
  <c r="BW407" i="6"/>
  <c r="BP687" i="6"/>
  <c r="BW391" i="6"/>
  <c r="BP664" i="6"/>
  <c r="BW368" i="6"/>
  <c r="BP603" i="6"/>
  <c r="BW307" i="6"/>
  <c r="BP733" i="6"/>
  <c r="BW437" i="6"/>
  <c r="BP864" i="6"/>
  <c r="BW568" i="6"/>
  <c r="BP848" i="6"/>
  <c r="BW552" i="6"/>
  <c r="BP976" i="6"/>
  <c r="BW680" i="6"/>
  <c r="BP547" i="6"/>
  <c r="BW251" i="6"/>
  <c r="BP585" i="6"/>
  <c r="BW289" i="6"/>
  <c r="BP674" i="6"/>
  <c r="BW378" i="6"/>
  <c r="BP775" i="6"/>
  <c r="BW479" i="6"/>
  <c r="BW634" i="6"/>
  <c r="BP930" i="6"/>
  <c r="BP554" i="6"/>
  <c r="BW258" i="6"/>
  <c r="BP627" i="6"/>
  <c r="BW331" i="6"/>
  <c r="BP706" i="6"/>
  <c r="BW410" i="6"/>
  <c r="BP765" i="6"/>
  <c r="BW469" i="6"/>
  <c r="BP859" i="6"/>
  <c r="BW563" i="6"/>
  <c r="BP843" i="6"/>
  <c r="BW547" i="6"/>
  <c r="BP967" i="6"/>
  <c r="BW671" i="6"/>
  <c r="BP815" i="6"/>
  <c r="BW519" i="6"/>
  <c r="BP932" i="6"/>
  <c r="BW636" i="6"/>
  <c r="BP723" i="6"/>
  <c r="BW427" i="6"/>
  <c r="BP838" i="6"/>
  <c r="BW542" i="6"/>
  <c r="BP941" i="6"/>
  <c r="BW645" i="6"/>
  <c r="BP882" i="6"/>
  <c r="BW586" i="6"/>
  <c r="BW642" i="6"/>
  <c r="BP938" i="6"/>
  <c r="BP824" i="6"/>
  <c r="BP762" i="6"/>
  <c r="BP491" i="6"/>
  <c r="BW195" i="6"/>
  <c r="BP338" i="6"/>
  <c r="BW42" i="6"/>
  <c r="BP329" i="6"/>
  <c r="BW33" i="6"/>
  <c r="BP408" i="6"/>
  <c r="BW112" i="6"/>
  <c r="BP443" i="6"/>
  <c r="BW147" i="6"/>
  <c r="BP478" i="6"/>
  <c r="BW182" i="6"/>
  <c r="BP508" i="6"/>
  <c r="BW212" i="6"/>
  <c r="BP601" i="6"/>
  <c r="BW305" i="6"/>
  <c r="BP622" i="6"/>
  <c r="BW326" i="6"/>
  <c r="BP649" i="6"/>
  <c r="BW353" i="6"/>
  <c r="BP796" i="6"/>
  <c r="BW500" i="6"/>
  <c r="BP399" i="6"/>
  <c r="BW103" i="6"/>
  <c r="BP327" i="6"/>
  <c r="BW31" i="6"/>
  <c r="BP515" i="6"/>
  <c r="BW219" i="6"/>
  <c r="BP557" i="6"/>
  <c r="BW261" i="6"/>
  <c r="BP708" i="6"/>
  <c r="BW412" i="6"/>
  <c r="BP792" i="6"/>
  <c r="BW496" i="6"/>
  <c r="BP816" i="6"/>
  <c r="BW520" i="6"/>
  <c r="BP452" i="6"/>
  <c r="BW156" i="6"/>
  <c r="BP311" i="6"/>
  <c r="BW15" i="6"/>
  <c r="BP526" i="6"/>
  <c r="BW230" i="6"/>
  <c r="BP310" i="6"/>
  <c r="BW14" i="6"/>
  <c r="BP388" i="6"/>
  <c r="BW92" i="6"/>
  <c r="BP540" i="6"/>
  <c r="BW244" i="6"/>
  <c r="BP696" i="6"/>
  <c r="BW400" i="6"/>
  <c r="BP673" i="6"/>
  <c r="BW377" i="6"/>
  <c r="BP344" i="6"/>
  <c r="BW48" i="6"/>
  <c r="BP341" i="6"/>
  <c r="BW45" i="6"/>
  <c r="BP395" i="6"/>
  <c r="BW99" i="6"/>
  <c r="BP485" i="6"/>
  <c r="BW189" i="6"/>
  <c r="BP572" i="6"/>
  <c r="BW276" i="6"/>
  <c r="BP639" i="6"/>
  <c r="BW343" i="6"/>
  <c r="BP837" i="6"/>
  <c r="BW541" i="6"/>
  <c r="BP471" i="6"/>
  <c r="BW175" i="6"/>
  <c r="BP348" i="6"/>
  <c r="BW52" i="6"/>
  <c r="BP427" i="6"/>
  <c r="BW131" i="6"/>
  <c r="BP453" i="6"/>
  <c r="BW157" i="6"/>
  <c r="BP509" i="6"/>
  <c r="BW213" i="6"/>
  <c r="BP629" i="6"/>
  <c r="BW333" i="6"/>
  <c r="BP656" i="6"/>
  <c r="BW360" i="6"/>
  <c r="BP753" i="6"/>
  <c r="BW457" i="6"/>
  <c r="BP883" i="6"/>
  <c r="BW587" i="6"/>
  <c r="BP450" i="6"/>
  <c r="BW154" i="6"/>
  <c r="BW130" i="6"/>
  <c r="BP426" i="6"/>
  <c r="BP516" i="6"/>
  <c r="BW220" i="6"/>
  <c r="BP586" i="6"/>
  <c r="BW290" i="6"/>
  <c r="BP813" i="6"/>
  <c r="BW517" i="6"/>
  <c r="BP312" i="6"/>
  <c r="BW16" i="6"/>
  <c r="BP322" i="6"/>
  <c r="BW26" i="6"/>
  <c r="BP384" i="6"/>
  <c r="BW88" i="6"/>
  <c r="BP701" i="6"/>
  <c r="BW405" i="6"/>
  <c r="BP685" i="6"/>
  <c r="BW389" i="6"/>
  <c r="BP749" i="6"/>
  <c r="BW453" i="6"/>
  <c r="BP644" i="6"/>
  <c r="BW348" i="6"/>
  <c r="BP725" i="6"/>
  <c r="BW429" i="6"/>
  <c r="BP862" i="6"/>
  <c r="BW566" i="6"/>
  <c r="BP846" i="6"/>
  <c r="BW550" i="6"/>
  <c r="BP493" i="6"/>
  <c r="BW197" i="6"/>
  <c r="BP539" i="6"/>
  <c r="BW243" i="6"/>
  <c r="BP625" i="6"/>
  <c r="BW329" i="6"/>
  <c r="BP760" i="6"/>
  <c r="BW464" i="6"/>
  <c r="BP773" i="6"/>
  <c r="BW477" i="6"/>
  <c r="BP960" i="6"/>
  <c r="BW664" i="6"/>
  <c r="BP549" i="6"/>
  <c r="BW253" i="6"/>
  <c r="BP619" i="6"/>
  <c r="BW323" i="6"/>
  <c r="BP676" i="6"/>
  <c r="BW380" i="6"/>
  <c r="BP803" i="6"/>
  <c r="BW507" i="6"/>
  <c r="BP857" i="6"/>
  <c r="BW561" i="6"/>
  <c r="BP899" i="6"/>
  <c r="BW603" i="6"/>
  <c r="BP964" i="6"/>
  <c r="BW668" i="6"/>
  <c r="BP835" i="6"/>
  <c r="BW539" i="6"/>
  <c r="BW633" i="6"/>
  <c r="BP929" i="6"/>
  <c r="BP781" i="6"/>
  <c r="BW485" i="6"/>
  <c r="BP869" i="6"/>
  <c r="BW573" i="6"/>
  <c r="BP935" i="6"/>
  <c r="BW639" i="6"/>
  <c r="BP880" i="6"/>
  <c r="BW584" i="6"/>
  <c r="BW632" i="6"/>
  <c r="BP928" i="6"/>
  <c r="BP358" i="6"/>
  <c r="BW62" i="6"/>
  <c r="BP330" i="6"/>
  <c r="BW34" i="6"/>
  <c r="BP321" i="6"/>
  <c r="BW25" i="6"/>
  <c r="BP400" i="6"/>
  <c r="BW104" i="6"/>
  <c r="BP468" i="6"/>
  <c r="BW172" i="6"/>
  <c r="BP476" i="6"/>
  <c r="BW180" i="6"/>
  <c r="BP505" i="6"/>
  <c r="BW209" i="6"/>
  <c r="BP590" i="6"/>
  <c r="BW294" i="6"/>
  <c r="BP616" i="6"/>
  <c r="BW320" i="6"/>
  <c r="BP721" i="6"/>
  <c r="BW425" i="6"/>
  <c r="BP804" i="6"/>
  <c r="BW508" i="6"/>
  <c r="BP568" i="6"/>
  <c r="BW272" i="6"/>
  <c r="BP366" i="6"/>
  <c r="BW70" i="6"/>
  <c r="BP510" i="6"/>
  <c r="BW214" i="6"/>
  <c r="BP555" i="6"/>
  <c r="BW259" i="6"/>
  <c r="BP705" i="6"/>
  <c r="BW409" i="6"/>
  <c r="BP790" i="6"/>
  <c r="BW494" i="6"/>
  <c r="BP895" i="6"/>
  <c r="BW599" i="6"/>
  <c r="BP655" i="6"/>
  <c r="BW359" i="6"/>
  <c r="BP438" i="6"/>
  <c r="BW142" i="6"/>
  <c r="BP513" i="6"/>
  <c r="BW217" i="6"/>
  <c r="BP367" i="6"/>
  <c r="BW71" i="6"/>
  <c r="BP380" i="6"/>
  <c r="BW84" i="6"/>
  <c r="BP621" i="6"/>
  <c r="BW325" i="6"/>
  <c r="BP694" i="6"/>
  <c r="BW398" i="6"/>
  <c r="BP671" i="6"/>
  <c r="BW375" i="6"/>
  <c r="BP423" i="6"/>
  <c r="BW127" i="6"/>
  <c r="BP325" i="6"/>
  <c r="BW29" i="6"/>
  <c r="BP387" i="6"/>
  <c r="BW91" i="6"/>
  <c r="BP483" i="6"/>
  <c r="BW187" i="6"/>
  <c r="BP596" i="6"/>
  <c r="BW300" i="6"/>
  <c r="BP637" i="6"/>
  <c r="BW341" i="6"/>
  <c r="BP870" i="6"/>
  <c r="BW574" i="6"/>
  <c r="BP349" i="6"/>
  <c r="BW53" i="6"/>
  <c r="BP340" i="6"/>
  <c r="BW44" i="6"/>
  <c r="BP419" i="6"/>
  <c r="BW123" i="6"/>
  <c r="BP451" i="6"/>
  <c r="BW155" i="6"/>
  <c r="BP503" i="6"/>
  <c r="BW207" i="6"/>
  <c r="BP626" i="6"/>
  <c r="BW330" i="6"/>
  <c r="BP654" i="6"/>
  <c r="BW358" i="6"/>
  <c r="BP744" i="6"/>
  <c r="BW448" i="6"/>
  <c r="BP871" i="6"/>
  <c r="BW575" i="6"/>
  <c r="BP613" i="6"/>
  <c r="BW317" i="6"/>
  <c r="BW122" i="6"/>
  <c r="BP418" i="6"/>
  <c r="BP514" i="6"/>
  <c r="BW218" i="6"/>
  <c r="BP620" i="6"/>
  <c r="BW324" i="6"/>
  <c r="BP811" i="6"/>
  <c r="BW515" i="6"/>
  <c r="BP407" i="6"/>
  <c r="BW111" i="6"/>
  <c r="BW10" i="6"/>
  <c r="BP306" i="6"/>
  <c r="BP376" i="6"/>
  <c r="BW80" i="6"/>
  <c r="BP699" i="6"/>
  <c r="BW403" i="6"/>
  <c r="BP683" i="6"/>
  <c r="BW387" i="6"/>
  <c r="BP740" i="6"/>
  <c r="BW444" i="6"/>
  <c r="BP718" i="6"/>
  <c r="BW422" i="6"/>
  <c r="BP783" i="6"/>
  <c r="BW487" i="6"/>
  <c r="BP860" i="6"/>
  <c r="BW564" i="6"/>
  <c r="BP844" i="6"/>
  <c r="BW548" i="6"/>
  <c r="BP534" i="6"/>
  <c r="BW238" i="6"/>
  <c r="BP598" i="6"/>
  <c r="BW302" i="6"/>
  <c r="BP617" i="6"/>
  <c r="BW321" i="6"/>
  <c r="BP756" i="6"/>
  <c r="BW460" i="6"/>
  <c r="BP797" i="6"/>
  <c r="BW501" i="6"/>
  <c r="BP492" i="6"/>
  <c r="BW196" i="6"/>
  <c r="BP541" i="6"/>
  <c r="BW245" i="6"/>
  <c r="BP607" i="6"/>
  <c r="BW311" i="6"/>
  <c r="BP663" i="6"/>
  <c r="BW367" i="6"/>
  <c r="BP826" i="6"/>
  <c r="BW530" i="6"/>
  <c r="BP855" i="6"/>
  <c r="BW559" i="6"/>
  <c r="BP912" i="6"/>
  <c r="BW616" i="6"/>
  <c r="BP807" i="6"/>
  <c r="BW511" i="6"/>
  <c r="BP842" i="6"/>
  <c r="BW546" i="6"/>
  <c r="BP955" i="6"/>
  <c r="BW659" i="6"/>
  <c r="BP776" i="6"/>
  <c r="BW480" i="6"/>
  <c r="BP872" i="6"/>
  <c r="BW576" i="6"/>
  <c r="BP979" i="6"/>
  <c r="BW683" i="6"/>
  <c r="BP878" i="6"/>
  <c r="BW582" i="6"/>
  <c r="BP954" i="6"/>
  <c r="BW658" i="6"/>
  <c r="BP356" i="6"/>
  <c r="BW60" i="6"/>
  <c r="BP314" i="6"/>
  <c r="BW18" i="6"/>
  <c r="BP313" i="6"/>
  <c r="BW17" i="6"/>
  <c r="BP391" i="6"/>
  <c r="BW95" i="6"/>
  <c r="BP465" i="6"/>
  <c r="BW169" i="6"/>
  <c r="BP474" i="6"/>
  <c r="BW178" i="6"/>
  <c r="BP502" i="6"/>
  <c r="BW206" i="6"/>
  <c r="BP581" i="6"/>
  <c r="BW285" i="6"/>
  <c r="BP609" i="6"/>
  <c r="BW313" i="6"/>
  <c r="BP715" i="6"/>
  <c r="BW419" i="6"/>
  <c r="BP889" i="6"/>
  <c r="BW593" i="6"/>
  <c r="BP611" i="6"/>
  <c r="BW315" i="6"/>
  <c r="BP422" i="6"/>
  <c r="BW126" i="6"/>
  <c r="BP552" i="6"/>
  <c r="BW256" i="6"/>
  <c r="BP594" i="6"/>
  <c r="BW298" i="6"/>
  <c r="BP751" i="6"/>
  <c r="BW455" i="6"/>
  <c r="BP788" i="6"/>
  <c r="BW492" i="6"/>
  <c r="BP893" i="6"/>
  <c r="BW597" i="6"/>
  <c r="BP677" i="6"/>
  <c r="BW381" i="6"/>
  <c r="BP430" i="6"/>
  <c r="BW134" i="6"/>
  <c r="BP359" i="6"/>
  <c r="BW63" i="6"/>
  <c r="BP437" i="6"/>
  <c r="BW141" i="6"/>
  <c r="BP372" i="6"/>
  <c r="BW76" i="6"/>
  <c r="BP618" i="6"/>
  <c r="BW322" i="6"/>
  <c r="BP692" i="6"/>
  <c r="BW396" i="6"/>
  <c r="BP669" i="6"/>
  <c r="BW373" i="6"/>
  <c r="BP374" i="6"/>
  <c r="BW78" i="6"/>
  <c r="BP309" i="6"/>
  <c r="BW13" i="6"/>
  <c r="BP371" i="6"/>
  <c r="BW75" i="6"/>
  <c r="BP481" i="6"/>
  <c r="BW185" i="6"/>
  <c r="BP582" i="6"/>
  <c r="BW286" i="6"/>
  <c r="BP635" i="6"/>
  <c r="BW339" i="6"/>
  <c r="BP881" i="6"/>
  <c r="BW585" i="6"/>
  <c r="BP333" i="6"/>
  <c r="BW37" i="6"/>
  <c r="BP332" i="6"/>
  <c r="BW36" i="6"/>
  <c r="BP411" i="6"/>
  <c r="BW115" i="6"/>
  <c r="BP469" i="6"/>
  <c r="BW173" i="6"/>
  <c r="BP551" i="6"/>
  <c r="BW255" i="6"/>
  <c r="BP623" i="6"/>
  <c r="BW327" i="6"/>
  <c r="BP652" i="6"/>
  <c r="BW356" i="6"/>
  <c r="BP728" i="6"/>
  <c r="BW432" i="6"/>
  <c r="BP921" i="6"/>
  <c r="BW625" i="6"/>
  <c r="BP661" i="6"/>
  <c r="BW365" i="6"/>
  <c r="BP402" i="6"/>
  <c r="BW106" i="6"/>
  <c r="BP542" i="6"/>
  <c r="BW246" i="6"/>
  <c r="BP675" i="6"/>
  <c r="BW379" i="6"/>
  <c r="BP809" i="6"/>
  <c r="BW513" i="6"/>
  <c r="BP651" i="6"/>
  <c r="BW355" i="6"/>
  <c r="BP441" i="6"/>
  <c r="BW145" i="6"/>
  <c r="BP511" i="6"/>
  <c r="BW215" i="6"/>
  <c r="BP697" i="6"/>
  <c r="BW401" i="6"/>
  <c r="BP681" i="6"/>
  <c r="BW385" i="6"/>
  <c r="BP724" i="6"/>
  <c r="BW428" i="6"/>
  <c r="BP710" i="6"/>
  <c r="BW414" i="6"/>
  <c r="BP771" i="6"/>
  <c r="BW475" i="6"/>
  <c r="BW562" i="6"/>
  <c r="BP858" i="6"/>
  <c r="BP903" i="6"/>
  <c r="BW607" i="6"/>
  <c r="BP532" i="6"/>
  <c r="BW236" i="6"/>
  <c r="BP595" i="6"/>
  <c r="BW299" i="6"/>
  <c r="BP605" i="6"/>
  <c r="BW309" i="6"/>
  <c r="BP748" i="6"/>
  <c r="BW452" i="6"/>
  <c r="BP801" i="6"/>
  <c r="BW505" i="6"/>
  <c r="BP496" i="6"/>
  <c r="BW200" i="6"/>
  <c r="BP571" i="6"/>
  <c r="BW275" i="6"/>
  <c r="BP645" i="6"/>
  <c r="BW349" i="6"/>
  <c r="BP750" i="6"/>
  <c r="BW454" i="6"/>
  <c r="BP836" i="6"/>
  <c r="BW540" i="6"/>
  <c r="BP853" i="6"/>
  <c r="BW557" i="6"/>
  <c r="BP947" i="6"/>
  <c r="BW651" i="6"/>
  <c r="BP805" i="6"/>
  <c r="BW509" i="6"/>
  <c r="BP898" i="6"/>
  <c r="BW602" i="6"/>
  <c r="BP980" i="6"/>
  <c r="BW684" i="6"/>
  <c r="BP774" i="6"/>
  <c r="BW478" i="6"/>
  <c r="BP904" i="6"/>
  <c r="BW608" i="6"/>
  <c r="BP892" i="6"/>
  <c r="BW596" i="6"/>
  <c r="BP876" i="6"/>
  <c r="BW580" i="6"/>
  <c r="BP966" i="6"/>
  <c r="BW670" i="6"/>
  <c r="BP339" i="6"/>
  <c r="BW43" i="6"/>
  <c r="BP401" i="6"/>
  <c r="BW105" i="6"/>
  <c r="BP305" i="6"/>
  <c r="BW9" i="6"/>
  <c r="BP383" i="6"/>
  <c r="BW87" i="6"/>
  <c r="BP488" i="6"/>
  <c r="BW192" i="6"/>
  <c r="BP472" i="6"/>
  <c r="BW176" i="6"/>
  <c r="BP550" i="6"/>
  <c r="BW254" i="6"/>
  <c r="BP579" i="6"/>
  <c r="BW283" i="6"/>
  <c r="BP606" i="6"/>
  <c r="BW310" i="6"/>
  <c r="BP755" i="6"/>
  <c r="BW459" i="6"/>
  <c r="BP873" i="6"/>
  <c r="BW577" i="6"/>
  <c r="BP657" i="6"/>
  <c r="BW361" i="6"/>
  <c r="BP406" i="6"/>
  <c r="BW110" i="6"/>
  <c r="BP546" i="6"/>
  <c r="BW250" i="6"/>
  <c r="BP630" i="6"/>
  <c r="BW334" i="6"/>
  <c r="BP742" i="6"/>
  <c r="BW446" i="6"/>
  <c r="BP786" i="6"/>
  <c r="BW490" i="6"/>
  <c r="BP877" i="6"/>
  <c r="BW581" i="6"/>
  <c r="BP868" i="6"/>
  <c r="BW572" i="6"/>
  <c r="BP414" i="6"/>
  <c r="BW118" i="6"/>
  <c r="BP350" i="6"/>
  <c r="BW54" i="6"/>
  <c r="BP429" i="6"/>
  <c r="BW133" i="6"/>
  <c r="BP523" i="6"/>
  <c r="BW227" i="6"/>
  <c r="BP608" i="6"/>
  <c r="BW312" i="6"/>
  <c r="BP690" i="6"/>
  <c r="BW394" i="6"/>
  <c r="BP667" i="6"/>
  <c r="BW371" i="6"/>
  <c r="BP592" i="6"/>
  <c r="BW296" i="6"/>
  <c r="BP351" i="6"/>
  <c r="BW55" i="6"/>
  <c r="BP448" i="6"/>
  <c r="BW152" i="6"/>
  <c r="BP479" i="6"/>
  <c r="BW183" i="6"/>
  <c r="BP580" i="6"/>
  <c r="BW284" i="6"/>
  <c r="BP679" i="6"/>
  <c r="BW383" i="6"/>
  <c r="BP897" i="6"/>
  <c r="BW601" i="6"/>
  <c r="BP317" i="6"/>
  <c r="BW21" i="6"/>
  <c r="BP324" i="6"/>
  <c r="BW28" i="6"/>
  <c r="BP403" i="6"/>
  <c r="BW107" i="6"/>
  <c r="BP497" i="6"/>
  <c r="BW201" i="6"/>
  <c r="BP548" i="6"/>
  <c r="BW252" i="6"/>
  <c r="BP614" i="6"/>
  <c r="BW318" i="6"/>
  <c r="BP650" i="6"/>
  <c r="BW354" i="6"/>
  <c r="BP782" i="6"/>
  <c r="BW486" i="6"/>
  <c r="BP948" i="6"/>
  <c r="BW652" i="6"/>
  <c r="BP745" i="6"/>
  <c r="BW449" i="6"/>
  <c r="BP385" i="6"/>
  <c r="BW89" i="6"/>
  <c r="BP564" i="6"/>
  <c r="BW268" i="6"/>
  <c r="BP734" i="6"/>
  <c r="BW438" i="6"/>
  <c r="BP894" i="6"/>
  <c r="BW598" i="6"/>
  <c r="BP364" i="6"/>
  <c r="BW68" i="6"/>
  <c r="BP433" i="6"/>
  <c r="BW137" i="6"/>
  <c r="BP553" i="6"/>
  <c r="BW257" i="6"/>
  <c r="BP695" i="6"/>
  <c r="BW399" i="6"/>
  <c r="BP672" i="6"/>
  <c r="BW376" i="6"/>
  <c r="BP778" i="6"/>
  <c r="BW482" i="6"/>
  <c r="BP680" i="6"/>
  <c r="BW384" i="6"/>
  <c r="BP766" i="6"/>
  <c r="BW470" i="6"/>
  <c r="BP856" i="6"/>
  <c r="BW560" i="6"/>
  <c r="BP943" i="6"/>
  <c r="BW647" i="6"/>
  <c r="BP527" i="6"/>
  <c r="BW231" i="6"/>
  <c r="BP593" i="6"/>
  <c r="BW297" i="6"/>
  <c r="BP641" i="6"/>
  <c r="BW345" i="6"/>
  <c r="BP743" i="6"/>
  <c r="BW447" i="6"/>
  <c r="BP839" i="6"/>
  <c r="BW543" i="6"/>
  <c r="BP536" i="6"/>
  <c r="BW240" i="6"/>
  <c r="BP569" i="6"/>
  <c r="BW273" i="6"/>
  <c r="BP643" i="6"/>
  <c r="BW347" i="6"/>
  <c r="BP737" i="6"/>
  <c r="BW441" i="6"/>
  <c r="BP867" i="6"/>
  <c r="BW571" i="6"/>
  <c r="BP851" i="6"/>
  <c r="BW555" i="6"/>
  <c r="BP939" i="6"/>
  <c r="BW643" i="6"/>
  <c r="BP800" i="6"/>
  <c r="BW504" i="6"/>
  <c r="BP901" i="6"/>
  <c r="BW605" i="6"/>
  <c r="BP678" i="6"/>
  <c r="BW382" i="6"/>
  <c r="BP769" i="6"/>
  <c r="BW473" i="6"/>
  <c r="BP909" i="6"/>
  <c r="BW613" i="6"/>
  <c r="BP890" i="6"/>
  <c r="BW594" i="6"/>
  <c r="BP874" i="6"/>
  <c r="BW578" i="6"/>
  <c r="BP978" i="6"/>
  <c r="BW682" i="6"/>
  <c r="BP834" i="6"/>
  <c r="BP323" i="6"/>
  <c r="BW27" i="6"/>
  <c r="BP362" i="6"/>
  <c r="BW66" i="6"/>
  <c r="BP440" i="6"/>
  <c r="BW144" i="6"/>
  <c r="BP375" i="6"/>
  <c r="BW79" i="6"/>
  <c r="BP486" i="6"/>
  <c r="BW190" i="6"/>
  <c r="BP535" i="6"/>
  <c r="BW239" i="6"/>
  <c r="BP544" i="6"/>
  <c r="BW248" i="6"/>
  <c r="BP577" i="6"/>
  <c r="BW281" i="6"/>
  <c r="BP646" i="6"/>
  <c r="BW350" i="6"/>
  <c r="BP730" i="6"/>
  <c r="BW434" i="6"/>
  <c r="BP919" i="6"/>
  <c r="BW623" i="6"/>
  <c r="BP759" i="6"/>
  <c r="BW463" i="6"/>
  <c r="BP389" i="6"/>
  <c r="BW93" i="6"/>
  <c r="BP570" i="6"/>
  <c r="BW274" i="6"/>
  <c r="BP624" i="6"/>
  <c r="BW328" i="6"/>
  <c r="BP726" i="6"/>
  <c r="BW430" i="6"/>
  <c r="BP814" i="6"/>
  <c r="BW518" i="6"/>
  <c r="BP918" i="6"/>
  <c r="BW622" i="6"/>
  <c r="BP875" i="6"/>
  <c r="BW579" i="6"/>
  <c r="BP398" i="6"/>
  <c r="BW102" i="6"/>
  <c r="BP342" i="6"/>
  <c r="BW46" i="6"/>
  <c r="BP421" i="6"/>
  <c r="BW125" i="6"/>
  <c r="BP520" i="6"/>
  <c r="BW224" i="6"/>
  <c r="BP642" i="6"/>
  <c r="BW346" i="6"/>
  <c r="BP688" i="6"/>
  <c r="BW392" i="6"/>
  <c r="BP665" i="6"/>
  <c r="BW369" i="6"/>
  <c r="BP653" i="6"/>
  <c r="BW357" i="6"/>
  <c r="BP428" i="6"/>
  <c r="BW132" i="6"/>
  <c r="BP446" i="6"/>
  <c r="BW150" i="6"/>
  <c r="BP477" i="6"/>
  <c r="BW181" i="6"/>
  <c r="BP578" i="6"/>
  <c r="BW282" i="6"/>
  <c r="BP662" i="6"/>
  <c r="BW366" i="6"/>
  <c r="BP923" i="6"/>
  <c r="BW627" i="6"/>
  <c r="BP436" i="6"/>
  <c r="BW140" i="6"/>
  <c r="BP316" i="6"/>
  <c r="BW20" i="6"/>
  <c r="BP394" i="6"/>
  <c r="BW98" i="6"/>
  <c r="BP501" i="6"/>
  <c r="BW205" i="6"/>
  <c r="BP545" i="6"/>
  <c r="BW249" i="6"/>
  <c r="BP612" i="6"/>
  <c r="BW316" i="6"/>
  <c r="BP719" i="6"/>
  <c r="BW423" i="6"/>
  <c r="BP770" i="6"/>
  <c r="BW474" i="6"/>
  <c r="BW641" i="6"/>
  <c r="BP937" i="6"/>
  <c r="BP347" i="6"/>
  <c r="BW51" i="6"/>
  <c r="BP377" i="6"/>
  <c r="BW81" i="6"/>
  <c r="BP562" i="6"/>
  <c r="BW266" i="6"/>
  <c r="BP791" i="6"/>
  <c r="BW495" i="6"/>
  <c r="BP885" i="6"/>
  <c r="BW589" i="6"/>
  <c r="BP331" i="6"/>
  <c r="BW35" i="6"/>
  <c r="BP425" i="6"/>
  <c r="BW129" i="6"/>
  <c r="BP588" i="6"/>
  <c r="BW292" i="6"/>
  <c r="BP693" i="6"/>
  <c r="BW397" i="6"/>
  <c r="BP670" i="6"/>
  <c r="BW374" i="6"/>
  <c r="BP887" i="6"/>
  <c r="BW591" i="6"/>
  <c r="BP754" i="6"/>
  <c r="BW458" i="6"/>
  <c r="BP764" i="6"/>
  <c r="BW468" i="6"/>
  <c r="BP854" i="6"/>
  <c r="BW558" i="6"/>
  <c r="BP934" i="6"/>
  <c r="BW638" i="6"/>
  <c r="BP519" i="6"/>
  <c r="BW223" i="6"/>
  <c r="BP591" i="6"/>
  <c r="BW295" i="6"/>
  <c r="BP720" i="6"/>
  <c r="BW424" i="6"/>
  <c r="BP735" i="6"/>
  <c r="BW439" i="6"/>
  <c r="BP902" i="6"/>
  <c r="BW606" i="6"/>
  <c r="BP529" i="6"/>
  <c r="BW233" i="6"/>
  <c r="BP567" i="6"/>
  <c r="BW271" i="6"/>
  <c r="BP658" i="6"/>
  <c r="BW362" i="6"/>
  <c r="BP729" i="6"/>
  <c r="BW433" i="6"/>
  <c r="BP865" i="6"/>
  <c r="BW569" i="6"/>
  <c r="BP849" i="6"/>
  <c r="BW553" i="6"/>
  <c r="BW640" i="6"/>
  <c r="BP936" i="6"/>
  <c r="BP821" i="6"/>
  <c r="BW525" i="6"/>
  <c r="BW626" i="6"/>
  <c r="BP922" i="6"/>
  <c r="BP752" i="6"/>
  <c r="BW456" i="6"/>
  <c r="BP798" i="6"/>
  <c r="BW502" i="6"/>
  <c r="BW618" i="6"/>
  <c r="BP914" i="6"/>
  <c r="BP888" i="6"/>
  <c r="BW592" i="6"/>
  <c r="BP911" i="6"/>
  <c r="BW615" i="6"/>
  <c r="T76" i="4"/>
  <c r="AG76" i="4" s="1"/>
  <c r="T53" i="4"/>
  <c r="AK2" i="5"/>
  <c r="B62" i="9"/>
  <c r="B62" i="13" s="1"/>
  <c r="B42" i="9"/>
  <c r="B42" i="15" s="1"/>
  <c r="S12" i="15" s="1"/>
  <c r="B42" i="26"/>
  <c r="S12" i="26" s="1"/>
  <c r="B31" i="26"/>
  <c r="B50" i="9"/>
  <c r="B50" i="26"/>
  <c r="B28" i="9"/>
  <c r="B28" i="26"/>
  <c r="L11" i="26"/>
  <c r="B32" i="26"/>
  <c r="B24" i="9"/>
  <c r="B24" i="13" s="1"/>
  <c r="B24" i="26"/>
  <c r="I11" i="9"/>
  <c r="I11" i="13" s="1"/>
  <c r="I11" i="26"/>
  <c r="B41" i="9"/>
  <c r="B41" i="13" s="1"/>
  <c r="B41" i="26"/>
  <c r="B19" i="9"/>
  <c r="B19" i="13" s="1"/>
  <c r="B60" i="9"/>
  <c r="B60" i="13" s="1"/>
  <c r="B60" i="26"/>
  <c r="D11" i="9"/>
  <c r="D11" i="15" s="1"/>
  <c r="D11" i="26"/>
  <c r="K11" i="9"/>
  <c r="K11" i="15" s="1"/>
  <c r="B43" i="9"/>
  <c r="B43" i="13" s="1"/>
  <c r="B43" i="26"/>
  <c r="F11" i="26"/>
  <c r="B46" i="9"/>
  <c r="M11" i="9"/>
  <c r="M11" i="26"/>
  <c r="P2" i="9"/>
  <c r="B16" i="9"/>
  <c r="B13" i="9"/>
  <c r="B13" i="15" s="1"/>
  <c r="B13" i="26"/>
  <c r="C11" i="9"/>
  <c r="C11" i="26"/>
  <c r="B33" i="9"/>
  <c r="B33" i="13" s="1"/>
  <c r="B33" i="26"/>
  <c r="B67" i="9"/>
  <c r="B67" i="13" s="1"/>
  <c r="B67" i="26"/>
  <c r="B17" i="9"/>
  <c r="B17" i="15" s="1"/>
  <c r="B17" i="26"/>
  <c r="B68" i="9"/>
  <c r="B68" i="13" s="1"/>
  <c r="B68" i="26"/>
  <c r="S14" i="26" s="1"/>
  <c r="J11" i="9"/>
  <c r="J11" i="13" s="1"/>
  <c r="J11" i="26"/>
  <c r="B44" i="13"/>
  <c r="S13" i="13" s="1"/>
  <c r="B63" i="9"/>
  <c r="B63" i="13" s="1"/>
  <c r="S18" i="13" s="1"/>
  <c r="B63" i="26"/>
  <c r="S18" i="26" s="1"/>
  <c r="G11" i="9"/>
  <c r="G11" i="13" s="1"/>
  <c r="G11" i="26"/>
  <c r="K199" i="6"/>
  <c r="K213" i="6" s="1"/>
  <c r="C213" i="6"/>
  <c r="K200" i="6"/>
  <c r="K214" i="6" s="1"/>
  <c r="H113" i="6"/>
  <c r="P113" i="6" s="1"/>
  <c r="C219" i="6"/>
  <c r="C211" i="6"/>
  <c r="C20" i="6"/>
  <c r="K20" i="6" s="1"/>
  <c r="K34" i="6" s="1"/>
  <c r="K48" i="6" s="1"/>
  <c r="K62" i="6" s="1"/>
  <c r="K83" i="6" s="1"/>
  <c r="K97" i="6" s="1"/>
  <c r="K113" i="6" s="1"/>
  <c r="K122" i="6" s="1"/>
  <c r="X13" i="18"/>
  <c r="X20" i="18" s="1"/>
  <c r="X28" i="18" s="1"/>
  <c r="X35" i="18" s="1"/>
  <c r="X43" i="18" s="1"/>
  <c r="X50" i="18" s="1"/>
  <c r="X58" i="18" s="1"/>
  <c r="X65" i="18" s="1"/>
  <c r="X73" i="18" s="1"/>
  <c r="X80" i="18" s="1"/>
  <c r="X89" i="18" s="1"/>
  <c r="X96" i="18" s="1"/>
  <c r="X104" i="18" s="1"/>
  <c r="X111" i="18" s="1"/>
  <c r="X144" i="18" s="1"/>
  <c r="X150" i="18" s="1"/>
  <c r="X161" i="18" s="1"/>
  <c r="X167" i="18" s="1"/>
  <c r="X178" i="18" s="1"/>
  <c r="X184" i="18" s="1"/>
  <c r="V13" i="18"/>
  <c r="V20" i="18" s="1"/>
  <c r="V28" i="18" s="1"/>
  <c r="V35" i="18" s="1"/>
  <c r="V43" i="18" s="1"/>
  <c r="V50" i="18" s="1"/>
  <c r="V58" i="18" s="1"/>
  <c r="V65" i="18" s="1"/>
  <c r="V73" i="18" s="1"/>
  <c r="V80" i="18" s="1"/>
  <c r="V89" i="18" s="1"/>
  <c r="V96" i="18" s="1"/>
  <c r="V104" i="18" s="1"/>
  <c r="V111" i="18" s="1"/>
  <c r="V144" i="18" s="1"/>
  <c r="V150" i="18" s="1"/>
  <c r="V161" i="18" s="1"/>
  <c r="V167" i="18" s="1"/>
  <c r="V178" i="18" s="1"/>
  <c r="V184" i="18" s="1"/>
  <c r="D2" i="5"/>
  <c r="B2" i="26" s="1"/>
  <c r="I62" i="3"/>
  <c r="D9" i="5"/>
  <c r="D32" i="5" s="1"/>
  <c r="D55" i="5" s="1"/>
  <c r="D78" i="5" s="1"/>
  <c r="D101" i="5" s="1"/>
  <c r="K101" i="5"/>
  <c r="K78" i="5"/>
  <c r="K55" i="5"/>
  <c r="K9" i="5"/>
  <c r="K32" i="5"/>
  <c r="V63" i="4"/>
  <c r="E48" i="4"/>
  <c r="C48" i="4"/>
  <c r="C56" i="4"/>
  <c r="E52" i="4"/>
  <c r="E67" i="4"/>
  <c r="N62" i="4"/>
  <c r="I55" i="4" s="1"/>
  <c r="L86" i="22"/>
  <c r="AP53" i="4" s="1"/>
  <c r="E58" i="4"/>
  <c r="E57" i="4"/>
  <c r="P21" i="4"/>
  <c r="C21" i="4"/>
  <c r="P40" i="4"/>
  <c r="C40" i="4"/>
  <c r="E43" i="4"/>
  <c r="E24" i="4"/>
  <c r="E45" i="4"/>
  <c r="E83" i="7"/>
  <c r="E81" i="4"/>
  <c r="E25" i="4"/>
  <c r="R42" i="4"/>
  <c r="Q83" i="7"/>
  <c r="E39" i="4"/>
  <c r="R12" i="4"/>
  <c r="E31" i="4"/>
  <c r="R31" i="4"/>
  <c r="V32" i="4"/>
  <c r="X12" i="4"/>
  <c r="X31" i="4"/>
  <c r="T12" i="4"/>
  <c r="I31" i="4"/>
  <c r="R11" i="4"/>
  <c r="E30" i="4"/>
  <c r="R30" i="4"/>
  <c r="I22" i="3"/>
  <c r="M18" i="3"/>
  <c r="B29" i="7" s="1"/>
  <c r="B29" i="14" s="1"/>
  <c r="M11" i="3"/>
  <c r="B19" i="7" s="1"/>
  <c r="B19" i="14" s="1"/>
  <c r="M25" i="3"/>
  <c r="B39" i="7" s="1"/>
  <c r="B39" i="14" s="1"/>
  <c r="K7" i="3"/>
  <c r="P37" i="31"/>
  <c r="Q36" i="31"/>
  <c r="B38" i="9"/>
  <c r="H76" i="22"/>
  <c r="H86" i="22" s="1"/>
  <c r="H96" i="22" s="1"/>
  <c r="D76" i="22"/>
  <c r="D86" i="22" s="1"/>
  <c r="D96" i="22" s="1"/>
  <c r="B55" i="9"/>
  <c r="B55" i="26" s="1"/>
  <c r="B46" i="27"/>
  <c r="J76" i="22"/>
  <c r="J86" i="22" s="1"/>
  <c r="J96" i="22" s="1"/>
  <c r="F76" i="22"/>
  <c r="F86" i="22" s="1"/>
  <c r="F96" i="22" s="1"/>
  <c r="B36" i="9"/>
  <c r="B36" i="15" s="1"/>
  <c r="J11" i="15"/>
  <c r="F11" i="13"/>
  <c r="B41" i="15"/>
  <c r="K84" i="7"/>
  <c r="B8" i="15"/>
  <c r="B19" i="15"/>
  <c r="R6" i="26"/>
  <c r="B32" i="15"/>
  <c r="B11" i="8" s="1"/>
  <c r="B33" i="15"/>
  <c r="B12" i="8" s="1"/>
  <c r="I11" i="15"/>
  <c r="C207" i="6"/>
  <c r="K193" i="6"/>
  <c r="C193" i="6"/>
  <c r="H24" i="22"/>
  <c r="I24" i="22"/>
  <c r="J24" i="22"/>
  <c r="K24" i="22"/>
  <c r="L24" i="22"/>
  <c r="M24" i="22"/>
  <c r="N24" i="22"/>
  <c r="O24" i="22"/>
  <c r="P24" i="22"/>
  <c r="Q24" i="22"/>
  <c r="R24" i="22"/>
  <c r="S24" i="22"/>
  <c r="H25" i="22"/>
  <c r="I25" i="22"/>
  <c r="J25" i="22"/>
  <c r="K25" i="22"/>
  <c r="L25" i="22"/>
  <c r="M25" i="22"/>
  <c r="N25" i="22"/>
  <c r="O25" i="22"/>
  <c r="P25" i="22"/>
  <c r="Q25" i="22"/>
  <c r="R25" i="22"/>
  <c r="S25" i="22"/>
  <c r="R1" i="4"/>
  <c r="G2" i="4"/>
  <c r="V15" i="4"/>
  <c r="O12" i="29"/>
  <c r="Q12" i="29"/>
  <c r="I16" i="4"/>
  <c r="V16" i="4"/>
  <c r="O13" i="29"/>
  <c r="Q13" i="29"/>
  <c r="I17" i="4"/>
  <c r="O9" i="29"/>
  <c r="Q9" i="29"/>
  <c r="V17" i="4"/>
  <c r="O14" i="29"/>
  <c r="Q14" i="29"/>
  <c r="I18" i="4"/>
  <c r="O10" i="29"/>
  <c r="Q10" i="29"/>
  <c r="V18" i="4"/>
  <c r="O15" i="29"/>
  <c r="Q15" i="29"/>
  <c r="E19" i="4"/>
  <c r="Q39" i="9"/>
  <c r="R19" i="4"/>
  <c r="Q37" i="9"/>
  <c r="O89" i="7"/>
  <c r="E85" i="7"/>
  <c r="E87" i="7"/>
  <c r="I34" i="4"/>
  <c r="O17" i="29"/>
  <c r="Q17" i="29"/>
  <c r="V34" i="4"/>
  <c r="O22" i="29"/>
  <c r="Q22" i="29"/>
  <c r="E89" i="7"/>
  <c r="I35" i="4"/>
  <c r="O18" i="29"/>
  <c r="Q18" i="29"/>
  <c r="V35" i="4"/>
  <c r="O23" i="29"/>
  <c r="Q23" i="29"/>
  <c r="I36" i="4"/>
  <c r="O19" i="29"/>
  <c r="Q19" i="29"/>
  <c r="V36" i="4"/>
  <c r="O24" i="29"/>
  <c r="Q24" i="29"/>
  <c r="I37" i="4"/>
  <c r="O20" i="29"/>
  <c r="Q20" i="29"/>
  <c r="Q25" i="29"/>
  <c r="E38" i="4"/>
  <c r="Q38" i="9"/>
  <c r="R38" i="4"/>
  <c r="Q36" i="9"/>
  <c r="Z52" i="4"/>
  <c r="M64" i="4"/>
  <c r="M65" i="4"/>
  <c r="M67" i="4"/>
  <c r="W56" i="22" s="1"/>
  <c r="AC56" i="22" s="1"/>
  <c r="M68" i="4"/>
  <c r="M71" i="4"/>
  <c r="L73" i="4"/>
  <c r="M73" i="4"/>
  <c r="T73" i="4"/>
  <c r="M75" i="4"/>
  <c r="M76" i="4"/>
  <c r="H1" i="17"/>
  <c r="M1" i="17"/>
  <c r="K247" i="17"/>
  <c r="K248" i="17"/>
  <c r="K249" i="17"/>
  <c r="K364" i="17"/>
  <c r="K365" i="17"/>
  <c r="K366" i="17"/>
  <c r="B3" i="10"/>
  <c r="Y3" i="10"/>
  <c r="F18" i="10"/>
  <c r="Y4" i="10"/>
  <c r="Y5" i="10"/>
  <c r="H18" i="10"/>
  <c r="J8" i="10"/>
  <c r="F13" i="10"/>
  <c r="F28" i="10"/>
  <c r="G13" i="10"/>
  <c r="H13" i="10"/>
  <c r="D14" i="10"/>
  <c r="G16" i="10"/>
  <c r="G17" i="10"/>
  <c r="G18" i="10"/>
  <c r="Z18" i="10"/>
  <c r="AA18" i="10"/>
  <c r="F33" i="10"/>
  <c r="Z19" i="10"/>
  <c r="G20" i="10"/>
  <c r="AA19" i="10"/>
  <c r="G34" i="10"/>
  <c r="F20" i="10"/>
  <c r="N20" i="10"/>
  <c r="O20" i="10"/>
  <c r="P20" i="10"/>
  <c r="Z20" i="10"/>
  <c r="AA20" i="10"/>
  <c r="M27" i="10"/>
  <c r="N27" i="10"/>
  <c r="O27" i="10"/>
  <c r="P27" i="10"/>
  <c r="R27" i="10"/>
  <c r="G28" i="10"/>
  <c r="H28" i="10"/>
  <c r="O28" i="10"/>
  <c r="G29" i="10"/>
  <c r="O30" i="10"/>
  <c r="F32" i="10"/>
  <c r="G32" i="10"/>
  <c r="H32" i="10"/>
  <c r="F35" i="10"/>
  <c r="G35" i="10"/>
  <c r="P1" i="5"/>
  <c r="E2" i="5"/>
  <c r="AN4" i="5"/>
  <c r="AP11" i="5"/>
  <c r="AW11" i="5"/>
  <c r="AX11" i="5"/>
  <c r="AQ11" i="5"/>
  <c r="BE11" i="5"/>
  <c r="BF11" i="5"/>
  <c r="AR11" i="5"/>
  <c r="BN11" i="5"/>
  <c r="BO11" i="5"/>
  <c r="BP11" i="5"/>
  <c r="AS11" i="5"/>
  <c r="BW11" i="5"/>
  <c r="BX11" i="5"/>
  <c r="BZ11" i="5"/>
  <c r="AO13" i="5"/>
  <c r="AP13" i="5"/>
  <c r="AW13" i="5"/>
  <c r="AX13" i="5"/>
  <c r="AQ13" i="5"/>
  <c r="BE13" i="5"/>
  <c r="BF13" i="5"/>
  <c r="BG13" i="5"/>
  <c r="AR13" i="5"/>
  <c r="BN13" i="5"/>
  <c r="BO13" i="5"/>
  <c r="BP13" i="5"/>
  <c r="AS13" i="5"/>
  <c r="BW13" i="5"/>
  <c r="BX13" i="5"/>
  <c r="BZ13" i="5"/>
  <c r="AO15" i="5"/>
  <c r="AP15" i="5"/>
  <c r="AW15" i="5"/>
  <c r="AX15" i="5"/>
  <c r="AQ15" i="5"/>
  <c r="BE15" i="5"/>
  <c r="BF15" i="5"/>
  <c r="BG15" i="5"/>
  <c r="AR15" i="5"/>
  <c r="BN15" i="5"/>
  <c r="BO15" i="5"/>
  <c r="BP15" i="5"/>
  <c r="AS15" i="5"/>
  <c r="BW15" i="5"/>
  <c r="BX15" i="5"/>
  <c r="BY15" i="5"/>
  <c r="AO17" i="5"/>
  <c r="AP17" i="5"/>
  <c r="AW17" i="5"/>
  <c r="AX17" i="5"/>
  <c r="AY17" i="5"/>
  <c r="AQ17" i="5"/>
  <c r="BE17" i="5"/>
  <c r="BF17" i="5"/>
  <c r="AR17" i="5"/>
  <c r="BN17" i="5"/>
  <c r="BO17" i="5"/>
  <c r="AS17" i="5"/>
  <c r="BW17" i="5"/>
  <c r="BX17" i="5"/>
  <c r="AP19" i="5"/>
  <c r="AW19" i="5"/>
  <c r="AX19" i="5"/>
  <c r="AY19" i="5"/>
  <c r="AQ19" i="5"/>
  <c r="BE19" i="5"/>
  <c r="BF19" i="5"/>
  <c r="AR19" i="5"/>
  <c r="AS19" i="5"/>
  <c r="BW19" i="5"/>
  <c r="BX19" i="5"/>
  <c r="BN19" i="5"/>
  <c r="BO19" i="5"/>
  <c r="AO21" i="5"/>
  <c r="AP21" i="5"/>
  <c r="AW21" i="5"/>
  <c r="AX21" i="5"/>
  <c r="AQ21" i="5"/>
  <c r="BE21" i="5"/>
  <c r="BF21" i="5"/>
  <c r="AR21" i="5"/>
  <c r="BN21" i="5"/>
  <c r="BO21" i="5"/>
  <c r="AS21" i="5"/>
  <c r="BW21" i="5"/>
  <c r="BX21" i="5"/>
  <c r="AO23" i="5"/>
  <c r="AP23" i="5"/>
  <c r="AW23" i="5"/>
  <c r="AX23" i="5"/>
  <c r="AZ23" i="5"/>
  <c r="AQ23" i="5"/>
  <c r="BE23" i="5"/>
  <c r="BF23" i="5"/>
  <c r="AR23" i="5"/>
  <c r="BN23" i="5"/>
  <c r="BO23" i="5"/>
  <c r="AS23" i="5"/>
  <c r="BW23" i="5"/>
  <c r="BX23" i="5"/>
  <c r="BZ23" i="5"/>
  <c r="AO25" i="5"/>
  <c r="AP25" i="5"/>
  <c r="AW25" i="5"/>
  <c r="AX25" i="5"/>
  <c r="AZ25" i="5"/>
  <c r="AQ25" i="5"/>
  <c r="BE25" i="5"/>
  <c r="BF25" i="5"/>
  <c r="AR25" i="5"/>
  <c r="AS25" i="5"/>
  <c r="BW25" i="5"/>
  <c r="BX25" i="5"/>
  <c r="BN25" i="5"/>
  <c r="BO25" i="5"/>
  <c r="F27" i="5"/>
  <c r="AP34" i="5"/>
  <c r="AW34" i="5"/>
  <c r="AX34" i="5"/>
  <c r="AQ34" i="5"/>
  <c r="AS34" i="5"/>
  <c r="BF34" i="5"/>
  <c r="BO34" i="5"/>
  <c r="AP36" i="5"/>
  <c r="AW36" i="5"/>
  <c r="AX36" i="5"/>
  <c r="AQ36" i="5"/>
  <c r="AS36" i="5"/>
  <c r="BF36" i="5"/>
  <c r="BO36" i="5"/>
  <c r="AP38" i="5"/>
  <c r="AW38" i="5"/>
  <c r="AX38" i="5"/>
  <c r="AQ38" i="5"/>
  <c r="AS38" i="5"/>
  <c r="BF38" i="5"/>
  <c r="BO38" i="5"/>
  <c r="AO40" i="5"/>
  <c r="AP40" i="5"/>
  <c r="AW40" i="5"/>
  <c r="AQ40" i="5"/>
  <c r="AS40" i="5"/>
  <c r="AT40" i="5"/>
  <c r="BF40" i="5"/>
  <c r="BO40" i="5"/>
  <c r="AO42" i="5"/>
  <c r="AP42" i="5"/>
  <c r="AW42" i="5"/>
  <c r="AQ42" i="5"/>
  <c r="AS42" i="5"/>
  <c r="AT42" i="5"/>
  <c r="BF42" i="5"/>
  <c r="BO42" i="5"/>
  <c r="AO44" i="5"/>
  <c r="AP44" i="5"/>
  <c r="AW44" i="5"/>
  <c r="AX44" i="5"/>
  <c r="AQ44" i="5"/>
  <c r="AS44" i="5"/>
  <c r="AT44" i="5"/>
  <c r="BF44" i="5"/>
  <c r="BO44" i="5"/>
  <c r="AO46" i="5"/>
  <c r="AP46" i="5"/>
  <c r="AW46" i="5"/>
  <c r="AQ46" i="5"/>
  <c r="AS46" i="5"/>
  <c r="AT46" i="5"/>
  <c r="BF46" i="5"/>
  <c r="BO46" i="5"/>
  <c r="AO48" i="5"/>
  <c r="AP48" i="5"/>
  <c r="AW48" i="5"/>
  <c r="AX48" i="5"/>
  <c r="AQ48" i="5"/>
  <c r="AS48" i="5"/>
  <c r="AT48" i="5"/>
  <c r="BF48" i="5"/>
  <c r="BO48" i="5"/>
  <c r="F50" i="5"/>
  <c r="AP57" i="5"/>
  <c r="AW57" i="5"/>
  <c r="AQ57" i="5"/>
  <c r="AS57" i="5"/>
  <c r="BF57" i="5"/>
  <c r="BO57" i="5"/>
  <c r="AP59" i="5"/>
  <c r="AW59" i="5"/>
  <c r="AX59" i="5"/>
  <c r="AQ59" i="5"/>
  <c r="AS59" i="5"/>
  <c r="BF59" i="5"/>
  <c r="BO59" i="5"/>
  <c r="AP61" i="5"/>
  <c r="AW61" i="5"/>
  <c r="AX61" i="5"/>
  <c r="AQ61" i="5"/>
  <c r="AS61" i="5"/>
  <c r="BF61" i="5"/>
  <c r="BO61" i="5"/>
  <c r="AO63" i="5"/>
  <c r="AP63" i="5"/>
  <c r="AW63" i="5"/>
  <c r="AQ63" i="5"/>
  <c r="AS63" i="5"/>
  <c r="AT63" i="5"/>
  <c r="BF63" i="5"/>
  <c r="BO63" i="5"/>
  <c r="AO65" i="5"/>
  <c r="AP65" i="5"/>
  <c r="AW65" i="5"/>
  <c r="AX65" i="5"/>
  <c r="AQ65" i="5"/>
  <c r="AS65" i="5"/>
  <c r="AT65" i="5"/>
  <c r="BF65" i="5"/>
  <c r="BO65" i="5"/>
  <c r="AO67" i="5"/>
  <c r="AP67" i="5"/>
  <c r="AW67" i="5"/>
  <c r="AQ67" i="5"/>
  <c r="AS67" i="5"/>
  <c r="AT67" i="5"/>
  <c r="BF67" i="5"/>
  <c r="BO67" i="5"/>
  <c r="AO69" i="5"/>
  <c r="AP69" i="5"/>
  <c r="AW69" i="5"/>
  <c r="AX69" i="5"/>
  <c r="AQ69" i="5"/>
  <c r="AS69" i="5"/>
  <c r="AT69" i="5"/>
  <c r="BF69" i="5"/>
  <c r="BO69" i="5"/>
  <c r="AO71" i="5"/>
  <c r="AP71" i="5"/>
  <c r="AW71" i="5"/>
  <c r="AX71" i="5"/>
  <c r="AQ71" i="5"/>
  <c r="AS71" i="5"/>
  <c r="AT71" i="5"/>
  <c r="BF71" i="5"/>
  <c r="BO71" i="5"/>
  <c r="F73" i="5"/>
  <c r="AP80" i="5"/>
  <c r="AW80" i="5"/>
  <c r="AX80" i="5"/>
  <c r="AS80" i="5"/>
  <c r="BF80" i="5"/>
  <c r="BO80" i="5"/>
  <c r="AP82" i="5"/>
  <c r="AW82" i="5"/>
  <c r="AX82" i="5"/>
  <c r="AS82" i="5"/>
  <c r="BF82" i="5"/>
  <c r="BO82" i="5"/>
  <c r="AO84" i="5"/>
  <c r="AP84" i="5"/>
  <c r="AW84" i="5"/>
  <c r="AX84" i="5"/>
  <c r="AS84" i="5"/>
  <c r="AT84" i="5"/>
  <c r="BF84" i="5"/>
  <c r="BO84" i="5"/>
  <c r="AO86" i="5"/>
  <c r="AP86" i="5"/>
  <c r="AW86" i="5"/>
  <c r="AX86" i="5"/>
  <c r="AS86" i="5"/>
  <c r="AT86" i="5"/>
  <c r="BF86" i="5"/>
  <c r="BO86" i="5"/>
  <c r="AO88" i="5"/>
  <c r="AP88" i="5"/>
  <c r="AW88" i="5"/>
  <c r="AX88" i="5"/>
  <c r="AS88" i="5"/>
  <c r="AT88" i="5"/>
  <c r="BF88" i="5"/>
  <c r="BO88" i="5"/>
  <c r="AO90" i="5"/>
  <c r="AP90" i="5"/>
  <c r="AW90" i="5"/>
  <c r="AX90" i="5"/>
  <c r="AS90" i="5"/>
  <c r="AT90" i="5"/>
  <c r="BF90" i="5"/>
  <c r="BO90" i="5"/>
  <c r="AP92" i="5"/>
  <c r="AW92" i="5"/>
  <c r="AX92" i="5"/>
  <c r="AS92" i="5"/>
  <c r="BF92" i="5"/>
  <c r="BO92" i="5"/>
  <c r="AP94" i="5"/>
  <c r="AW94" i="5"/>
  <c r="AX94" i="5"/>
  <c r="AS94" i="5"/>
  <c r="BF94" i="5"/>
  <c r="BO94" i="5"/>
  <c r="F96" i="5"/>
  <c r="AP103" i="5"/>
  <c r="AW103" i="5"/>
  <c r="AX103" i="5"/>
  <c r="AS103" i="5"/>
  <c r="BF103" i="5"/>
  <c r="BO103" i="5"/>
  <c r="AO105" i="5"/>
  <c r="AP105" i="5"/>
  <c r="AW105" i="5"/>
  <c r="AX105" i="5"/>
  <c r="AS105" i="5"/>
  <c r="AT105" i="5"/>
  <c r="BF105" i="5"/>
  <c r="BO105" i="5"/>
  <c r="AO107" i="5"/>
  <c r="AP107" i="5"/>
  <c r="AW107" i="5"/>
  <c r="AX107" i="5"/>
  <c r="AS107" i="5"/>
  <c r="AT107" i="5"/>
  <c r="BF107" i="5"/>
  <c r="BO107" i="5"/>
  <c r="AO109" i="5"/>
  <c r="AP109" i="5"/>
  <c r="AW109" i="5"/>
  <c r="AX109" i="5"/>
  <c r="AS109" i="5"/>
  <c r="AT109" i="5"/>
  <c r="BF109" i="5"/>
  <c r="BO109" i="5"/>
  <c r="AP111" i="5"/>
  <c r="AW111" i="5"/>
  <c r="AX111" i="5"/>
  <c r="AS111" i="5"/>
  <c r="BF111" i="5"/>
  <c r="BO111" i="5"/>
  <c r="AO113" i="5"/>
  <c r="AP113" i="5"/>
  <c r="AW113" i="5"/>
  <c r="AX113" i="5"/>
  <c r="AS113" i="5"/>
  <c r="AT113" i="5"/>
  <c r="BF113" i="5"/>
  <c r="BO113" i="5"/>
  <c r="AP115" i="5"/>
  <c r="AW115" i="5"/>
  <c r="AX115" i="5"/>
  <c r="AS115" i="5"/>
  <c r="BF115" i="5"/>
  <c r="BO115" i="5"/>
  <c r="AP117" i="5"/>
  <c r="AW117" i="5"/>
  <c r="AX117" i="5"/>
  <c r="AS117" i="5"/>
  <c r="BF117" i="5"/>
  <c r="BO117" i="5"/>
  <c r="F119" i="5"/>
  <c r="B2" i="16"/>
  <c r="D2" i="16"/>
  <c r="F10" i="16"/>
  <c r="G10" i="16"/>
  <c r="L10" i="16"/>
  <c r="M10" i="16"/>
  <c r="N10" i="16"/>
  <c r="O10" i="16"/>
  <c r="P10" i="16"/>
  <c r="Q10" i="16"/>
  <c r="R10" i="16"/>
  <c r="S10" i="16"/>
  <c r="T10" i="16"/>
  <c r="W10" i="16"/>
  <c r="X10" i="16"/>
  <c r="Y10" i="16"/>
  <c r="Z10" i="16"/>
  <c r="AA10" i="16"/>
  <c r="F11" i="16"/>
  <c r="G11" i="16"/>
  <c r="L11" i="16"/>
  <c r="M11" i="16"/>
  <c r="N11" i="16"/>
  <c r="O11" i="16"/>
  <c r="P11" i="16"/>
  <c r="Q11" i="16"/>
  <c r="R11" i="16"/>
  <c r="S11" i="16"/>
  <c r="T11" i="16"/>
  <c r="W11" i="16"/>
  <c r="X11" i="16"/>
  <c r="Y11" i="16"/>
  <c r="Z11" i="16"/>
  <c r="AA11" i="16"/>
  <c r="F12" i="16"/>
  <c r="G12" i="16"/>
  <c r="L12" i="16"/>
  <c r="M12" i="16"/>
  <c r="N12" i="16"/>
  <c r="O12" i="16"/>
  <c r="P12" i="16"/>
  <c r="Q12" i="16"/>
  <c r="R12" i="16"/>
  <c r="S12" i="16"/>
  <c r="T12" i="16"/>
  <c r="W12" i="16"/>
  <c r="X12" i="16"/>
  <c r="Y12" i="16"/>
  <c r="Z12" i="16"/>
  <c r="AA12" i="16"/>
  <c r="F13" i="16"/>
  <c r="G13" i="16"/>
  <c r="L13" i="16"/>
  <c r="M13" i="16"/>
  <c r="N13" i="16"/>
  <c r="O13" i="16"/>
  <c r="P13" i="16"/>
  <c r="Q13" i="16"/>
  <c r="R13" i="16"/>
  <c r="S13" i="16"/>
  <c r="T13" i="16"/>
  <c r="W13" i="16"/>
  <c r="X13" i="16"/>
  <c r="Y13" i="16"/>
  <c r="Z13" i="16"/>
  <c r="AA13" i="16"/>
  <c r="F14" i="16"/>
  <c r="G14" i="16"/>
  <c r="L14" i="16"/>
  <c r="M14" i="16"/>
  <c r="N14" i="16"/>
  <c r="O14" i="16"/>
  <c r="P14" i="16"/>
  <c r="Q14" i="16"/>
  <c r="R14" i="16"/>
  <c r="S14" i="16"/>
  <c r="T14" i="16"/>
  <c r="W14" i="16"/>
  <c r="X14" i="16"/>
  <c r="Y14" i="16"/>
  <c r="Z14" i="16"/>
  <c r="AA14" i="16"/>
  <c r="F15" i="16"/>
  <c r="G15" i="16"/>
  <c r="L15" i="16"/>
  <c r="M15" i="16"/>
  <c r="N15" i="16"/>
  <c r="O15" i="16"/>
  <c r="P15" i="16"/>
  <c r="Q15" i="16"/>
  <c r="R15" i="16"/>
  <c r="S15" i="16"/>
  <c r="T15" i="16"/>
  <c r="W15" i="16"/>
  <c r="X15" i="16"/>
  <c r="Y15" i="16"/>
  <c r="Z15" i="16"/>
  <c r="AA15" i="16"/>
  <c r="F16" i="16"/>
  <c r="G16" i="16"/>
  <c r="L16" i="16"/>
  <c r="M16" i="16"/>
  <c r="N16" i="16"/>
  <c r="O16" i="16"/>
  <c r="P16" i="16"/>
  <c r="Q16" i="16"/>
  <c r="R16" i="16"/>
  <c r="S16" i="16"/>
  <c r="T16" i="16"/>
  <c r="W16" i="16"/>
  <c r="X16" i="16"/>
  <c r="Y16" i="16"/>
  <c r="Z16" i="16"/>
  <c r="AA16" i="16"/>
  <c r="F17" i="16"/>
  <c r="G17" i="16"/>
  <c r="L17" i="16"/>
  <c r="M17" i="16"/>
  <c r="N17" i="16"/>
  <c r="O17" i="16"/>
  <c r="P17" i="16"/>
  <c r="Q17" i="16"/>
  <c r="R17" i="16"/>
  <c r="S17" i="16"/>
  <c r="T17" i="16"/>
  <c r="W17" i="16"/>
  <c r="X17" i="16"/>
  <c r="Y17" i="16"/>
  <c r="Z17" i="16"/>
  <c r="AA17" i="16"/>
  <c r="F18" i="16"/>
  <c r="G18" i="16"/>
  <c r="L18" i="16"/>
  <c r="M18" i="16"/>
  <c r="N18" i="16"/>
  <c r="O18" i="16"/>
  <c r="P18" i="16"/>
  <c r="Q18" i="16"/>
  <c r="R18" i="16"/>
  <c r="S18" i="16"/>
  <c r="T18" i="16"/>
  <c r="W18" i="16"/>
  <c r="X18" i="16"/>
  <c r="Y18" i="16"/>
  <c r="Z18" i="16"/>
  <c r="AA18" i="16"/>
  <c r="F19" i="16"/>
  <c r="G19" i="16"/>
  <c r="L19" i="16"/>
  <c r="M19" i="16"/>
  <c r="N19" i="16"/>
  <c r="O19" i="16"/>
  <c r="P19" i="16"/>
  <c r="Q19" i="16"/>
  <c r="R19" i="16"/>
  <c r="S19" i="16"/>
  <c r="T19" i="16"/>
  <c r="W19" i="16"/>
  <c r="X19" i="16"/>
  <c r="Y19" i="16"/>
  <c r="Z19" i="16"/>
  <c r="AA19" i="16"/>
  <c r="F20" i="16"/>
  <c r="G20" i="16"/>
  <c r="L20" i="16"/>
  <c r="M20" i="16"/>
  <c r="N20" i="16"/>
  <c r="O20" i="16"/>
  <c r="P20" i="16"/>
  <c r="Q20" i="16"/>
  <c r="R20" i="16"/>
  <c r="S20" i="16"/>
  <c r="T20" i="16"/>
  <c r="W20" i="16"/>
  <c r="X20" i="16"/>
  <c r="Y20" i="16"/>
  <c r="Z20" i="16"/>
  <c r="AA20" i="16"/>
  <c r="F21" i="16"/>
  <c r="G21" i="16"/>
  <c r="L21" i="16"/>
  <c r="M21" i="16"/>
  <c r="N21" i="16"/>
  <c r="O21" i="16"/>
  <c r="P21" i="16"/>
  <c r="Q21" i="16"/>
  <c r="R21" i="16"/>
  <c r="S21" i="16"/>
  <c r="T21" i="16"/>
  <c r="W21" i="16"/>
  <c r="X21" i="16"/>
  <c r="Y21" i="16"/>
  <c r="Z21" i="16"/>
  <c r="AA21" i="16"/>
  <c r="F22" i="16"/>
  <c r="G22" i="16"/>
  <c r="L22" i="16"/>
  <c r="M22" i="16"/>
  <c r="N22" i="16"/>
  <c r="O22" i="16"/>
  <c r="P22" i="16"/>
  <c r="Q22" i="16"/>
  <c r="R22" i="16"/>
  <c r="S22" i="16"/>
  <c r="T22" i="16"/>
  <c r="W22" i="16"/>
  <c r="X22" i="16"/>
  <c r="Y22" i="16"/>
  <c r="Z22" i="16"/>
  <c r="AA22" i="16"/>
  <c r="F23" i="16"/>
  <c r="G23" i="16"/>
  <c r="L23" i="16"/>
  <c r="M23" i="16"/>
  <c r="N23" i="16"/>
  <c r="O23" i="16"/>
  <c r="P23" i="16"/>
  <c r="Q23" i="16"/>
  <c r="R23" i="16"/>
  <c r="S23" i="16"/>
  <c r="T23" i="16"/>
  <c r="W23" i="16"/>
  <c r="X23" i="16"/>
  <c r="Y23" i="16"/>
  <c r="Z23" i="16"/>
  <c r="AA23" i="16"/>
  <c r="F24" i="16"/>
  <c r="G24" i="16"/>
  <c r="L24" i="16"/>
  <c r="M24" i="16"/>
  <c r="N24" i="16"/>
  <c r="O24" i="16"/>
  <c r="P24" i="16"/>
  <c r="Q24" i="16"/>
  <c r="R24" i="16"/>
  <c r="S24" i="16"/>
  <c r="T24" i="16"/>
  <c r="W24" i="16"/>
  <c r="X24" i="16"/>
  <c r="Y24" i="16"/>
  <c r="Z24" i="16"/>
  <c r="AA24" i="16"/>
  <c r="F25" i="16"/>
  <c r="G25" i="16"/>
  <c r="L25" i="16"/>
  <c r="M25" i="16"/>
  <c r="N25" i="16"/>
  <c r="O25" i="16"/>
  <c r="P25" i="16"/>
  <c r="Q25" i="16"/>
  <c r="R25" i="16"/>
  <c r="S25" i="16"/>
  <c r="T25" i="16"/>
  <c r="W25" i="16"/>
  <c r="X25" i="16"/>
  <c r="Y25" i="16"/>
  <c r="Z25" i="16"/>
  <c r="AA25" i="16"/>
  <c r="F26" i="16"/>
  <c r="G26" i="16"/>
  <c r="L26" i="16"/>
  <c r="M26" i="16"/>
  <c r="N26" i="16"/>
  <c r="O26" i="16"/>
  <c r="P26" i="16"/>
  <c r="Q26" i="16"/>
  <c r="R26" i="16"/>
  <c r="S26" i="16"/>
  <c r="T26" i="16"/>
  <c r="W26" i="16"/>
  <c r="X26" i="16"/>
  <c r="Y26" i="16"/>
  <c r="Z26" i="16"/>
  <c r="AA26" i="16"/>
  <c r="F27" i="16"/>
  <c r="G27" i="16"/>
  <c r="L27" i="16"/>
  <c r="M27" i="16"/>
  <c r="N27" i="16"/>
  <c r="O27" i="16"/>
  <c r="P27" i="16"/>
  <c r="Q27" i="16"/>
  <c r="R27" i="16"/>
  <c r="S27" i="16"/>
  <c r="T27" i="16"/>
  <c r="W27" i="16"/>
  <c r="X27" i="16"/>
  <c r="Y27" i="16"/>
  <c r="Z27" i="16"/>
  <c r="AA27" i="16"/>
  <c r="F28" i="16"/>
  <c r="G28" i="16"/>
  <c r="L28" i="16"/>
  <c r="M28" i="16"/>
  <c r="N28" i="16"/>
  <c r="O28" i="16"/>
  <c r="P28" i="16"/>
  <c r="Q28" i="16"/>
  <c r="R28" i="16"/>
  <c r="S28" i="16"/>
  <c r="T28" i="16"/>
  <c r="W28" i="16"/>
  <c r="X28" i="16"/>
  <c r="Y28" i="16"/>
  <c r="Z28" i="16"/>
  <c r="AA28" i="16"/>
  <c r="F29" i="16"/>
  <c r="G29" i="16"/>
  <c r="L29" i="16"/>
  <c r="M29" i="16"/>
  <c r="N29" i="16"/>
  <c r="O29" i="16"/>
  <c r="P29" i="16"/>
  <c r="Q29" i="16"/>
  <c r="R29" i="16"/>
  <c r="S29" i="16"/>
  <c r="T29" i="16"/>
  <c r="W29" i="16"/>
  <c r="X29" i="16"/>
  <c r="Y29" i="16"/>
  <c r="Z29" i="16"/>
  <c r="AA29" i="16"/>
  <c r="F30" i="16"/>
  <c r="G30" i="16"/>
  <c r="L30" i="16"/>
  <c r="M30" i="16"/>
  <c r="N30" i="16"/>
  <c r="O30" i="16"/>
  <c r="P30" i="16"/>
  <c r="Q30" i="16"/>
  <c r="R30" i="16"/>
  <c r="S30" i="16"/>
  <c r="T30" i="16"/>
  <c r="W30" i="16"/>
  <c r="X30" i="16"/>
  <c r="Y30" i="16"/>
  <c r="Z30" i="16"/>
  <c r="AA30" i="16"/>
  <c r="F31" i="16"/>
  <c r="G31" i="16"/>
  <c r="L31" i="16"/>
  <c r="M31" i="16"/>
  <c r="N31" i="16"/>
  <c r="O31" i="16"/>
  <c r="P31" i="16"/>
  <c r="Q31" i="16"/>
  <c r="R31" i="16"/>
  <c r="S31" i="16"/>
  <c r="T31" i="16"/>
  <c r="W31" i="16"/>
  <c r="X31" i="16"/>
  <c r="Y31" i="16"/>
  <c r="Z31" i="16"/>
  <c r="AA31" i="16"/>
  <c r="F32" i="16"/>
  <c r="G32" i="16"/>
  <c r="L32" i="16"/>
  <c r="M32" i="16"/>
  <c r="N32" i="16"/>
  <c r="O32" i="16"/>
  <c r="P32" i="16"/>
  <c r="Q32" i="16"/>
  <c r="R32" i="16"/>
  <c r="S32" i="16"/>
  <c r="T32" i="16"/>
  <c r="W32" i="16"/>
  <c r="X32" i="16"/>
  <c r="Y32" i="16"/>
  <c r="Z32" i="16"/>
  <c r="AA32" i="16"/>
  <c r="F33" i="16"/>
  <c r="G33" i="16"/>
  <c r="L33" i="16"/>
  <c r="M33" i="16"/>
  <c r="N33" i="16"/>
  <c r="O33" i="16"/>
  <c r="P33" i="16"/>
  <c r="Q33" i="16"/>
  <c r="R33" i="16"/>
  <c r="S33" i="16"/>
  <c r="T33" i="16"/>
  <c r="W33" i="16"/>
  <c r="X33" i="16"/>
  <c r="Y33" i="16"/>
  <c r="Z33" i="16"/>
  <c r="AA33" i="16"/>
  <c r="F34" i="16"/>
  <c r="G34" i="16"/>
  <c r="L34" i="16"/>
  <c r="M34" i="16"/>
  <c r="N34" i="16"/>
  <c r="O34" i="16"/>
  <c r="P34" i="16"/>
  <c r="Q34" i="16"/>
  <c r="R34" i="16"/>
  <c r="S34" i="16"/>
  <c r="T34" i="16"/>
  <c r="W34" i="16"/>
  <c r="X34" i="16"/>
  <c r="Y34" i="16"/>
  <c r="Z34" i="16"/>
  <c r="AA34" i="16"/>
  <c r="F35" i="16"/>
  <c r="G35" i="16"/>
  <c r="L35" i="16"/>
  <c r="M35" i="16"/>
  <c r="N35" i="16"/>
  <c r="O35" i="16"/>
  <c r="P35" i="16"/>
  <c r="Q35" i="16"/>
  <c r="R35" i="16"/>
  <c r="S35" i="16"/>
  <c r="T35" i="16"/>
  <c r="W35" i="16"/>
  <c r="X35" i="16"/>
  <c r="Y35" i="16"/>
  <c r="Z35" i="16"/>
  <c r="AA35" i="16"/>
  <c r="F36" i="16"/>
  <c r="G36" i="16"/>
  <c r="L36" i="16"/>
  <c r="M36" i="16"/>
  <c r="N36" i="16"/>
  <c r="O36" i="16"/>
  <c r="P36" i="16"/>
  <c r="Q36" i="16"/>
  <c r="R36" i="16"/>
  <c r="S36" i="16"/>
  <c r="T36" i="16"/>
  <c r="W36" i="16"/>
  <c r="X36" i="16"/>
  <c r="Y36" i="16"/>
  <c r="Z36" i="16"/>
  <c r="AA36" i="16"/>
  <c r="F37" i="16"/>
  <c r="G37" i="16"/>
  <c r="L37" i="16"/>
  <c r="M37" i="16"/>
  <c r="N37" i="16"/>
  <c r="O37" i="16"/>
  <c r="P37" i="16"/>
  <c r="Q37" i="16"/>
  <c r="R37" i="16"/>
  <c r="S37" i="16"/>
  <c r="T37" i="16"/>
  <c r="W37" i="16"/>
  <c r="X37" i="16"/>
  <c r="Y37" i="16"/>
  <c r="Z37" i="16"/>
  <c r="AA37" i="16"/>
  <c r="F38" i="16"/>
  <c r="G38" i="16"/>
  <c r="L38" i="16"/>
  <c r="M38" i="16"/>
  <c r="N38" i="16"/>
  <c r="O38" i="16"/>
  <c r="P38" i="16"/>
  <c r="Q38" i="16"/>
  <c r="R38" i="16"/>
  <c r="S38" i="16"/>
  <c r="T38" i="16"/>
  <c r="W38" i="16"/>
  <c r="X38" i="16"/>
  <c r="Y38" i="16"/>
  <c r="Z38" i="16"/>
  <c r="AA38" i="16"/>
  <c r="F39" i="16"/>
  <c r="G39" i="16"/>
  <c r="L39" i="16"/>
  <c r="M39" i="16"/>
  <c r="N39" i="16"/>
  <c r="O39" i="16"/>
  <c r="P39" i="16"/>
  <c r="Q39" i="16"/>
  <c r="R39" i="16"/>
  <c r="S39" i="16"/>
  <c r="T39" i="16"/>
  <c r="W39" i="16"/>
  <c r="X39" i="16"/>
  <c r="Y39" i="16"/>
  <c r="Z39" i="16"/>
  <c r="AA39" i="16"/>
  <c r="F40" i="16"/>
  <c r="G40" i="16"/>
  <c r="L40" i="16"/>
  <c r="M40" i="16"/>
  <c r="N40" i="16"/>
  <c r="O40" i="16"/>
  <c r="P40" i="16"/>
  <c r="Q40" i="16"/>
  <c r="R40" i="16"/>
  <c r="S40" i="16"/>
  <c r="T40" i="16"/>
  <c r="W40" i="16"/>
  <c r="X40" i="16"/>
  <c r="Y40" i="16"/>
  <c r="Z40" i="16"/>
  <c r="AA40" i="16"/>
  <c r="E41" i="16"/>
  <c r="G41" i="16"/>
  <c r="H41" i="16"/>
  <c r="E42" i="16"/>
  <c r="H42" i="16"/>
  <c r="G42" i="16"/>
  <c r="E43" i="16"/>
  <c r="H43" i="16"/>
  <c r="G43" i="16"/>
  <c r="E44" i="16"/>
  <c r="H44" i="16"/>
  <c r="G44" i="16"/>
  <c r="E45" i="16"/>
  <c r="G45" i="16"/>
  <c r="H45" i="16"/>
  <c r="E46" i="16"/>
  <c r="H46" i="16"/>
  <c r="G46" i="16"/>
  <c r="E47" i="16"/>
  <c r="H47" i="16"/>
  <c r="E48" i="16"/>
  <c r="H48" i="16"/>
  <c r="E49" i="16"/>
  <c r="H49" i="16"/>
  <c r="G51" i="16"/>
  <c r="H52" i="16"/>
  <c r="G53" i="16"/>
  <c r="G54" i="16"/>
  <c r="G55" i="16"/>
  <c r="H55" i="16"/>
  <c r="G56" i="16"/>
  <c r="G57" i="16"/>
  <c r="G58" i="16"/>
  <c r="G59" i="16"/>
  <c r="H60" i="16"/>
  <c r="G62" i="16"/>
  <c r="H62" i="16"/>
  <c r="B2" i="8"/>
  <c r="B3" i="8"/>
  <c r="A17" i="23"/>
  <c r="A18" i="23"/>
  <c r="A19" i="23"/>
  <c r="A20" i="23"/>
  <c r="A21" i="23"/>
  <c r="A22" i="23"/>
  <c r="A29" i="23"/>
  <c r="A30" i="23"/>
  <c r="A31" i="23"/>
  <c r="A32" i="23"/>
  <c r="A33" i="23"/>
  <c r="A34" i="23"/>
  <c r="A35" i="23"/>
  <c r="A36" i="23"/>
  <c r="A37" i="23"/>
  <c r="A38" i="23"/>
  <c r="A39" i="23"/>
  <c r="A40" i="23"/>
  <c r="A41" i="23"/>
  <c r="A42" i="23"/>
  <c r="A43" i="23"/>
  <c r="A44" i="23"/>
  <c r="A93" i="23"/>
  <c r="A96" i="23"/>
  <c r="A99" i="23"/>
  <c r="A101" i="23"/>
  <c r="A105" i="23"/>
  <c r="A108" i="23"/>
  <c r="A147" i="23"/>
  <c r="A148" i="23"/>
  <c r="A149" i="23"/>
  <c r="A150" i="23"/>
  <c r="A151" i="23"/>
  <c r="A152" i="23"/>
  <c r="A153" i="23"/>
  <c r="A154" i="23"/>
  <c r="A155" i="23"/>
  <c r="A162" i="23"/>
  <c r="A183" i="23"/>
  <c r="A184" i="23"/>
  <c r="A185" i="23"/>
  <c r="A186" i="23"/>
  <c r="A187" i="23"/>
  <c r="A188" i="23"/>
  <c r="A189" i="23"/>
  <c r="A200" i="23"/>
  <c r="A221" i="23"/>
  <c r="A222" i="23"/>
  <c r="A223" i="23"/>
  <c r="A224" i="23"/>
  <c r="A225" i="23"/>
  <c r="A226" i="23"/>
  <c r="A227" i="23"/>
  <c r="A238" i="23"/>
  <c r="A259" i="23"/>
  <c r="A260" i="23"/>
  <c r="A261" i="23"/>
  <c r="A262" i="23"/>
  <c r="A263" i="23"/>
  <c r="A264" i="23"/>
  <c r="A265" i="23"/>
  <c r="A276" i="23"/>
  <c r="A297" i="23"/>
  <c r="A298" i="23"/>
  <c r="A299" i="23"/>
  <c r="A300" i="23"/>
  <c r="A301" i="23"/>
  <c r="A302" i="23"/>
  <c r="A303" i="23"/>
  <c r="A314" i="23"/>
  <c r="A335" i="23"/>
  <c r="A336" i="23"/>
  <c r="A337" i="23"/>
  <c r="A338" i="23"/>
  <c r="A339" i="23"/>
  <c r="A340" i="23"/>
  <c r="A341" i="23"/>
  <c r="A352" i="23"/>
  <c r="A373" i="23"/>
  <c r="A374" i="23"/>
  <c r="A375" i="23"/>
  <c r="A376" i="23"/>
  <c r="A377" i="23"/>
  <c r="A378" i="23"/>
  <c r="A379" i="23"/>
  <c r="A390" i="23"/>
  <c r="A411" i="23"/>
  <c r="A412" i="23"/>
  <c r="A413" i="23"/>
  <c r="A414" i="23"/>
  <c r="A415" i="23"/>
  <c r="A416" i="23"/>
  <c r="A417" i="23"/>
  <c r="A428" i="23"/>
  <c r="A449" i="23"/>
  <c r="A450" i="23"/>
  <c r="A451" i="23"/>
  <c r="A452" i="23"/>
  <c r="A453" i="23"/>
  <c r="A454" i="23"/>
  <c r="A455" i="23"/>
  <c r="A466" i="23"/>
  <c r="A487" i="23"/>
  <c r="A488" i="23"/>
  <c r="A489" i="23"/>
  <c r="A490" i="23"/>
  <c r="A491" i="23"/>
  <c r="A492" i="23"/>
  <c r="A493" i="23"/>
  <c r="A504" i="23"/>
  <c r="A525" i="23"/>
  <c r="A526" i="23"/>
  <c r="A527" i="23"/>
  <c r="A528" i="23"/>
  <c r="A529" i="23"/>
  <c r="A530" i="23"/>
  <c r="A531" i="23"/>
  <c r="A542" i="23"/>
  <c r="A563" i="23"/>
  <c r="A564" i="23"/>
  <c r="A565" i="23"/>
  <c r="A566" i="23"/>
  <c r="A567" i="23"/>
  <c r="A568" i="23"/>
  <c r="A569" i="23"/>
  <c r="A580" i="23"/>
  <c r="A601" i="23"/>
  <c r="A602" i="23"/>
  <c r="A603" i="23"/>
  <c r="A604" i="23"/>
  <c r="A605" i="23"/>
  <c r="A606" i="23"/>
  <c r="A607" i="23"/>
  <c r="A618" i="23"/>
  <c r="A639" i="23"/>
  <c r="A640" i="23"/>
  <c r="A641" i="23"/>
  <c r="A642" i="23"/>
  <c r="A643" i="23"/>
  <c r="A644" i="23"/>
  <c r="A645" i="23"/>
  <c r="A656" i="23"/>
  <c r="A677" i="23"/>
  <c r="A678" i="23"/>
  <c r="A679" i="23"/>
  <c r="A680" i="23"/>
  <c r="A681" i="23"/>
  <c r="A682" i="23"/>
  <c r="A683" i="23"/>
  <c r="A694" i="23"/>
  <c r="A698" i="23"/>
  <c r="A701" i="23"/>
  <c r="A705" i="23"/>
  <c r="A728" i="23"/>
  <c r="A742" i="23"/>
  <c r="A747" i="23"/>
  <c r="A752" i="23"/>
  <c r="A773" i="23"/>
  <c r="A774" i="23"/>
  <c r="A775" i="23"/>
  <c r="A776" i="23"/>
  <c r="A777" i="23"/>
  <c r="A778" i="23"/>
  <c r="A779" i="23"/>
  <c r="A787" i="23"/>
  <c r="A826" i="23"/>
  <c r="A827" i="23"/>
  <c r="A828" i="23"/>
  <c r="A829" i="23"/>
  <c r="A830" i="23"/>
  <c r="A831" i="23"/>
  <c r="A832" i="23"/>
  <c r="A833" i="23"/>
  <c r="A834" i="23"/>
  <c r="A835" i="23"/>
  <c r="A836" i="23"/>
  <c r="A837" i="23"/>
  <c r="A840" i="23"/>
  <c r="A841" i="23"/>
  <c r="A842" i="23"/>
  <c r="A843" i="23"/>
  <c r="A844" i="23"/>
  <c r="A845" i="23"/>
  <c r="A846" i="23"/>
  <c r="A847" i="23"/>
  <c r="A848" i="23"/>
  <c r="A849" i="23"/>
  <c r="A863" i="23"/>
  <c r="A864" i="23"/>
  <c r="A865" i="23"/>
  <c r="A868" i="23"/>
  <c r="A869" i="23"/>
  <c r="A870" i="23"/>
  <c r="A873" i="23"/>
  <c r="A874" i="23"/>
  <c r="A875" i="23"/>
  <c r="A878" i="23"/>
  <c r="A879" i="23"/>
  <c r="A880" i="23"/>
  <c r="A883" i="23"/>
  <c r="A904" i="23"/>
  <c r="A905" i="23"/>
  <c r="A906" i="23"/>
  <c r="A907" i="23"/>
  <c r="A908" i="23"/>
  <c r="A909" i="23"/>
  <c r="A910" i="23"/>
  <c r="A918" i="23"/>
  <c r="A955" i="23"/>
  <c r="A957" i="23"/>
  <c r="A978" i="23"/>
  <c r="A979" i="23"/>
  <c r="A980" i="23"/>
  <c r="A981" i="23"/>
  <c r="A982" i="23"/>
  <c r="A983" i="23"/>
  <c r="A984" i="23"/>
  <c r="A992" i="23"/>
  <c r="A1029" i="23"/>
  <c r="G2" i="18"/>
  <c r="M9" i="18"/>
  <c r="D12" i="18"/>
  <c r="L12" i="18"/>
  <c r="U12" i="18"/>
  <c r="AC15" i="18"/>
  <c r="AD15" i="18"/>
  <c r="AU15" i="18"/>
  <c r="AV15" i="18"/>
  <c r="AV16" i="18"/>
  <c r="AV17" i="18"/>
  <c r="AV18" i="18"/>
  <c r="AV19" i="18"/>
  <c r="AV20" i="18"/>
  <c r="AV21" i="18"/>
  <c r="AV22" i="18"/>
  <c r="AV23" i="18"/>
  <c r="AC16" i="18"/>
  <c r="AU16" i="18"/>
  <c r="AC17" i="18"/>
  <c r="AU17" i="18"/>
  <c r="AC18" i="18"/>
  <c r="AU18" i="18"/>
  <c r="U19" i="18"/>
  <c r="AC19" i="18"/>
  <c r="AU19" i="18"/>
  <c r="AC20" i="18"/>
  <c r="AU20" i="18"/>
  <c r="AC21" i="18"/>
  <c r="AU21" i="18"/>
  <c r="AI22" i="18"/>
  <c r="BA22" i="18"/>
  <c r="AI23" i="18"/>
  <c r="BA23" i="18"/>
  <c r="D27" i="18"/>
  <c r="L27" i="18"/>
  <c r="U27" i="18"/>
  <c r="AC30" i="18"/>
  <c r="AD30" i="18"/>
  <c r="AU30" i="18"/>
  <c r="AV31" i="18"/>
  <c r="AV32" i="18"/>
  <c r="AV33" i="18"/>
  <c r="AV34" i="18"/>
  <c r="AV35" i="18"/>
  <c r="AV36" i="18"/>
  <c r="AV37" i="18"/>
  <c r="AV38" i="18"/>
  <c r="AV30" i="18"/>
  <c r="AC31" i="18"/>
  <c r="AU31" i="18"/>
  <c r="AC32" i="18"/>
  <c r="AU32" i="18"/>
  <c r="AC33" i="18"/>
  <c r="AU33" i="18"/>
  <c r="U34" i="18"/>
  <c r="AC34" i="18"/>
  <c r="AU34" i="18"/>
  <c r="AC35" i="18"/>
  <c r="AU35" i="18"/>
  <c r="AC36" i="18"/>
  <c r="AU36" i="18"/>
  <c r="AI37" i="18"/>
  <c r="BA37" i="18"/>
  <c r="AI38" i="18"/>
  <c r="BA38" i="18"/>
  <c r="D42" i="18"/>
  <c r="L42" i="18"/>
  <c r="U42" i="18"/>
  <c r="AC45" i="18"/>
  <c r="AD46" i="18"/>
  <c r="AD47" i="18"/>
  <c r="AD45" i="18"/>
  <c r="AU45" i="18"/>
  <c r="AV46" i="18"/>
  <c r="AV47" i="18"/>
  <c r="AV45" i="18"/>
  <c r="AC46" i="18"/>
  <c r="AU46" i="18"/>
  <c r="AC47" i="18"/>
  <c r="AU47" i="18"/>
  <c r="AV48" i="18"/>
  <c r="AV49" i="18"/>
  <c r="AV50" i="18"/>
  <c r="AV51" i="18"/>
  <c r="AV52" i="18"/>
  <c r="AV53" i="18"/>
  <c r="AC48" i="18"/>
  <c r="AU48" i="18"/>
  <c r="U49" i="18"/>
  <c r="AC49" i="18"/>
  <c r="AU49" i="18"/>
  <c r="AC50" i="18"/>
  <c r="AU50" i="18"/>
  <c r="AC51" i="18"/>
  <c r="AU51" i="18"/>
  <c r="AI52" i="18"/>
  <c r="BA52" i="18"/>
  <c r="AI53" i="18"/>
  <c r="BA53" i="18"/>
  <c r="D57" i="18"/>
  <c r="L57" i="18"/>
  <c r="U57" i="18"/>
  <c r="AC62" i="18"/>
  <c r="AD62" i="18"/>
  <c r="AU62" i="18"/>
  <c r="AV62" i="18"/>
  <c r="AC63" i="18"/>
  <c r="AU63" i="18"/>
  <c r="AV63" i="18"/>
  <c r="AV64" i="18"/>
  <c r="AV65" i="18"/>
  <c r="AV66" i="18"/>
  <c r="AV67" i="18"/>
  <c r="AV68" i="18"/>
  <c r="AV69" i="18"/>
  <c r="AV70" i="18"/>
  <c r="U64" i="18"/>
  <c r="AC64" i="18"/>
  <c r="AU64" i="18"/>
  <c r="AC65" i="18"/>
  <c r="AU65" i="18"/>
  <c r="AC66" i="18"/>
  <c r="AU66" i="18"/>
  <c r="AC67" i="18"/>
  <c r="AU67" i="18"/>
  <c r="AC68" i="18"/>
  <c r="AU68" i="18"/>
  <c r="AI69" i="18"/>
  <c r="BA69" i="18"/>
  <c r="AI70" i="18"/>
  <c r="BA70" i="18"/>
  <c r="D72" i="18"/>
  <c r="L72" i="18"/>
  <c r="U72" i="18"/>
  <c r="AC76" i="18"/>
  <c r="AD76" i="18"/>
  <c r="AD77" i="18"/>
  <c r="AD78" i="18"/>
  <c r="AD79" i="18"/>
  <c r="AD80" i="18"/>
  <c r="AD81" i="18"/>
  <c r="AD82" i="18"/>
  <c r="AD83" i="18"/>
  <c r="AD84" i="18"/>
  <c r="AU76" i="18"/>
  <c r="AV77" i="18"/>
  <c r="AV78" i="18"/>
  <c r="AV79" i="18"/>
  <c r="AV80" i="18"/>
  <c r="AV81" i="18"/>
  <c r="AV76" i="18"/>
  <c r="AC77" i="18"/>
  <c r="AU77" i="18"/>
  <c r="AC78" i="18"/>
  <c r="AU78" i="18"/>
  <c r="U79" i="18"/>
  <c r="AC79" i="18"/>
  <c r="AU79" i="18"/>
  <c r="AC80" i="18"/>
  <c r="AU80" i="18"/>
  <c r="AC81" i="18"/>
  <c r="AU81" i="18"/>
  <c r="AC82" i="18"/>
  <c r="AU82" i="18"/>
  <c r="AI83" i="18"/>
  <c r="BA83" i="18"/>
  <c r="AI84" i="18"/>
  <c r="BA84" i="18"/>
  <c r="D88" i="18"/>
  <c r="L88" i="18"/>
  <c r="U88" i="18"/>
  <c r="AC91" i="18"/>
  <c r="AD92" i="18"/>
  <c r="AD93" i="18"/>
  <c r="AD94" i="18"/>
  <c r="AD95" i="18"/>
  <c r="AD96" i="18"/>
  <c r="AD97" i="18"/>
  <c r="AD98" i="18"/>
  <c r="AD99" i="18"/>
  <c r="AD91" i="18"/>
  <c r="AU91" i="18"/>
  <c r="AV91" i="18"/>
  <c r="AC92" i="18"/>
  <c r="AU92" i="18"/>
  <c r="AV92" i="18"/>
  <c r="AV93" i="18"/>
  <c r="AV94" i="18"/>
  <c r="AV95" i="18"/>
  <c r="AV96" i="18"/>
  <c r="AV97" i="18"/>
  <c r="AV98" i="18"/>
  <c r="AV99" i="18"/>
  <c r="AC93" i="18"/>
  <c r="AU93" i="18"/>
  <c r="AC94" i="18"/>
  <c r="AU94" i="18"/>
  <c r="U95" i="18"/>
  <c r="AC95" i="18"/>
  <c r="AU95" i="18"/>
  <c r="AC96" i="18"/>
  <c r="AU96" i="18"/>
  <c r="AC97" i="18"/>
  <c r="AU97" i="18"/>
  <c r="AI98" i="18"/>
  <c r="BA98" i="18"/>
  <c r="AI99" i="18"/>
  <c r="BA99" i="18"/>
  <c r="D103" i="18"/>
  <c r="L103" i="18"/>
  <c r="U103" i="18"/>
  <c r="AC106" i="18"/>
  <c r="AD106" i="18"/>
  <c r="AD107" i="18"/>
  <c r="AD108" i="18"/>
  <c r="AU106" i="18"/>
  <c r="AV107" i="18"/>
  <c r="AV106" i="18"/>
  <c r="AC107" i="18"/>
  <c r="AU107" i="18"/>
  <c r="BT107" i="18"/>
  <c r="BT106" i="18"/>
  <c r="AC108" i="18"/>
  <c r="AU108" i="18"/>
  <c r="AC109" i="18"/>
  <c r="AU109" i="18"/>
  <c r="U110" i="18"/>
  <c r="AC110" i="18"/>
  <c r="AU110" i="18"/>
  <c r="AC111" i="18"/>
  <c r="AU111" i="18"/>
  <c r="AC112" i="18"/>
  <c r="AU112" i="18"/>
  <c r="AI113" i="18"/>
  <c r="BA113" i="18"/>
  <c r="AI114" i="18"/>
  <c r="BA114" i="18"/>
  <c r="D142" i="18"/>
  <c r="U142" i="18"/>
  <c r="AC144" i="18"/>
  <c r="AD144" i="18"/>
  <c r="AV144" i="18"/>
  <c r="AC145" i="18"/>
  <c r="AD145" i="18"/>
  <c r="AD146" i="18"/>
  <c r="AD147" i="18"/>
  <c r="AD148" i="18"/>
  <c r="AD149" i="18"/>
  <c r="AD150" i="18"/>
  <c r="AD151" i="18"/>
  <c r="AD152" i="18"/>
  <c r="AC146" i="18"/>
  <c r="AC147" i="18"/>
  <c r="AC148" i="18"/>
  <c r="AC149" i="18"/>
  <c r="AC150" i="18"/>
  <c r="AI151" i="18"/>
  <c r="BA151" i="18"/>
  <c r="AI152" i="18"/>
  <c r="BA152" i="18"/>
  <c r="D159" i="18"/>
  <c r="U159" i="18"/>
  <c r="AC161" i="18"/>
  <c r="AD161" i="18"/>
  <c r="AV161" i="18"/>
  <c r="AC162" i="18"/>
  <c r="AC163" i="18"/>
  <c r="AC164" i="18"/>
  <c r="AC165" i="18"/>
  <c r="AC166" i="18"/>
  <c r="AC167" i="18"/>
  <c r="AI168" i="18"/>
  <c r="BA168" i="18"/>
  <c r="AI169" i="18"/>
  <c r="BA169" i="18"/>
  <c r="D176" i="18"/>
  <c r="U176" i="18"/>
  <c r="AC178" i="18"/>
  <c r="AD179" i="18"/>
  <c r="AD180" i="18"/>
  <c r="AD178" i="18"/>
  <c r="AV178" i="18"/>
  <c r="AC179" i="18"/>
  <c r="AC180" i="18"/>
  <c r="AC181" i="18"/>
  <c r="AC182" i="18"/>
  <c r="AC183" i="18"/>
  <c r="AC184" i="18"/>
  <c r="AI185" i="18"/>
  <c r="BA185" i="18"/>
  <c r="AI186" i="18"/>
  <c r="BA186" i="18"/>
  <c r="I1" i="19"/>
  <c r="M1" i="19"/>
  <c r="E4" i="19"/>
  <c r="F4" i="19"/>
  <c r="L4" i="19"/>
  <c r="Z4" i="6"/>
  <c r="F5" i="19"/>
  <c r="G17" i="19"/>
  <c r="G18" i="19"/>
  <c r="G19" i="19"/>
  <c r="G20" i="19"/>
  <c r="G21" i="19"/>
  <c r="F44" i="19"/>
  <c r="B58" i="19"/>
  <c r="B60" i="19"/>
  <c r="J1" i="9"/>
  <c r="C2" i="9"/>
  <c r="C8" i="9"/>
  <c r="U10" i="9"/>
  <c r="X10" i="9"/>
  <c r="AA10" i="9"/>
  <c r="AD10" i="9"/>
  <c r="AG10" i="9"/>
  <c r="AJ10" i="9"/>
  <c r="AM10" i="9"/>
  <c r="AP10" i="9"/>
  <c r="AS10" i="9"/>
  <c r="AV10" i="9"/>
  <c r="AY10" i="9"/>
  <c r="BB10" i="9"/>
  <c r="BF12" i="9"/>
  <c r="BF13" i="9"/>
  <c r="BF14" i="9"/>
  <c r="BF15" i="9"/>
  <c r="C1" i="13"/>
  <c r="E1" i="13"/>
  <c r="C2" i="13"/>
  <c r="T2" i="13"/>
  <c r="C8" i="13"/>
  <c r="U10" i="13"/>
  <c r="X10" i="13"/>
  <c r="AA10" i="13"/>
  <c r="AD10" i="13"/>
  <c r="AG10" i="13"/>
  <c r="AJ10" i="13"/>
  <c r="AM10" i="13"/>
  <c r="AP10" i="13"/>
  <c r="AS10" i="13"/>
  <c r="AV10" i="13"/>
  <c r="AY10" i="13"/>
  <c r="BB10" i="13"/>
  <c r="BF12" i="13"/>
  <c r="BF13" i="13"/>
  <c r="O14" i="13"/>
  <c r="S14" i="13"/>
  <c r="BF14" i="13"/>
  <c r="BF15" i="13"/>
  <c r="O45" i="13"/>
  <c r="O45" i="15"/>
  <c r="P45" i="13"/>
  <c r="H1" i="15"/>
  <c r="C2" i="15"/>
  <c r="C8" i="15"/>
  <c r="U10" i="15"/>
  <c r="X10" i="15"/>
  <c r="AA10" i="15"/>
  <c r="AD10" i="15"/>
  <c r="AG10" i="15"/>
  <c r="AJ10" i="15"/>
  <c r="AM10" i="15"/>
  <c r="AP10" i="15"/>
  <c r="AS10" i="15"/>
  <c r="AV10" i="15"/>
  <c r="AY10" i="15"/>
  <c r="BB10" i="15"/>
  <c r="BF12" i="15"/>
  <c r="BF13" i="15"/>
  <c r="BF14" i="15"/>
  <c r="BF15" i="15"/>
  <c r="C45" i="15"/>
  <c r="D45" i="15"/>
  <c r="E45" i="15"/>
  <c r="F45" i="15"/>
  <c r="G45" i="15"/>
  <c r="H45" i="15"/>
  <c r="I45" i="15"/>
  <c r="J45" i="15"/>
  <c r="K45" i="15"/>
  <c r="L45" i="15"/>
  <c r="M45" i="15"/>
  <c r="N45" i="15"/>
  <c r="P45" i="15"/>
  <c r="C76" i="15"/>
  <c r="J76" i="15"/>
  <c r="J77" i="15"/>
  <c r="C78" i="15"/>
  <c r="J78" i="15"/>
  <c r="J79" i="15"/>
  <c r="C80" i="15"/>
  <c r="J80" i="15"/>
  <c r="J81" i="15"/>
  <c r="E13" i="14"/>
  <c r="C4" i="7"/>
  <c r="C4" i="14" s="1"/>
  <c r="C7" i="7"/>
  <c r="C7" i="14"/>
  <c r="C13" i="7"/>
  <c r="C13" i="14"/>
  <c r="C15" i="7"/>
  <c r="C15" i="14"/>
  <c r="C19" i="7"/>
  <c r="C19" i="14"/>
  <c r="N19" i="7"/>
  <c r="N19" i="14"/>
  <c r="C23" i="7"/>
  <c r="C23" i="14"/>
  <c r="C25" i="7"/>
  <c r="C25" i="14"/>
  <c r="C29" i="7"/>
  <c r="C29" i="14"/>
  <c r="N29" i="7"/>
  <c r="N29" i="14"/>
  <c r="C35" i="7"/>
  <c r="C35" i="14"/>
  <c r="C73" i="7"/>
  <c r="C117" i="7"/>
  <c r="B74" i="7"/>
  <c r="AD1" i="3"/>
  <c r="AE1" i="3" s="1"/>
  <c r="D2" i="3"/>
  <c r="AD5" i="3"/>
  <c r="U11" i="3"/>
  <c r="W11" i="3"/>
  <c r="A53" i="23"/>
  <c r="AA11" i="3"/>
  <c r="AD11" i="3"/>
  <c r="AF11" i="3"/>
  <c r="AH11" i="3"/>
  <c r="AJ11" i="3"/>
  <c r="AL11" i="3"/>
  <c r="AN11" i="3"/>
  <c r="W12" i="3"/>
  <c r="AJ12" i="3"/>
  <c r="AN12" i="3"/>
  <c r="U13" i="3"/>
  <c r="W13" i="3"/>
  <c r="AJ13" i="3"/>
  <c r="AT13" i="3"/>
  <c r="W14" i="3"/>
  <c r="AA14" i="3"/>
  <c r="AF14" i="3"/>
  <c r="AH14" i="3"/>
  <c r="AN14" i="3"/>
  <c r="W15" i="3"/>
  <c r="AH15" i="3"/>
  <c r="AL15" i="3"/>
  <c r="W16" i="3"/>
  <c r="AH16" i="3"/>
  <c r="AJ16" i="3"/>
  <c r="AL16" i="3"/>
  <c r="AN16" i="3"/>
  <c r="W17" i="3"/>
  <c r="AH17" i="3"/>
  <c r="AL17" i="3"/>
  <c r="AN17" i="3"/>
  <c r="W18" i="3"/>
  <c r="AF18" i="3"/>
  <c r="AH18" i="3"/>
  <c r="AL18" i="3"/>
  <c r="AN18" i="3"/>
  <c r="U19" i="3"/>
  <c r="W19" i="3"/>
  <c r="AF19" i="3"/>
  <c r="AH19" i="3"/>
  <c r="AJ19" i="3"/>
  <c r="AL19" i="3"/>
  <c r="AN19" i="3"/>
  <c r="W20" i="3"/>
  <c r="AF20" i="3"/>
  <c r="AH20" i="3"/>
  <c r="AJ20" i="3"/>
  <c r="AL20" i="3"/>
  <c r="AN20" i="3"/>
  <c r="AV20" i="3"/>
  <c r="W21" i="3"/>
  <c r="AA21" i="3"/>
  <c r="AH21" i="3"/>
  <c r="AJ21" i="3"/>
  <c r="AL21" i="3"/>
  <c r="AN21" i="3"/>
  <c r="W22" i="3"/>
  <c r="AA22" i="3"/>
  <c r="AF22" i="3"/>
  <c r="AH22" i="3"/>
  <c r="AJ22" i="3"/>
  <c r="AL22" i="3"/>
  <c r="AN22" i="3"/>
  <c r="W23" i="3"/>
  <c r="AA23" i="3"/>
  <c r="AD23" i="3"/>
  <c r="AF23" i="3"/>
  <c r="AH23" i="3"/>
  <c r="AJ23" i="3"/>
  <c r="AL23" i="3"/>
  <c r="AN23" i="3"/>
  <c r="W24" i="3"/>
  <c r="AA24" i="3"/>
  <c r="AD24" i="3"/>
  <c r="AF24" i="3"/>
  <c r="AH24" i="3"/>
  <c r="AJ24" i="3"/>
  <c r="AL24" i="3"/>
  <c r="AN24" i="3"/>
  <c r="W25" i="3"/>
  <c r="AA25" i="3"/>
  <c r="AD25" i="3"/>
  <c r="AF25" i="3"/>
  <c r="AH25" i="3"/>
  <c r="AJ25" i="3"/>
  <c r="AL25" i="3"/>
  <c r="AN25" i="3"/>
  <c r="P15" i="27"/>
  <c r="W26" i="3"/>
  <c r="W27" i="3"/>
  <c r="W28" i="3"/>
  <c r="W29" i="3"/>
  <c r="U30" i="3"/>
  <c r="W30" i="3"/>
  <c r="W31" i="3"/>
  <c r="W32" i="3"/>
  <c r="I33" i="3"/>
  <c r="Q33" i="3"/>
  <c r="W33" i="3"/>
  <c r="W34" i="3"/>
  <c r="I35" i="3"/>
  <c r="W35" i="3"/>
  <c r="W36" i="3"/>
  <c r="I37" i="3"/>
  <c r="W37" i="3"/>
  <c r="W38" i="3"/>
  <c r="W39" i="3"/>
  <c r="U41" i="3"/>
  <c r="W41" i="3"/>
  <c r="AV49" i="3"/>
  <c r="G51" i="7" s="1"/>
  <c r="AV50" i="3"/>
  <c r="G57" i="3"/>
  <c r="A75" i="23"/>
  <c r="N56" i="3"/>
  <c r="U63" i="3"/>
  <c r="V63" i="3"/>
  <c r="U64" i="3"/>
  <c r="V64" i="3"/>
  <c r="X64" i="3"/>
  <c r="U65" i="3"/>
  <c r="V65" i="3"/>
  <c r="X65" i="3"/>
  <c r="U66" i="3"/>
  <c r="V66" i="3"/>
  <c r="X66" i="3"/>
  <c r="U67" i="3"/>
  <c r="V67" i="3"/>
  <c r="X67" i="3"/>
  <c r="U68" i="3"/>
  <c r="V68" i="3"/>
  <c r="X68" i="3"/>
  <c r="U69" i="3"/>
  <c r="V69" i="3"/>
  <c r="X69" i="3"/>
  <c r="V70" i="3"/>
  <c r="H1" i="22"/>
  <c r="R1" i="22"/>
  <c r="AC48" i="22"/>
  <c r="AD48" i="22"/>
  <c r="R75" i="22"/>
  <c r="L76" i="22"/>
  <c r="AJ63" i="4" s="1"/>
  <c r="R76" i="22"/>
  <c r="R77" i="22"/>
  <c r="R82" i="22"/>
  <c r="R83" i="22"/>
  <c r="R84" i="22"/>
  <c r="M1" i="11"/>
  <c r="B2" i="11"/>
  <c r="H9" i="11"/>
  <c r="M12" i="11"/>
  <c r="M16" i="11"/>
  <c r="P24" i="11"/>
  <c r="Q24" i="11"/>
  <c r="R27" i="11"/>
  <c r="S27" i="11"/>
  <c r="T30" i="11"/>
  <c r="T31" i="11"/>
  <c r="P32" i="11"/>
  <c r="R32" i="11"/>
  <c r="T32" i="11"/>
  <c r="T33" i="11"/>
  <c r="T34" i="11"/>
  <c r="Q29" i="11"/>
  <c r="Q35" i="11"/>
  <c r="S35" i="11"/>
  <c r="P38" i="11"/>
  <c r="Q38" i="11"/>
  <c r="R38" i="11"/>
  <c r="S38" i="11"/>
  <c r="T38" i="11"/>
  <c r="T40" i="11"/>
  <c r="N39" i="11"/>
  <c r="T39" i="11"/>
  <c r="R41" i="11"/>
  <c r="S41" i="11"/>
  <c r="T44" i="11"/>
  <c r="T45" i="11"/>
  <c r="T47" i="11"/>
  <c r="L46" i="11"/>
  <c r="P46" i="11" s="1"/>
  <c r="M46" i="11"/>
  <c r="T46" i="11"/>
  <c r="I47" i="11"/>
  <c r="I48" i="11"/>
  <c r="J48" i="11"/>
  <c r="I49" i="11"/>
  <c r="J49" i="11"/>
  <c r="J50" i="11"/>
  <c r="I51" i="11"/>
  <c r="J51" i="11"/>
  <c r="P57" i="11"/>
  <c r="Q57" i="11"/>
  <c r="R57" i="11"/>
  <c r="S57" i="11"/>
  <c r="V62" i="11"/>
  <c r="V63" i="11"/>
  <c r="V64" i="11"/>
  <c r="V65" i="11"/>
  <c r="J1" i="6"/>
  <c r="BQ1" i="6"/>
  <c r="D2" i="6"/>
  <c r="BP2" i="6"/>
  <c r="BQ2" i="6"/>
  <c r="BQ3" i="6"/>
  <c r="S4" i="6"/>
  <c r="BP4" i="6"/>
  <c r="J5" i="6"/>
  <c r="BU6" i="6"/>
  <c r="BV6" i="6"/>
  <c r="BF7" i="6"/>
  <c r="BG7" i="6"/>
  <c r="BL7" i="6"/>
  <c r="BU7" i="6"/>
  <c r="BV7" i="6"/>
  <c r="BX7" i="6"/>
  <c r="BF8" i="6"/>
  <c r="BG8" i="6"/>
  <c r="BL8" i="6"/>
  <c r="BU8" i="6"/>
  <c r="BV8" i="6"/>
  <c r="BW8" i="6"/>
  <c r="BX8" i="6"/>
  <c r="BF9" i="6"/>
  <c r="BG9" i="6"/>
  <c r="BL9" i="6"/>
  <c r="BR9" i="6"/>
  <c r="BU9" i="6"/>
  <c r="BV9" i="6"/>
  <c r="V10" i="6"/>
  <c r="AM10" i="6"/>
  <c r="BF10" i="6"/>
  <c r="BG10" i="6"/>
  <c r="BL10" i="6"/>
  <c r="BR10" i="6"/>
  <c r="BU10" i="6"/>
  <c r="BV10" i="6"/>
  <c r="V11" i="6"/>
  <c r="AM11" i="6"/>
  <c r="O11" i="6"/>
  <c r="A213" i="23" s="1"/>
  <c r="BF11" i="6"/>
  <c r="BG11" i="6"/>
  <c r="BL11" i="6"/>
  <c r="BP11" i="6"/>
  <c r="BR11" i="6"/>
  <c r="BU11" i="6"/>
  <c r="BV11" i="6"/>
  <c r="V12" i="6"/>
  <c r="AM12" i="6"/>
  <c r="U12" i="6"/>
  <c r="O12" i="6"/>
  <c r="P12" i="6" s="1"/>
  <c r="BF12" i="6"/>
  <c r="BG12" i="6"/>
  <c r="BL12" i="6"/>
  <c r="BR12" i="6"/>
  <c r="BU12" i="6"/>
  <c r="BV12" i="6"/>
  <c r="V13" i="6"/>
  <c r="AM13" i="6"/>
  <c r="BF13" i="6"/>
  <c r="BG13" i="6"/>
  <c r="BL13" i="6"/>
  <c r="BU13" i="6"/>
  <c r="BV13" i="6"/>
  <c r="V14" i="6"/>
  <c r="AM14" i="6"/>
  <c r="AL14" i="6"/>
  <c r="BF14" i="6"/>
  <c r="BG14" i="6"/>
  <c r="BL14" i="6"/>
  <c r="BU14" i="6"/>
  <c r="BV14" i="6"/>
  <c r="V15" i="6"/>
  <c r="AM15" i="6"/>
  <c r="A207" i="23"/>
  <c r="BF15" i="6"/>
  <c r="BG15" i="6"/>
  <c r="BL15" i="6"/>
  <c r="BU15" i="6"/>
  <c r="BV15" i="6"/>
  <c r="V16" i="6"/>
  <c r="AM16" i="6"/>
  <c r="BF16" i="6"/>
  <c r="BG16" i="6"/>
  <c r="BL16" i="6"/>
  <c r="BU16" i="6"/>
  <c r="BV16" i="6"/>
  <c r="BB17" i="6"/>
  <c r="A209" i="23" s="1"/>
  <c r="BF17" i="6"/>
  <c r="BG17" i="6"/>
  <c r="BL17" i="6"/>
  <c r="BU17" i="6"/>
  <c r="BV17" i="6"/>
  <c r="BF18" i="6"/>
  <c r="BG18" i="6"/>
  <c r="BL18" i="6"/>
  <c r="BU18" i="6"/>
  <c r="BV18" i="6"/>
  <c r="BF19" i="6"/>
  <c r="BG19" i="6"/>
  <c r="BL19" i="6"/>
  <c r="BF20" i="6"/>
  <c r="BG20" i="6"/>
  <c r="BL20" i="6"/>
  <c r="BP20" i="6"/>
  <c r="BU20" i="6"/>
  <c r="BV20" i="6"/>
  <c r="BF21" i="6"/>
  <c r="BG21" i="6"/>
  <c r="BU21" i="6"/>
  <c r="BV21" i="6"/>
  <c r="BF22" i="6"/>
  <c r="BG22" i="6"/>
  <c r="BU22" i="6"/>
  <c r="BV22" i="6"/>
  <c r="BA23" i="6"/>
  <c r="BB23" i="6"/>
  <c r="BF23" i="6"/>
  <c r="BG23" i="6"/>
  <c r="BP23" i="6"/>
  <c r="BU23" i="6"/>
  <c r="BV23" i="6"/>
  <c r="V24" i="6"/>
  <c r="AM24" i="6"/>
  <c r="BF24" i="6"/>
  <c r="BG24" i="6"/>
  <c r="BU24" i="6"/>
  <c r="BV24" i="6"/>
  <c r="V25" i="6"/>
  <c r="AM25" i="6"/>
  <c r="BF25" i="6"/>
  <c r="BG25" i="6"/>
  <c r="BU25" i="6"/>
  <c r="BV25" i="6"/>
  <c r="V26" i="6"/>
  <c r="AM26" i="6"/>
  <c r="BP26" i="6"/>
  <c r="BU26" i="6"/>
  <c r="BV26" i="6"/>
  <c r="V27" i="6"/>
  <c r="AM27" i="6"/>
  <c r="BP27" i="6"/>
  <c r="BU27" i="6"/>
  <c r="BV27" i="6"/>
  <c r="V28" i="6"/>
  <c r="AM28" i="6"/>
  <c r="BD28" i="6"/>
  <c r="BF28" i="6"/>
  <c r="BG28" i="6"/>
  <c r="BI28" i="6"/>
  <c r="BJ28" i="6"/>
  <c r="BK28" i="6"/>
  <c r="A852" i="23" s="1"/>
  <c r="BM28" i="6"/>
  <c r="BN28" i="6"/>
  <c r="A137" i="23" s="1"/>
  <c r="BP28" i="6"/>
  <c r="BU28" i="6"/>
  <c r="BV28" i="6"/>
  <c r="V29" i="6"/>
  <c r="AM29" i="6"/>
  <c r="BD29" i="6"/>
  <c r="BF29" i="6"/>
  <c r="BG29" i="6"/>
  <c r="BH29" i="6"/>
  <c r="BI29" i="6"/>
  <c r="BJ29" i="6"/>
  <c r="BM29" i="6"/>
  <c r="BN29" i="6"/>
  <c r="A138" i="23"/>
  <c r="BP29" i="6"/>
  <c r="BU29" i="6"/>
  <c r="BV29" i="6"/>
  <c r="V30" i="6"/>
  <c r="AM30" i="6"/>
  <c r="BD30" i="6"/>
  <c r="BF30" i="6"/>
  <c r="BG30" i="6"/>
  <c r="BH30" i="6"/>
  <c r="BI30" i="6"/>
  <c r="BJ30" i="6"/>
  <c r="BK30" i="6"/>
  <c r="A854" i="23" s="1"/>
  <c r="BM30" i="6"/>
  <c r="BN30" i="6"/>
  <c r="A139" i="23" s="1"/>
  <c r="BP30" i="6"/>
  <c r="BU30" i="6"/>
  <c r="BV30" i="6"/>
  <c r="BA31" i="6"/>
  <c r="G31" i="6" s="1"/>
  <c r="BB31" i="6"/>
  <c r="A285" i="23" s="1"/>
  <c r="BD31" i="6"/>
  <c r="BF31" i="6"/>
  <c r="BG31" i="6"/>
  <c r="BH31" i="6"/>
  <c r="BI31" i="6"/>
  <c r="BJ31" i="6"/>
  <c r="BK31" i="6"/>
  <c r="A855" i="23" s="1"/>
  <c r="BM31" i="6"/>
  <c r="BN31" i="6"/>
  <c r="A140" i="23" s="1"/>
  <c r="BP31" i="6"/>
  <c r="BU31" i="6"/>
  <c r="BV31" i="6"/>
  <c r="BA32" i="6"/>
  <c r="V22" i="6" s="1"/>
  <c r="BB32" i="6"/>
  <c r="AM22" i="6" s="1"/>
  <c r="BD32" i="6"/>
  <c r="BF32" i="6"/>
  <c r="BG32" i="6"/>
  <c r="BH32" i="6"/>
  <c r="BI32" i="6"/>
  <c r="BJ32" i="6"/>
  <c r="BK32" i="6"/>
  <c r="A856" i="23" s="1"/>
  <c r="BM32" i="6"/>
  <c r="BN32" i="6"/>
  <c r="A141" i="23" s="1"/>
  <c r="BP32" i="6"/>
  <c r="BU32" i="6"/>
  <c r="BV32" i="6"/>
  <c r="BD33" i="6"/>
  <c r="BF33" i="6"/>
  <c r="BG33" i="6"/>
  <c r="BH33" i="6"/>
  <c r="BI33" i="6"/>
  <c r="BJ33" i="6"/>
  <c r="BK33" i="6"/>
  <c r="A857" i="23" s="1"/>
  <c r="BM33" i="6"/>
  <c r="BN33" i="6"/>
  <c r="A142" i="23" s="1"/>
  <c r="BP33" i="6"/>
  <c r="BD34" i="6"/>
  <c r="BF34" i="6"/>
  <c r="BG34" i="6"/>
  <c r="BH34" i="6"/>
  <c r="BI34" i="6"/>
  <c r="BJ34" i="6"/>
  <c r="BK34" i="6"/>
  <c r="A858" i="23" s="1"/>
  <c r="BM34" i="6"/>
  <c r="BN34" i="6"/>
  <c r="A143" i="23" s="1"/>
  <c r="BU34" i="6"/>
  <c r="BV34" i="6"/>
  <c r="BD35" i="6"/>
  <c r="BF35" i="6"/>
  <c r="BG35" i="6"/>
  <c r="BH35" i="6"/>
  <c r="BI35" i="6"/>
  <c r="BJ35" i="6"/>
  <c r="BK35" i="6"/>
  <c r="A859" i="23" s="1"/>
  <c r="BM35" i="6"/>
  <c r="BN35" i="6"/>
  <c r="A144" i="23" s="1"/>
  <c r="BQ35" i="6"/>
  <c r="BU35" i="6"/>
  <c r="BV35" i="6"/>
  <c r="BD36" i="6"/>
  <c r="BF36" i="6"/>
  <c r="BG36" i="6"/>
  <c r="BH36" i="6"/>
  <c r="BI36" i="6"/>
  <c r="BJ36" i="6"/>
  <c r="BK36" i="6"/>
  <c r="A860" i="23" s="1"/>
  <c r="BM36" i="6"/>
  <c r="BN36" i="6"/>
  <c r="A145" i="23" s="1"/>
  <c r="BB9" i="6"/>
  <c r="BU36" i="6"/>
  <c r="BV36" i="6"/>
  <c r="BA37" i="6"/>
  <c r="BB37" i="6"/>
  <c r="BD37" i="6"/>
  <c r="BF37" i="6"/>
  <c r="BG37" i="6"/>
  <c r="BH37" i="6"/>
  <c r="BI37" i="6"/>
  <c r="BJ37" i="6"/>
  <c r="BK37" i="6"/>
  <c r="A861" i="23" s="1"/>
  <c r="BM37" i="6"/>
  <c r="BN37" i="6"/>
  <c r="A146" i="23" s="1"/>
  <c r="BU37" i="6"/>
  <c r="BV37" i="6"/>
  <c r="V38" i="6"/>
  <c r="AM38" i="6"/>
  <c r="BD38" i="6"/>
  <c r="BE38" i="6"/>
  <c r="BG38" i="6"/>
  <c r="BU38" i="6"/>
  <c r="BV38" i="6"/>
  <c r="V39" i="6"/>
  <c r="AM39" i="6"/>
  <c r="BD39" i="6"/>
  <c r="BE39" i="6"/>
  <c r="BG39" i="6"/>
  <c r="BP39" i="6"/>
  <c r="BU39" i="6"/>
  <c r="BV39" i="6"/>
  <c r="V40" i="6"/>
  <c r="AM40" i="6"/>
  <c r="BD40" i="6"/>
  <c r="BE40" i="6"/>
  <c r="BG40" i="6"/>
  <c r="BU40" i="6"/>
  <c r="BV40" i="6"/>
  <c r="V41" i="6"/>
  <c r="AM41" i="6"/>
  <c r="BD41" i="6"/>
  <c r="BE41" i="6"/>
  <c r="BG41" i="6"/>
  <c r="BP41" i="6"/>
  <c r="BR41" i="6"/>
  <c r="BU41" i="6"/>
  <c r="BV41" i="6"/>
  <c r="V42" i="6"/>
  <c r="AM42" i="6"/>
  <c r="BG42" i="6"/>
  <c r="BU42" i="6"/>
  <c r="BV42" i="6"/>
  <c r="V43" i="6"/>
  <c r="AM43" i="6"/>
  <c r="BG43" i="6"/>
  <c r="BU43" i="6"/>
  <c r="BV43" i="6"/>
  <c r="V44" i="6"/>
  <c r="AM44" i="6"/>
  <c r="BG44" i="6"/>
  <c r="BU44" i="6"/>
  <c r="BV44" i="6"/>
  <c r="BA45" i="6"/>
  <c r="G45" i="6" s="1"/>
  <c r="BB45" i="6"/>
  <c r="BG45" i="6"/>
  <c r="BP45" i="6"/>
  <c r="BU45" i="6"/>
  <c r="BV45" i="6"/>
  <c r="BA46" i="6"/>
  <c r="A324" i="23" s="1"/>
  <c r="BB46" i="6"/>
  <c r="BG46" i="6"/>
  <c r="BU46" i="6"/>
  <c r="BV46" i="6"/>
  <c r="BU48" i="6"/>
  <c r="BV48" i="6"/>
  <c r="BP49" i="6"/>
  <c r="BU49" i="6"/>
  <c r="BV49" i="6"/>
  <c r="BP50" i="6"/>
  <c r="BU50" i="6"/>
  <c r="BV50" i="6"/>
  <c r="BA51" i="6"/>
  <c r="BB51" i="6"/>
  <c r="A429" i="23" s="1"/>
  <c r="BP51" i="6"/>
  <c r="BU51" i="6"/>
  <c r="BV51" i="6"/>
  <c r="V52" i="6"/>
  <c r="AM52" i="6"/>
  <c r="BU52" i="6"/>
  <c r="BV52" i="6"/>
  <c r="V53" i="6"/>
  <c r="AM53" i="6"/>
  <c r="BR53" i="6"/>
  <c r="BU53" i="6"/>
  <c r="BV53" i="6"/>
  <c r="V54" i="6"/>
  <c r="AM54" i="6"/>
  <c r="BN54" i="6"/>
  <c r="BU54" i="6"/>
  <c r="BV54" i="6"/>
  <c r="V55" i="6"/>
  <c r="AM55" i="6"/>
  <c r="BN55" i="6"/>
  <c r="BU55" i="6"/>
  <c r="BV55" i="6"/>
  <c r="V56" i="6"/>
  <c r="AM56" i="6"/>
  <c r="BN56" i="6"/>
  <c r="BP56" i="6"/>
  <c r="BU56" i="6"/>
  <c r="BV56" i="6"/>
  <c r="V57" i="6"/>
  <c r="AM57" i="6"/>
  <c r="BN57" i="6"/>
  <c r="BU57" i="6"/>
  <c r="BV57" i="6"/>
  <c r="V58" i="6"/>
  <c r="AM58" i="6"/>
  <c r="BN58" i="6"/>
  <c r="BP58" i="6"/>
  <c r="BU58" i="6"/>
  <c r="BV58" i="6"/>
  <c r="BA59" i="6"/>
  <c r="BB59" i="6"/>
  <c r="O59" i="6" s="1"/>
  <c r="BN59" i="6"/>
  <c r="BP59" i="6"/>
  <c r="BU59" i="6"/>
  <c r="BV59" i="6"/>
  <c r="BA60" i="6"/>
  <c r="A400" i="23" s="1"/>
  <c r="BB60" i="6"/>
  <c r="A438" i="23" s="1"/>
  <c r="BN60" i="6"/>
  <c r="BP60" i="6"/>
  <c r="BU60" i="6"/>
  <c r="BV60" i="6"/>
  <c r="BN61" i="6"/>
  <c r="BP61" i="6"/>
  <c r="BN62" i="6"/>
  <c r="BP62" i="6"/>
  <c r="BU62" i="6"/>
  <c r="BV62" i="6"/>
  <c r="BN63" i="6"/>
  <c r="BP63" i="6"/>
  <c r="BU63" i="6"/>
  <c r="BV63" i="6"/>
  <c r="BN64" i="6"/>
  <c r="BP64" i="6"/>
  <c r="BU64" i="6"/>
  <c r="BV64" i="6"/>
  <c r="BA65" i="6"/>
  <c r="BB65" i="6"/>
  <c r="BN65" i="6"/>
  <c r="BP65" i="6"/>
  <c r="BU65" i="6"/>
  <c r="BV65" i="6"/>
  <c r="V66" i="6"/>
  <c r="AM66" i="6"/>
  <c r="BN66" i="6"/>
  <c r="BP66" i="6"/>
  <c r="BU66" i="6"/>
  <c r="BV66" i="6"/>
  <c r="V67" i="6"/>
  <c r="AM67" i="6"/>
  <c r="BN67" i="6"/>
  <c r="BP67" i="6"/>
  <c r="BU67" i="6"/>
  <c r="BV67" i="6"/>
  <c r="V68" i="6"/>
  <c r="AM68" i="6"/>
  <c r="BN68" i="6"/>
  <c r="BP68" i="6"/>
  <c r="BU68" i="6"/>
  <c r="BV68" i="6"/>
  <c r="V69" i="6"/>
  <c r="AM69" i="6"/>
  <c r="BN69" i="6"/>
  <c r="BP69" i="6"/>
  <c r="BU69" i="6"/>
  <c r="BV69" i="6"/>
  <c r="V70" i="6"/>
  <c r="AM70" i="6"/>
  <c r="BN70" i="6"/>
  <c r="BP70" i="6"/>
  <c r="BU70" i="6"/>
  <c r="BV70" i="6"/>
  <c r="V71" i="6"/>
  <c r="AM71" i="6"/>
  <c r="BN71" i="6"/>
  <c r="BP71" i="6"/>
  <c r="BU71" i="6"/>
  <c r="BV71" i="6"/>
  <c r="V72" i="6"/>
  <c r="AM72" i="6"/>
  <c r="BN72" i="6"/>
  <c r="BP72" i="6"/>
  <c r="BU72" i="6"/>
  <c r="BV72" i="6"/>
  <c r="BA73" i="6"/>
  <c r="G73" i="6" s="1"/>
  <c r="A485" i="23" s="1"/>
  <c r="BB73" i="6"/>
  <c r="BN73" i="6"/>
  <c r="BP73" i="6"/>
  <c r="BU73" i="6"/>
  <c r="BV73" i="6"/>
  <c r="BA74" i="6"/>
  <c r="BB74" i="6"/>
  <c r="O74" i="6" s="1"/>
  <c r="BN74" i="6"/>
  <c r="BP74" i="6"/>
  <c r="BU74" i="6"/>
  <c r="BV74" i="6"/>
  <c r="BN75" i="6"/>
  <c r="BP75" i="6"/>
  <c r="BN76" i="6"/>
  <c r="BP76" i="6"/>
  <c r="BN77" i="6"/>
  <c r="BP77" i="6"/>
  <c r="G78" i="6"/>
  <c r="BN78" i="6"/>
  <c r="BP78" i="6"/>
  <c r="D79" i="6"/>
  <c r="BN79" i="6"/>
  <c r="BP79" i="6"/>
  <c r="BN80" i="6"/>
  <c r="BP80" i="6"/>
  <c r="BN81" i="6"/>
  <c r="BP81" i="6"/>
  <c r="BN82" i="6"/>
  <c r="BP82" i="6"/>
  <c r="BN83" i="6"/>
  <c r="BP83" i="6"/>
  <c r="BU83" i="6"/>
  <c r="BV83" i="6"/>
  <c r="BN84" i="6"/>
  <c r="BP84" i="6"/>
  <c r="BU84" i="6"/>
  <c r="BV84" i="6"/>
  <c r="BN85" i="6"/>
  <c r="BP85" i="6"/>
  <c r="BU85" i="6"/>
  <c r="BV85" i="6"/>
  <c r="BA86" i="6"/>
  <c r="A543" i="23" s="1"/>
  <c r="BB86" i="6"/>
  <c r="BN86" i="6"/>
  <c r="BP86" i="6"/>
  <c r="BU86" i="6"/>
  <c r="BV86" i="6"/>
  <c r="V87" i="6"/>
  <c r="AM87" i="6"/>
  <c r="BN87" i="6"/>
  <c r="BP87" i="6"/>
  <c r="BU87" i="6"/>
  <c r="BV87" i="6"/>
  <c r="V88" i="6"/>
  <c r="AM88" i="6"/>
  <c r="BN88" i="6"/>
  <c r="BP88" i="6"/>
  <c r="BU88" i="6"/>
  <c r="BV88" i="6"/>
  <c r="V89" i="6"/>
  <c r="AM89" i="6"/>
  <c r="BN89" i="6"/>
  <c r="BP89" i="6"/>
  <c r="BU89" i="6"/>
  <c r="BV89" i="6"/>
  <c r="V90" i="6"/>
  <c r="AM90" i="6"/>
  <c r="BN90" i="6"/>
  <c r="BP90" i="6"/>
  <c r="BU90" i="6"/>
  <c r="BV90" i="6"/>
  <c r="V91" i="6"/>
  <c r="AM91" i="6"/>
  <c r="BN91" i="6"/>
  <c r="BP91" i="6"/>
  <c r="BU91" i="6"/>
  <c r="BV91" i="6"/>
  <c r="V92" i="6"/>
  <c r="AM92" i="6"/>
  <c r="BN92" i="6"/>
  <c r="BP92" i="6"/>
  <c r="BU92" i="6"/>
  <c r="BV92" i="6"/>
  <c r="V93" i="6"/>
  <c r="AM93" i="6"/>
  <c r="BN93" i="6"/>
  <c r="BP93" i="6"/>
  <c r="BU93" i="6"/>
  <c r="BV93" i="6"/>
  <c r="BA94" i="6"/>
  <c r="A551" i="23" s="1"/>
  <c r="BB94" i="6"/>
  <c r="A589" i="23" s="1"/>
  <c r="BN94" i="6"/>
  <c r="BP94" i="6"/>
  <c r="BU94" i="6"/>
  <c r="BV94" i="6"/>
  <c r="BA95" i="6"/>
  <c r="V85" i="6" s="1"/>
  <c r="BB95" i="6"/>
  <c r="O95" i="6" s="1"/>
  <c r="A600" i="23" s="1"/>
  <c r="BN95" i="6"/>
  <c r="BP95" i="6"/>
  <c r="BU95" i="6"/>
  <c r="BV95" i="6"/>
  <c r="BN96" i="6"/>
  <c r="BP96" i="6"/>
  <c r="BN97" i="6"/>
  <c r="BP97" i="6"/>
  <c r="BU97" i="6"/>
  <c r="BV97" i="6"/>
  <c r="BN98" i="6"/>
  <c r="BP98" i="6"/>
  <c r="BU98" i="6"/>
  <c r="BV98" i="6"/>
  <c r="BN99" i="6"/>
  <c r="BP99" i="6"/>
  <c r="BU99" i="6"/>
  <c r="BV99" i="6"/>
  <c r="BA100" i="6"/>
  <c r="BB100" i="6"/>
  <c r="BN100" i="6"/>
  <c r="BP100" i="6"/>
  <c r="BU100" i="6"/>
  <c r="BV100" i="6"/>
  <c r="V101" i="6"/>
  <c r="AM101" i="6"/>
  <c r="BN101" i="6"/>
  <c r="BP101" i="6"/>
  <c r="BU101" i="6"/>
  <c r="BV101" i="6"/>
  <c r="V102" i="6"/>
  <c r="AM102" i="6"/>
  <c r="BN102" i="6"/>
  <c r="BP102" i="6"/>
  <c r="BU102" i="6"/>
  <c r="BV102" i="6"/>
  <c r="V103" i="6"/>
  <c r="AM103" i="6"/>
  <c r="BN103" i="6"/>
  <c r="BP103" i="6"/>
  <c r="BU103" i="6"/>
  <c r="BV103" i="6"/>
  <c r="V104" i="6"/>
  <c r="AM104" i="6"/>
  <c r="BN104" i="6"/>
  <c r="BP104" i="6"/>
  <c r="BU104" i="6"/>
  <c r="BV104" i="6"/>
  <c r="V105" i="6"/>
  <c r="AM105" i="6"/>
  <c r="BN105" i="6"/>
  <c r="BP105" i="6"/>
  <c r="BU105" i="6"/>
  <c r="BV105" i="6"/>
  <c r="V106" i="6"/>
  <c r="AM106" i="6"/>
  <c r="BN106" i="6"/>
  <c r="BP106" i="6"/>
  <c r="BU106" i="6"/>
  <c r="BV106" i="6"/>
  <c r="V107" i="6"/>
  <c r="AM107" i="6"/>
  <c r="BN107" i="6"/>
  <c r="BP107" i="6"/>
  <c r="BU107" i="6"/>
  <c r="BV107" i="6"/>
  <c r="BA108" i="6"/>
  <c r="BB108" i="6"/>
  <c r="BN108" i="6"/>
  <c r="BP108" i="6"/>
  <c r="BU108" i="6"/>
  <c r="BV108" i="6"/>
  <c r="BA109" i="6"/>
  <c r="A628" i="23" s="1"/>
  <c r="BN109" i="6"/>
  <c r="BP109" i="6"/>
  <c r="BU109" i="6"/>
  <c r="BV109" i="6"/>
  <c r="BN110" i="6"/>
  <c r="BP110" i="6"/>
  <c r="BN111" i="6"/>
  <c r="BP111" i="6"/>
  <c r="BU111" i="6"/>
  <c r="BV111" i="6"/>
  <c r="BN112" i="6"/>
  <c r="BP112" i="6"/>
  <c r="BN113" i="6"/>
  <c r="BP113" i="6"/>
  <c r="BU113" i="6"/>
  <c r="BV113" i="6"/>
  <c r="BN114" i="6"/>
  <c r="BP114" i="6"/>
  <c r="BU114" i="6"/>
  <c r="BV114" i="6"/>
  <c r="BN115" i="6"/>
  <c r="BP115" i="6"/>
  <c r="BU115" i="6"/>
  <c r="BV115" i="6"/>
  <c r="BA116" i="6"/>
  <c r="BB116" i="6"/>
  <c r="BN116" i="6"/>
  <c r="BP116" i="6"/>
  <c r="BU116" i="6"/>
  <c r="BV116" i="6"/>
  <c r="H117" i="6"/>
  <c r="P117" i="6"/>
  <c r="BN117" i="6"/>
  <c r="BP117" i="6"/>
  <c r="BU117" i="6"/>
  <c r="BV117" i="6"/>
  <c r="BA118" i="6"/>
  <c r="BB118" i="6"/>
  <c r="BN118" i="6"/>
  <c r="BP118" i="6"/>
  <c r="BU118" i="6"/>
  <c r="BV118" i="6"/>
  <c r="BN119" i="6"/>
  <c r="BP119" i="6"/>
  <c r="BN120" i="6"/>
  <c r="BP120" i="6"/>
  <c r="BU120" i="6"/>
  <c r="BV120" i="6"/>
  <c r="BN121" i="6"/>
  <c r="BP121" i="6"/>
  <c r="H122" i="6"/>
  <c r="P122" i="6"/>
  <c r="BN122" i="6"/>
  <c r="BP122" i="6"/>
  <c r="BU122" i="6"/>
  <c r="BV122" i="6"/>
  <c r="H123" i="6"/>
  <c r="P123" i="6"/>
  <c r="BN123" i="6"/>
  <c r="BP123" i="6"/>
  <c r="BU123" i="6"/>
  <c r="BV123" i="6"/>
  <c r="BA124" i="6"/>
  <c r="A743" i="23" s="1"/>
  <c r="BB124" i="6"/>
  <c r="A748" i="23" s="1"/>
  <c r="BN124" i="6"/>
  <c r="BP124" i="6"/>
  <c r="BU124" i="6"/>
  <c r="BV124" i="6"/>
  <c r="BN125" i="6"/>
  <c r="BP125" i="6"/>
  <c r="BN126" i="6"/>
  <c r="BP126" i="6"/>
  <c r="BU126" i="6"/>
  <c r="BV126" i="6"/>
  <c r="BN127" i="6"/>
  <c r="BP127" i="6"/>
  <c r="BU127" i="6"/>
  <c r="BV127" i="6"/>
  <c r="BN128" i="6"/>
  <c r="BP128" i="6"/>
  <c r="BU128" i="6"/>
  <c r="BV128" i="6"/>
  <c r="BN129" i="6"/>
  <c r="BP129" i="6"/>
  <c r="BU129" i="6"/>
  <c r="BV129" i="6"/>
  <c r="BN130" i="6"/>
  <c r="BP130" i="6"/>
  <c r="BU130" i="6"/>
  <c r="BV130" i="6"/>
  <c r="BN131" i="6"/>
  <c r="BP131" i="6"/>
  <c r="BU131" i="6"/>
  <c r="BV131" i="6"/>
  <c r="BN132" i="6"/>
  <c r="BP132" i="6"/>
  <c r="BV132" i="6"/>
  <c r="BN133" i="6"/>
  <c r="BP133" i="6"/>
  <c r="BU133" i="6"/>
  <c r="BV133" i="6"/>
  <c r="L134" i="6"/>
  <c r="BN134" i="6"/>
  <c r="BP134" i="6"/>
  <c r="BU134" i="6"/>
  <c r="BV134" i="6"/>
  <c r="BN135" i="6"/>
  <c r="BP135" i="6"/>
  <c r="BU135" i="6"/>
  <c r="BV135" i="6"/>
  <c r="BN136" i="6"/>
  <c r="BP136" i="6"/>
  <c r="BU136" i="6"/>
  <c r="BV136" i="6"/>
  <c r="N137" i="6"/>
  <c r="AM137" i="6"/>
  <c r="V137" i="6"/>
  <c r="BN137" i="6"/>
  <c r="BP137" i="6"/>
  <c r="BU137" i="6"/>
  <c r="BV137" i="6"/>
  <c r="N138" i="6"/>
  <c r="V138" i="6"/>
  <c r="AM138" i="6"/>
  <c r="BP138" i="6"/>
  <c r="BU138" i="6"/>
  <c r="BV138" i="6"/>
  <c r="N139" i="6"/>
  <c r="V139" i="6"/>
  <c r="BP139" i="6"/>
  <c r="BU139" i="6"/>
  <c r="BV139" i="6"/>
  <c r="N140" i="6"/>
  <c r="V140" i="6"/>
  <c r="AM140" i="6"/>
  <c r="BP140" i="6"/>
  <c r="BU140" i="6"/>
  <c r="BV140" i="6"/>
  <c r="N141" i="6"/>
  <c r="AM141" i="6"/>
  <c r="V141" i="6"/>
  <c r="BP141" i="6"/>
  <c r="BU141" i="6"/>
  <c r="BV141" i="6"/>
  <c r="N142" i="6"/>
  <c r="V142" i="6"/>
  <c r="AM142" i="6"/>
  <c r="BP142" i="6"/>
  <c r="BU142" i="6"/>
  <c r="BV142" i="6"/>
  <c r="N143" i="6"/>
  <c r="AM143" i="6"/>
  <c r="V143" i="6"/>
  <c r="BP143" i="6"/>
  <c r="BU143" i="6"/>
  <c r="BV143" i="6"/>
  <c r="BA144" i="6"/>
  <c r="BB144" i="6"/>
  <c r="A797" i="23" s="1"/>
  <c r="BP144" i="6"/>
  <c r="BU144" i="6"/>
  <c r="BV144" i="6"/>
  <c r="BA145" i="6"/>
  <c r="A762" i="23" s="1"/>
  <c r="BB145" i="6"/>
  <c r="BP145" i="6"/>
  <c r="BU145" i="6"/>
  <c r="BV145" i="6"/>
  <c r="BP146" i="6"/>
  <c r="BP147" i="6"/>
  <c r="BU147" i="6"/>
  <c r="BV147" i="6"/>
  <c r="BP148" i="6"/>
  <c r="BU148" i="6"/>
  <c r="BV148" i="6"/>
  <c r="BP149" i="6"/>
  <c r="BP150" i="6"/>
  <c r="BU150" i="6"/>
  <c r="BV150" i="6"/>
  <c r="L151" i="6"/>
  <c r="BP151" i="6"/>
  <c r="BU151" i="6"/>
  <c r="BV151" i="6"/>
  <c r="BP152" i="6"/>
  <c r="BU152" i="6"/>
  <c r="BV152" i="6"/>
  <c r="BP153" i="6"/>
  <c r="BU153" i="6"/>
  <c r="BV153" i="6"/>
  <c r="N154" i="6"/>
  <c r="AM154" i="6"/>
  <c r="V154" i="6"/>
  <c r="BP154" i="6"/>
  <c r="BU154" i="6"/>
  <c r="BV154" i="6"/>
  <c r="N155" i="6"/>
  <c r="V155" i="6"/>
  <c r="AM155" i="6"/>
  <c r="BP155" i="6"/>
  <c r="BU155" i="6"/>
  <c r="BV155" i="6"/>
  <c r="N156" i="6"/>
  <c r="V156" i="6"/>
  <c r="AM156" i="6"/>
  <c r="BP156" i="6"/>
  <c r="BU156" i="6"/>
  <c r="BV156" i="6"/>
  <c r="N157" i="6"/>
  <c r="AM157" i="6"/>
  <c r="V157" i="6"/>
  <c r="BP157" i="6"/>
  <c r="BU157" i="6"/>
  <c r="BV157" i="6"/>
  <c r="N158" i="6"/>
  <c r="V158" i="6"/>
  <c r="BP158" i="6"/>
  <c r="BU158" i="6"/>
  <c r="BV158" i="6"/>
  <c r="N159" i="6"/>
  <c r="V159" i="6"/>
  <c r="BP159" i="6"/>
  <c r="BU159" i="6"/>
  <c r="BV159" i="6"/>
  <c r="N160" i="6"/>
  <c r="AM160" i="6"/>
  <c r="V160" i="6"/>
  <c r="BP160" i="6"/>
  <c r="BU160" i="6"/>
  <c r="BV160" i="6"/>
  <c r="BA161" i="6"/>
  <c r="A892" i="23" s="1"/>
  <c r="BB161" i="6"/>
  <c r="A928" i="23" s="1"/>
  <c r="BP161" i="6"/>
  <c r="BU161" i="6"/>
  <c r="BV161" i="6"/>
  <c r="BA162" i="6"/>
  <c r="BB162" i="6"/>
  <c r="A929" i="23" s="1"/>
  <c r="BP162" i="6"/>
  <c r="BU162" i="6"/>
  <c r="BV162" i="6"/>
  <c r="BP163" i="6"/>
  <c r="BP164" i="6"/>
  <c r="BU164" i="6"/>
  <c r="BV164" i="6"/>
  <c r="BP165" i="6"/>
  <c r="BU165" i="6"/>
  <c r="BV165" i="6"/>
  <c r="BP166" i="6"/>
  <c r="BP167" i="6"/>
  <c r="BU167" i="6"/>
  <c r="BV167" i="6"/>
  <c r="L168" i="6"/>
  <c r="BP168" i="6"/>
  <c r="BU168" i="6"/>
  <c r="BV168" i="6"/>
  <c r="BP169" i="6"/>
  <c r="BU169" i="6"/>
  <c r="BV169" i="6"/>
  <c r="BP170" i="6"/>
  <c r="BU170" i="6"/>
  <c r="BV170" i="6"/>
  <c r="N171" i="6"/>
  <c r="AM171" i="6"/>
  <c r="V171" i="6"/>
  <c r="BP171" i="6"/>
  <c r="BU171" i="6"/>
  <c r="BV171" i="6"/>
  <c r="N172" i="6"/>
  <c r="AM172" i="6"/>
  <c r="V172" i="6"/>
  <c r="BP172" i="6"/>
  <c r="BU172" i="6"/>
  <c r="BV172" i="6"/>
  <c r="N173" i="6"/>
  <c r="AM173" i="6"/>
  <c r="V173" i="6"/>
  <c r="BP173" i="6"/>
  <c r="BU173" i="6"/>
  <c r="BV173" i="6"/>
  <c r="N174" i="6"/>
  <c r="V174" i="6"/>
  <c r="BP174" i="6"/>
  <c r="BU174" i="6"/>
  <c r="BV174" i="6"/>
  <c r="N175" i="6"/>
  <c r="AM175" i="6"/>
  <c r="V175" i="6"/>
  <c r="BP175" i="6"/>
  <c r="BU175" i="6"/>
  <c r="BV175" i="6"/>
  <c r="N176" i="6"/>
  <c r="V176" i="6"/>
  <c r="AM176" i="6"/>
  <c r="BP176" i="6"/>
  <c r="BU176" i="6"/>
  <c r="BV176" i="6"/>
  <c r="N177" i="6"/>
  <c r="V177" i="6"/>
  <c r="AM177" i="6"/>
  <c r="BP177" i="6"/>
  <c r="BU177" i="6"/>
  <c r="BV177" i="6"/>
  <c r="BA178" i="6"/>
  <c r="A966" i="23" s="1"/>
  <c r="BB178" i="6"/>
  <c r="BP178" i="6"/>
  <c r="BU178" i="6"/>
  <c r="BV178" i="6"/>
  <c r="BA179" i="6"/>
  <c r="BB179" i="6"/>
  <c r="BP179" i="6"/>
  <c r="BU179" i="6"/>
  <c r="BV179" i="6"/>
  <c r="BP180" i="6"/>
  <c r="BP181" i="6"/>
  <c r="G182" i="6"/>
  <c r="O182" i="6"/>
  <c r="BP182" i="6"/>
  <c r="BU182" i="6"/>
  <c r="BV182" i="6"/>
  <c r="BP183" i="6"/>
  <c r="H184" i="6"/>
  <c r="BF26" i="6"/>
  <c r="BG26" i="6"/>
  <c r="P184" i="6"/>
  <c r="BF27" i="6"/>
  <c r="BG27" i="6"/>
  <c r="BP184" i="6"/>
  <c r="BP185" i="6"/>
  <c r="BU185" i="6"/>
  <c r="BV185" i="6"/>
  <c r="BP186" i="6"/>
  <c r="BU186" i="6"/>
  <c r="BV186" i="6"/>
  <c r="BP187" i="6"/>
  <c r="BU187" i="6"/>
  <c r="BV187" i="6"/>
  <c r="BP188" i="6"/>
  <c r="BU188" i="6"/>
  <c r="BV188" i="6"/>
  <c r="BP189" i="6"/>
  <c r="BU189" i="6"/>
  <c r="BV189" i="6"/>
  <c r="BP190" i="6"/>
  <c r="BU190" i="6"/>
  <c r="BV190" i="6"/>
  <c r="BP191" i="6"/>
  <c r="BP192" i="6"/>
  <c r="BU192" i="6"/>
  <c r="BV192" i="6"/>
  <c r="BP193" i="6"/>
  <c r="BU193" i="6"/>
  <c r="BV193" i="6"/>
  <c r="BP194" i="6"/>
  <c r="BU194" i="6"/>
  <c r="BV194" i="6"/>
  <c r="BP195" i="6"/>
  <c r="BU195" i="6"/>
  <c r="BV195" i="6"/>
  <c r="BP196" i="6"/>
  <c r="BU196" i="6"/>
  <c r="BV196" i="6"/>
  <c r="BP197" i="6"/>
  <c r="BU197" i="6"/>
  <c r="BV197" i="6"/>
  <c r="BP198" i="6"/>
  <c r="BU198" i="6"/>
  <c r="BV198" i="6"/>
  <c r="BP199" i="6"/>
  <c r="BU199" i="6"/>
  <c r="BV199" i="6"/>
  <c r="BP200" i="6"/>
  <c r="BU200" i="6"/>
  <c r="BV200" i="6"/>
  <c r="BP201" i="6"/>
  <c r="BU201" i="6"/>
  <c r="BV201" i="6"/>
  <c r="BP202" i="6"/>
  <c r="BU202" i="6"/>
  <c r="BV202" i="6"/>
  <c r="BP203" i="6"/>
  <c r="BU203" i="6"/>
  <c r="BV203" i="6"/>
  <c r="BP204" i="6"/>
  <c r="BU204" i="6"/>
  <c r="BV204" i="6"/>
  <c r="BP205" i="6"/>
  <c r="BU205" i="6"/>
  <c r="BV205" i="6"/>
  <c r="BP206" i="6"/>
  <c r="BU206" i="6"/>
  <c r="BV206" i="6"/>
  <c r="BP207" i="6"/>
  <c r="BU207" i="6"/>
  <c r="BV207" i="6"/>
  <c r="BP208" i="6"/>
  <c r="BU208" i="6"/>
  <c r="BV208" i="6"/>
  <c r="BP209" i="6"/>
  <c r="BU209" i="6"/>
  <c r="BV209" i="6"/>
  <c r="BP210" i="6"/>
  <c r="BU210" i="6"/>
  <c r="BV210" i="6"/>
  <c r="BP211" i="6"/>
  <c r="BU211" i="6"/>
  <c r="BV211" i="6"/>
  <c r="BP212" i="6"/>
  <c r="BU212" i="6"/>
  <c r="BV212" i="6"/>
  <c r="BP213" i="6"/>
  <c r="BU213" i="6"/>
  <c r="BV213" i="6"/>
  <c r="BP214" i="6"/>
  <c r="BU214" i="6"/>
  <c r="BV214" i="6"/>
  <c r="BP215" i="6"/>
  <c r="BU215" i="6"/>
  <c r="BV215" i="6"/>
  <c r="BP216" i="6"/>
  <c r="BU216" i="6"/>
  <c r="BV216" i="6"/>
  <c r="BP217" i="6"/>
  <c r="BU217" i="6"/>
  <c r="BV217" i="6"/>
  <c r="BP218" i="6"/>
  <c r="BU218" i="6"/>
  <c r="BV218" i="6"/>
  <c r="BP219" i="6"/>
  <c r="BU219" i="6"/>
  <c r="BV219" i="6"/>
  <c r="BP220" i="6"/>
  <c r="BU220" i="6"/>
  <c r="BV220" i="6"/>
  <c r="BP221" i="6"/>
  <c r="BU221" i="6"/>
  <c r="BV221" i="6"/>
  <c r="BP222" i="6"/>
  <c r="BU222" i="6"/>
  <c r="BV222" i="6"/>
  <c r="BP223" i="6"/>
  <c r="BU223" i="6"/>
  <c r="BV223" i="6"/>
  <c r="BP224" i="6"/>
  <c r="BU224" i="6"/>
  <c r="BV224" i="6"/>
  <c r="BP225" i="6"/>
  <c r="BU225" i="6"/>
  <c r="BV225" i="6"/>
  <c r="BP226" i="6"/>
  <c r="BU226" i="6"/>
  <c r="BV226" i="6"/>
  <c r="BP227" i="6"/>
  <c r="BU227" i="6"/>
  <c r="BV227" i="6"/>
  <c r="BP228" i="6"/>
  <c r="BU228" i="6"/>
  <c r="BV228" i="6"/>
  <c r="BP229" i="6"/>
  <c r="BU229" i="6"/>
  <c r="BV229" i="6"/>
  <c r="BP230" i="6"/>
  <c r="BU230" i="6"/>
  <c r="BV230" i="6"/>
  <c r="BP231" i="6"/>
  <c r="BU231" i="6"/>
  <c r="BV231" i="6"/>
  <c r="BP232" i="6"/>
  <c r="BU232" i="6"/>
  <c r="BV232" i="6"/>
  <c r="BP233" i="6"/>
  <c r="BU233" i="6"/>
  <c r="BV233" i="6"/>
  <c r="BP234" i="6"/>
  <c r="BU234" i="6"/>
  <c r="BV234" i="6"/>
  <c r="BP235" i="6"/>
  <c r="BU235" i="6"/>
  <c r="BV235" i="6"/>
  <c r="BP236" i="6"/>
  <c r="BU236" i="6"/>
  <c r="BV236" i="6"/>
  <c r="BP237" i="6"/>
  <c r="BU237" i="6"/>
  <c r="BV237" i="6"/>
  <c r="BP238" i="6"/>
  <c r="BU238" i="6"/>
  <c r="BV238" i="6"/>
  <c r="BP239" i="6"/>
  <c r="BU239" i="6"/>
  <c r="BV239" i="6"/>
  <c r="BP240" i="6"/>
  <c r="BU240" i="6"/>
  <c r="BV240" i="6"/>
  <c r="BP241" i="6"/>
  <c r="BU241" i="6"/>
  <c r="BV241" i="6"/>
  <c r="BP242" i="6"/>
  <c r="BU242" i="6"/>
  <c r="BV242" i="6"/>
  <c r="BP243" i="6"/>
  <c r="BU243" i="6"/>
  <c r="BV243" i="6"/>
  <c r="BP244" i="6"/>
  <c r="BU244" i="6"/>
  <c r="BV244" i="6"/>
  <c r="BP245" i="6"/>
  <c r="BU245" i="6"/>
  <c r="BV245" i="6"/>
  <c r="BP246" i="6"/>
  <c r="BU246" i="6"/>
  <c r="BV246" i="6"/>
  <c r="BP247" i="6"/>
  <c r="BU247" i="6"/>
  <c r="BV247" i="6"/>
  <c r="BP248" i="6"/>
  <c r="BU248" i="6"/>
  <c r="BV248" i="6"/>
  <c r="BP249" i="6"/>
  <c r="BU249" i="6"/>
  <c r="BV249" i="6"/>
  <c r="BP250" i="6"/>
  <c r="BU250" i="6"/>
  <c r="BV250" i="6"/>
  <c r="BP251" i="6"/>
  <c r="BU251" i="6"/>
  <c r="BV251" i="6"/>
  <c r="BP252" i="6"/>
  <c r="BU252" i="6"/>
  <c r="BV252" i="6"/>
  <c r="BP253" i="6"/>
  <c r="BU253" i="6"/>
  <c r="BV253" i="6"/>
  <c r="BP254" i="6"/>
  <c r="BU254" i="6"/>
  <c r="BV254" i="6"/>
  <c r="BP255" i="6"/>
  <c r="BU255" i="6"/>
  <c r="BV255" i="6"/>
  <c r="BP256" i="6"/>
  <c r="BU256" i="6"/>
  <c r="BV256" i="6"/>
  <c r="BP257" i="6"/>
  <c r="BU257" i="6"/>
  <c r="BV257" i="6"/>
  <c r="BP258" i="6"/>
  <c r="BU258" i="6"/>
  <c r="BV258" i="6"/>
  <c r="BP259" i="6"/>
  <c r="BU259" i="6"/>
  <c r="BV259" i="6"/>
  <c r="BP260" i="6"/>
  <c r="BU260" i="6"/>
  <c r="BV260" i="6"/>
  <c r="BP261" i="6"/>
  <c r="BU261" i="6"/>
  <c r="BV261" i="6"/>
  <c r="BP262" i="6"/>
  <c r="BU262" i="6"/>
  <c r="BV262" i="6"/>
  <c r="BP263" i="6"/>
  <c r="BU263" i="6"/>
  <c r="BV263" i="6"/>
  <c r="BP264" i="6"/>
  <c r="BU264" i="6"/>
  <c r="BV264" i="6"/>
  <c r="BP265" i="6"/>
  <c r="BU265" i="6"/>
  <c r="BV265" i="6"/>
  <c r="BP266" i="6"/>
  <c r="BU266" i="6"/>
  <c r="BV266" i="6"/>
  <c r="BP267" i="6"/>
  <c r="BU267" i="6"/>
  <c r="BV267" i="6"/>
  <c r="BP268" i="6"/>
  <c r="BU268" i="6"/>
  <c r="BV268" i="6"/>
  <c r="BP269" i="6"/>
  <c r="BU269" i="6"/>
  <c r="BV269" i="6"/>
  <c r="BP270" i="6"/>
  <c r="BU270" i="6"/>
  <c r="BV270" i="6"/>
  <c r="BP271" i="6"/>
  <c r="BU271" i="6"/>
  <c r="BV271" i="6"/>
  <c r="BP272" i="6"/>
  <c r="BU272" i="6"/>
  <c r="BV272" i="6"/>
  <c r="BP273" i="6"/>
  <c r="BU273" i="6"/>
  <c r="BV273" i="6"/>
  <c r="BP274" i="6"/>
  <c r="BU274" i="6"/>
  <c r="BV274" i="6"/>
  <c r="BP275" i="6"/>
  <c r="BP276" i="6"/>
  <c r="BP277" i="6"/>
  <c r="BP278" i="6"/>
  <c r="BP279" i="6"/>
  <c r="BP280" i="6"/>
  <c r="BP281" i="6"/>
  <c r="BP282" i="6"/>
  <c r="BP283" i="6"/>
  <c r="BP284" i="6"/>
  <c r="BP285" i="6"/>
  <c r="BP286" i="6"/>
  <c r="BP287" i="6"/>
  <c r="BP288" i="6"/>
  <c r="BP289" i="6"/>
  <c r="BP290" i="6"/>
  <c r="BP291" i="6"/>
  <c r="BP292" i="6"/>
  <c r="BP293" i="6"/>
  <c r="BP294" i="6"/>
  <c r="BP295" i="6"/>
  <c r="BP296" i="6"/>
  <c r="BP297" i="6"/>
  <c r="BP298" i="6"/>
  <c r="BP299" i="6"/>
  <c r="BP300" i="6"/>
  <c r="BP302" i="6"/>
  <c r="BP304" i="6"/>
  <c r="M15" i="11"/>
  <c r="A1019" i="23"/>
  <c r="AU183" i="18"/>
  <c r="A1017" i="23"/>
  <c r="AU181" i="18"/>
  <c r="AM174" i="6"/>
  <c r="A1020" i="23"/>
  <c r="AU184" i="18"/>
  <c r="A1018" i="23"/>
  <c r="AU182" i="18"/>
  <c r="A944" i="23"/>
  <c r="AU165" i="18"/>
  <c r="A811" i="23"/>
  <c r="AU146" i="18"/>
  <c r="A814" i="23"/>
  <c r="AU149" i="18"/>
  <c r="A809" i="23"/>
  <c r="AU144" i="18"/>
  <c r="AM158" i="6"/>
  <c r="A942" i="23"/>
  <c r="AU163" i="18"/>
  <c r="A940" i="23"/>
  <c r="AU161" i="18"/>
  <c r="AM139" i="6"/>
  <c r="A1015" i="23"/>
  <c r="AU179" i="18"/>
  <c r="A945" i="23"/>
  <c r="AU166" i="18"/>
  <c r="A812" i="23"/>
  <c r="AU147" i="18"/>
  <c r="A815" i="23"/>
  <c r="AU150" i="18"/>
  <c r="AM159" i="6"/>
  <c r="A943" i="23"/>
  <c r="AU164" i="18"/>
  <c r="A810" i="23"/>
  <c r="AU145" i="18"/>
  <c r="A1016" i="23"/>
  <c r="AU180" i="18"/>
  <c r="A1014" i="23"/>
  <c r="AU178" i="18"/>
  <c r="A946" i="23"/>
  <c r="AU167" i="18"/>
  <c r="A813" i="23"/>
  <c r="AU148" i="18"/>
  <c r="A941" i="23"/>
  <c r="AU162" i="18"/>
  <c r="F64" i="3"/>
  <c r="A78" i="23"/>
  <c r="L30" i="11"/>
  <c r="U34" i="11"/>
  <c r="V34" i="11"/>
  <c r="P29" i="11"/>
  <c r="AF1" i="3"/>
  <c r="L44" i="11"/>
  <c r="P41" i="11"/>
  <c r="Q41" i="11"/>
  <c r="N53" i="3"/>
  <c r="E25" i="3"/>
  <c r="Z57" i="7"/>
  <c r="K2" i="5"/>
  <c r="D58" i="16"/>
  <c r="H58" i="16"/>
  <c r="N52" i="3"/>
  <c r="M52" i="3"/>
  <c r="A73" i="23" s="1"/>
  <c r="N29" i="3"/>
  <c r="N39" i="7"/>
  <c r="N39" i="14" s="1"/>
  <c r="AV179" i="18"/>
  <c r="AV180" i="18"/>
  <c r="AV181" i="18"/>
  <c r="AV182" i="18"/>
  <c r="AV183" i="18"/>
  <c r="AV184" i="18"/>
  <c r="AV185" i="18"/>
  <c r="AV186" i="18"/>
  <c r="AV162" i="18"/>
  <c r="AV163" i="18"/>
  <c r="AV164" i="18"/>
  <c r="AV165" i="18"/>
  <c r="AV166" i="18"/>
  <c r="AV167" i="18"/>
  <c r="AV168" i="18"/>
  <c r="AV169" i="18"/>
  <c r="T114" i="18"/>
  <c r="AV145" i="18"/>
  <c r="AV146" i="18"/>
  <c r="AV147" i="18"/>
  <c r="AV148" i="18"/>
  <c r="AV149" i="18"/>
  <c r="AV150" i="18"/>
  <c r="AV151" i="18"/>
  <c r="AV152" i="18"/>
  <c r="BM15" i="18"/>
  <c r="BM62" i="18"/>
  <c r="V61" i="18"/>
  <c r="BY25" i="5"/>
  <c r="BZ25" i="5"/>
  <c r="BH23" i="5"/>
  <c r="BG23" i="5"/>
  <c r="BY19" i="5"/>
  <c r="BZ19" i="5"/>
  <c r="BP21" i="5"/>
  <c r="BQ21" i="5"/>
  <c r="BH19" i="5"/>
  <c r="BG19" i="5"/>
  <c r="BY17" i="5"/>
  <c r="BZ17" i="5"/>
  <c r="BQ17" i="5"/>
  <c r="BP17" i="5"/>
  <c r="BP19" i="5"/>
  <c r="BQ19" i="5"/>
  <c r="BG17" i="5"/>
  <c r="BZ15" i="5"/>
  <c r="BQ11" i="5"/>
  <c r="BG21" i="5"/>
  <c r="BH21" i="5"/>
  <c r="BH17" i="5"/>
  <c r="I83" i="4"/>
  <c r="E86" i="7"/>
  <c r="AZ21" i="5"/>
  <c r="AY21" i="5"/>
  <c r="AF33" i="4"/>
  <c r="AG33" i="4" s="1"/>
  <c r="F6" i="32"/>
  <c r="R26" i="9"/>
  <c r="K32" i="19" s="1"/>
  <c r="AL40" i="4"/>
  <c r="AM40" i="4"/>
  <c r="AN40" i="4"/>
  <c r="AH106" i="4"/>
  <c r="AH119" i="4" s="1"/>
  <c r="AP40" i="4"/>
  <c r="AK40" i="4"/>
  <c r="Q21" i="29"/>
  <c r="Q16" i="29"/>
  <c r="BD39" i="4"/>
  <c r="BH39" i="4"/>
  <c r="Q7" i="29"/>
  <c r="Q11" i="29"/>
  <c r="BD38" i="4"/>
  <c r="BH38" i="4"/>
  <c r="BD37" i="4"/>
  <c r="BH37" i="4"/>
  <c r="O8" i="29"/>
  <c r="Q8" i="29"/>
  <c r="X8" i="29"/>
  <c r="Q6" i="29"/>
  <c r="U74" i="3"/>
  <c r="Q33" i="9"/>
  <c r="P38" i="31"/>
  <c r="Q37" i="31"/>
  <c r="W19" i="29"/>
  <c r="X19" i="29"/>
  <c r="Y19" i="29"/>
  <c r="Y17" i="29"/>
  <c r="X17" i="29"/>
  <c r="W17" i="29"/>
  <c r="X20" i="29"/>
  <c r="W20" i="29"/>
  <c r="Y20" i="29"/>
  <c r="W18" i="29"/>
  <c r="Y18" i="29"/>
  <c r="X18" i="29"/>
  <c r="Y22" i="29"/>
  <c r="X22" i="29"/>
  <c r="W22" i="29"/>
  <c r="X23" i="29"/>
  <c r="W23" i="29"/>
  <c r="Y23" i="29"/>
  <c r="W25" i="29"/>
  <c r="X25" i="29"/>
  <c r="Y25" i="29"/>
  <c r="Y21" i="29"/>
  <c r="W21" i="29"/>
  <c r="X21" i="29"/>
  <c r="W24" i="29"/>
  <c r="X24" i="29"/>
  <c r="Y24" i="29"/>
  <c r="X10" i="29"/>
  <c r="W10" i="29"/>
  <c r="Y10" i="29"/>
  <c r="X9" i="29"/>
  <c r="W9" i="29"/>
  <c r="Y9" i="29"/>
  <c r="X7" i="29"/>
  <c r="W7" i="29"/>
  <c r="W6" i="29"/>
  <c r="X6" i="29"/>
  <c r="Y6" i="29"/>
  <c r="W13" i="29"/>
  <c r="Y13" i="29"/>
  <c r="X13" i="29"/>
  <c r="W14" i="29"/>
  <c r="Y14" i="29"/>
  <c r="X14" i="29"/>
  <c r="W15" i="29"/>
  <c r="X15" i="29"/>
  <c r="Y15" i="29"/>
  <c r="W12" i="29"/>
  <c r="Y12" i="29"/>
  <c r="X12" i="29"/>
  <c r="W8" i="29"/>
  <c r="Y8" i="29"/>
  <c r="T25" i="29"/>
  <c r="T24" i="29"/>
  <c r="U24" i="29"/>
  <c r="T23" i="29"/>
  <c r="U23" i="29"/>
  <c r="T22" i="29"/>
  <c r="U22" i="29"/>
  <c r="S21" i="29"/>
  <c r="T21" i="29"/>
  <c r="U20" i="29"/>
  <c r="T20" i="29"/>
  <c r="T19" i="29"/>
  <c r="U19" i="29"/>
  <c r="S19" i="29"/>
  <c r="T18" i="29"/>
  <c r="U18" i="29"/>
  <c r="T17" i="29"/>
  <c r="U17" i="29"/>
  <c r="S17" i="29"/>
  <c r="T16" i="29"/>
  <c r="S16" i="29"/>
  <c r="U15" i="29"/>
  <c r="T15" i="29"/>
  <c r="U14" i="29"/>
  <c r="T14" i="29"/>
  <c r="U13" i="29"/>
  <c r="S13" i="29"/>
  <c r="T13" i="29"/>
  <c r="U12" i="29"/>
  <c r="T12" i="29"/>
  <c r="T11" i="29"/>
  <c r="S11" i="29"/>
  <c r="T10" i="29"/>
  <c r="S10" i="29"/>
  <c r="U10" i="29"/>
  <c r="T9" i="29"/>
  <c r="U9" i="29"/>
  <c r="S9" i="29"/>
  <c r="T8" i="29"/>
  <c r="U8" i="29"/>
  <c r="T7" i="29"/>
  <c r="S7" i="29"/>
  <c r="T6" i="29"/>
  <c r="BB109" i="6"/>
  <c r="A666" i="23" s="1"/>
  <c r="BB107" i="6"/>
  <c r="BB105" i="6"/>
  <c r="A662" i="23" s="1"/>
  <c r="BB104" i="6"/>
  <c r="AL104" i="6" s="1"/>
  <c r="BB103" i="6"/>
  <c r="BB13" i="6"/>
  <c r="BB106" i="6"/>
  <c r="O106" i="6" s="1"/>
  <c r="A673" i="23" s="1"/>
  <c r="BA17" i="6"/>
  <c r="A171" i="23" s="1"/>
  <c r="X4" i="6"/>
  <c r="AV108" i="18"/>
  <c r="AV109" i="18"/>
  <c r="AV110" i="18"/>
  <c r="AV111" i="18"/>
  <c r="AV112" i="18"/>
  <c r="AV113" i="18"/>
  <c r="AV114" i="18"/>
  <c r="BB177" i="6"/>
  <c r="A1027" i="23" s="1"/>
  <c r="BB159" i="6"/>
  <c r="BB141" i="6"/>
  <c r="O141" i="6" s="1"/>
  <c r="BB89" i="6"/>
  <c r="O89" i="6" s="1"/>
  <c r="BB67" i="6"/>
  <c r="AL67" i="6" s="1"/>
  <c r="BB52" i="6"/>
  <c r="AL52" i="6" s="1"/>
  <c r="BB30" i="6"/>
  <c r="O30" i="6" s="1"/>
  <c r="BA175" i="6"/>
  <c r="U175" i="6" s="1"/>
  <c r="BA157" i="6"/>
  <c r="A914" i="23" s="1"/>
  <c r="BA139" i="6"/>
  <c r="U139" i="6" s="1"/>
  <c r="BA102" i="6"/>
  <c r="BA87" i="6"/>
  <c r="G87" i="6" s="1"/>
  <c r="BA58" i="6"/>
  <c r="BA43" i="6"/>
  <c r="G43" i="6" s="1"/>
  <c r="A331" i="23" s="1"/>
  <c r="BA28" i="6"/>
  <c r="G28" i="6" s="1"/>
  <c r="A254" i="23" s="1"/>
  <c r="BA89" i="6"/>
  <c r="U89" i="6" s="1"/>
  <c r="BB176" i="6"/>
  <c r="BB158" i="6"/>
  <c r="O158" i="6" s="1"/>
  <c r="A935" i="23" s="1"/>
  <c r="BB140" i="6"/>
  <c r="AL140" i="6" s="1"/>
  <c r="BB88" i="6"/>
  <c r="BB66" i="6"/>
  <c r="BB44" i="6"/>
  <c r="A360" i="23" s="1"/>
  <c r="BB29" i="6"/>
  <c r="A309" i="23" s="1"/>
  <c r="BA174" i="6"/>
  <c r="G174" i="6" s="1"/>
  <c r="BA156" i="6"/>
  <c r="BA138" i="6"/>
  <c r="BA101" i="6"/>
  <c r="AI106" i="18" s="1"/>
  <c r="BA72" i="6"/>
  <c r="G72" i="6" s="1"/>
  <c r="A484" i="23" s="1"/>
  <c r="BA57" i="6"/>
  <c r="U57" i="6" s="1"/>
  <c r="BA42" i="6"/>
  <c r="A320" i="23" s="1"/>
  <c r="BA27" i="6"/>
  <c r="G27" i="6" s="1"/>
  <c r="A253" i="23" s="1"/>
  <c r="BA15" i="6"/>
  <c r="U15" i="6" s="1"/>
  <c r="BA30" i="6"/>
  <c r="BB175" i="6"/>
  <c r="A1025" i="23" s="1"/>
  <c r="BB157" i="6"/>
  <c r="O157" i="6" s="1"/>
  <c r="P157" i="6" s="1"/>
  <c r="BB139" i="6"/>
  <c r="AL139" i="6" s="1"/>
  <c r="BB102" i="6"/>
  <c r="BA107" i="18" s="1"/>
  <c r="BB87" i="6"/>
  <c r="BB58" i="6"/>
  <c r="O58" i="6" s="1"/>
  <c r="A446" i="23" s="1"/>
  <c r="BB43" i="6"/>
  <c r="A359" i="23" s="1"/>
  <c r="BB28" i="6"/>
  <c r="BA173" i="6"/>
  <c r="G173" i="6" s="1"/>
  <c r="A971" i="23" s="1"/>
  <c r="BA155" i="6"/>
  <c r="G155" i="6" s="1"/>
  <c r="BA137" i="6"/>
  <c r="A754" i="23" s="1"/>
  <c r="BA93" i="6"/>
  <c r="G93" i="6" s="1"/>
  <c r="A560" i="23" s="1"/>
  <c r="BA71" i="6"/>
  <c r="AI81" i="18" s="1"/>
  <c r="BA56" i="6"/>
  <c r="A422" i="23" s="1"/>
  <c r="BA41" i="6"/>
  <c r="U41" i="6" s="1"/>
  <c r="BA26" i="6"/>
  <c r="BA67" i="6"/>
  <c r="G67" i="6" s="1"/>
  <c r="A479" i="23" s="1"/>
  <c r="BB174" i="6"/>
  <c r="BB156" i="6"/>
  <c r="O156" i="6" s="1"/>
  <c r="BB138" i="6"/>
  <c r="BB101" i="6"/>
  <c r="A658" i="23" s="1"/>
  <c r="BB72" i="6"/>
  <c r="O72" i="6" s="1"/>
  <c r="BB57" i="6"/>
  <c r="AL57" i="6" s="1"/>
  <c r="BB42" i="6"/>
  <c r="O42" i="6" s="1"/>
  <c r="BB27" i="6"/>
  <c r="BA172" i="6"/>
  <c r="AI179" i="18" s="1"/>
  <c r="BA154" i="6"/>
  <c r="G154" i="6" s="1"/>
  <c r="A895" i="23" s="1"/>
  <c r="BA107" i="6"/>
  <c r="G107" i="6" s="1"/>
  <c r="A636" i="23" s="1"/>
  <c r="BA92" i="6"/>
  <c r="AI96" i="18"/>
  <c r="BA70" i="6"/>
  <c r="U70" i="6" s="1"/>
  <c r="BA55" i="6"/>
  <c r="BA40" i="6"/>
  <c r="G40" i="6" s="1"/>
  <c r="A328" i="23" s="1"/>
  <c r="BA25" i="6"/>
  <c r="A241" i="23" s="1"/>
  <c r="BA10" i="6"/>
  <c r="G10" i="6" s="1"/>
  <c r="H10" i="6" s="1"/>
  <c r="BA104" i="6"/>
  <c r="G104" i="6" s="1"/>
  <c r="BB173" i="6"/>
  <c r="BA180" i="18" s="1"/>
  <c r="BB155" i="6"/>
  <c r="AL155" i="6" s="1"/>
  <c r="BB137" i="6"/>
  <c r="A816" i="23" s="1"/>
  <c r="BB93" i="6"/>
  <c r="BA97" i="18" s="1"/>
  <c r="BB71" i="6"/>
  <c r="BB56" i="6"/>
  <c r="AL56" i="6" s="1"/>
  <c r="BB41" i="6"/>
  <c r="BA48" i="18" s="1"/>
  <c r="BB26" i="6"/>
  <c r="O26" i="6" s="1"/>
  <c r="A290" i="23" s="1"/>
  <c r="BB16" i="6"/>
  <c r="BA171" i="6"/>
  <c r="BA143" i="6"/>
  <c r="G143" i="6" s="1"/>
  <c r="H143" i="6" s="1"/>
  <c r="BA106" i="6"/>
  <c r="BA91" i="6"/>
  <c r="BA69" i="6"/>
  <c r="A471" i="23" s="1"/>
  <c r="BA54" i="6"/>
  <c r="G54" i="6" s="1"/>
  <c r="H54" i="6" s="1"/>
  <c r="BA39" i="6"/>
  <c r="A317" i="23" s="1"/>
  <c r="BA24" i="6"/>
  <c r="BA141" i="6"/>
  <c r="G141" i="6" s="1"/>
  <c r="H141" i="6" s="1"/>
  <c r="BB172" i="6"/>
  <c r="A996" i="23" s="1"/>
  <c r="BB154" i="6"/>
  <c r="BB92" i="6"/>
  <c r="O92" i="6" s="1"/>
  <c r="A597" i="23" s="1"/>
  <c r="BB70" i="6"/>
  <c r="O70" i="6" s="1"/>
  <c r="A520" i="23" s="1"/>
  <c r="BB55" i="6"/>
  <c r="AL55" i="6" s="1"/>
  <c r="BB40" i="6"/>
  <c r="BB25" i="6"/>
  <c r="AL25" i="6" s="1"/>
  <c r="BA160" i="6"/>
  <c r="G160" i="6" s="1"/>
  <c r="A901" i="23" s="1"/>
  <c r="BA142" i="6"/>
  <c r="U142" i="6"/>
  <c r="BA105" i="6"/>
  <c r="AI110" i="18" s="1"/>
  <c r="BA90" i="6"/>
  <c r="G90" i="6" s="1"/>
  <c r="A557" i="23" s="1"/>
  <c r="BA68" i="6"/>
  <c r="U68" i="6" s="1"/>
  <c r="BA53" i="6"/>
  <c r="BA38" i="6"/>
  <c r="G38" i="6" s="1"/>
  <c r="A326" i="23" s="1"/>
  <c r="BA11" i="6"/>
  <c r="A191" i="23" s="1"/>
  <c r="BB69" i="6"/>
  <c r="O69" i="6" s="1"/>
  <c r="P69" i="6" s="1"/>
  <c r="BB39" i="6"/>
  <c r="AL39" i="6" s="1"/>
  <c r="BA177" i="6"/>
  <c r="A965" i="23" s="1"/>
  <c r="BB171" i="6"/>
  <c r="A1021" i="23" s="1"/>
  <c r="BB143" i="6"/>
  <c r="O143" i="6" s="1"/>
  <c r="BB91" i="6"/>
  <c r="BB54" i="6"/>
  <c r="AL54" i="6" s="1"/>
  <c r="BB24" i="6"/>
  <c r="O24" i="6" s="1"/>
  <c r="A288" i="23" s="1"/>
  <c r="BA159" i="6"/>
  <c r="AI166" i="18"/>
  <c r="BB160" i="6"/>
  <c r="A953" i="23" s="1"/>
  <c r="BB142" i="6"/>
  <c r="AL142" i="6" s="1"/>
  <c r="BB90" i="6"/>
  <c r="BA94" i="18" s="1"/>
  <c r="BB68" i="6"/>
  <c r="BB53" i="6"/>
  <c r="AL53" i="6" s="1"/>
  <c r="BB38" i="6"/>
  <c r="AL38" i="6" s="1"/>
  <c r="AN38" i="6" s="1"/>
  <c r="AN39" i="6" s="1"/>
  <c r="BA176" i="6"/>
  <c r="G176" i="6"/>
  <c r="H176" i="6" s="1"/>
  <c r="BA158" i="6"/>
  <c r="G158" i="6" s="1"/>
  <c r="A899" i="23" s="1"/>
  <c r="BA140" i="6"/>
  <c r="A783" i="23" s="1"/>
  <c r="BA103" i="6"/>
  <c r="U103" i="6" s="1"/>
  <c r="BA88" i="6"/>
  <c r="A571" i="23" s="1"/>
  <c r="BA66" i="6"/>
  <c r="G66" i="6" s="1"/>
  <c r="H66" i="6" s="1"/>
  <c r="BA44" i="6"/>
  <c r="G44" i="6" s="1"/>
  <c r="H44" i="6" s="1"/>
  <c r="BA29" i="6"/>
  <c r="G29" i="6" s="1"/>
  <c r="A255" i="23" s="1"/>
  <c r="BA16" i="6"/>
  <c r="BA52" i="6"/>
  <c r="AI62" i="18" s="1"/>
  <c r="AD109" i="18"/>
  <c r="AD110" i="18"/>
  <c r="AD111" i="18"/>
  <c r="AD112" i="18"/>
  <c r="AD113" i="18"/>
  <c r="AD114" i="18"/>
  <c r="BP25" i="5"/>
  <c r="BQ25" i="5"/>
  <c r="N57" i="3"/>
  <c r="M56" i="3"/>
  <c r="A76" i="23"/>
  <c r="C77" i="15"/>
  <c r="I124" i="7"/>
  <c r="I128" i="7"/>
  <c r="E17" i="27"/>
  <c r="M17" i="27"/>
  <c r="V40" i="27"/>
  <c r="T40" i="27"/>
  <c r="R40" i="27"/>
  <c r="V16" i="27"/>
  <c r="T16" i="27"/>
  <c r="R16" i="27"/>
  <c r="P16" i="27"/>
  <c r="T15" i="27"/>
  <c r="R15" i="27"/>
  <c r="A738" i="23"/>
  <c r="AZ90" i="5"/>
  <c r="AY90" i="5"/>
  <c r="AZ94" i="5"/>
  <c r="AY94" i="5"/>
  <c r="AY92" i="5"/>
  <c r="AZ92" i="5"/>
  <c r="AZ88" i="5"/>
  <c r="AY88" i="5"/>
  <c r="AZ86" i="5"/>
  <c r="AY86" i="5"/>
  <c r="AY80" i="5"/>
  <c r="AZ80" i="5"/>
  <c r="AZ84" i="5"/>
  <c r="AY84" i="5"/>
  <c r="AZ82" i="5"/>
  <c r="AY82" i="5"/>
  <c r="BA133" i="3"/>
  <c r="V51" i="3"/>
  <c r="BU15" i="18"/>
  <c r="V23" i="18"/>
  <c r="A717" i="23"/>
  <c r="E29" i="3"/>
  <c r="F4" i="7"/>
  <c r="F4" i="14" s="1"/>
  <c r="A731" i="23"/>
  <c r="AZ109" i="5"/>
  <c r="AY109" i="5"/>
  <c r="AZ107" i="5"/>
  <c r="AY107" i="5"/>
  <c r="AZ111" i="5"/>
  <c r="AY111" i="5"/>
  <c r="AY103" i="5"/>
  <c r="AZ103" i="5"/>
  <c r="AZ117" i="5"/>
  <c r="AY117" i="5"/>
  <c r="AZ115" i="5"/>
  <c r="AY115" i="5"/>
  <c r="AZ113" i="5"/>
  <c r="AY113" i="5"/>
  <c r="AZ105" i="5"/>
  <c r="AY105" i="5"/>
  <c r="AY61" i="5"/>
  <c r="AZ61" i="5"/>
  <c r="AZ59" i="5"/>
  <c r="AY59" i="5"/>
  <c r="AY65" i="5"/>
  <c r="AZ65" i="5"/>
  <c r="AZ71" i="5"/>
  <c r="AY71" i="5"/>
  <c r="AY69" i="5"/>
  <c r="AZ69" i="5"/>
  <c r="AX67" i="5"/>
  <c r="AX57" i="5"/>
  <c r="AX63" i="5"/>
  <c r="AZ44" i="5"/>
  <c r="AY44" i="5"/>
  <c r="AZ36" i="5"/>
  <c r="AY36" i="5"/>
  <c r="AY34" i="5"/>
  <c r="AZ34" i="5"/>
  <c r="AZ48" i="5"/>
  <c r="AY48" i="5"/>
  <c r="AZ38" i="5"/>
  <c r="AY38" i="5"/>
  <c r="AX46" i="5"/>
  <c r="AX42" i="5"/>
  <c r="AX40" i="5"/>
  <c r="V4" i="6"/>
  <c r="A56" i="23"/>
  <c r="AY25" i="5"/>
  <c r="BM161" i="18"/>
  <c r="V164" i="18"/>
  <c r="BM144" i="18"/>
  <c r="V147" i="18"/>
  <c r="BN15" i="18"/>
  <c r="A724" i="23"/>
  <c r="BY21" i="5"/>
  <c r="BZ21" i="5"/>
  <c r="BY13" i="5"/>
  <c r="BP23" i="5"/>
  <c r="BQ23" i="5"/>
  <c r="BG25" i="5"/>
  <c r="BH25" i="5"/>
  <c r="BH11" i="5"/>
  <c r="BG11" i="5"/>
  <c r="AY13" i="5"/>
  <c r="AZ13" i="5"/>
  <c r="AY11" i="5"/>
  <c r="AZ11" i="5"/>
  <c r="AZ15" i="5"/>
  <c r="AY15" i="5"/>
  <c r="D54" i="5"/>
  <c r="D77" i="5"/>
  <c r="D100" i="5"/>
  <c r="Q22" i="4"/>
  <c r="Q43" i="4"/>
  <c r="Q45" i="4"/>
  <c r="D41" i="4"/>
  <c r="D26" i="4"/>
  <c r="Q42" i="4"/>
  <c r="D25" i="4"/>
  <c r="Q41" i="4"/>
  <c r="Q23" i="4"/>
  <c r="D24" i="4"/>
  <c r="D45" i="4"/>
  <c r="Q25" i="4"/>
  <c r="D43" i="4"/>
  <c r="Q44" i="4"/>
  <c r="Q26" i="4"/>
  <c r="D23" i="4"/>
  <c r="D44" i="4"/>
  <c r="D22" i="4"/>
  <c r="Q24" i="4"/>
  <c r="D42" i="4"/>
  <c r="BB18" i="6"/>
  <c r="BU178" i="18"/>
  <c r="V187" i="18"/>
  <c r="BU106" i="18"/>
  <c r="V114" i="18"/>
  <c r="BM30" i="18"/>
  <c r="V31" i="18"/>
  <c r="BU161" i="18"/>
  <c r="V170" i="18"/>
  <c r="BM45" i="18"/>
  <c r="V46" i="18"/>
  <c r="BU30" i="18"/>
  <c r="V38" i="18"/>
  <c r="BM178" i="18"/>
  <c r="V181" i="18"/>
  <c r="BU76" i="18"/>
  <c r="V83" i="18"/>
  <c r="V16" i="18"/>
  <c r="BM106" i="18"/>
  <c r="V107" i="18"/>
  <c r="BU62" i="18"/>
  <c r="V68" i="18"/>
  <c r="BU91" i="18"/>
  <c r="V99" i="18"/>
  <c r="BM76" i="18"/>
  <c r="V76" i="18"/>
  <c r="BU144" i="18"/>
  <c r="V153" i="18"/>
  <c r="BU45" i="18"/>
  <c r="V53" i="18"/>
  <c r="BM91" i="18"/>
  <c r="V92" i="18"/>
  <c r="A58" i="23"/>
  <c r="O94" i="6"/>
  <c r="A599" i="23" s="1"/>
  <c r="A203" i="23"/>
  <c r="BA20" i="18"/>
  <c r="A233" i="23"/>
  <c r="AI18" i="18"/>
  <c r="BA16" i="18"/>
  <c r="A229" i="23"/>
  <c r="A231" i="23"/>
  <c r="O31" i="6"/>
  <c r="A295" i="23" s="1"/>
  <c r="BA18" i="6"/>
  <c r="A172" i="23" s="1"/>
  <c r="O161" i="6"/>
  <c r="A938" i="23" s="1"/>
  <c r="A230" i="23"/>
  <c r="BA170" i="6"/>
  <c r="V168" i="6" s="1"/>
  <c r="AM152" i="6"/>
  <c r="O162" i="6"/>
  <c r="P162" i="6" s="1"/>
  <c r="BA19" i="18"/>
  <c r="A232" i="23"/>
  <c r="BB170" i="6"/>
  <c r="AL11" i="6"/>
  <c r="A206" i="23"/>
  <c r="A166" i="23"/>
  <c r="G94" i="6"/>
  <c r="AM50" i="6"/>
  <c r="P11" i="6"/>
  <c r="O144" i="6"/>
  <c r="A807" i="23" s="1"/>
  <c r="V135" i="6"/>
  <c r="A391" i="23"/>
  <c r="A247" i="23"/>
  <c r="BB153" i="6"/>
  <c r="AM151" i="6" s="1"/>
  <c r="BA153" i="6"/>
  <c r="A884" i="23" s="1"/>
  <c r="AM84" i="6"/>
  <c r="BB136" i="6"/>
  <c r="O136" i="6" s="1"/>
  <c r="A799" i="23" s="1"/>
  <c r="BA136" i="6"/>
  <c r="A1003" i="23"/>
  <c r="O60" i="6"/>
  <c r="A448" i="23" s="1"/>
  <c r="BA9" i="6"/>
  <c r="A163" i="23" s="1"/>
  <c r="AM85" i="6"/>
  <c r="A590" i="23"/>
  <c r="V169" i="6"/>
  <c r="G86" i="6"/>
  <c r="H86" i="6" s="1"/>
  <c r="V84" i="6"/>
  <c r="V152" i="6"/>
  <c r="A97" i="23"/>
  <c r="B38" i="15"/>
  <c r="B37" i="13"/>
  <c r="B37" i="15"/>
  <c r="B56" i="15"/>
  <c r="B55" i="13"/>
  <c r="B55" i="15"/>
  <c r="B57" i="13"/>
  <c r="B57" i="15"/>
  <c r="AF120" i="5"/>
  <c r="AF96" i="5"/>
  <c r="AF119" i="5"/>
  <c r="AF74" i="5"/>
  <c r="AF51" i="5"/>
  <c r="AF97" i="5"/>
  <c r="AF73" i="5"/>
  <c r="AF50" i="5"/>
  <c r="AF27" i="5"/>
  <c r="AF28" i="5"/>
  <c r="N70" i="4"/>
  <c r="Q10" i="4"/>
  <c r="AD16" i="18"/>
  <c r="AD17" i="18"/>
  <c r="AD18" i="18"/>
  <c r="AD19" i="18"/>
  <c r="AD20" i="18"/>
  <c r="AD21" i="18"/>
  <c r="AD22" i="18"/>
  <c r="AD23" i="18"/>
  <c r="N51" i="4"/>
  <c r="AG58" i="4" s="1"/>
  <c r="N52" i="4"/>
  <c r="AG60" i="4" s="1"/>
  <c r="N50" i="4"/>
  <c r="AG57" i="4" s="1"/>
  <c r="N49" i="4"/>
  <c r="AG56" i="4" s="1"/>
  <c r="AY23" i="5"/>
  <c r="BY23" i="5"/>
  <c r="AZ17" i="5"/>
  <c r="AZ19" i="5"/>
  <c r="BQ15" i="5"/>
  <c r="BY11" i="5"/>
  <c r="E91" i="7"/>
  <c r="M11" i="11"/>
  <c r="D56" i="16"/>
  <c r="H56" i="16"/>
  <c r="K11" i="11"/>
  <c r="D51" i="16"/>
  <c r="H51" i="16"/>
  <c r="A79" i="23"/>
  <c r="D53" i="16"/>
  <c r="H53" i="16"/>
  <c r="H49" i="14"/>
  <c r="D59" i="16"/>
  <c r="H59" i="16"/>
  <c r="E13" i="10"/>
  <c r="J13" i="10"/>
  <c r="G79" i="7"/>
  <c r="D57" i="16"/>
  <c r="H57" i="16"/>
  <c r="E12" i="10"/>
  <c r="J12" i="10"/>
  <c r="D54" i="16"/>
  <c r="H54" i="16"/>
  <c r="V52" i="3"/>
  <c r="V53" i="3"/>
  <c r="BA135" i="3"/>
  <c r="BA134" i="3"/>
  <c r="BA137" i="3"/>
  <c r="BA132" i="3"/>
  <c r="BA140" i="3"/>
  <c r="BH15" i="5"/>
  <c r="BH13" i="5"/>
  <c r="BU107" i="18"/>
  <c r="V115" i="18"/>
  <c r="K86" i="7"/>
  <c r="E41" i="27"/>
  <c r="M41" i="27"/>
  <c r="M86" i="7"/>
  <c r="E43" i="27"/>
  <c r="M43" i="27"/>
  <c r="E28" i="4"/>
  <c r="N65" i="4"/>
  <c r="E90" i="7"/>
  <c r="I86" i="7"/>
  <c r="E42" i="27"/>
  <c r="M42" i="27"/>
  <c r="R9" i="4"/>
  <c r="G86" i="7"/>
  <c r="E44" i="27"/>
  <c r="M44" i="27"/>
  <c r="G9" i="4"/>
  <c r="I19" i="4"/>
  <c r="D29" i="4"/>
  <c r="I38" i="4"/>
  <c r="D10" i="4"/>
  <c r="C15" i="16"/>
  <c r="E15" i="16"/>
  <c r="H15" i="16"/>
  <c r="Q29" i="4"/>
  <c r="V19" i="4"/>
  <c r="V38" i="4"/>
  <c r="AU90" i="5"/>
  <c r="AU21" i="5"/>
  <c r="C11" i="16"/>
  <c r="E11" i="16"/>
  <c r="H11" i="16"/>
  <c r="O91" i="7"/>
  <c r="B59" i="19"/>
  <c r="A721" i="23"/>
  <c r="B57" i="19"/>
  <c r="A714" i="23"/>
  <c r="T2" i="15"/>
  <c r="A735" i="23"/>
  <c r="AU19" i="5"/>
  <c r="X62" i="22"/>
  <c r="B45" i="14"/>
  <c r="Z57" i="22"/>
  <c r="Z52" i="22"/>
  <c r="Z54" i="22"/>
  <c r="AB58" i="22"/>
  <c r="AB57" i="22"/>
  <c r="AB56" i="22"/>
  <c r="AB55" i="22"/>
  <c r="AB54" i="22"/>
  <c r="AB53" i="22"/>
  <c r="AB52" i="22"/>
  <c r="AD50" i="22"/>
  <c r="Z53" i="22"/>
  <c r="Z58" i="22"/>
  <c r="Z56" i="22"/>
  <c r="AB50" i="22"/>
  <c r="X58" i="22"/>
  <c r="AD58" i="22" s="1"/>
  <c r="X57" i="22"/>
  <c r="AD57" i="22" s="1"/>
  <c r="X56" i="22"/>
  <c r="AD56" i="22" s="1"/>
  <c r="X55" i="22"/>
  <c r="AD55" i="22" s="1"/>
  <c r="X54" i="22"/>
  <c r="AD54" i="22" s="1"/>
  <c r="X53" i="22"/>
  <c r="AD53" i="22" s="1"/>
  <c r="X52" i="22"/>
  <c r="Z50" i="22"/>
  <c r="Z55" i="22"/>
  <c r="X50" i="22"/>
  <c r="E22" i="25"/>
  <c r="F22" i="25"/>
  <c r="C33" i="7"/>
  <c r="C33" i="14" s="1"/>
  <c r="M83" i="4"/>
  <c r="U88" i="4"/>
  <c r="U71" i="4"/>
  <c r="U58" i="4"/>
  <c r="U89" i="4"/>
  <c r="U67" i="4"/>
  <c r="U70" i="4"/>
  <c r="U68" i="4"/>
  <c r="U57" i="4"/>
  <c r="H154" i="6"/>
  <c r="BQ13" i="5"/>
  <c r="A201" i="23"/>
  <c r="AM7" i="6"/>
  <c r="H29" i="10"/>
  <c r="F68" i="3"/>
  <c r="AV53" i="3"/>
  <c r="M13" i="11"/>
  <c r="AL15" i="6"/>
  <c r="O15" i="6"/>
  <c r="P15" i="6" s="1"/>
  <c r="N25" i="3"/>
  <c r="H21" i="10"/>
  <c r="H33" i="10"/>
  <c r="H26" i="10"/>
  <c r="H34" i="10"/>
  <c r="AB20" i="10"/>
  <c r="H16" i="10"/>
  <c r="P28" i="10"/>
  <c r="O23" i="6"/>
  <c r="A287" i="23" s="1"/>
  <c r="AD162" i="18"/>
  <c r="AD163" i="18"/>
  <c r="AD164" i="18"/>
  <c r="AD165" i="18"/>
  <c r="AD166" i="18"/>
  <c r="AD167" i="18"/>
  <c r="AD168" i="18"/>
  <c r="AD169" i="18"/>
  <c r="AD31" i="18"/>
  <c r="AD32" i="18"/>
  <c r="AD33" i="18"/>
  <c r="AD34" i="18"/>
  <c r="AD35" i="18"/>
  <c r="AD36" i="18"/>
  <c r="C20" i="16"/>
  <c r="E20" i="16"/>
  <c r="H20" i="16"/>
  <c r="H35" i="10"/>
  <c r="F29" i="10"/>
  <c r="G21" i="10"/>
  <c r="F17" i="10"/>
  <c r="A72" i="23"/>
  <c r="F21" i="10"/>
  <c r="H20" i="10"/>
  <c r="AB18" i="10"/>
  <c r="H17" i="10"/>
  <c r="P30" i="10"/>
  <c r="N28" i="10"/>
  <c r="F16" i="10"/>
  <c r="C38" i="16"/>
  <c r="E38" i="16"/>
  <c r="H38" i="16"/>
  <c r="C30" i="16"/>
  <c r="E30" i="16"/>
  <c r="H30" i="16"/>
  <c r="C21" i="16"/>
  <c r="E21" i="16"/>
  <c r="H21" i="16"/>
  <c r="C10" i="16"/>
  <c r="E10" i="16"/>
  <c r="H10" i="16"/>
  <c r="F34" i="10"/>
  <c r="F36" i="10" s="1"/>
  <c r="AD63" i="18"/>
  <c r="AD64" i="18"/>
  <c r="AD65" i="18"/>
  <c r="AD66" i="18"/>
  <c r="AD67" i="18"/>
  <c r="AD68" i="18"/>
  <c r="AD69" i="18"/>
  <c r="AD70" i="18"/>
  <c r="N30" i="10"/>
  <c r="G26" i="10"/>
  <c r="AB19" i="10"/>
  <c r="C37" i="16"/>
  <c r="E37" i="16"/>
  <c r="H37" i="16"/>
  <c r="C29" i="16"/>
  <c r="E29" i="16"/>
  <c r="H29" i="16"/>
  <c r="G33" i="10"/>
  <c r="F26" i="10"/>
  <c r="C35" i="16"/>
  <c r="E35" i="16"/>
  <c r="H35" i="16"/>
  <c r="C27" i="16"/>
  <c r="E27" i="16"/>
  <c r="H27" i="16"/>
  <c r="C23" i="16"/>
  <c r="E23" i="16"/>
  <c r="H23" i="16"/>
  <c r="A404" i="23"/>
  <c r="H45" i="6"/>
  <c r="A333" i="23"/>
  <c r="G145" i="6"/>
  <c r="A772" i="23" s="1"/>
  <c r="AV82" i="18"/>
  <c r="AV83" i="18"/>
  <c r="AV84" i="18"/>
  <c r="AD48" i="18"/>
  <c r="AD49" i="18"/>
  <c r="AD50" i="18"/>
  <c r="AD51" i="18"/>
  <c r="AD52" i="18"/>
  <c r="AD53" i="18"/>
  <c r="C32" i="16"/>
  <c r="E32" i="16"/>
  <c r="H32" i="16"/>
  <c r="C17" i="16"/>
  <c r="E17" i="16"/>
  <c r="H17" i="16"/>
  <c r="C14" i="16"/>
  <c r="E14" i="16"/>
  <c r="H14" i="16"/>
  <c r="C31" i="16"/>
  <c r="E31" i="16"/>
  <c r="H31" i="16"/>
  <c r="C28" i="16"/>
  <c r="E28" i="16"/>
  <c r="H28" i="16"/>
  <c r="C33" i="16"/>
  <c r="E33" i="16"/>
  <c r="H33" i="16"/>
  <c r="C18" i="16"/>
  <c r="E18" i="16"/>
  <c r="H18" i="16"/>
  <c r="G60" i="6"/>
  <c r="A410" i="23" s="1"/>
  <c r="A323" i="23"/>
  <c r="AD37" i="18"/>
  <c r="AD38" i="18"/>
  <c r="C24" i="16"/>
  <c r="E24" i="16"/>
  <c r="H24" i="16"/>
  <c r="BA131" i="3"/>
  <c r="BA136" i="3"/>
  <c r="BA138" i="3"/>
  <c r="BA139" i="3"/>
  <c r="C34" i="16"/>
  <c r="E34" i="16"/>
  <c r="H34" i="16"/>
  <c r="AD181" i="18"/>
  <c r="AD182" i="18"/>
  <c r="AD183" i="18"/>
  <c r="AD184" i="18"/>
  <c r="AD185" i="18"/>
  <c r="AD186" i="18"/>
  <c r="C40" i="16"/>
  <c r="E40" i="16"/>
  <c r="H40" i="16"/>
  <c r="C25" i="16"/>
  <c r="E25" i="16"/>
  <c r="H25" i="16"/>
  <c r="C13" i="16"/>
  <c r="E13" i="16"/>
  <c r="H13" i="16"/>
  <c r="C12" i="16"/>
  <c r="E12" i="16"/>
  <c r="H12" i="16"/>
  <c r="C39" i="16"/>
  <c r="E39" i="16"/>
  <c r="H39" i="16"/>
  <c r="C36" i="16"/>
  <c r="E36" i="16"/>
  <c r="H36" i="16"/>
  <c r="C19" i="16"/>
  <c r="E19" i="16"/>
  <c r="H19" i="16"/>
  <c r="C16" i="16"/>
  <c r="E16" i="16"/>
  <c r="H16" i="16"/>
  <c r="C26" i="16"/>
  <c r="E26" i="16"/>
  <c r="H26" i="16"/>
  <c r="C22" i="16"/>
  <c r="E22" i="16"/>
  <c r="H22" i="16"/>
  <c r="O9" i="6"/>
  <c r="O17" i="6"/>
  <c r="O14" i="6"/>
  <c r="P14" i="6" s="1"/>
  <c r="O159" i="6"/>
  <c r="A690" i="23"/>
  <c r="U91" i="6"/>
  <c r="U40" i="6"/>
  <c r="AL156" i="6"/>
  <c r="BA62" i="18"/>
  <c r="O13" i="6"/>
  <c r="A321" i="23"/>
  <c r="A987" i="23"/>
  <c r="A780" i="23"/>
  <c r="A346" i="23"/>
  <c r="H107" i="6"/>
  <c r="U43" i="6"/>
  <c r="AI50" i="18"/>
  <c r="A456" i="23"/>
  <c r="O87" i="6"/>
  <c r="AL44" i="6"/>
  <c r="AT44" i="6" s="1"/>
  <c r="A473" i="23"/>
  <c r="A386" i="23"/>
  <c r="O44" i="6"/>
  <c r="O52" i="6"/>
  <c r="P52" i="6" s="1"/>
  <c r="AL87" i="6"/>
  <c r="AS88" i="6" s="1"/>
  <c r="BA51" i="18"/>
  <c r="A347" i="23"/>
  <c r="A430" i="23"/>
  <c r="H67" i="6"/>
  <c r="U69" i="6"/>
  <c r="U72" i="6"/>
  <c r="AC72" i="6" s="1"/>
  <c r="A205" i="23"/>
  <c r="P26" i="6"/>
  <c r="AI91" i="18"/>
  <c r="A310" i="23"/>
  <c r="BA35" i="18"/>
  <c r="A786" i="23"/>
  <c r="A270" i="23"/>
  <c r="O109" i="6"/>
  <c r="U107" i="6"/>
  <c r="AC107" i="6" s="1"/>
  <c r="A660" i="23"/>
  <c r="BA66" i="18"/>
  <c r="A912" i="23"/>
  <c r="A819" i="23"/>
  <c r="A686" i="23"/>
  <c r="BA108" i="18"/>
  <c r="A357" i="23"/>
  <c r="AI180" i="18"/>
  <c r="BA147" i="18"/>
  <c r="A817" i="23"/>
  <c r="A1023" i="23"/>
  <c r="AI112" i="18"/>
  <c r="AL106" i="6"/>
  <c r="U93" i="6"/>
  <c r="X92" i="6" s="1"/>
  <c r="P106" i="6"/>
  <c r="AI97" i="18"/>
  <c r="A689" i="23"/>
  <c r="A626" i="23"/>
  <c r="BA111" i="18"/>
  <c r="A550" i="23"/>
  <c r="A652" i="23"/>
  <c r="A663" i="23"/>
  <c r="H93" i="6"/>
  <c r="A576" i="23"/>
  <c r="O138" i="6"/>
  <c r="X11" i="29"/>
  <c r="Y7" i="29"/>
  <c r="H11" i="29"/>
  <c r="W11" i="29"/>
  <c r="Y11" i="29"/>
  <c r="N26" i="4"/>
  <c r="X16" i="29"/>
  <c r="N45" i="4"/>
  <c r="W16" i="29"/>
  <c r="AC108" i="4"/>
  <c r="AH111" i="4"/>
  <c r="N41" i="4"/>
  <c r="Y16" i="29"/>
  <c r="BD40" i="4"/>
  <c r="BH40" i="4"/>
  <c r="A269" i="23"/>
  <c r="U27" i="6"/>
  <c r="A284" i="23"/>
  <c r="A538" i="23"/>
  <c r="AI33" i="18"/>
  <c r="AL30" i="6"/>
  <c r="AO29" i="6" s="1"/>
  <c r="BA36" i="18"/>
  <c r="AI34" i="18"/>
  <c r="O172" i="6"/>
  <c r="P172" i="6" s="1"/>
  <c r="AI80" i="18"/>
  <c r="AM99" i="6"/>
  <c r="A243" i="23"/>
  <c r="A244" i="23"/>
  <c r="U28" i="6"/>
  <c r="G156" i="6"/>
  <c r="A511" i="23"/>
  <c r="AL107" i="6"/>
  <c r="A344" i="23"/>
  <c r="O71" i="6"/>
  <c r="A318" i="23"/>
  <c r="AI47" i="18"/>
  <c r="AI95" i="18"/>
  <c r="A1026" i="23"/>
  <c r="H40" i="6"/>
  <c r="AL105" i="6"/>
  <c r="A574" i="23"/>
  <c r="C13" i="29"/>
  <c r="H30" i="29"/>
  <c r="I22" i="29"/>
  <c r="B18" i="29"/>
  <c r="G15" i="29"/>
  <c r="G39" i="29"/>
  <c r="F6" i="29"/>
  <c r="P39" i="31"/>
  <c r="Q38" i="31"/>
  <c r="S25" i="29"/>
  <c r="S24" i="29"/>
  <c r="S23" i="29"/>
  <c r="S22" i="29"/>
  <c r="S20" i="29"/>
  <c r="S18" i="29"/>
  <c r="S15" i="29"/>
  <c r="S14" i="29"/>
  <c r="S12" i="29"/>
  <c r="S8" i="29"/>
  <c r="S6" i="29"/>
  <c r="A532" i="23"/>
  <c r="BA76" i="18"/>
  <c r="AL66" i="6"/>
  <c r="AS67" i="6" s="1"/>
  <c r="A533" i="23"/>
  <c r="BA77" i="18"/>
  <c r="O67" i="6"/>
  <c r="P67" i="6" s="1"/>
  <c r="A507" i="23"/>
  <c r="G57" i="6"/>
  <c r="H57" i="6" s="1"/>
  <c r="AI63" i="18"/>
  <c r="G53" i="6"/>
  <c r="A423" i="23"/>
  <c r="A397" i="23"/>
  <c r="AI67" i="18"/>
  <c r="AI46" i="18"/>
  <c r="A195" i="23"/>
  <c r="A459" i="23"/>
  <c r="AI64" i="18"/>
  <c r="AL41" i="6"/>
  <c r="BA65" i="18"/>
  <c r="A433" i="23"/>
  <c r="O41" i="6"/>
  <c r="G172" i="6"/>
  <c r="H172" i="6" s="1"/>
  <c r="A383" i="23"/>
  <c r="A394" i="23"/>
  <c r="U172" i="6"/>
  <c r="U54" i="6"/>
  <c r="A974" i="23"/>
  <c r="A990" i="23"/>
  <c r="A964" i="23"/>
  <c r="U176" i="6"/>
  <c r="AI183" i="18"/>
  <c r="U154" i="6"/>
  <c r="W154" i="6" s="1"/>
  <c r="A343" i="23"/>
  <c r="U39" i="6"/>
  <c r="U104" i="6"/>
  <c r="BA163" i="18"/>
  <c r="A306" i="23"/>
  <c r="A885" i="23"/>
  <c r="A649" i="23"/>
  <c r="BA32" i="18"/>
  <c r="AI161" i="18"/>
  <c r="A280" i="23"/>
  <c r="A949" i="23"/>
  <c r="AI109" i="18"/>
  <c r="A911" i="23"/>
  <c r="A623" i="23"/>
  <c r="AL26" i="6"/>
  <c r="A923" i="23"/>
  <c r="BA47" i="18"/>
  <c r="G39" i="6"/>
  <c r="A327" i="23" s="1"/>
  <c r="H43" i="6"/>
  <c r="A462" i="23"/>
  <c r="AL172" i="6"/>
  <c r="A760" i="23"/>
  <c r="A436" i="23"/>
  <c r="BA68" i="18"/>
  <c r="AL58" i="6"/>
  <c r="AT58" i="6" s="1"/>
  <c r="BA179" i="18"/>
  <c r="U143" i="6"/>
  <c r="X142" i="6" s="1"/>
  <c r="X141" i="6" s="1"/>
  <c r="AI150" i="18"/>
  <c r="A588" i="23"/>
  <c r="O39" i="6"/>
  <c r="A365" i="23" s="1"/>
  <c r="G142" i="6"/>
  <c r="H142" i="6" s="1"/>
  <c r="A1022" i="23"/>
  <c r="A381" i="23"/>
  <c r="AI149" i="18"/>
  <c r="A927" i="23"/>
  <c r="BA46" i="18"/>
  <c r="A355" i="23"/>
  <c r="A759" i="23"/>
  <c r="A785" i="23"/>
  <c r="BA167" i="18"/>
  <c r="A770" i="23"/>
  <c r="H27" i="6"/>
  <c r="P58" i="6"/>
  <c r="H28" i="6"/>
  <c r="AI21" i="18"/>
  <c r="U16" i="6"/>
  <c r="X15" i="6" s="1"/>
  <c r="A573" i="23"/>
  <c r="AL90" i="6"/>
  <c r="A613" i="23"/>
  <c r="A587" i="23"/>
  <c r="AL92" i="6"/>
  <c r="BA96" i="18"/>
  <c r="A470" i="23"/>
  <c r="G68" i="6"/>
  <c r="H68" i="6" s="1"/>
  <c r="O160" i="6"/>
  <c r="P160" i="6" s="1"/>
  <c r="A170" i="23"/>
  <c r="AI78" i="18"/>
  <c r="AL143" i="6"/>
  <c r="A796" i="23"/>
  <c r="A496" i="23"/>
  <c r="A499" i="23"/>
  <c r="O101" i="6"/>
  <c r="A668" i="23" s="1"/>
  <c r="A575" i="23"/>
  <c r="BA150" i="18"/>
  <c r="A822" i="23"/>
  <c r="O40" i="6"/>
  <c r="A356" i="23"/>
  <c r="U92" i="6"/>
  <c r="AL160" i="6"/>
  <c r="AT160" i="6" s="1"/>
  <c r="O90" i="6"/>
  <c r="A595" i="23" s="1"/>
  <c r="AL101" i="6"/>
  <c r="AS102" i="6" s="1"/>
  <c r="U71" i="6"/>
  <c r="G71" i="6"/>
  <c r="A684" i="23"/>
  <c r="G92" i="6"/>
  <c r="A559" i="23" s="1"/>
  <c r="BA106" i="18"/>
  <c r="A991" i="23"/>
  <c r="O43" i="6"/>
  <c r="A369" i="23" s="1"/>
  <c r="AI108" i="18"/>
  <c r="A651" i="23"/>
  <c r="A921" i="23"/>
  <c r="O154" i="6"/>
  <c r="A650" i="23"/>
  <c r="A345" i="23"/>
  <c r="O93" i="6"/>
  <c r="A614" i="23"/>
  <c r="BA50" i="18"/>
  <c r="AL93" i="6"/>
  <c r="AO92" i="6" s="1"/>
  <c r="G103" i="6"/>
  <c r="H103" i="6" s="1"/>
  <c r="A989" i="23"/>
  <c r="AI48" i="18"/>
  <c r="AI184" i="18"/>
  <c r="G177" i="6"/>
  <c r="G41" i="6"/>
  <c r="H41" i="6" s="1"/>
  <c r="AI111" i="18"/>
  <c r="A624" i="23"/>
  <c r="G105" i="6"/>
  <c r="A634" i="23" s="1"/>
  <c r="A622" i="23"/>
  <c r="A648" i="23"/>
  <c r="U177" i="6"/>
  <c r="X176" i="6" s="1"/>
  <c r="G89" i="6"/>
  <c r="H89" i="6" s="1"/>
  <c r="U105" i="6"/>
  <c r="A319" i="23"/>
  <c r="A478" i="23"/>
  <c r="A611" i="23"/>
  <c r="G88" i="6"/>
  <c r="H88" i="6" s="1"/>
  <c r="A535" i="23"/>
  <c r="U29" i="6"/>
  <c r="H158" i="6"/>
  <c r="AI165" i="18"/>
  <c r="A271" i="23"/>
  <c r="U52" i="6"/>
  <c r="W52" i="6" s="1"/>
  <c r="U158" i="6"/>
  <c r="A549" i="23"/>
  <c r="BA79" i="18"/>
  <c r="A889" i="23"/>
  <c r="G159" i="6"/>
  <c r="A900" i="23" s="1"/>
  <c r="AL69" i="6"/>
  <c r="A757" i="23"/>
  <c r="A585" i="23"/>
  <c r="AI35" i="18"/>
  <c r="U159" i="6"/>
  <c r="A519" i="23"/>
  <c r="A915" i="23"/>
  <c r="A245" i="23"/>
  <c r="A916" i="23"/>
  <c r="H29" i="6"/>
  <c r="A509" i="23"/>
  <c r="A418" i="23"/>
  <c r="A890" i="23"/>
  <c r="D31" i="5"/>
  <c r="X42" i="27"/>
  <c r="X41" i="27"/>
  <c r="X43" i="27"/>
  <c r="Y43" i="27"/>
  <c r="X44" i="27"/>
  <c r="E48" i="7"/>
  <c r="M38" i="27"/>
  <c r="M36" i="27"/>
  <c r="F52" i="7" s="1"/>
  <c r="M35" i="27"/>
  <c r="M34" i="27"/>
  <c r="K165" i="7" s="1"/>
  <c r="AZ63" i="5"/>
  <c r="AY63" i="5"/>
  <c r="AY57" i="5"/>
  <c r="AZ57" i="5"/>
  <c r="AZ67" i="5"/>
  <c r="AY67" i="5"/>
  <c r="AZ40" i="5"/>
  <c r="AY40" i="5"/>
  <c r="AZ42" i="5"/>
  <c r="AY42" i="5"/>
  <c r="AZ46" i="5"/>
  <c r="AY46" i="5"/>
  <c r="AF101" i="5"/>
  <c r="BN62" i="18"/>
  <c r="X61" i="18"/>
  <c r="BV76" i="18"/>
  <c r="X83" i="18"/>
  <c r="BN45" i="18"/>
  <c r="X46" i="18"/>
  <c r="BV45" i="18"/>
  <c r="X53" i="18"/>
  <c r="BV91" i="18"/>
  <c r="X99" i="18"/>
  <c r="BN76" i="18"/>
  <c r="X76" i="18"/>
  <c r="BN106" i="18"/>
  <c r="X107" i="18"/>
  <c r="BN30" i="18"/>
  <c r="X31" i="18"/>
  <c r="BV62" i="18"/>
  <c r="X68" i="18"/>
  <c r="BN178" i="18"/>
  <c r="X181" i="18"/>
  <c r="BN161" i="18"/>
  <c r="X164" i="18"/>
  <c r="X16" i="18"/>
  <c r="BV106" i="18"/>
  <c r="BV161" i="18"/>
  <c r="X170" i="18"/>
  <c r="BN91" i="18"/>
  <c r="X92" i="18"/>
  <c r="BV30" i="18"/>
  <c r="X38" i="18"/>
  <c r="BN144" i="18"/>
  <c r="X147" i="18"/>
  <c r="BV178" i="18"/>
  <c r="X187" i="18"/>
  <c r="BV15" i="18"/>
  <c r="X23" i="18"/>
  <c r="BV144" i="18"/>
  <c r="X153" i="18"/>
  <c r="A57" i="23"/>
  <c r="A59" i="23"/>
  <c r="L98" i="4"/>
  <c r="T70" i="4"/>
  <c r="AG72" i="4" s="1"/>
  <c r="R28" i="4"/>
  <c r="A102" i="23"/>
  <c r="Z56" i="7"/>
  <c r="E39" i="27"/>
  <c r="M39" i="27"/>
  <c r="N50" i="7"/>
  <c r="N25" i="4"/>
  <c r="AA25" i="4"/>
  <c r="AA22" i="4"/>
  <c r="AA45" i="4"/>
  <c r="AA41" i="4"/>
  <c r="AA26" i="4"/>
  <c r="AA44" i="4"/>
  <c r="U10" i="6"/>
  <c r="AB11" i="6" s="1"/>
  <c r="AI15" i="18"/>
  <c r="A174" i="23"/>
  <c r="A164" i="23"/>
  <c r="A190" i="23"/>
  <c r="P161" i="6"/>
  <c r="G18" i="6"/>
  <c r="H18" i="6" s="1"/>
  <c r="V8" i="6"/>
  <c r="P144" i="6"/>
  <c r="A789" i="23"/>
  <c r="G153" i="6"/>
  <c r="V151" i="6"/>
  <c r="G9" i="6"/>
  <c r="H9" i="6" s="1"/>
  <c r="A553" i="23"/>
  <c r="AB101" i="5"/>
  <c r="AH101" i="5"/>
  <c r="AD101" i="5"/>
  <c r="AD100" i="5"/>
  <c r="AD99" i="5"/>
  <c r="AD77" i="5"/>
  <c r="Z52" i="5"/>
  <c r="AD54" i="5"/>
  <c r="V62" i="4"/>
  <c r="N22" i="4"/>
  <c r="AD52" i="22"/>
  <c r="Q46" i="22" s="1"/>
  <c r="M38" i="4"/>
  <c r="M85" i="7"/>
  <c r="M19" i="4"/>
  <c r="G85" i="7"/>
  <c r="AG88" i="4"/>
  <c r="R89" i="4"/>
  <c r="Z38" i="4"/>
  <c r="K85" i="7"/>
  <c r="Z19" i="4"/>
  <c r="I85" i="7"/>
  <c r="V65" i="7"/>
  <c r="Q86" i="7"/>
  <c r="I99" i="7"/>
  <c r="V86" i="4"/>
  <c r="M14" i="11"/>
  <c r="R69" i="15"/>
  <c r="AC115" i="5"/>
  <c r="AC107" i="5"/>
  <c r="U44" i="7"/>
  <c r="AG117" i="5"/>
  <c r="AG109" i="5"/>
  <c r="AG111" i="5"/>
  <c r="AE103" i="5"/>
  <c r="AC111" i="5"/>
  <c r="AC113" i="5"/>
  <c r="AC105" i="5"/>
  <c r="U46" i="7"/>
  <c r="M7" i="16"/>
  <c r="R7" i="16" s="1"/>
  <c r="D53" i="5"/>
  <c r="AG107" i="5"/>
  <c r="AE115" i="5"/>
  <c r="AG115" i="5"/>
  <c r="AG113" i="5"/>
  <c r="AC109" i="5"/>
  <c r="AE109" i="5"/>
  <c r="AE113" i="5"/>
  <c r="AE105" i="5"/>
  <c r="AC117" i="5"/>
  <c r="AC103" i="5"/>
  <c r="AG105" i="5"/>
  <c r="AE117" i="5"/>
  <c r="AG103" i="5"/>
  <c r="AE107" i="5"/>
  <c r="AE111" i="5"/>
  <c r="S98" i="4"/>
  <c r="D76" i="5"/>
  <c r="N7" i="16"/>
  <c r="S7" i="16" s="1"/>
  <c r="F98" i="4"/>
  <c r="O7" i="16"/>
  <c r="Q7" i="16" s="1"/>
  <c r="D30" i="5"/>
  <c r="A51" i="23"/>
  <c r="AA49" i="14"/>
  <c r="AA50" i="14"/>
  <c r="Z17" i="10"/>
  <c r="AA17" i="10" s="1"/>
  <c r="E21" i="10" s="1"/>
  <c r="Z64" i="7"/>
  <c r="AA47" i="14"/>
  <c r="U43" i="7"/>
  <c r="E11" i="10"/>
  <c r="E32" i="10" s="1"/>
  <c r="J32" i="10"/>
  <c r="AA48" i="14"/>
  <c r="U45" i="7"/>
  <c r="D22" i="25"/>
  <c r="G2" i="3" s="1"/>
  <c r="J2" i="4" s="1"/>
  <c r="F10" i="19"/>
  <c r="H27" i="10"/>
  <c r="P29" i="10"/>
  <c r="P31" i="10" s="1"/>
  <c r="P23" i="6"/>
  <c r="A80" i="23"/>
  <c r="K25" i="19"/>
  <c r="F69" i="3"/>
  <c r="A81" i="23"/>
  <c r="C37" i="7"/>
  <c r="C37" i="14" s="1"/>
  <c r="Q98" i="7"/>
  <c r="C39" i="7"/>
  <c r="C39" i="14" s="1"/>
  <c r="H63" i="16"/>
  <c r="I47" i="16"/>
  <c r="H145" i="6"/>
  <c r="BC145" i="6" s="1"/>
  <c r="AO43" i="6"/>
  <c r="A440" i="23"/>
  <c r="A480" i="23"/>
  <c r="G25" i="29"/>
  <c r="C12" i="29"/>
  <c r="J36" i="29"/>
  <c r="E41" i="29"/>
  <c r="I14" i="29"/>
  <c r="H14" i="29"/>
  <c r="C30" i="29"/>
  <c r="G27" i="29"/>
  <c r="J28" i="29"/>
  <c r="I38" i="29"/>
  <c r="A12" i="29"/>
  <c r="L11" i="29"/>
  <c r="K8" i="29"/>
  <c r="K42" i="29"/>
  <c r="B26" i="29"/>
  <c r="A36" i="29"/>
  <c r="E9" i="29"/>
  <c r="D9" i="29"/>
  <c r="K34" i="29"/>
  <c r="G21" i="29"/>
  <c r="F23" i="29"/>
  <c r="E33" i="29"/>
  <c r="L35" i="29"/>
  <c r="G40" i="29"/>
  <c r="G13" i="29"/>
  <c r="K36" i="29"/>
  <c r="J20" i="29"/>
  <c r="I30" i="29"/>
  <c r="D33" i="29"/>
  <c r="K23" i="29"/>
  <c r="K6" i="29"/>
  <c r="C18" i="29"/>
  <c r="B42" i="29"/>
  <c r="F15" i="29"/>
  <c r="A20" i="29"/>
  <c r="L27" i="29"/>
  <c r="J29" i="29"/>
  <c r="E6" i="29"/>
  <c r="G33" i="29"/>
  <c r="F39" i="29"/>
  <c r="F7" i="29"/>
  <c r="E17" i="29"/>
  <c r="D25" i="29"/>
  <c r="E16" i="29"/>
  <c r="AT30" i="6"/>
  <c r="AC16" i="6"/>
  <c r="X106" i="6"/>
  <c r="A975" i="23"/>
  <c r="G18" i="29"/>
  <c r="D40" i="29"/>
  <c r="K43" i="29"/>
  <c r="F40" i="29"/>
  <c r="B34" i="29"/>
  <c r="J12" i="29"/>
  <c r="A28" i="29"/>
  <c r="L43" i="29"/>
  <c r="H22" i="29"/>
  <c r="C37" i="29"/>
  <c r="B19" i="29"/>
  <c r="F31" i="29"/>
  <c r="B10" i="29"/>
  <c r="E25" i="29"/>
  <c r="D41" i="29"/>
  <c r="L19" i="29"/>
  <c r="C33" i="29"/>
  <c r="F8" i="29"/>
  <c r="H38" i="29"/>
  <c r="D17" i="29"/>
  <c r="C29" i="29"/>
  <c r="A35" i="29"/>
  <c r="C6" i="29"/>
  <c r="C36" i="29"/>
  <c r="C14" i="29"/>
  <c r="K18" i="29"/>
  <c r="G23" i="29"/>
  <c r="G17" i="29"/>
  <c r="G11" i="29"/>
  <c r="C42" i="29"/>
  <c r="J42" i="29"/>
  <c r="F37" i="29"/>
  <c r="B32" i="29"/>
  <c r="J26" i="29"/>
  <c r="F21" i="29"/>
  <c r="B16" i="29"/>
  <c r="J10" i="29"/>
  <c r="A42" i="29"/>
  <c r="I36" i="29"/>
  <c r="E31" i="29"/>
  <c r="A26" i="29"/>
  <c r="I20" i="29"/>
  <c r="E15" i="29"/>
  <c r="A10" i="29"/>
  <c r="L41" i="29"/>
  <c r="H36" i="29"/>
  <c r="D31" i="29"/>
  <c r="L25" i="29"/>
  <c r="H20" i="29"/>
  <c r="D15" i="29"/>
  <c r="L9" i="29"/>
  <c r="C41" i="29"/>
  <c r="G34" i="29"/>
  <c r="C25" i="29"/>
  <c r="G14" i="29"/>
  <c r="F32" i="29"/>
  <c r="B11" i="29"/>
  <c r="A19" i="29"/>
  <c r="D24" i="29"/>
  <c r="H21" i="29"/>
  <c r="D6" i="29"/>
  <c r="K14" i="29"/>
  <c r="K30" i="29"/>
  <c r="C8" i="29"/>
  <c r="K12" i="29"/>
  <c r="G43" i="29"/>
  <c r="G37" i="29"/>
  <c r="G31" i="29"/>
  <c r="F41" i="29"/>
  <c r="B36" i="29"/>
  <c r="J30" i="29"/>
  <c r="F25" i="29"/>
  <c r="B20" i="29"/>
  <c r="J14" i="29"/>
  <c r="F9" i="29"/>
  <c r="I40" i="29"/>
  <c r="E35" i="29"/>
  <c r="A30" i="29"/>
  <c r="I24" i="29"/>
  <c r="E19" i="29"/>
  <c r="A14" i="29"/>
  <c r="I8" i="29"/>
  <c r="H40" i="29"/>
  <c r="D35" i="29"/>
  <c r="L29" i="29"/>
  <c r="H24" i="29"/>
  <c r="D19" i="29"/>
  <c r="L13" i="29"/>
  <c r="H8" i="29"/>
  <c r="K39" i="29"/>
  <c r="G32" i="29"/>
  <c r="G22" i="29"/>
  <c r="C11" i="29"/>
  <c r="B27" i="29"/>
  <c r="A43" i="29"/>
  <c r="I13" i="29"/>
  <c r="L18" i="29"/>
  <c r="H6" i="29"/>
  <c r="K40" i="29"/>
  <c r="G9" i="29"/>
  <c r="G41" i="29"/>
  <c r="G7" i="29"/>
  <c r="C38" i="29"/>
  <c r="C32" i="29"/>
  <c r="C26" i="29"/>
  <c r="J40" i="29"/>
  <c r="F35" i="29"/>
  <c r="B30" i="29"/>
  <c r="J24" i="29"/>
  <c r="F19" i="29"/>
  <c r="B14" i="29"/>
  <c r="J8" i="29"/>
  <c r="A40" i="29"/>
  <c r="I34" i="29"/>
  <c r="E29" i="29"/>
  <c r="A24" i="29"/>
  <c r="I18" i="29"/>
  <c r="E13" i="29"/>
  <c r="A8" i="29"/>
  <c r="L39" i="29"/>
  <c r="H34" i="29"/>
  <c r="D29" i="29"/>
  <c r="L23" i="29"/>
  <c r="H18" i="29"/>
  <c r="D13" i="29"/>
  <c r="L7" i="29"/>
  <c r="G38" i="29"/>
  <c r="K31" i="29"/>
  <c r="C21" i="29"/>
  <c r="G8" i="29"/>
  <c r="F24" i="29"/>
  <c r="E40" i="29"/>
  <c r="E8" i="29"/>
  <c r="B6" i="29"/>
  <c r="L6" i="29"/>
  <c r="G35" i="29"/>
  <c r="C40" i="29"/>
  <c r="C20" i="29"/>
  <c r="K38" i="29"/>
  <c r="K32" i="29"/>
  <c r="K26" i="29"/>
  <c r="K20" i="29"/>
  <c r="B40" i="29"/>
  <c r="J34" i="29"/>
  <c r="F29" i="29"/>
  <c r="B24" i="29"/>
  <c r="J18" i="29"/>
  <c r="F13" i="29"/>
  <c r="B8" i="29"/>
  <c r="E39" i="29"/>
  <c r="A34" i="29"/>
  <c r="I28" i="29"/>
  <c r="E23" i="29"/>
  <c r="A18" i="29"/>
  <c r="I12" i="29"/>
  <c r="E7" i="29"/>
  <c r="D39" i="29"/>
  <c r="L33" i="29"/>
  <c r="H28" i="29"/>
  <c r="D23" i="29"/>
  <c r="L17" i="29"/>
  <c r="H12" i="29"/>
  <c r="D7" i="29"/>
  <c r="K37" i="29"/>
  <c r="G30" i="29"/>
  <c r="K19" i="29"/>
  <c r="B43" i="29"/>
  <c r="J21" i="29"/>
  <c r="I37" i="29"/>
  <c r="L42" i="29"/>
  <c r="I6" i="29"/>
  <c r="A6" i="29"/>
  <c r="K24" i="29"/>
  <c r="G29" i="29"/>
  <c r="C34" i="29"/>
  <c r="C28" i="29"/>
  <c r="C22" i="29"/>
  <c r="C16" i="29"/>
  <c r="C10" i="29"/>
  <c r="J38" i="29"/>
  <c r="F33" i="29"/>
  <c r="B28" i="29"/>
  <c r="J22" i="29"/>
  <c r="F17" i="29"/>
  <c r="B12" i="29"/>
  <c r="E43" i="29"/>
  <c r="A38" i="29"/>
  <c r="I32" i="29"/>
  <c r="E27" i="29"/>
  <c r="A22" i="29"/>
  <c r="I16" i="29"/>
  <c r="E11" i="29"/>
  <c r="D43" i="29"/>
  <c r="L37" i="29"/>
  <c r="H32" i="29"/>
  <c r="D27" i="29"/>
  <c r="L21" i="29"/>
  <c r="H16" i="29"/>
  <c r="D11" i="29"/>
  <c r="C43" i="29"/>
  <c r="K35" i="29"/>
  <c r="K27" i="29"/>
  <c r="C17" i="29"/>
  <c r="J37" i="29"/>
  <c r="F16" i="29"/>
  <c r="I29" i="29"/>
  <c r="L34" i="29"/>
  <c r="J6" i="29"/>
  <c r="G6" i="29"/>
  <c r="G19" i="29"/>
  <c r="C24" i="29"/>
  <c r="K28" i="29"/>
  <c r="K22" i="29"/>
  <c r="K16" i="29"/>
  <c r="K10" i="29"/>
  <c r="F43" i="29"/>
  <c r="B38" i="29"/>
  <c r="J32" i="29"/>
  <c r="F27" i="29"/>
  <c r="B22" i="29"/>
  <c r="J16" i="29"/>
  <c r="F11" i="29"/>
  <c r="I42" i="29"/>
  <c r="E37" i="29"/>
  <c r="A32" i="29"/>
  <c r="I26" i="29"/>
  <c r="E21" i="29"/>
  <c r="A16" i="29"/>
  <c r="I10" i="29"/>
  <c r="H42" i="29"/>
  <c r="D37" i="29"/>
  <c r="L31" i="29"/>
  <c r="H26" i="29"/>
  <c r="D21" i="29"/>
  <c r="L15" i="29"/>
  <c r="H10" i="29"/>
  <c r="G42" i="29"/>
  <c r="C35" i="29"/>
  <c r="G26" i="29"/>
  <c r="K15" i="29"/>
  <c r="B35" i="29"/>
  <c r="J13" i="29"/>
  <c r="A27" i="29"/>
  <c r="H29" i="29"/>
  <c r="E24" i="29"/>
  <c r="D32" i="29"/>
  <c r="C39" i="29"/>
  <c r="K33" i="29"/>
  <c r="G28" i="29"/>
  <c r="C23" i="29"/>
  <c r="K17" i="29"/>
  <c r="K11" i="29"/>
  <c r="F38" i="29"/>
  <c r="J27" i="29"/>
  <c r="B17" i="29"/>
  <c r="I43" i="29"/>
  <c r="A33" i="29"/>
  <c r="E22" i="29"/>
  <c r="I11" i="29"/>
  <c r="D38" i="29"/>
  <c r="H27" i="29"/>
  <c r="L16" i="29"/>
  <c r="E32" i="29"/>
  <c r="I21" i="29"/>
  <c r="A11" i="29"/>
  <c r="H37" i="29"/>
  <c r="L26" i="29"/>
  <c r="D16" i="29"/>
  <c r="C27" i="29"/>
  <c r="K21" i="29"/>
  <c r="G16" i="29"/>
  <c r="C9" i="29"/>
  <c r="J35" i="29"/>
  <c r="B25" i="29"/>
  <c r="F14" i="29"/>
  <c r="A41" i="29"/>
  <c r="E30" i="29"/>
  <c r="I19" i="29"/>
  <c r="A9" i="29"/>
  <c r="H35" i="29"/>
  <c r="L24" i="29"/>
  <c r="D14" i="29"/>
  <c r="H13" i="29"/>
  <c r="K41" i="29"/>
  <c r="G36" i="29"/>
  <c r="C31" i="29"/>
  <c r="K25" i="29"/>
  <c r="G20" i="29"/>
  <c r="C15" i="29"/>
  <c r="J43" i="29"/>
  <c r="B33" i="29"/>
  <c r="F22" i="29"/>
  <c r="J11" i="29"/>
  <c r="E38" i="29"/>
  <c r="I27" i="29"/>
  <c r="A17" i="29"/>
  <c r="H43" i="29"/>
  <c r="L32" i="29"/>
  <c r="D22" i="29"/>
  <c r="L10" i="29"/>
  <c r="K29" i="29"/>
  <c r="G24" i="29"/>
  <c r="C19" i="29"/>
  <c r="K13" i="29"/>
  <c r="B41" i="29"/>
  <c r="F30" i="29"/>
  <c r="J19" i="29"/>
  <c r="B9" i="29"/>
  <c r="I35" i="29"/>
  <c r="A25" i="29"/>
  <c r="E14" i="29"/>
  <c r="L40" i="29"/>
  <c r="D30" i="29"/>
  <c r="H19" i="29"/>
  <c r="G10" i="29"/>
  <c r="F42" i="29"/>
  <c r="B37" i="29"/>
  <c r="J31" i="29"/>
  <c r="F26" i="29"/>
  <c r="B21" i="29"/>
  <c r="J15" i="29"/>
  <c r="F10" i="29"/>
  <c r="E42" i="29"/>
  <c r="A37" i="29"/>
  <c r="I31" i="29"/>
  <c r="E26" i="29"/>
  <c r="A21" i="29"/>
  <c r="I15" i="29"/>
  <c r="E10" i="29"/>
  <c r="D42" i="29"/>
  <c r="L36" i="29"/>
  <c r="H31" i="29"/>
  <c r="D26" i="29"/>
  <c r="L20" i="29"/>
  <c r="H15" i="29"/>
  <c r="D10" i="29"/>
  <c r="K9" i="29"/>
  <c r="J41" i="29"/>
  <c r="F36" i="29"/>
  <c r="B31" i="29"/>
  <c r="J25" i="29"/>
  <c r="F20" i="29"/>
  <c r="B15" i="29"/>
  <c r="J9" i="29"/>
  <c r="I41" i="29"/>
  <c r="E36" i="29"/>
  <c r="A31" i="29"/>
  <c r="I25" i="29"/>
  <c r="E20" i="29"/>
  <c r="A15" i="29"/>
  <c r="I9" i="29"/>
  <c r="H41" i="29"/>
  <c r="D36" i="29"/>
  <c r="L30" i="29"/>
  <c r="H25" i="29"/>
  <c r="D20" i="29"/>
  <c r="L14" i="29"/>
  <c r="H9" i="29"/>
  <c r="L8" i="29"/>
  <c r="D8" i="29"/>
  <c r="K7" i="29"/>
  <c r="J39" i="29"/>
  <c r="F34" i="29"/>
  <c r="B29" i="29"/>
  <c r="J23" i="29"/>
  <c r="F18" i="29"/>
  <c r="B13" i="29"/>
  <c r="J7" i="29"/>
  <c r="I39" i="29"/>
  <c r="E34" i="29"/>
  <c r="A29" i="29"/>
  <c r="I23" i="29"/>
  <c r="E18" i="29"/>
  <c r="A13" i="29"/>
  <c r="I7" i="29"/>
  <c r="H39" i="29"/>
  <c r="D34" i="29"/>
  <c r="L28" i="29"/>
  <c r="H23" i="29"/>
  <c r="D18" i="29"/>
  <c r="L12" i="29"/>
  <c r="H7" i="29"/>
  <c r="G12" i="29"/>
  <c r="C7" i="29"/>
  <c r="B39" i="29"/>
  <c r="J33" i="29"/>
  <c r="F28" i="29"/>
  <c r="B23" i="29"/>
  <c r="J17" i="29"/>
  <c r="F12" i="29"/>
  <c r="B7" i="29"/>
  <c r="A39" i="29"/>
  <c r="I33" i="29"/>
  <c r="E28" i="29"/>
  <c r="A23" i="29"/>
  <c r="I17" i="29"/>
  <c r="E12" i="29"/>
  <c r="A7" i="29"/>
  <c r="L38" i="29"/>
  <c r="H33" i="29"/>
  <c r="D28" i="29"/>
  <c r="L22" i="29"/>
  <c r="H17" i="29"/>
  <c r="D12" i="29"/>
  <c r="H90" i="6"/>
  <c r="BA2" i="30"/>
  <c r="AX2" i="30" s="1"/>
  <c r="P40" i="31"/>
  <c r="Q39" i="31"/>
  <c r="H177" i="6"/>
  <c r="P39" i="6"/>
  <c r="AC143" i="6"/>
  <c r="AC142" i="6" s="1"/>
  <c r="AO159" i="6"/>
  <c r="H159" i="6"/>
  <c r="A632" i="23"/>
  <c r="AB53" i="6"/>
  <c r="AT93" i="6"/>
  <c r="AT92" i="6" s="1"/>
  <c r="Y44" i="27"/>
  <c r="Y41" i="27"/>
  <c r="Y42" i="27"/>
  <c r="W10" i="6"/>
  <c r="M14" i="22"/>
  <c r="K14" i="22"/>
  <c r="Q14" i="22"/>
  <c r="J14" i="22"/>
  <c r="L14" i="22"/>
  <c r="P14" i="22"/>
  <c r="I14" i="22"/>
  <c r="R14" i="22"/>
  <c r="X114" i="18"/>
  <c r="BV107" i="18"/>
  <c r="X115" i="18"/>
  <c r="N14" i="22"/>
  <c r="H153" i="6"/>
  <c r="BC153" i="6" s="1"/>
  <c r="A894" i="23"/>
  <c r="D26" i="9"/>
  <c r="L26" i="9"/>
  <c r="E26" i="13"/>
  <c r="M26" i="13"/>
  <c r="C26" i="13"/>
  <c r="E26" i="9"/>
  <c r="M26" i="9"/>
  <c r="F26" i="13"/>
  <c r="N26" i="13"/>
  <c r="F26" i="9"/>
  <c r="N26" i="9"/>
  <c r="G26" i="13"/>
  <c r="G26" i="9"/>
  <c r="H26" i="13"/>
  <c r="H26" i="9"/>
  <c r="I26" i="13"/>
  <c r="K26" i="13"/>
  <c r="I26" i="9"/>
  <c r="J26" i="13"/>
  <c r="C26" i="9"/>
  <c r="K26" i="9"/>
  <c r="D26" i="13"/>
  <c r="L26" i="13"/>
  <c r="J26" i="9"/>
  <c r="M34" i="13"/>
  <c r="G34" i="9"/>
  <c r="L34" i="9"/>
  <c r="E34" i="13"/>
  <c r="D34" i="9"/>
  <c r="I34" i="13"/>
  <c r="J34" i="9"/>
  <c r="H34" i="9"/>
  <c r="J34" i="13"/>
  <c r="K34" i="13"/>
  <c r="M34" i="9"/>
  <c r="G34" i="13"/>
  <c r="D34" i="13"/>
  <c r="C34" i="9"/>
  <c r="I34" i="9"/>
  <c r="C34" i="13"/>
  <c r="E34" i="9"/>
  <c r="N34" i="13"/>
  <c r="N34" i="9"/>
  <c r="H34" i="13"/>
  <c r="F34" i="13"/>
  <c r="L34" i="13"/>
  <c r="F34" i="9"/>
  <c r="K34" i="9"/>
  <c r="K91" i="7"/>
  <c r="M91" i="7"/>
  <c r="I91" i="7"/>
  <c r="BA65" i="3"/>
  <c r="BA130" i="3"/>
  <c r="BA75" i="3"/>
  <c r="BA107" i="3"/>
  <c r="BA73" i="3"/>
  <c r="BA105" i="3"/>
  <c r="BA52" i="3"/>
  <c r="BA57" i="3"/>
  <c r="BA121" i="3"/>
  <c r="BA104" i="3"/>
  <c r="BA93" i="3"/>
  <c r="BA79" i="3"/>
  <c r="BA115" i="3"/>
  <c r="BA109" i="3"/>
  <c r="BA69" i="3"/>
  <c r="BA44" i="3"/>
  <c r="BA92" i="3"/>
  <c r="BA120" i="3"/>
  <c r="BA124" i="3"/>
  <c r="BA46" i="3"/>
  <c r="BA45" i="3"/>
  <c r="BA110" i="3"/>
  <c r="BA68" i="3"/>
  <c r="BA42" i="3"/>
  <c r="BA50" i="3"/>
  <c r="BA74" i="3"/>
  <c r="BA63" i="3"/>
  <c r="BA82" i="3"/>
  <c r="BA127" i="3"/>
  <c r="BA84" i="3"/>
  <c r="BA47" i="3"/>
  <c r="BA96" i="3"/>
  <c r="BA126" i="3"/>
  <c r="BA117" i="3"/>
  <c r="BA55" i="3"/>
  <c r="BA49" i="3"/>
  <c r="BA88" i="3"/>
  <c r="BA95" i="3"/>
  <c r="BA85" i="3"/>
  <c r="BA128" i="3"/>
  <c r="BA86" i="3"/>
  <c r="BA41" i="3"/>
  <c r="BA91" i="3"/>
  <c r="BA48" i="3"/>
  <c r="BA123" i="3"/>
  <c r="BA119" i="3"/>
  <c r="BA81" i="3"/>
  <c r="BA70" i="3"/>
  <c r="BA67" i="3"/>
  <c r="BA72" i="3"/>
  <c r="BA114" i="3"/>
  <c r="BA89" i="3"/>
  <c r="BA43" i="3"/>
  <c r="BA78" i="3"/>
  <c r="BA58" i="3"/>
  <c r="BA87" i="3"/>
  <c r="BA90" i="3"/>
  <c r="BA112" i="3"/>
  <c r="BA60" i="3"/>
  <c r="BA51" i="3"/>
  <c r="BA76" i="3"/>
  <c r="BA59" i="3"/>
  <c r="BA102" i="3"/>
  <c r="BA61" i="3"/>
  <c r="BA83" i="3"/>
  <c r="BA77" i="3"/>
  <c r="BA97" i="3"/>
  <c r="BA118" i="3"/>
  <c r="BA62" i="3"/>
  <c r="BA56" i="3"/>
  <c r="BA122" i="3"/>
  <c r="BA111" i="3"/>
  <c r="BA106" i="3"/>
  <c r="BA108" i="3"/>
  <c r="BA100" i="3"/>
  <c r="BA64" i="3"/>
  <c r="BA80" i="3"/>
  <c r="BA54" i="3"/>
  <c r="BA99" i="3"/>
  <c r="BA125" i="3"/>
  <c r="BA71" i="3"/>
  <c r="BA98" i="3"/>
  <c r="BA103" i="3"/>
  <c r="BA53" i="3"/>
  <c r="BA94" i="3"/>
  <c r="BA116" i="3"/>
  <c r="BA101" i="3"/>
  <c r="BA66" i="3"/>
  <c r="BA113" i="3"/>
  <c r="BA129" i="3"/>
  <c r="D30" i="13"/>
  <c r="BK29" i="6"/>
  <c r="A853" i="23" s="1"/>
  <c r="M30" i="9"/>
  <c r="I30" i="9"/>
  <c r="G30" i="9"/>
  <c r="G30" i="13"/>
  <c r="J30" i="9"/>
  <c r="M30" i="13"/>
  <c r="H30" i="13"/>
  <c r="E30" i="9"/>
  <c r="E30" i="13"/>
  <c r="K30" i="13"/>
  <c r="K30" i="9"/>
  <c r="H30" i="9"/>
  <c r="C30" i="13"/>
  <c r="I30" i="13"/>
  <c r="C30" i="9"/>
  <c r="N30" i="9"/>
  <c r="L30" i="9"/>
  <c r="N30" i="13"/>
  <c r="L30" i="13"/>
  <c r="F30" i="9"/>
  <c r="D30" i="9"/>
  <c r="J30" i="13"/>
  <c r="F30" i="13"/>
  <c r="AU115" i="5"/>
  <c r="I58" i="16"/>
  <c r="I44" i="16"/>
  <c r="I37" i="16"/>
  <c r="H65" i="16"/>
  <c r="I19" i="16"/>
  <c r="I18" i="16"/>
  <c r="I35" i="16"/>
  <c r="AU105" i="5"/>
  <c r="AU111" i="5"/>
  <c r="I36" i="16"/>
  <c r="I60" i="16"/>
  <c r="I39" i="16"/>
  <c r="I46" i="16"/>
  <c r="I16" i="16"/>
  <c r="I17" i="16"/>
  <c r="I48" i="16"/>
  <c r="I22" i="16"/>
  <c r="I49" i="16"/>
  <c r="I52" i="16"/>
  <c r="I23" i="16"/>
  <c r="I20" i="16"/>
  <c r="I51" i="16"/>
  <c r="I55" i="16"/>
  <c r="I24" i="16"/>
  <c r="I54" i="16"/>
  <c r="I38" i="16"/>
  <c r="I40" i="16"/>
  <c r="I56" i="16"/>
  <c r="I26" i="16"/>
  <c r="I11" i="16"/>
  <c r="I62" i="16"/>
  <c r="I25" i="16"/>
  <c r="I53" i="16"/>
  <c r="I13" i="16"/>
  <c r="I57" i="16"/>
  <c r="I28" i="16"/>
  <c r="I29" i="16"/>
  <c r="I41" i="16"/>
  <c r="I27" i="16"/>
  <c r="I30" i="16"/>
  <c r="I15" i="16"/>
  <c r="I33" i="16"/>
  <c r="I43" i="16"/>
  <c r="I10" i="16"/>
  <c r="I42" i="16"/>
  <c r="I59" i="16"/>
  <c r="I32" i="16"/>
  <c r="I45" i="16"/>
  <c r="I14" i="16"/>
  <c r="I31" i="16"/>
  <c r="I12" i="16"/>
  <c r="I21" i="16"/>
  <c r="I34" i="16"/>
  <c r="E28" i="10"/>
  <c r="F51" i="9"/>
  <c r="F51" i="13"/>
  <c r="J51" i="9"/>
  <c r="H51" i="13"/>
  <c r="D51" i="13"/>
  <c r="K51" i="9"/>
  <c r="M51" i="13"/>
  <c r="J51" i="13"/>
  <c r="M51" i="9"/>
  <c r="N51" i="9"/>
  <c r="H51" i="9"/>
  <c r="C51" i="13"/>
  <c r="G51" i="9"/>
  <c r="E51" i="13"/>
  <c r="D51" i="9"/>
  <c r="K51" i="13"/>
  <c r="I51" i="13"/>
  <c r="G51" i="13"/>
  <c r="E51" i="9"/>
  <c r="N51" i="13"/>
  <c r="L51" i="9"/>
  <c r="L51" i="13"/>
  <c r="C51" i="9"/>
  <c r="I51" i="9"/>
  <c r="P41" i="31"/>
  <c r="Q40" i="31"/>
  <c r="J50" i="13"/>
  <c r="M29" i="27"/>
  <c r="Q155" i="7" s="1"/>
  <c r="G165" i="7" s="1"/>
  <c r="R30" i="9"/>
  <c r="K34" i="19" s="1"/>
  <c r="BC27" i="5"/>
  <c r="E93" i="7"/>
  <c r="BL96" i="5"/>
  <c r="M94" i="7" s="1"/>
  <c r="CC27" i="5"/>
  <c r="BT27" i="5"/>
  <c r="E95" i="7"/>
  <c r="BK27" i="5"/>
  <c r="E94" i="7"/>
  <c r="BL73" i="5"/>
  <c r="I94" i="7" s="1"/>
  <c r="BU73" i="5"/>
  <c r="I95" i="7" s="1"/>
  <c r="BL50" i="5"/>
  <c r="K94" i="7" s="1"/>
  <c r="K96" i="7" s="1"/>
  <c r="E45" i="27" s="1"/>
  <c r="BU96" i="5"/>
  <c r="M95" i="7" s="1"/>
  <c r="BC96" i="5"/>
  <c r="M93" i="7"/>
  <c r="BU50" i="5"/>
  <c r="K95" i="7" s="1"/>
  <c r="BC73" i="5"/>
  <c r="I93" i="7"/>
  <c r="BC50" i="5"/>
  <c r="K93" i="7"/>
  <c r="BC119" i="5"/>
  <c r="G93" i="7"/>
  <c r="BL119" i="5"/>
  <c r="G94" i="7" s="1"/>
  <c r="Q88" i="7"/>
  <c r="I63" i="16"/>
  <c r="M30" i="10"/>
  <c r="P42" i="31"/>
  <c r="Q41" i="31"/>
  <c r="C50" i="13"/>
  <c r="F50" i="13"/>
  <c r="F52" i="13" s="1"/>
  <c r="J50" i="9"/>
  <c r="D50" i="13"/>
  <c r="I50" i="9"/>
  <c r="K50" i="9"/>
  <c r="K52" i="9" s="1"/>
  <c r="D50" i="9"/>
  <c r="D52" i="9" s="1"/>
  <c r="I50" i="13"/>
  <c r="G50" i="9"/>
  <c r="G50" i="13"/>
  <c r="G52" i="13" s="1"/>
  <c r="N50" i="9"/>
  <c r="L50" i="9"/>
  <c r="E50" i="13"/>
  <c r="H50" i="13"/>
  <c r="H50" i="9"/>
  <c r="F50" i="9"/>
  <c r="M50" i="13"/>
  <c r="N50" i="13"/>
  <c r="C50" i="9"/>
  <c r="L50" i="13"/>
  <c r="M50" i="9"/>
  <c r="E50" i="9"/>
  <c r="K50" i="13"/>
  <c r="M24" i="27"/>
  <c r="E96" i="7"/>
  <c r="E48" i="27"/>
  <c r="M48" i="27"/>
  <c r="X48" i="27"/>
  <c r="M45" i="27"/>
  <c r="X45" i="27" s="1"/>
  <c r="M46" i="27"/>
  <c r="X46" i="27" s="1"/>
  <c r="A725" i="23"/>
  <c r="M47" i="27"/>
  <c r="X47" i="27" s="1"/>
  <c r="AA70" i="22"/>
  <c r="Q35" i="3"/>
  <c r="Q85" i="7"/>
  <c r="G91" i="7"/>
  <c r="P43" i="31"/>
  <c r="Q42" i="31"/>
  <c r="Q91" i="7"/>
  <c r="K15" i="11"/>
  <c r="A711" i="23"/>
  <c r="A718" i="23"/>
  <c r="BH28" i="6"/>
  <c r="BU119" i="5"/>
  <c r="G95" i="7" s="1"/>
  <c r="M25" i="13"/>
  <c r="L28" i="9"/>
  <c r="C28" i="13"/>
  <c r="L28" i="13"/>
  <c r="G41" i="13"/>
  <c r="M28" i="9"/>
  <c r="K35" i="13"/>
  <c r="F31" i="13"/>
  <c r="G31" i="9"/>
  <c r="H31" i="13"/>
  <c r="E31" i="9"/>
  <c r="I25" i="9"/>
  <c r="E35" i="13"/>
  <c r="F25" i="9"/>
  <c r="K28" i="9"/>
  <c r="D27" i="9"/>
  <c r="K53" i="9"/>
  <c r="J28" i="13"/>
  <c r="I40" i="13"/>
  <c r="N53" i="9"/>
  <c r="D31" i="13"/>
  <c r="M53" i="9"/>
  <c r="M53" i="13"/>
  <c r="J36" i="9"/>
  <c r="D53" i="9"/>
  <c r="N27" i="9"/>
  <c r="H28" i="9"/>
  <c r="N28" i="13"/>
  <c r="M70" i="4"/>
  <c r="R57" i="4"/>
  <c r="AH108" i="4" s="1"/>
  <c r="AA68" i="22"/>
  <c r="AA66" i="22"/>
  <c r="AA62" i="22"/>
  <c r="AA67" i="22"/>
  <c r="AA69" i="22"/>
  <c r="AA65" i="22"/>
  <c r="F128" i="6"/>
  <c r="Q43" i="31"/>
  <c r="P44" i="31"/>
  <c r="F165" i="6"/>
  <c r="N184" i="6" s="1"/>
  <c r="BH27" i="6" s="1"/>
  <c r="G53" i="13"/>
  <c r="M26" i="27"/>
  <c r="I145" i="7" s="1"/>
  <c r="I155" i="7" s="1"/>
  <c r="X62" i="7"/>
  <c r="D53" i="13"/>
  <c r="F53" i="9"/>
  <c r="I53" i="9"/>
  <c r="I53" i="13"/>
  <c r="E53" i="13"/>
  <c r="C53" i="13"/>
  <c r="F53" i="13"/>
  <c r="H53" i="9"/>
  <c r="H58" i="9" s="1"/>
  <c r="L53" i="13"/>
  <c r="H53" i="13"/>
  <c r="J53" i="13"/>
  <c r="E53" i="9"/>
  <c r="G53" i="9"/>
  <c r="K53" i="13"/>
  <c r="C53" i="9"/>
  <c r="N53" i="13"/>
  <c r="L53" i="9"/>
  <c r="D68" i="19"/>
  <c r="L36" i="13"/>
  <c r="J53" i="9"/>
  <c r="L24" i="9"/>
  <c r="L41" i="9"/>
  <c r="L38" i="9"/>
  <c r="M38" i="9"/>
  <c r="L38" i="13"/>
  <c r="G39" i="13"/>
  <c r="G40" i="13"/>
  <c r="L24" i="13"/>
  <c r="G38" i="13"/>
  <c r="L39" i="13"/>
  <c r="M36" i="9"/>
  <c r="M40" i="9"/>
  <c r="L37" i="13"/>
  <c r="G36" i="13"/>
  <c r="M39" i="9"/>
  <c r="L41" i="13"/>
  <c r="G28" i="13"/>
  <c r="M37" i="9"/>
  <c r="L25" i="13"/>
  <c r="G37" i="13"/>
  <c r="D38" i="9"/>
  <c r="E38" i="9"/>
  <c r="J39" i="13"/>
  <c r="G36" i="9"/>
  <c r="L39" i="9"/>
  <c r="L40" i="9"/>
  <c r="L27" i="9"/>
  <c r="L37" i="9"/>
  <c r="L36" i="9"/>
  <c r="H39" i="13"/>
  <c r="H40" i="13"/>
  <c r="H35" i="13"/>
  <c r="H27" i="13"/>
  <c r="H38" i="13"/>
  <c r="L31" i="9"/>
  <c r="H36" i="13"/>
  <c r="H25" i="13"/>
  <c r="L35" i="9"/>
  <c r="M37" i="13"/>
  <c r="I37" i="13"/>
  <c r="I36" i="13"/>
  <c r="I38" i="13"/>
  <c r="M38" i="13"/>
  <c r="M36" i="13"/>
  <c r="F49" i="13"/>
  <c r="F6" i="19"/>
  <c r="F9" i="19" s="1"/>
  <c r="N36" i="13"/>
  <c r="A739" i="23"/>
  <c r="N39" i="9"/>
  <c r="M39" i="13"/>
  <c r="I39" i="13"/>
  <c r="H24" i="13"/>
  <c r="H41" i="13"/>
  <c r="C35" i="9"/>
  <c r="M27" i="9"/>
  <c r="G35" i="13"/>
  <c r="M31" i="9"/>
  <c r="L27" i="13"/>
  <c r="L40" i="13"/>
  <c r="G24" i="13"/>
  <c r="M24" i="9"/>
  <c r="L35" i="13"/>
  <c r="G25" i="13"/>
  <c r="G27" i="13"/>
  <c r="G31" i="13"/>
  <c r="M25" i="9"/>
  <c r="M35" i="9"/>
  <c r="M41" i="9"/>
  <c r="L31" i="13"/>
  <c r="M41" i="13"/>
  <c r="D25" i="13"/>
  <c r="M31" i="13"/>
  <c r="M40" i="13"/>
  <c r="I35" i="13"/>
  <c r="M27" i="13"/>
  <c r="M24" i="13"/>
  <c r="M35" i="13"/>
  <c r="M28" i="13"/>
  <c r="I25" i="13"/>
  <c r="D40" i="13"/>
  <c r="D28" i="13"/>
  <c r="D24" i="13"/>
  <c r="N25" i="13"/>
  <c r="G27" i="9"/>
  <c r="D40" i="9"/>
  <c r="J49" i="9"/>
  <c r="N41" i="13"/>
  <c r="N35" i="13"/>
  <c r="M49" i="13"/>
  <c r="J24" i="9"/>
  <c r="H38" i="9"/>
  <c r="H36" i="9"/>
  <c r="H37" i="13"/>
  <c r="J41" i="9"/>
  <c r="H41" i="9"/>
  <c r="H35" i="9"/>
  <c r="J28" i="9"/>
  <c r="J39" i="9"/>
  <c r="H40" i="9"/>
  <c r="J25" i="9"/>
  <c r="H24" i="9"/>
  <c r="J35" i="9"/>
  <c r="H37" i="9"/>
  <c r="J37" i="9"/>
  <c r="H25" i="9"/>
  <c r="D49" i="9"/>
  <c r="H27" i="9"/>
  <c r="H31" i="9"/>
  <c r="L25" i="9"/>
  <c r="J27" i="9"/>
  <c r="J31" i="9"/>
  <c r="H28" i="13"/>
  <c r="J38" i="9"/>
  <c r="J40" i="9"/>
  <c r="H39" i="9"/>
  <c r="N39" i="13"/>
  <c r="D36" i="13"/>
  <c r="I28" i="13"/>
  <c r="N27" i="13"/>
  <c r="E41" i="13"/>
  <c r="N24" i="9"/>
  <c r="N25" i="9"/>
  <c r="I24" i="13"/>
  <c r="N24" i="13"/>
  <c r="D38" i="13"/>
  <c r="D37" i="13"/>
  <c r="N31" i="9"/>
  <c r="N49" i="9"/>
  <c r="N41" i="9"/>
  <c r="N35" i="9"/>
  <c r="D39" i="13"/>
  <c r="I31" i="13"/>
  <c r="N36" i="9"/>
  <c r="N37" i="9"/>
  <c r="N28" i="9"/>
  <c r="N40" i="9"/>
  <c r="N38" i="9"/>
  <c r="I41" i="13"/>
  <c r="I27" i="13"/>
  <c r="D27" i="13"/>
  <c r="D35" i="13"/>
  <c r="N38" i="13"/>
  <c r="N40" i="13"/>
  <c r="D41" i="13"/>
  <c r="N37" i="13"/>
  <c r="N31" i="13"/>
  <c r="K39" i="9"/>
  <c r="K36" i="9"/>
  <c r="E35" i="9"/>
  <c r="E38" i="13"/>
  <c r="C49" i="13"/>
  <c r="K27" i="13"/>
  <c r="I35" i="9"/>
  <c r="E24" i="9"/>
  <c r="K38" i="9"/>
  <c r="K37" i="9"/>
  <c r="K31" i="9"/>
  <c r="E36" i="9"/>
  <c r="E28" i="9"/>
  <c r="E28" i="13"/>
  <c r="E39" i="9"/>
  <c r="E40" i="13"/>
  <c r="E31" i="13"/>
  <c r="K28" i="13"/>
  <c r="L49" i="13"/>
  <c r="E27" i="13"/>
  <c r="E25" i="13"/>
  <c r="K41" i="9"/>
  <c r="K35" i="9"/>
  <c r="K24" i="9"/>
  <c r="E37" i="13"/>
  <c r="E36" i="13"/>
  <c r="K24" i="13"/>
  <c r="E39" i="13"/>
  <c r="E40" i="9"/>
  <c r="K25" i="9"/>
  <c r="E24" i="13"/>
  <c r="E25" i="9"/>
  <c r="E27" i="9"/>
  <c r="C27" i="13"/>
  <c r="E41" i="9"/>
  <c r="K27" i="9"/>
  <c r="K40" i="9"/>
  <c r="E37" i="9"/>
  <c r="C68" i="19"/>
  <c r="C65" i="19"/>
  <c r="E49" i="13"/>
  <c r="D65" i="19"/>
  <c r="D67" i="19"/>
  <c r="C66" i="19"/>
  <c r="M49" i="9"/>
  <c r="C67" i="19"/>
  <c r="I49" i="13"/>
  <c r="D66" i="19"/>
  <c r="I27" i="9"/>
  <c r="F39" i="13"/>
  <c r="F35" i="13"/>
  <c r="H49" i="13"/>
  <c r="F40" i="9"/>
  <c r="F36" i="13"/>
  <c r="D49" i="13"/>
  <c r="K39" i="13"/>
  <c r="I24" i="9"/>
  <c r="F41" i="13"/>
  <c r="C38" i="13"/>
  <c r="C24" i="9"/>
  <c r="F41" i="9"/>
  <c r="C37" i="9"/>
  <c r="K31" i="13"/>
  <c r="C31" i="13"/>
  <c r="C31" i="9"/>
  <c r="C25" i="9"/>
  <c r="K25" i="13"/>
  <c r="F49" i="9"/>
  <c r="I38" i="9"/>
  <c r="I40" i="9"/>
  <c r="I49" i="9"/>
  <c r="F27" i="13"/>
  <c r="C40" i="13"/>
  <c r="C25" i="13"/>
  <c r="F27" i="9"/>
  <c r="F24" i="9"/>
  <c r="C40" i="9"/>
  <c r="F37" i="9"/>
  <c r="I37" i="9"/>
  <c r="C37" i="13"/>
  <c r="C39" i="9"/>
  <c r="K36" i="13"/>
  <c r="C36" i="13"/>
  <c r="C36" i="9"/>
  <c r="F28" i="9"/>
  <c r="K40" i="13"/>
  <c r="I39" i="9"/>
  <c r="F24" i="13"/>
  <c r="C35" i="13"/>
  <c r="F31" i="9"/>
  <c r="I28" i="9"/>
  <c r="F38" i="9"/>
  <c r="K41" i="13"/>
  <c r="F40" i="13"/>
  <c r="F25" i="13"/>
  <c r="C39" i="13"/>
  <c r="I41" i="9"/>
  <c r="C41" i="9"/>
  <c r="C27" i="9"/>
  <c r="F36" i="9"/>
  <c r="C28" i="9"/>
  <c r="F38" i="13"/>
  <c r="C41" i="13"/>
  <c r="C24" i="13"/>
  <c r="F39" i="9"/>
  <c r="F35" i="9"/>
  <c r="C38" i="9"/>
  <c r="K37" i="13"/>
  <c r="I31" i="9"/>
  <c r="F28" i="13"/>
  <c r="H49" i="9"/>
  <c r="C49" i="9"/>
  <c r="K38" i="13"/>
  <c r="F37" i="13"/>
  <c r="I36" i="9"/>
  <c r="E49" i="9"/>
  <c r="G49" i="13"/>
  <c r="L49" i="9"/>
  <c r="K49" i="9"/>
  <c r="J49" i="13"/>
  <c r="G24" i="9"/>
  <c r="J25" i="13"/>
  <c r="J38" i="13"/>
  <c r="D28" i="9"/>
  <c r="G40" i="9"/>
  <c r="G38" i="9"/>
  <c r="D39" i="9"/>
  <c r="D25" i="9"/>
  <c r="G41" i="9"/>
  <c r="D24" i="9"/>
  <c r="D35" i="9"/>
  <c r="J31" i="13"/>
  <c r="K49" i="13"/>
  <c r="N49" i="13"/>
  <c r="J41" i="13"/>
  <c r="D41" i="9"/>
  <c r="J37" i="13"/>
  <c r="J36" i="13"/>
  <c r="G28" i="9"/>
  <c r="J40" i="13"/>
  <c r="G39" i="9"/>
  <c r="D37" i="9"/>
  <c r="G37" i="9"/>
  <c r="D31" i="9"/>
  <c r="G25" i="9"/>
  <c r="J24" i="13"/>
  <c r="J27" i="13"/>
  <c r="D36" i="9"/>
  <c r="G35" i="9"/>
  <c r="G49" i="9"/>
  <c r="J35" i="13"/>
  <c r="H32" i="13"/>
  <c r="J32" i="13"/>
  <c r="K32" i="9"/>
  <c r="K32" i="13"/>
  <c r="I32" i="9"/>
  <c r="C32" i="13"/>
  <c r="M32" i="9"/>
  <c r="M32" i="13"/>
  <c r="L32" i="13"/>
  <c r="F32" i="9"/>
  <c r="C32" i="9"/>
  <c r="F32" i="13"/>
  <c r="J32" i="9"/>
  <c r="G32" i="13"/>
  <c r="G32" i="9"/>
  <c r="I32" i="13"/>
  <c r="D32" i="9"/>
  <c r="H32" i="9"/>
  <c r="L32" i="9"/>
  <c r="E32" i="9"/>
  <c r="N32" i="13"/>
  <c r="D32" i="13"/>
  <c r="E32" i="13"/>
  <c r="N32" i="9"/>
  <c r="W41" i="22"/>
  <c r="W42" i="22"/>
  <c r="I62" i="4"/>
  <c r="F148" i="6"/>
  <c r="F184" i="6" s="1"/>
  <c r="BI25" i="6"/>
  <c r="A823" i="23"/>
  <c r="BM25" i="6"/>
  <c r="G98" i="7"/>
  <c r="O90" i="7"/>
  <c r="P45" i="31"/>
  <c r="Q44" i="31"/>
  <c r="M98" i="7"/>
  <c r="I98" i="7"/>
  <c r="K98" i="7"/>
  <c r="G56" i="13"/>
  <c r="M54" i="13"/>
  <c r="D54" i="13"/>
  <c r="N55" i="13"/>
  <c r="I54" i="13"/>
  <c r="K56" i="13"/>
  <c r="F57" i="13"/>
  <c r="C55" i="13"/>
  <c r="I55" i="13"/>
  <c r="M55" i="13"/>
  <c r="I56" i="13"/>
  <c r="J55" i="13"/>
  <c r="D56" i="13"/>
  <c r="F55" i="13"/>
  <c r="H56" i="13"/>
  <c r="H54" i="13"/>
  <c r="G54" i="13"/>
  <c r="D55" i="13"/>
  <c r="J56" i="13"/>
  <c r="K55" i="13"/>
  <c r="M56" i="13"/>
  <c r="L55" i="13"/>
  <c r="Q32" i="9"/>
  <c r="C69" i="19"/>
  <c r="D69" i="19"/>
  <c r="O49" i="9"/>
  <c r="O49" i="15"/>
  <c r="O49" i="13"/>
  <c r="L33" i="9"/>
  <c r="D34" i="19"/>
  <c r="D35" i="19"/>
  <c r="D33" i="19"/>
  <c r="Q87" i="7"/>
  <c r="Q28" i="9"/>
  <c r="Q35" i="9"/>
  <c r="Q40" i="9"/>
  <c r="Q41" i="9"/>
  <c r="P46" i="31"/>
  <c r="Q45" i="31"/>
  <c r="Q29" i="9"/>
  <c r="Q27" i="9"/>
  <c r="BM27" i="6"/>
  <c r="BJ27" i="6"/>
  <c r="BK27" i="6"/>
  <c r="A851" i="23" s="1"/>
  <c r="A839" i="23"/>
  <c r="BI27" i="6"/>
  <c r="BD27" i="6"/>
  <c r="I162" i="7"/>
  <c r="C57" i="13"/>
  <c r="M57" i="13"/>
  <c r="L57" i="13"/>
  <c r="G57" i="13"/>
  <c r="H57" i="13"/>
  <c r="R40" i="9"/>
  <c r="K44" i="19" s="1"/>
  <c r="R41" i="9"/>
  <c r="K30" i="19" s="1"/>
  <c r="R38" i="9"/>
  <c r="K42" i="19" s="1"/>
  <c r="R39" i="9"/>
  <c r="K43" i="19" s="1"/>
  <c r="R36" i="9"/>
  <c r="K40" i="19" s="1"/>
  <c r="R37" i="9"/>
  <c r="K41" i="19" s="1"/>
  <c r="R33" i="9"/>
  <c r="K38" i="19" s="1"/>
  <c r="R35" i="9"/>
  <c r="K39" i="19" s="1"/>
  <c r="R32" i="9"/>
  <c r="R29" i="9"/>
  <c r="K35" i="19" s="1"/>
  <c r="R31" i="9"/>
  <c r="R28" i="9"/>
  <c r="R25" i="9"/>
  <c r="R27" i="9"/>
  <c r="R24" i="9"/>
  <c r="L29" i="9"/>
  <c r="K29" i="13"/>
  <c r="H29" i="9"/>
  <c r="D29" i="13"/>
  <c r="I29" i="9"/>
  <c r="N29" i="9"/>
  <c r="C29" i="9"/>
  <c r="H29" i="13"/>
  <c r="M29" i="13"/>
  <c r="G29" i="13"/>
  <c r="G29" i="9"/>
  <c r="E29" i="13"/>
  <c r="D29" i="9"/>
  <c r="N29" i="13"/>
  <c r="I29" i="13"/>
  <c r="J29" i="13"/>
  <c r="E29" i="9"/>
  <c r="J29" i="9"/>
  <c r="L29" i="13"/>
  <c r="M29" i="9"/>
  <c r="C29" i="13"/>
  <c r="F29" i="13"/>
  <c r="K29" i="9"/>
  <c r="F29" i="9"/>
  <c r="D33" i="13"/>
  <c r="I33" i="9"/>
  <c r="I33" i="13"/>
  <c r="K33" i="13"/>
  <c r="L33" i="13"/>
  <c r="K33" i="9"/>
  <c r="E33" i="9"/>
  <c r="G33" i="13"/>
  <c r="F33" i="9"/>
  <c r="M33" i="9"/>
  <c r="N33" i="9"/>
  <c r="H33" i="13"/>
  <c r="D33" i="9"/>
  <c r="N33" i="13"/>
  <c r="M33" i="13"/>
  <c r="C33" i="9"/>
  <c r="J33" i="13"/>
  <c r="G33" i="9"/>
  <c r="J33" i="9"/>
  <c r="C33" i="13"/>
  <c r="H33" i="9"/>
  <c r="E33" i="13"/>
  <c r="F33" i="13"/>
  <c r="Q46" i="31"/>
  <c r="P47" i="31"/>
  <c r="M27" i="27"/>
  <c r="K145" i="7" s="1"/>
  <c r="E14" i="10"/>
  <c r="P48" i="31"/>
  <c r="Q47" i="31"/>
  <c r="K26" i="19"/>
  <c r="P49" i="31"/>
  <c r="Q48" i="31"/>
  <c r="M18" i="27"/>
  <c r="M20" i="27"/>
  <c r="Q145" i="7" s="1"/>
  <c r="M23" i="27"/>
  <c r="E145" i="7" s="1"/>
  <c r="E155" i="7" s="1"/>
  <c r="E29" i="10"/>
  <c r="E34" i="10"/>
  <c r="M161" i="7"/>
  <c r="Z61" i="7" s="1"/>
  <c r="P50" i="31"/>
  <c r="Q49" i="31"/>
  <c r="M30" i="27"/>
  <c r="G155" i="7" s="1"/>
  <c r="M25" i="27"/>
  <c r="G145" i="7" s="1"/>
  <c r="P51" i="31"/>
  <c r="Q50" i="31"/>
  <c r="E21" i="27"/>
  <c r="Y21" i="27"/>
  <c r="M165" i="7" s="1"/>
  <c r="D42" i="19"/>
  <c r="C75" i="19"/>
  <c r="D75" i="19"/>
  <c r="Q51" i="31"/>
  <c r="P52" i="31"/>
  <c r="P53" i="31"/>
  <c r="Q52" i="31"/>
  <c r="M31" i="27"/>
  <c r="M155" i="7" s="1"/>
  <c r="J53" i="31"/>
  <c r="B53" i="31"/>
  <c r="H51" i="31"/>
  <c r="K50" i="31"/>
  <c r="C50" i="31"/>
  <c r="F49" i="31"/>
  <c r="I48" i="31"/>
  <c r="A48" i="31"/>
  <c r="L47" i="31"/>
  <c r="D47" i="31"/>
  <c r="G46" i="31"/>
  <c r="I53" i="31"/>
  <c r="A53" i="31"/>
  <c r="G51" i="31"/>
  <c r="J50" i="31"/>
  <c r="B50" i="31"/>
  <c r="E49" i="31"/>
  <c r="H48" i="31"/>
  <c r="K47" i="31"/>
  <c r="C47" i="31"/>
  <c r="F46" i="31"/>
  <c r="I45" i="31"/>
  <c r="A45" i="31"/>
  <c r="L44" i="31"/>
  <c r="D44" i="31"/>
  <c r="G43" i="31"/>
  <c r="J42" i="31"/>
  <c r="B42" i="31"/>
  <c r="E41" i="31"/>
  <c r="H53" i="31"/>
  <c r="F51" i="31"/>
  <c r="I50" i="31"/>
  <c r="A50" i="31"/>
  <c r="L49" i="31"/>
  <c r="D49" i="31"/>
  <c r="G48" i="31"/>
  <c r="J47" i="31"/>
  <c r="B47" i="31"/>
  <c r="E46" i="31"/>
  <c r="H45" i="31"/>
  <c r="K44" i="31"/>
  <c r="C44" i="31"/>
  <c r="F43" i="31"/>
  <c r="I42" i="31"/>
  <c r="A42" i="31"/>
  <c r="L41" i="31"/>
  <c r="D41" i="31"/>
  <c r="G40" i="31"/>
  <c r="J39" i="31"/>
  <c r="B39" i="31"/>
  <c r="E38" i="31"/>
  <c r="H37" i="31"/>
  <c r="K36" i="31"/>
  <c r="C36" i="31"/>
  <c r="G53" i="31"/>
  <c r="E51" i="31"/>
  <c r="H50" i="31"/>
  <c r="K49" i="31"/>
  <c r="C49" i="31"/>
  <c r="F48" i="31"/>
  <c r="I47" i="31"/>
  <c r="A47" i="31"/>
  <c r="L46" i="31"/>
  <c r="D46" i="31"/>
  <c r="G45" i="31"/>
  <c r="J44" i="31"/>
  <c r="B44" i="31"/>
  <c r="E43" i="31"/>
  <c r="H42" i="31"/>
  <c r="K41" i="31"/>
  <c r="C41" i="31"/>
  <c r="F40" i="31"/>
  <c r="I39" i="31"/>
  <c r="A39" i="31"/>
  <c r="L38" i="31"/>
  <c r="D38" i="31"/>
  <c r="G37" i="31"/>
  <c r="J36" i="31"/>
  <c r="B36" i="31"/>
  <c r="E35" i="31"/>
  <c r="H34" i="31"/>
  <c r="K33" i="31"/>
  <c r="C33" i="31"/>
  <c r="F32" i="31"/>
  <c r="I31" i="31"/>
  <c r="A31" i="31"/>
  <c r="L30" i="31"/>
  <c r="D30" i="31"/>
  <c r="G29" i="31"/>
  <c r="F53" i="31"/>
  <c r="L51" i="31"/>
  <c r="D51" i="31"/>
  <c r="G50" i="31"/>
  <c r="J49" i="31"/>
  <c r="B49" i="31"/>
  <c r="E48" i="31"/>
  <c r="H47" i="31"/>
  <c r="K46" i="31"/>
  <c r="C46" i="31"/>
  <c r="F45" i="31"/>
  <c r="I44" i="31"/>
  <c r="A44" i="31"/>
  <c r="L43" i="31"/>
  <c r="D43" i="31"/>
  <c r="G42" i="31"/>
  <c r="J41" i="31"/>
  <c r="B41" i="31"/>
  <c r="E40" i="31"/>
  <c r="H39" i="31"/>
  <c r="K38" i="31"/>
  <c r="C38" i="31"/>
  <c r="F37" i="31"/>
  <c r="I36" i="31"/>
  <c r="A36" i="31"/>
  <c r="L35" i="31"/>
  <c r="D35" i="31"/>
  <c r="G34" i="31"/>
  <c r="J33" i="31"/>
  <c r="B33" i="31"/>
  <c r="E32" i="31"/>
  <c r="H31" i="31"/>
  <c r="K30" i="31"/>
  <c r="C30" i="31"/>
  <c r="F29" i="31"/>
  <c r="I28" i="31"/>
  <c r="A28" i="31"/>
  <c r="L27" i="31"/>
  <c r="D27" i="31"/>
  <c r="E53" i="31"/>
  <c r="K51" i="31"/>
  <c r="C51" i="31"/>
  <c r="F50" i="31"/>
  <c r="I49" i="31"/>
  <c r="A49" i="31"/>
  <c r="L48" i="31"/>
  <c r="D48" i="31"/>
  <c r="G47" i="31"/>
  <c r="J46" i="31"/>
  <c r="B46" i="31"/>
  <c r="E45" i="31"/>
  <c r="H44" i="31"/>
  <c r="K43" i="31"/>
  <c r="C43" i="31"/>
  <c r="F42" i="31"/>
  <c r="I41" i="31"/>
  <c r="A41" i="31"/>
  <c r="L40" i="31"/>
  <c r="D40" i="31"/>
  <c r="G39" i="31"/>
  <c r="J38" i="31"/>
  <c r="B38" i="31"/>
  <c r="E37" i="31"/>
  <c r="H36" i="31"/>
  <c r="K35" i="31"/>
  <c r="C35" i="31"/>
  <c r="F34" i="31"/>
  <c r="I33" i="31"/>
  <c r="A33" i="31"/>
  <c r="L32" i="31"/>
  <c r="D32" i="31"/>
  <c r="G31" i="31"/>
  <c r="J30" i="31"/>
  <c r="B30" i="31"/>
  <c r="E29" i="31"/>
  <c r="H28" i="31"/>
  <c r="K27" i="31"/>
  <c r="C27" i="31"/>
  <c r="L53" i="31"/>
  <c r="D53" i="31"/>
  <c r="J51" i="31"/>
  <c r="B51" i="31"/>
  <c r="E50" i="31"/>
  <c r="H49" i="31"/>
  <c r="K48" i="31"/>
  <c r="C48" i="31"/>
  <c r="F47" i="31"/>
  <c r="I46" i="31"/>
  <c r="A46" i="31"/>
  <c r="L45" i="31"/>
  <c r="D45" i="31"/>
  <c r="G44" i="31"/>
  <c r="J43" i="31"/>
  <c r="B43" i="31"/>
  <c r="E42" i="31"/>
  <c r="H41" i="31"/>
  <c r="K40" i="31"/>
  <c r="C40" i="31"/>
  <c r="F39" i="31"/>
  <c r="I38" i="31"/>
  <c r="A38" i="31"/>
  <c r="L37" i="31"/>
  <c r="D37" i="31"/>
  <c r="G36" i="31"/>
  <c r="J35" i="31"/>
  <c r="B35" i="31"/>
  <c r="E34" i="31"/>
  <c r="H33" i="31"/>
  <c r="K32" i="31"/>
  <c r="C32" i="31"/>
  <c r="F31" i="31"/>
  <c r="L50" i="31"/>
  <c r="B45" i="31"/>
  <c r="E44" i="31"/>
  <c r="F41" i="31"/>
  <c r="A40" i="31"/>
  <c r="E39" i="31"/>
  <c r="G38" i="31"/>
  <c r="E36" i="31"/>
  <c r="H35" i="31"/>
  <c r="C34" i="31"/>
  <c r="B32" i="31"/>
  <c r="E30" i="31"/>
  <c r="D29" i="31"/>
  <c r="J28" i="31"/>
  <c r="G27" i="31"/>
  <c r="F26" i="31"/>
  <c r="I25" i="31"/>
  <c r="A25" i="31"/>
  <c r="L24" i="31"/>
  <c r="D24" i="31"/>
  <c r="G23" i="31"/>
  <c r="J22" i="31"/>
  <c r="B22" i="31"/>
  <c r="Q53" i="31"/>
  <c r="E21" i="31"/>
  <c r="K53" i="31"/>
  <c r="D50" i="31"/>
  <c r="G49" i="31"/>
  <c r="D39" i="31"/>
  <c r="F38" i="31"/>
  <c r="D36" i="31"/>
  <c r="G35" i="31"/>
  <c r="B34" i="31"/>
  <c r="A32" i="31"/>
  <c r="L31" i="31"/>
  <c r="A30" i="31"/>
  <c r="C29" i="31"/>
  <c r="G28" i="31"/>
  <c r="F27" i="31"/>
  <c r="E26" i="31"/>
  <c r="H25" i="31"/>
  <c r="K24" i="31"/>
  <c r="C24" i="31"/>
  <c r="F23" i="31"/>
  <c r="I22" i="31"/>
  <c r="A22" i="31"/>
  <c r="L21" i="31"/>
  <c r="D21" i="31"/>
  <c r="G20" i="31"/>
  <c r="J19" i="31"/>
  <c r="B19" i="31"/>
  <c r="E18" i="31"/>
  <c r="H17" i="31"/>
  <c r="K16" i="31"/>
  <c r="C16" i="31"/>
  <c r="F15" i="31"/>
  <c r="I14" i="31"/>
  <c r="A14" i="31"/>
  <c r="L13" i="31"/>
  <c r="D13" i="31"/>
  <c r="G12" i="31"/>
  <c r="J11" i="31"/>
  <c r="B11" i="31"/>
  <c r="E10" i="31"/>
  <c r="H9" i="31"/>
  <c r="K8" i="31"/>
  <c r="C8" i="31"/>
  <c r="F7" i="31"/>
  <c r="I6" i="31"/>
  <c r="C53" i="31"/>
  <c r="C39" i="31"/>
  <c r="K37" i="31"/>
  <c r="F35" i="31"/>
  <c r="A34" i="31"/>
  <c r="K31" i="31"/>
  <c r="B29" i="31"/>
  <c r="F28" i="31"/>
  <c r="E27" i="31"/>
  <c r="L26" i="31"/>
  <c r="D26" i="31"/>
  <c r="G25" i="31"/>
  <c r="J24" i="31"/>
  <c r="B24" i="31"/>
  <c r="E23" i="31"/>
  <c r="H22" i="31"/>
  <c r="K21" i="31"/>
  <c r="C21" i="31"/>
  <c r="F20" i="31"/>
  <c r="I19" i="31"/>
  <c r="A19" i="31"/>
  <c r="L18" i="31"/>
  <c r="D18" i="31"/>
  <c r="G17" i="31"/>
  <c r="J16" i="31"/>
  <c r="B16" i="31"/>
  <c r="E15" i="31"/>
  <c r="H14" i="31"/>
  <c r="K13" i="31"/>
  <c r="C13" i="31"/>
  <c r="F12" i="31"/>
  <c r="I11" i="31"/>
  <c r="A11" i="31"/>
  <c r="L10" i="31"/>
  <c r="D10" i="31"/>
  <c r="G9" i="31"/>
  <c r="J8" i="31"/>
  <c r="B8" i="31"/>
  <c r="E7" i="31"/>
  <c r="E47" i="31"/>
  <c r="L42" i="31"/>
  <c r="J37" i="31"/>
  <c r="A35" i="31"/>
  <c r="L34" i="31"/>
  <c r="L33" i="31"/>
  <c r="J31" i="31"/>
  <c r="L29" i="31"/>
  <c r="A29" i="31"/>
  <c r="E28" i="31"/>
  <c r="B27" i="31"/>
  <c r="K26" i="31"/>
  <c r="C26" i="31"/>
  <c r="F25" i="31"/>
  <c r="I24" i="31"/>
  <c r="A24" i="31"/>
  <c r="L23" i="31"/>
  <c r="D23" i="31"/>
  <c r="G22" i="31"/>
  <c r="J21" i="31"/>
  <c r="B21" i="31"/>
  <c r="E20" i="31"/>
  <c r="H19" i="31"/>
  <c r="K18" i="31"/>
  <c r="C18" i="31"/>
  <c r="F17" i="31"/>
  <c r="I16" i="31"/>
  <c r="A16" i="31"/>
  <c r="L15" i="31"/>
  <c r="D15" i="31"/>
  <c r="G14" i="31"/>
  <c r="J13" i="31"/>
  <c r="B13" i="31"/>
  <c r="E12" i="31"/>
  <c r="H11" i="31"/>
  <c r="I51" i="31"/>
  <c r="H46" i="31"/>
  <c r="K42" i="31"/>
  <c r="J40" i="31"/>
  <c r="I37" i="31"/>
  <c r="K34" i="31"/>
  <c r="G33" i="31"/>
  <c r="J32" i="31"/>
  <c r="E31" i="31"/>
  <c r="I30" i="31"/>
  <c r="K29" i="31"/>
  <c r="D28" i="31"/>
  <c r="A27" i="31"/>
  <c r="J26" i="31"/>
  <c r="B26" i="31"/>
  <c r="E25" i="31"/>
  <c r="H24" i="31"/>
  <c r="K23" i="31"/>
  <c r="C23" i="31"/>
  <c r="F22" i="31"/>
  <c r="I21" i="31"/>
  <c r="A21" i="31"/>
  <c r="L20" i="31"/>
  <c r="D20" i="31"/>
  <c r="A51" i="31"/>
  <c r="J48" i="31"/>
  <c r="K45" i="31"/>
  <c r="I43" i="31"/>
  <c r="D42" i="31"/>
  <c r="I40" i="31"/>
  <c r="C37" i="31"/>
  <c r="J34" i="31"/>
  <c r="F33" i="31"/>
  <c r="I32" i="31"/>
  <c r="D31" i="31"/>
  <c r="H30" i="31"/>
  <c r="J29" i="31"/>
  <c r="C28" i="31"/>
  <c r="J27" i="31"/>
  <c r="I26" i="31"/>
  <c r="A26" i="31"/>
  <c r="L25" i="31"/>
  <c r="D25" i="31"/>
  <c r="G24" i="31"/>
  <c r="J23" i="31"/>
  <c r="B23" i="31"/>
  <c r="E22" i="31"/>
  <c r="H21" i="31"/>
  <c r="K20" i="31"/>
  <c r="C20" i="31"/>
  <c r="F19" i="31"/>
  <c r="I18" i="31"/>
  <c r="A18" i="31"/>
  <c r="L17" i="31"/>
  <c r="D17" i="31"/>
  <c r="G16" i="31"/>
  <c r="J15" i="31"/>
  <c r="B15" i="31"/>
  <c r="E14" i="31"/>
  <c r="H13" i="31"/>
  <c r="K12" i="31"/>
  <c r="C12" i="31"/>
  <c r="F11" i="31"/>
  <c r="I10" i="31"/>
  <c r="A10" i="31"/>
  <c r="L9" i="31"/>
  <c r="D9" i="31"/>
  <c r="G8" i="31"/>
  <c r="J7" i="31"/>
  <c r="B7" i="31"/>
  <c r="E6" i="31"/>
  <c r="B48" i="31"/>
  <c r="J45" i="31"/>
  <c r="H43" i="31"/>
  <c r="C42" i="31"/>
  <c r="H40" i="31"/>
  <c r="L39" i="31"/>
  <c r="B37" i="31"/>
  <c r="L36" i="31"/>
  <c r="I34" i="31"/>
  <c r="E33" i="31"/>
  <c r="H32" i="31"/>
  <c r="C31" i="31"/>
  <c r="G30" i="31"/>
  <c r="I29" i="31"/>
  <c r="L28" i="31"/>
  <c r="B28" i="31"/>
  <c r="I27" i="31"/>
  <c r="H26" i="31"/>
  <c r="K25" i="31"/>
  <c r="C25" i="31"/>
  <c r="F24" i="31"/>
  <c r="I23" i="31"/>
  <c r="A23" i="31"/>
  <c r="L22" i="31"/>
  <c r="D22" i="31"/>
  <c r="G21" i="31"/>
  <c r="J20" i="31"/>
  <c r="B20" i="31"/>
  <c r="E19" i="31"/>
  <c r="H18" i="31"/>
  <c r="K17" i="31"/>
  <c r="C17" i="31"/>
  <c r="F16" i="31"/>
  <c r="I15" i="31"/>
  <c r="A15" i="31"/>
  <c r="L14" i="31"/>
  <c r="D14" i="31"/>
  <c r="G13" i="31"/>
  <c r="J12" i="31"/>
  <c r="B12" i="31"/>
  <c r="E11" i="31"/>
  <c r="H10" i="31"/>
  <c r="K9" i="31"/>
  <c r="C9" i="31"/>
  <c r="F8" i="31"/>
  <c r="I7" i="31"/>
  <c r="A7" i="31"/>
  <c r="L6" i="31"/>
  <c r="D33" i="31"/>
  <c r="E24" i="31"/>
  <c r="K22" i="31"/>
  <c r="C19" i="31"/>
  <c r="H15" i="31"/>
  <c r="B14" i="31"/>
  <c r="A13" i="31"/>
  <c r="I12" i="31"/>
  <c r="J10" i="31"/>
  <c r="I8" i="31"/>
  <c r="D7" i="31"/>
  <c r="D6" i="31"/>
  <c r="F44" i="31"/>
  <c r="H23" i="31"/>
  <c r="D19" i="31"/>
  <c r="F6" i="31"/>
  <c r="C45" i="31"/>
  <c r="H38" i="31"/>
  <c r="C22" i="31"/>
  <c r="J17" i="31"/>
  <c r="G15" i="31"/>
  <c r="H12" i="31"/>
  <c r="L11" i="31"/>
  <c r="G10" i="31"/>
  <c r="J9" i="31"/>
  <c r="H8" i="31"/>
  <c r="C7" i="31"/>
  <c r="C6" i="31"/>
  <c r="E13" i="31"/>
  <c r="B40" i="31"/>
  <c r="A37" i="31"/>
  <c r="I35" i="31"/>
  <c r="K28" i="31"/>
  <c r="J25" i="31"/>
  <c r="J18" i="31"/>
  <c r="I17" i="31"/>
  <c r="C15" i="31"/>
  <c r="D12" i="31"/>
  <c r="K11" i="31"/>
  <c r="F10" i="31"/>
  <c r="I9" i="31"/>
  <c r="E8" i="31"/>
  <c r="B6" i="31"/>
  <c r="C14" i="31"/>
  <c r="K10" i="31"/>
  <c r="B25" i="31"/>
  <c r="G18" i="31"/>
  <c r="E17" i="31"/>
  <c r="A12" i="31"/>
  <c r="G11" i="31"/>
  <c r="C10" i="31"/>
  <c r="F9" i="31"/>
  <c r="D8" i="31"/>
  <c r="K6" i="31"/>
  <c r="A6" i="31"/>
  <c r="A43" i="31"/>
  <c r="G32" i="31"/>
  <c r="B31" i="31"/>
  <c r="I20" i="31"/>
  <c r="L19" i="31"/>
  <c r="F18" i="31"/>
  <c r="B17" i="31"/>
  <c r="L16" i="31"/>
  <c r="K14" i="31"/>
  <c r="D11" i="31"/>
  <c r="B10" i="31"/>
  <c r="E9" i="31"/>
  <c r="A8" i="31"/>
  <c r="L7" i="31"/>
  <c r="J6" i="31"/>
  <c r="D16" i="31"/>
  <c r="G7" i="31"/>
  <c r="F36" i="31"/>
  <c r="D34" i="31"/>
  <c r="G26" i="31"/>
  <c r="H20" i="31"/>
  <c r="K19" i="31"/>
  <c r="B18" i="31"/>
  <c r="A17" i="31"/>
  <c r="H16" i="31"/>
  <c r="J14" i="31"/>
  <c r="I13" i="31"/>
  <c r="C11" i="31"/>
  <c r="B9" i="31"/>
  <c r="K7" i="31"/>
  <c r="H6" i="31"/>
  <c r="G41" i="31"/>
  <c r="F30" i="31"/>
  <c r="H29" i="31"/>
  <c r="H27" i="31"/>
  <c r="F21" i="31"/>
  <c r="A20" i="31"/>
  <c r="G19" i="31"/>
  <c r="E16" i="31"/>
  <c r="F14" i="31"/>
  <c r="F13" i="31"/>
  <c r="A9" i="31"/>
  <c r="H7" i="31"/>
  <c r="G6" i="31"/>
  <c r="K39" i="31"/>
  <c r="K15" i="31"/>
  <c r="L12" i="31"/>
  <c r="L8" i="31"/>
  <c r="K52" i="31"/>
  <c r="M32" i="27"/>
  <c r="O155" i="7" s="1"/>
  <c r="D52" i="31"/>
  <c r="L52" i="31"/>
  <c r="B52" i="31"/>
  <c r="F52" i="31"/>
  <c r="J52" i="31"/>
  <c r="G52" i="31"/>
  <c r="H52" i="31"/>
  <c r="A52" i="31"/>
  <c r="C52" i="31"/>
  <c r="E52" i="31"/>
  <c r="I52" i="31"/>
  <c r="Z59" i="7"/>
  <c r="E19" i="27" s="1"/>
  <c r="M28" i="27"/>
  <c r="M145" i="7" s="1"/>
  <c r="E33" i="10"/>
  <c r="M28" i="10"/>
  <c r="J15" i="10"/>
  <c r="G23" i="10" s="1"/>
  <c r="M19" i="27"/>
  <c r="Y20" i="27" s="1"/>
  <c r="U50" i="7" s="1"/>
  <c r="U51" i="7" s="1"/>
  <c r="J44" i="10"/>
  <c r="AE2" i="3" l="1"/>
  <c r="AE3" i="3"/>
  <c r="N119" i="5" s="1"/>
  <c r="N52" i="9"/>
  <c r="P43" i="6"/>
  <c r="H60" i="6"/>
  <c r="AI147" i="18"/>
  <c r="A332" i="23"/>
  <c r="AI51" i="18"/>
  <c r="A385" i="23"/>
  <c r="O38" i="6"/>
  <c r="X14" i="6"/>
  <c r="AL24" i="6"/>
  <c r="AN24" i="6" s="1"/>
  <c r="BA82" i="18"/>
  <c r="A497" i="23"/>
  <c r="AI144" i="18"/>
  <c r="H73" i="6"/>
  <c r="G178" i="6"/>
  <c r="R45" i="4"/>
  <c r="B48" i="26"/>
  <c r="X66" i="22"/>
  <c r="X65" i="22"/>
  <c r="H7" i="6"/>
  <c r="U44" i="6"/>
  <c r="X43" i="6" s="1"/>
  <c r="A963" i="23"/>
  <c r="AI93" i="18"/>
  <c r="A169" i="23"/>
  <c r="A572" i="23"/>
  <c r="AI66" i="18"/>
  <c r="AL72" i="6"/>
  <c r="G69" i="6"/>
  <c r="G17" i="6"/>
  <c r="A510" i="23"/>
  <c r="E44" i="4"/>
  <c r="R26" i="4"/>
  <c r="X67" i="22"/>
  <c r="AU48" i="5"/>
  <c r="AC15" i="6"/>
  <c r="A216" i="23"/>
  <c r="AM134" i="6"/>
  <c r="A556" i="23"/>
  <c r="A546" i="23"/>
  <c r="AI181" i="18"/>
  <c r="G175" i="6"/>
  <c r="G137" i="6"/>
  <c r="A460" i="23"/>
  <c r="A434" i="23"/>
  <c r="P70" i="6"/>
  <c r="V50" i="6"/>
  <c r="A552" i="23"/>
  <c r="R20" i="4"/>
  <c r="R44" i="4"/>
  <c r="E26" i="4"/>
  <c r="B34" i="9"/>
  <c r="X68" i="22"/>
  <c r="X69" i="22"/>
  <c r="AU117" i="5"/>
  <c r="P90" i="6"/>
  <c r="P136" i="6"/>
  <c r="A795" i="23"/>
  <c r="A821" i="23"/>
  <c r="BA80" i="18"/>
  <c r="A995" i="23"/>
  <c r="U137" i="6"/>
  <c r="AI182" i="18"/>
  <c r="AI79" i="18"/>
  <c r="O139" i="6"/>
  <c r="A500" i="23"/>
  <c r="A818" i="23"/>
  <c r="G25" i="6"/>
  <c r="G95" i="6"/>
  <c r="A562" i="23" s="1"/>
  <c r="G161" i="6"/>
  <c r="C27" i="3"/>
  <c r="B35" i="7" s="1"/>
  <c r="B35" i="14" s="1"/>
  <c r="N11" i="9"/>
  <c r="N11" i="13" s="1"/>
  <c r="B6" i="13"/>
  <c r="X70" i="22"/>
  <c r="AO57" i="6"/>
  <c r="AO56" i="6" s="1"/>
  <c r="AO55" i="6" s="1"/>
  <c r="AO54" i="6" s="1"/>
  <c r="A960" i="23"/>
  <c r="A986" i="23"/>
  <c r="BA146" i="18"/>
  <c r="O56" i="6"/>
  <c r="AI82" i="18"/>
  <c r="AL70" i="6"/>
  <c r="AA50" i="22"/>
  <c r="V94" i="6"/>
  <c r="B68" i="15"/>
  <c r="S14" i="15" s="1"/>
  <c r="P76" i="4"/>
  <c r="B14" i="27"/>
  <c r="E52" i="13"/>
  <c r="AI20" i="18"/>
  <c r="A536" i="23"/>
  <c r="AL43" i="6"/>
  <c r="P24" i="6"/>
  <c r="G15" i="6"/>
  <c r="A792" i="23"/>
  <c r="A474" i="23"/>
  <c r="A475" i="23"/>
  <c r="S14" i="9"/>
  <c r="B43" i="15"/>
  <c r="C57" i="3"/>
  <c r="O56" i="9"/>
  <c r="W46" i="22"/>
  <c r="W67" i="22"/>
  <c r="K54" i="13"/>
  <c r="W38" i="22"/>
  <c r="L73" i="5"/>
  <c r="J57" i="13"/>
  <c r="H55" i="13"/>
  <c r="W43" i="22"/>
  <c r="E57" i="13"/>
  <c r="F54" i="13"/>
  <c r="W44" i="22"/>
  <c r="W45" i="22"/>
  <c r="L50" i="5"/>
  <c r="A716" i="23" s="1"/>
  <c r="E56" i="13"/>
  <c r="M58" i="9"/>
  <c r="V99" i="6"/>
  <c r="L54" i="4"/>
  <c r="K31" i="19"/>
  <c r="A594" i="23"/>
  <c r="P89" i="6"/>
  <c r="AL161" i="6"/>
  <c r="AM161" i="6"/>
  <c r="A524" i="23"/>
  <c r="P74" i="6"/>
  <c r="A933" i="23"/>
  <c r="P156" i="6"/>
  <c r="A954" i="23"/>
  <c r="O40" i="9"/>
  <c r="L58" i="9"/>
  <c r="H92" i="6"/>
  <c r="AN87" i="6"/>
  <c r="V7" i="6"/>
  <c r="BA162" i="18"/>
  <c r="A348" i="23"/>
  <c r="A380" i="23"/>
  <c r="A461" i="23"/>
  <c r="A435" i="23"/>
  <c r="O57" i="6"/>
  <c r="A445" i="23" s="1"/>
  <c r="A472" i="23"/>
  <c r="BA30" i="18"/>
  <c r="A469" i="23"/>
  <c r="BA109" i="18"/>
  <c r="AU65" i="5"/>
  <c r="C34" i="6"/>
  <c r="C48" i="6" s="1"/>
  <c r="C62" i="6" s="1"/>
  <c r="C83" i="6" s="1"/>
  <c r="C97" i="6" s="1"/>
  <c r="C113" i="6" s="1"/>
  <c r="C122" i="6" s="1"/>
  <c r="C29" i="3"/>
  <c r="B37" i="7" s="1"/>
  <c r="B37" i="14" s="1"/>
  <c r="T31" i="4"/>
  <c r="AJ50" i="4"/>
  <c r="W68" i="22"/>
  <c r="O50" i="15"/>
  <c r="O40" i="15"/>
  <c r="C14" i="8" s="1"/>
  <c r="O35" i="15"/>
  <c r="AU15" i="5"/>
  <c r="I57" i="13"/>
  <c r="T68" i="4"/>
  <c r="AC177" i="6"/>
  <c r="O155" i="6"/>
  <c r="A354" i="23"/>
  <c r="AI167" i="18"/>
  <c r="AS39" i="6"/>
  <c r="AS40" i="6" s="1"/>
  <c r="A498" i="23"/>
  <c r="A495" i="23"/>
  <c r="AI77" i="18"/>
  <c r="A544" i="23"/>
  <c r="U173" i="6"/>
  <c r="A437" i="23"/>
  <c r="A514" i="23"/>
  <c r="A204" i="23"/>
  <c r="O140" i="6"/>
  <c r="C22" i="3"/>
  <c r="B27" i="7" s="1"/>
  <c r="B27" i="14" s="1"/>
  <c r="P61" i="3"/>
  <c r="O36" i="15"/>
  <c r="AU113" i="5"/>
  <c r="AU63" i="5"/>
  <c r="A494" i="23"/>
  <c r="AT57" i="6"/>
  <c r="A961" i="23"/>
  <c r="A687" i="23"/>
  <c r="AU71" i="5"/>
  <c r="A793" i="23"/>
  <c r="W65" i="22"/>
  <c r="L56" i="13"/>
  <c r="J54" i="13"/>
  <c r="J58" i="13" s="1"/>
  <c r="J59" i="13" s="1"/>
  <c r="AQ15" i="13" s="1"/>
  <c r="J52" i="13"/>
  <c r="A937" i="23"/>
  <c r="BA45" i="18"/>
  <c r="AO91" i="6"/>
  <c r="AI16" i="18"/>
  <c r="G11" i="6"/>
  <c r="H11" i="6" s="1"/>
  <c r="A646" i="23"/>
  <c r="A610" i="23"/>
  <c r="H173" i="6"/>
  <c r="AM64" i="6"/>
  <c r="AL12" i="6"/>
  <c r="A620" i="23"/>
  <c r="F193" i="6"/>
  <c r="N193" i="6" s="1"/>
  <c r="H11" i="9"/>
  <c r="C52" i="15"/>
  <c r="BR71" i="5"/>
  <c r="BC156" i="6"/>
  <c r="H55" i="7"/>
  <c r="E54" i="13"/>
  <c r="J58" i="9"/>
  <c r="D58" i="9"/>
  <c r="D59" i="9" s="1"/>
  <c r="Y15" i="9" s="1"/>
  <c r="K52" i="13"/>
  <c r="W11" i="6"/>
  <c r="W12" i="6" s="1"/>
  <c r="BC159" i="6"/>
  <c r="V17" i="6"/>
  <c r="A322" i="23"/>
  <c r="BA67" i="18"/>
  <c r="U38" i="6"/>
  <c r="A278" i="23"/>
  <c r="A304" i="23"/>
  <c r="A165" i="23"/>
  <c r="A924" i="23"/>
  <c r="A661" i="23"/>
  <c r="N123" i="6"/>
  <c r="AU42" i="5"/>
  <c r="G32" i="6"/>
  <c r="D11" i="13"/>
  <c r="E49" i="4"/>
  <c r="B40" i="26"/>
  <c r="B58" i="26"/>
  <c r="X15" i="27"/>
  <c r="Y48" i="27"/>
  <c r="O49" i="7" s="1"/>
  <c r="P31" i="6"/>
  <c r="P94" i="6"/>
  <c r="U160" i="6"/>
  <c r="A922" i="23"/>
  <c r="A432" i="23"/>
  <c r="G70" i="6"/>
  <c r="A482" i="23" s="1"/>
  <c r="H39" i="6"/>
  <c r="U11" i="6"/>
  <c r="U67" i="6"/>
  <c r="BA182" i="18"/>
  <c r="O175" i="6"/>
  <c r="O104" i="6"/>
  <c r="P104" i="6" s="1"/>
  <c r="AU88" i="5"/>
  <c r="W62" i="22"/>
  <c r="F150" i="6"/>
  <c r="N150" i="6" s="1"/>
  <c r="N167" i="6" s="1"/>
  <c r="E50" i="4"/>
  <c r="O38" i="15"/>
  <c r="O29" i="15"/>
  <c r="C9" i="8" s="1"/>
  <c r="D57" i="13"/>
  <c r="D58" i="13" s="1"/>
  <c r="P60" i="6"/>
  <c r="A948" i="23"/>
  <c r="A342" i="23"/>
  <c r="G109" i="6"/>
  <c r="N113" i="6"/>
  <c r="B67" i="15"/>
  <c r="B8" i="26"/>
  <c r="W66" i="22"/>
  <c r="O55" i="15"/>
  <c r="B59" i="15"/>
  <c r="S15" i="15" s="1"/>
  <c r="S15" i="9"/>
  <c r="B59" i="13"/>
  <c r="S15" i="13" s="1"/>
  <c r="B20" i="13"/>
  <c r="B20" i="15"/>
  <c r="H174" i="6"/>
  <c r="A972" i="23"/>
  <c r="BN26" i="6"/>
  <c r="A135" i="23" s="1"/>
  <c r="BD26" i="6"/>
  <c r="BH26" i="6"/>
  <c r="BI26" i="6"/>
  <c r="BJ26" i="6"/>
  <c r="BK26" i="6"/>
  <c r="A850" i="23" s="1"/>
  <c r="BM26" i="6"/>
  <c r="A838" i="23"/>
  <c r="O54" i="15"/>
  <c r="O11" i="13"/>
  <c r="O11" i="15"/>
  <c r="N56" i="4"/>
  <c r="T82" i="4"/>
  <c r="N12" i="4"/>
  <c r="N31" i="4"/>
  <c r="N48" i="4" s="1"/>
  <c r="AA12" i="4"/>
  <c r="AA31" i="4"/>
  <c r="C210" i="6"/>
  <c r="K196" i="6"/>
  <c r="K210" i="6" s="1"/>
  <c r="K58" i="9"/>
  <c r="O54" i="9"/>
  <c r="O37" i="13"/>
  <c r="K59" i="9"/>
  <c r="AT15" i="9" s="1"/>
  <c r="A671" i="23"/>
  <c r="A939" i="23"/>
  <c r="A917" i="23"/>
  <c r="U66" i="6"/>
  <c r="BA184" i="18"/>
  <c r="AI49" i="18"/>
  <c r="AU23" i="5"/>
  <c r="AS11" i="6"/>
  <c r="AS12" i="6" s="1"/>
  <c r="P95" i="6"/>
  <c r="F123" i="6"/>
  <c r="BD23" i="6" s="1"/>
  <c r="AM49" i="6"/>
  <c r="AL59" i="6" s="1"/>
  <c r="A228" i="23"/>
  <c r="V31" i="4"/>
  <c r="B18" i="26"/>
  <c r="AC70" i="22"/>
  <c r="AD69" i="22"/>
  <c r="O34" i="15"/>
  <c r="O25" i="15"/>
  <c r="C6" i="8" s="1"/>
  <c r="O30" i="15"/>
  <c r="O24" i="15"/>
  <c r="C5" i="8" s="1"/>
  <c r="AU13" i="5"/>
  <c r="I58" i="9"/>
  <c r="G55" i="13"/>
  <c r="G58" i="13" s="1"/>
  <c r="G59" i="13" s="1"/>
  <c r="AH15" i="13" s="1"/>
  <c r="O53" i="9"/>
  <c r="O53" i="13"/>
  <c r="O26" i="9"/>
  <c r="BA63" i="18"/>
  <c r="AB12" i="6"/>
  <c r="BA110" i="18"/>
  <c r="O10" i="6"/>
  <c r="B60" i="15"/>
  <c r="C216" i="6"/>
  <c r="B14" i="26"/>
  <c r="AC65" i="22"/>
  <c r="AD65" i="22"/>
  <c r="AU109" i="5"/>
  <c r="AU94" i="5"/>
  <c r="AU40" i="5"/>
  <c r="AU11" i="5"/>
  <c r="O38" i="13"/>
  <c r="BC160" i="6"/>
  <c r="A769" i="23"/>
  <c r="A1006" i="23"/>
  <c r="U94" i="6"/>
  <c r="B85" i="6" s="1"/>
  <c r="V70" i="7"/>
  <c r="BA64" i="18"/>
  <c r="BB69" i="18" s="1"/>
  <c r="A517" i="23"/>
  <c r="A688" i="23"/>
  <c r="G42" i="6"/>
  <c r="AU86" i="5"/>
  <c r="B31" i="15"/>
  <c r="L85" i="22"/>
  <c r="AP52" i="4" s="1"/>
  <c r="B20" i="26"/>
  <c r="B17" i="13"/>
  <c r="K11" i="13"/>
  <c r="AC66" i="22"/>
  <c r="AD66" i="22"/>
  <c r="O39" i="15"/>
  <c r="AU92" i="5"/>
  <c r="AU57" i="5"/>
  <c r="AU38" i="5"/>
  <c r="AU25" i="5"/>
  <c r="G58" i="9"/>
  <c r="AA36" i="22"/>
  <c r="AA44" i="22" s="1"/>
  <c r="AU107" i="5"/>
  <c r="P57" i="6"/>
  <c r="A891" i="23"/>
  <c r="H160" i="6"/>
  <c r="AI76" i="18"/>
  <c r="AJ82" i="18" s="1"/>
  <c r="A431" i="23"/>
  <c r="A962" i="23"/>
  <c r="O54" i="6"/>
  <c r="H38" i="6"/>
  <c r="U42" i="6"/>
  <c r="O105" i="6"/>
  <c r="AU61" i="5"/>
  <c r="A202" i="23"/>
  <c r="B24" i="15"/>
  <c r="B5" i="8" s="1"/>
  <c r="C212" i="6"/>
  <c r="B59" i="26"/>
  <c r="S15" i="26" s="1"/>
  <c r="B53" i="26"/>
  <c r="O11" i="26"/>
  <c r="AC67" i="22"/>
  <c r="AD67" i="22"/>
  <c r="I52" i="15"/>
  <c r="C54" i="13"/>
  <c r="N54" i="13"/>
  <c r="O35" i="9"/>
  <c r="E58" i="9"/>
  <c r="M52" i="13"/>
  <c r="A173" i="23"/>
  <c r="Y15" i="27"/>
  <c r="O53" i="6"/>
  <c r="AI45" i="18"/>
  <c r="A685" i="23"/>
  <c r="AC93" i="6"/>
  <c r="AC92" i="6" s="1"/>
  <c r="AC91" i="6" s="1"/>
  <c r="AU69" i="5"/>
  <c r="AC68" i="22"/>
  <c r="AD68" i="22"/>
  <c r="K57" i="13"/>
  <c r="O55" i="9"/>
  <c r="L54" i="13"/>
  <c r="A457" i="23"/>
  <c r="A316" i="23"/>
  <c r="A659" i="23"/>
  <c r="G157" i="6"/>
  <c r="H157" i="6" s="1"/>
  <c r="X91" i="6"/>
  <c r="X90" i="6" s="1"/>
  <c r="G46" i="6"/>
  <c r="O51" i="6"/>
  <c r="BW620" i="6"/>
  <c r="AC69" i="22"/>
  <c r="AD70" i="22"/>
  <c r="E55" i="13"/>
  <c r="I58" i="13"/>
  <c r="O41" i="9"/>
  <c r="O41" i="13"/>
  <c r="K65" i="19"/>
  <c r="L52" i="13"/>
  <c r="A934" i="23"/>
  <c r="A468" i="23"/>
  <c r="A458" i="23"/>
  <c r="A888" i="23"/>
  <c r="BA15" i="18"/>
  <c r="G11" i="15"/>
  <c r="K201" i="6"/>
  <c r="K215" i="6" s="1"/>
  <c r="AC62" i="22"/>
  <c r="K36" i="19"/>
  <c r="Z62" i="7"/>
  <c r="O27" i="15"/>
  <c r="C7" i="8" s="1"/>
  <c r="O33" i="15"/>
  <c r="C12" i="8" s="1"/>
  <c r="M42" i="13"/>
  <c r="M44" i="13" s="1"/>
  <c r="AY13" i="13" s="1"/>
  <c r="J42" i="13"/>
  <c r="J44" i="13" s="1"/>
  <c r="AP13" i="13" s="1"/>
  <c r="I42" i="13"/>
  <c r="E42" i="9"/>
  <c r="AA12" i="9" s="1"/>
  <c r="O34" i="13"/>
  <c r="O26" i="13"/>
  <c r="G53" i="3"/>
  <c r="O27" i="9"/>
  <c r="O24" i="9"/>
  <c r="O27" i="13"/>
  <c r="L42" i="9"/>
  <c r="L44" i="9" s="1"/>
  <c r="AV13" i="9" s="1"/>
  <c r="A368" i="23"/>
  <c r="P42" i="6"/>
  <c r="G171" i="6"/>
  <c r="U171" i="6"/>
  <c r="A959" i="23"/>
  <c r="A985" i="23"/>
  <c r="AI178" i="18"/>
  <c r="AJ180" i="18" s="1"/>
  <c r="U55" i="6"/>
  <c r="A395" i="23"/>
  <c r="G55" i="6"/>
  <c r="A421" i="23"/>
  <c r="H11" i="13"/>
  <c r="H11" i="15"/>
  <c r="A994" i="23"/>
  <c r="AM168" i="6"/>
  <c r="O170" i="6"/>
  <c r="AL68" i="6"/>
  <c r="BA78" i="18"/>
  <c r="A534" i="23"/>
  <c r="A508" i="23"/>
  <c r="AI30" i="18"/>
  <c r="G24" i="6"/>
  <c r="A240" i="23"/>
  <c r="U24" i="6"/>
  <c r="AL42" i="6"/>
  <c r="BA49" i="18"/>
  <c r="BB47" i="18" s="1"/>
  <c r="A358" i="23"/>
  <c r="A384" i="23"/>
  <c r="K42" i="13"/>
  <c r="K44" i="13" s="1"/>
  <c r="AS13" i="13" s="1"/>
  <c r="O31" i="9"/>
  <c r="O39" i="13"/>
  <c r="F42" i="9"/>
  <c r="AD12" i="9" s="1"/>
  <c r="AI65" i="18"/>
  <c r="A266" i="23"/>
  <c r="B39" i="26"/>
  <c r="B44" i="27" s="1"/>
  <c r="B39" i="13"/>
  <c r="AH105" i="4"/>
  <c r="AA54" i="22"/>
  <c r="W55" i="22"/>
  <c r="AC55" i="22" s="1"/>
  <c r="AA53" i="22"/>
  <c r="W53" i="22"/>
  <c r="AC53" i="22" s="1"/>
  <c r="AG145" i="4"/>
  <c r="Y54" i="22"/>
  <c r="Y53" i="22"/>
  <c r="Y57" i="22"/>
  <c r="Y58" i="22"/>
  <c r="T67" i="4"/>
  <c r="W57" i="22"/>
  <c r="AC57" i="22" s="1"/>
  <c r="AA52" i="22"/>
  <c r="Y50" i="22"/>
  <c r="AA56" i="22"/>
  <c r="AC50" i="22"/>
  <c r="W52" i="22"/>
  <c r="AC52" i="22" s="1"/>
  <c r="L46" i="22" s="1"/>
  <c r="W58" i="22"/>
  <c r="AC58" i="22" s="1"/>
  <c r="AX41" i="3"/>
  <c r="E26" i="22"/>
  <c r="AX45" i="3"/>
  <c r="AX46" i="3"/>
  <c r="E27" i="22"/>
  <c r="AX43" i="3"/>
  <c r="G21" i="22"/>
  <c r="AX44" i="3"/>
  <c r="B79" i="7"/>
  <c r="D124" i="7" s="1"/>
  <c r="E24" i="22"/>
  <c r="B165" i="7"/>
  <c r="K161" i="7"/>
  <c r="E34" i="27" s="1"/>
  <c r="V73" i="7"/>
  <c r="C47" i="14"/>
  <c r="E10" i="10"/>
  <c r="V57" i="7"/>
  <c r="W57" i="7"/>
  <c r="O34" i="9"/>
  <c r="A305" i="23"/>
  <c r="A279" i="23"/>
  <c r="BA31" i="18"/>
  <c r="A234" i="23"/>
  <c r="BA21" i="18"/>
  <c r="AL16" i="6"/>
  <c r="M42" i="9"/>
  <c r="AY12" i="9" s="1"/>
  <c r="O32" i="13"/>
  <c r="O24" i="13"/>
  <c r="A896" i="23"/>
  <c r="H155" i="6"/>
  <c r="O39" i="9"/>
  <c r="O16" i="6"/>
  <c r="A1009" i="23"/>
  <c r="BC175" i="6"/>
  <c r="P17" i="6"/>
  <c r="A219" i="23"/>
  <c r="W54" i="22"/>
  <c r="AC54" i="22" s="1"/>
  <c r="U161" i="6"/>
  <c r="V161" i="6"/>
  <c r="B39" i="27"/>
  <c r="C73" i="3"/>
  <c r="AD15" i="5"/>
  <c r="AD53" i="5"/>
  <c r="AD76" i="5" s="1"/>
  <c r="T167" i="18"/>
  <c r="T178" i="18"/>
  <c r="T184" i="18" s="1"/>
  <c r="B35" i="9"/>
  <c r="B35" i="26"/>
  <c r="N71" i="4"/>
  <c r="T71" i="4"/>
  <c r="AG73" i="4" s="1"/>
  <c r="BN36" i="5"/>
  <c r="BP36" i="5" s="1"/>
  <c r="AU36" i="5"/>
  <c r="BN34" i="5"/>
  <c r="BP34" i="5" s="1"/>
  <c r="BR34" i="5" s="1"/>
  <c r="AU34" i="5"/>
  <c r="J74" i="19"/>
  <c r="J42" i="9"/>
  <c r="J44" i="9" s="1"/>
  <c r="AP13" i="9" s="1"/>
  <c r="G42" i="13"/>
  <c r="O37" i="9"/>
  <c r="O25" i="13"/>
  <c r="O36" i="9"/>
  <c r="L52" i="9"/>
  <c r="L59" i="9" s="1"/>
  <c r="AW15" i="9" s="1"/>
  <c r="AJ80" i="18"/>
  <c r="AX48" i="3"/>
  <c r="AM59" i="6"/>
  <c r="G170" i="6"/>
  <c r="AJ79" i="18"/>
  <c r="A208" i="23"/>
  <c r="P159" i="6"/>
  <c r="A936" i="23"/>
  <c r="P9" i="6"/>
  <c r="A211" i="23"/>
  <c r="Y55" i="22"/>
  <c r="B39" i="15"/>
  <c r="BA34" i="18"/>
  <c r="O28" i="6"/>
  <c r="A308" i="23"/>
  <c r="A282" i="23"/>
  <c r="AL28" i="6"/>
  <c r="U30" i="6"/>
  <c r="AI36" i="18"/>
  <c r="A272" i="23"/>
  <c r="G30" i="6"/>
  <c r="AL88" i="6"/>
  <c r="AN88" i="6" s="1"/>
  <c r="O88" i="6"/>
  <c r="BA92" i="18"/>
  <c r="A609" i="23"/>
  <c r="A583" i="23"/>
  <c r="U58" i="6"/>
  <c r="G58" i="6"/>
  <c r="A408" i="23" s="1"/>
  <c r="AI68" i="18"/>
  <c r="A424" i="23"/>
  <c r="A398" i="23"/>
  <c r="O103" i="6"/>
  <c r="AL103" i="6"/>
  <c r="B23" i="9"/>
  <c r="B23" i="26"/>
  <c r="B30" i="9"/>
  <c r="B30" i="15" s="1"/>
  <c r="B30" i="26"/>
  <c r="B29" i="9"/>
  <c r="B29" i="26"/>
  <c r="T32" i="5"/>
  <c r="T15" i="5"/>
  <c r="T53" i="5"/>
  <c r="P3" i="9"/>
  <c r="P3" i="26"/>
  <c r="B27" i="26"/>
  <c r="B27" i="9"/>
  <c r="B27" i="13" s="1"/>
  <c r="G12" i="6"/>
  <c r="AI17" i="18"/>
  <c r="A192" i="23"/>
  <c r="AX42" i="3"/>
  <c r="AN67" i="5"/>
  <c r="AU67" i="5"/>
  <c r="AB155" i="6"/>
  <c r="O51" i="15"/>
  <c r="A182" i="23"/>
  <c r="A52" i="23"/>
  <c r="A958" i="23"/>
  <c r="O68" i="6"/>
  <c r="AO142" i="6"/>
  <c r="AO141" i="6" s="1"/>
  <c r="AT143" i="6"/>
  <c r="AT142" i="6" s="1"/>
  <c r="AU46" i="5"/>
  <c r="AA57" i="22"/>
  <c r="F167" i="6"/>
  <c r="AL94" i="6"/>
  <c r="AM94" i="6"/>
  <c r="A791" i="23"/>
  <c r="AL138" i="6"/>
  <c r="O108" i="6"/>
  <c r="A665" i="23"/>
  <c r="A657" i="23"/>
  <c r="AM98" i="6"/>
  <c r="AL108" i="6" s="1"/>
  <c r="O100" i="6"/>
  <c r="P98" i="6" s="1"/>
  <c r="AM35" i="6"/>
  <c r="A353" i="23"/>
  <c r="U61" i="11"/>
  <c r="L49" i="11" s="1"/>
  <c r="L60" i="11" s="1"/>
  <c r="B54" i="26"/>
  <c r="B54" i="13"/>
  <c r="B54" i="15"/>
  <c r="B49" i="9"/>
  <c r="B49" i="13" s="1"/>
  <c r="B49" i="26"/>
  <c r="A444" i="23"/>
  <c r="P56" i="6"/>
  <c r="A212" i="23"/>
  <c r="P10" i="6"/>
  <c r="O137" i="6"/>
  <c r="BA144" i="18"/>
  <c r="A790" i="23"/>
  <c r="AL137" i="6"/>
  <c r="AS138" i="6" s="1"/>
  <c r="A281" i="23"/>
  <c r="AL27" i="6"/>
  <c r="O48" i="7"/>
  <c r="L128" i="7"/>
  <c r="N42" i="9"/>
  <c r="A554" i="23"/>
  <c r="H87" i="6"/>
  <c r="A804" i="23"/>
  <c r="P141" i="6"/>
  <c r="E42" i="13"/>
  <c r="AA12" i="13" s="1"/>
  <c r="O32" i="9"/>
  <c r="K42" i="9"/>
  <c r="AA58" i="22"/>
  <c r="F27" i="10"/>
  <c r="N29" i="10"/>
  <c r="N31" i="10" s="1"/>
  <c r="E17" i="10"/>
  <c r="M20" i="10"/>
  <c r="R20" i="10" s="1"/>
  <c r="E11" i="9"/>
  <c r="E11" i="13" s="1"/>
  <c r="E11" i="26"/>
  <c r="U17" i="6"/>
  <c r="B8" i="6" s="1"/>
  <c r="AS25" i="6"/>
  <c r="X159" i="6"/>
  <c r="X158" i="6" s="1"/>
  <c r="X157" i="6" s="1"/>
  <c r="AC160" i="6"/>
  <c r="AC159" i="6" s="1"/>
  <c r="AC158" i="6" s="1"/>
  <c r="AJ78" i="18"/>
  <c r="AJ77" i="18"/>
  <c r="P71" i="6"/>
  <c r="A521" i="23"/>
  <c r="P138" i="6"/>
  <c r="A801" i="23"/>
  <c r="O25" i="6"/>
  <c r="A251" i="23"/>
  <c r="H25" i="6"/>
  <c r="O27" i="6"/>
  <c r="W50" i="22"/>
  <c r="Y56" i="22"/>
  <c r="A210" i="23"/>
  <c r="AM8" i="6"/>
  <c r="O18" i="6"/>
  <c r="AL154" i="6"/>
  <c r="A947" i="23"/>
  <c r="BA161" i="18"/>
  <c r="G106" i="6"/>
  <c r="U106" i="6"/>
  <c r="X105" i="6" s="1"/>
  <c r="X104" i="6" s="1"/>
  <c r="X103" i="6" s="1"/>
  <c r="X102" i="6" s="1"/>
  <c r="A625" i="23"/>
  <c r="BA81" i="18"/>
  <c r="BB82" i="18" s="1"/>
  <c r="AL71" i="6"/>
  <c r="A537" i="23"/>
  <c r="AI31" i="18"/>
  <c r="A267" i="23"/>
  <c r="U25" i="6"/>
  <c r="AJ179" i="18"/>
  <c r="G138" i="6"/>
  <c r="BC138" i="6" s="1"/>
  <c r="A781" i="23"/>
  <c r="U138" i="6"/>
  <c r="AI145" i="18"/>
  <c r="A755" i="23"/>
  <c r="AL158" i="6"/>
  <c r="BA165" i="18"/>
  <c r="A951" i="23"/>
  <c r="A925" i="23"/>
  <c r="U102" i="6"/>
  <c r="A647" i="23"/>
  <c r="AL141" i="6"/>
  <c r="BA148" i="18"/>
  <c r="A794" i="23"/>
  <c r="A820" i="23"/>
  <c r="O179" i="6"/>
  <c r="AM169" i="6"/>
  <c r="A702" i="23"/>
  <c r="N114" i="6"/>
  <c r="P114" i="6"/>
  <c r="A627" i="23"/>
  <c r="G108" i="6"/>
  <c r="A619" i="23"/>
  <c r="G100" i="6"/>
  <c r="V98" i="6"/>
  <c r="O73" i="6"/>
  <c r="A513" i="23"/>
  <c r="AM63" i="6"/>
  <c r="O65" i="6"/>
  <c r="A505" i="23"/>
  <c r="V35" i="6"/>
  <c r="G37" i="6"/>
  <c r="A315" i="23"/>
  <c r="B47" i="9"/>
  <c r="B47" i="26"/>
  <c r="O36" i="13"/>
  <c r="P53" i="6"/>
  <c r="A441" i="23"/>
  <c r="H53" i="6"/>
  <c r="A403" i="23"/>
  <c r="U141" i="6"/>
  <c r="A784" i="23"/>
  <c r="A758" i="23"/>
  <c r="AI148" i="18"/>
  <c r="BA181" i="18"/>
  <c r="AL174" i="6"/>
  <c r="A998" i="23"/>
  <c r="O33" i="9"/>
  <c r="BA33" i="18"/>
  <c r="BC158" i="6"/>
  <c r="P158" i="6"/>
  <c r="AN11" i="6"/>
  <c r="U88" i="6"/>
  <c r="AI92" i="18"/>
  <c r="A545" i="23"/>
  <c r="U53" i="6"/>
  <c r="AB54" i="6" s="1"/>
  <c r="A419" i="23"/>
  <c r="A393" i="23"/>
  <c r="O33" i="13"/>
  <c r="O29" i="9"/>
  <c r="O25" i="9"/>
  <c r="BH25" i="6"/>
  <c r="BK25" i="6"/>
  <c r="A824" i="23" s="1"/>
  <c r="BD25" i="6"/>
  <c r="A307" i="23"/>
  <c r="B53" i="13"/>
  <c r="B53" i="15"/>
  <c r="U14" i="6"/>
  <c r="AC14" i="6" s="1"/>
  <c r="A168" i="23"/>
  <c r="G14" i="6"/>
  <c r="A194" i="23"/>
  <c r="N56" i="15"/>
  <c r="N56" i="13"/>
  <c r="BE44" i="5"/>
  <c r="BG44" i="5" s="1"/>
  <c r="BJ44" i="5" s="1"/>
  <c r="AU44" i="5"/>
  <c r="T88" i="4"/>
  <c r="AG87" i="4" s="1"/>
  <c r="R88" i="4"/>
  <c r="I54" i="19"/>
  <c r="J47" i="7"/>
  <c r="B54" i="19"/>
  <c r="AN101" i="6"/>
  <c r="BC172" i="6"/>
  <c r="E25" i="22"/>
  <c r="O45" i="7"/>
  <c r="A592" i="23"/>
  <c r="P87" i="6"/>
  <c r="AI19" i="18"/>
  <c r="AJ19" i="18" s="1"/>
  <c r="M60" i="11"/>
  <c r="Q46" i="11"/>
  <c r="M27" i="3"/>
  <c r="L35" i="7" s="1"/>
  <c r="L35" i="14" s="1"/>
  <c r="M29" i="3"/>
  <c r="L39" i="7" s="1"/>
  <c r="L39" i="14" s="1"/>
  <c r="M20" i="3"/>
  <c r="L29" i="7" s="1"/>
  <c r="L29" i="14" s="1"/>
  <c r="M13" i="3"/>
  <c r="L19" i="7" s="1"/>
  <c r="L19" i="14" s="1"/>
  <c r="G13" i="6"/>
  <c r="A167" i="23"/>
  <c r="A193" i="23"/>
  <c r="U13" i="6"/>
  <c r="AX47" i="3"/>
  <c r="P134" i="7" s="1"/>
  <c r="E24" i="27" s="1"/>
  <c r="E20" i="10"/>
  <c r="E27" i="10" s="1"/>
  <c r="K33" i="19"/>
  <c r="D37" i="19" s="1"/>
  <c r="BN25" i="6"/>
  <c r="A134" i="23" s="1"/>
  <c r="A55" i="23"/>
  <c r="P101" i="6"/>
  <c r="E16" i="10"/>
  <c r="AB17" i="10"/>
  <c r="AB21" i="10" s="1"/>
  <c r="BJ25" i="6"/>
  <c r="O28" i="9"/>
  <c r="O38" i="9"/>
  <c r="H42" i="9"/>
  <c r="AJ12" i="9" s="1"/>
  <c r="AG149" i="4"/>
  <c r="X57" i="7"/>
  <c r="O30" i="13"/>
  <c r="H105" i="6"/>
  <c r="AJ83" i="18"/>
  <c r="A217" i="23"/>
  <c r="A555" i="23"/>
  <c r="AJ20" i="18"/>
  <c r="A246" i="23"/>
  <c r="BA145" i="18"/>
  <c r="A370" i="23"/>
  <c r="P44" i="6"/>
  <c r="AA55" i="22"/>
  <c r="BA91" i="18"/>
  <c r="A582" i="23"/>
  <c r="A608" i="23"/>
  <c r="U156" i="6"/>
  <c r="A913" i="23"/>
  <c r="AI163" i="18"/>
  <c r="A887" i="23"/>
  <c r="AL176" i="6"/>
  <c r="BA183" i="18"/>
  <c r="A1000" i="23"/>
  <c r="O176" i="6"/>
  <c r="A1010" i="23" s="1"/>
  <c r="AL159" i="6"/>
  <c r="AO158" i="6" s="1"/>
  <c r="A926" i="23"/>
  <c r="A952" i="23"/>
  <c r="BA166" i="18"/>
  <c r="A967" i="23"/>
  <c r="G179" i="6"/>
  <c r="A893" i="23"/>
  <c r="G162" i="6"/>
  <c r="A695" i="23"/>
  <c r="F114" i="6"/>
  <c r="H114" i="6"/>
  <c r="V63" i="6"/>
  <c r="A467" i="23"/>
  <c r="G65" i="6"/>
  <c r="H65" i="6" s="1"/>
  <c r="O45" i="6"/>
  <c r="A361" i="23"/>
  <c r="L58" i="13"/>
  <c r="L59" i="13" s="1"/>
  <c r="AW15" i="13" s="1"/>
  <c r="BN27" i="6"/>
  <c r="A136" i="23" s="1"/>
  <c r="Q42" i="9"/>
  <c r="Q44" i="9" s="1"/>
  <c r="Q47" i="9" s="1"/>
  <c r="J65" i="19"/>
  <c r="O31" i="13"/>
  <c r="O35" i="13"/>
  <c r="D52" i="13"/>
  <c r="I96" i="7"/>
  <c r="E46" i="27" s="1"/>
  <c r="M96" i="7"/>
  <c r="E47" i="27" s="1"/>
  <c r="H70" i="6"/>
  <c r="AO42" i="6"/>
  <c r="AO41" i="6" s="1"/>
  <c r="AO40" i="6" s="1"/>
  <c r="X13" i="6"/>
  <c r="X12" i="6" s="1"/>
  <c r="X11" i="6" s="1"/>
  <c r="X10" i="6" s="1"/>
  <c r="S10" i="6" s="1"/>
  <c r="A512" i="23"/>
  <c r="A420" i="23"/>
  <c r="A283" i="23"/>
  <c r="A886" i="23"/>
  <c r="BH24" i="6"/>
  <c r="A749" i="23"/>
  <c r="AL40" i="6"/>
  <c r="AN40" i="6" s="1"/>
  <c r="AP40" i="6" s="1"/>
  <c r="A382" i="23"/>
  <c r="AL102" i="6"/>
  <c r="AS103" i="6" s="1"/>
  <c r="AS104" i="6" s="1"/>
  <c r="AS105" i="6" s="1"/>
  <c r="AS106" i="6" s="1"/>
  <c r="AS107" i="6" s="1"/>
  <c r="O102" i="6"/>
  <c r="A669" i="23" s="1"/>
  <c r="U174" i="6"/>
  <c r="A988" i="23"/>
  <c r="U157" i="6"/>
  <c r="X156" i="6" s="1"/>
  <c r="X155" i="6" s="1"/>
  <c r="AI164" i="18"/>
  <c r="O177" i="6"/>
  <c r="AL177" i="6"/>
  <c r="A1001" i="23"/>
  <c r="B16" i="13"/>
  <c r="B16" i="15"/>
  <c r="B28" i="13"/>
  <c r="B28" i="15"/>
  <c r="B8" i="8" s="1"/>
  <c r="B44" i="15"/>
  <c r="S13" i="9"/>
  <c r="B64" i="9"/>
  <c r="B64" i="26"/>
  <c r="BN80" i="5"/>
  <c r="BP80" i="5" s="1"/>
  <c r="BS80" i="5" s="1"/>
  <c r="AU80" i="5"/>
  <c r="Y64" i="22"/>
  <c r="Y71" i="22" s="1"/>
  <c r="AA23" i="4" s="1"/>
  <c r="Y70" i="22"/>
  <c r="Y69" i="22"/>
  <c r="Y67" i="22"/>
  <c r="Y65" i="22"/>
  <c r="Y68" i="22"/>
  <c r="Y62" i="22"/>
  <c r="N42" i="13"/>
  <c r="N44" i="13" s="1"/>
  <c r="BB13" i="13" s="1"/>
  <c r="J52" i="9"/>
  <c r="AJ48" i="18"/>
  <c r="U140" i="6"/>
  <c r="G140" i="6"/>
  <c r="O142" i="6"/>
  <c r="BA149" i="18"/>
  <c r="O171" i="6"/>
  <c r="BA178" i="18"/>
  <c r="U90" i="6"/>
  <c r="A547" i="23"/>
  <c r="AI94" i="18"/>
  <c r="A997" i="23"/>
  <c r="AL173" i="6"/>
  <c r="A522" i="23"/>
  <c r="P72" i="6"/>
  <c r="U155" i="6"/>
  <c r="W155" i="6" s="1"/>
  <c r="W156" i="6" s="1"/>
  <c r="AI162" i="18"/>
  <c r="AL29" i="6"/>
  <c r="AT29" i="6" s="1"/>
  <c r="AT28" i="6" s="1"/>
  <c r="AT27" i="6" s="1"/>
  <c r="AT26" i="6" s="1"/>
  <c r="AT25" i="6" s="1"/>
  <c r="AT24" i="6" s="1"/>
  <c r="O29" i="6"/>
  <c r="O107" i="6"/>
  <c r="A664" i="23"/>
  <c r="G74" i="6"/>
  <c r="A476" i="23"/>
  <c r="G59" i="6"/>
  <c r="A399" i="23"/>
  <c r="A362" i="23"/>
  <c r="AM36" i="6"/>
  <c r="O46" i="6"/>
  <c r="B48" i="13"/>
  <c r="B48" i="15"/>
  <c r="R43" i="4"/>
  <c r="E23" i="4"/>
  <c r="R23" i="4"/>
  <c r="E42" i="4"/>
  <c r="T92" i="4"/>
  <c r="AG91" i="4" s="1"/>
  <c r="T91" i="4"/>
  <c r="AG90" i="4" s="1"/>
  <c r="BW681" i="6"/>
  <c r="BP977" i="6"/>
  <c r="K204" i="6"/>
  <c r="K218" i="6" s="1"/>
  <c r="C218" i="6"/>
  <c r="X140" i="6"/>
  <c r="G52" i="6"/>
  <c r="A392" i="23"/>
  <c r="B63" i="15"/>
  <c r="S18" i="15" s="1"/>
  <c r="S18" i="9"/>
  <c r="B50" i="13"/>
  <c r="B50" i="15"/>
  <c r="L31" i="4"/>
  <c r="Y49" i="4" s="1"/>
  <c r="L63" i="4" s="1"/>
  <c r="L82" i="4" s="1"/>
  <c r="Y31" i="4"/>
  <c r="Y12" i="4"/>
  <c r="C18" i="3"/>
  <c r="B23" i="7" s="1"/>
  <c r="B23" i="14" s="1"/>
  <c r="C25" i="3"/>
  <c r="B33" i="7" s="1"/>
  <c r="B33" i="14" s="1"/>
  <c r="B19" i="1"/>
  <c r="K15" i="3"/>
  <c r="BE82" i="5"/>
  <c r="BG82" i="5" s="1"/>
  <c r="BH82" i="5" s="1"/>
  <c r="AU82" i="5"/>
  <c r="H58" i="13"/>
  <c r="E52" i="9"/>
  <c r="F52" i="9"/>
  <c r="F42" i="13"/>
  <c r="M52" i="9"/>
  <c r="M59" i="9" s="1"/>
  <c r="AZ15" i="9" s="1"/>
  <c r="H52" i="9"/>
  <c r="H59" i="9" s="1"/>
  <c r="AK15" i="9" s="1"/>
  <c r="I52" i="13"/>
  <c r="AJ50" i="18"/>
  <c r="AC141" i="6"/>
  <c r="AC140" i="6" s="1"/>
  <c r="AC139" i="6" s="1"/>
  <c r="X71" i="6"/>
  <c r="X70" i="6" s="1"/>
  <c r="X69" i="6" s="1"/>
  <c r="X68" i="6" s="1"/>
  <c r="X67" i="6" s="1"/>
  <c r="X66" i="6" s="1"/>
  <c r="AL171" i="6"/>
  <c r="BA112" i="18"/>
  <c r="O173" i="6"/>
  <c r="O55" i="6"/>
  <c r="A638" i="23"/>
  <c r="H109" i="6"/>
  <c r="V64" i="6"/>
  <c r="V73" i="6" s="1"/>
  <c r="G16" i="6"/>
  <c r="A196" i="23"/>
  <c r="G91" i="6"/>
  <c r="A548" i="23"/>
  <c r="U56" i="6"/>
  <c r="G56" i="6"/>
  <c r="A396" i="23"/>
  <c r="AL175" i="6"/>
  <c r="A999" i="23"/>
  <c r="O66" i="6"/>
  <c r="A506" i="23"/>
  <c r="AS53" i="6"/>
  <c r="AS54" i="6" s="1"/>
  <c r="AS55" i="6" s="1"/>
  <c r="AS56" i="6" s="1"/>
  <c r="AS57" i="6" s="1"/>
  <c r="AU57" i="6" s="1"/>
  <c r="AN52" i="6"/>
  <c r="AN53" i="6" s="1"/>
  <c r="AN54" i="6" s="1"/>
  <c r="AP54" i="6" s="1"/>
  <c r="AL13" i="6"/>
  <c r="BA18" i="18"/>
  <c r="B62" i="15"/>
  <c r="B34" i="13"/>
  <c r="B34" i="15"/>
  <c r="V59" i="7"/>
  <c r="O53" i="15"/>
  <c r="O31" i="15"/>
  <c r="C10" i="8" s="1"/>
  <c r="O41" i="15"/>
  <c r="AN84" i="5"/>
  <c r="AU84" i="5"/>
  <c r="V36" i="6"/>
  <c r="BP962" i="6"/>
  <c r="BW666" i="6"/>
  <c r="AC46" i="4"/>
  <c r="AC77" i="4"/>
  <c r="B52" i="9"/>
  <c r="B52" i="15" s="1"/>
  <c r="B52" i="26"/>
  <c r="BJ111" i="5"/>
  <c r="BK111" i="5"/>
  <c r="W70" i="22"/>
  <c r="W69" i="22"/>
  <c r="V21" i="6"/>
  <c r="V31" i="6" s="1"/>
  <c r="A239" i="23"/>
  <c r="G23" i="6"/>
  <c r="B36" i="26"/>
  <c r="B41" i="27" s="1"/>
  <c r="B36" i="13"/>
  <c r="B38" i="26"/>
  <c r="B43" i="27" s="1"/>
  <c r="B38" i="13"/>
  <c r="M11" i="13"/>
  <c r="M11" i="15"/>
  <c r="F7" i="5"/>
  <c r="I7" i="3"/>
  <c r="I15" i="3"/>
  <c r="B56" i="26"/>
  <c r="B56" i="13"/>
  <c r="O26" i="15"/>
  <c r="BT107" i="5"/>
  <c r="BB32" i="18"/>
  <c r="AT43" i="6"/>
  <c r="AT42" i="6" s="1"/>
  <c r="AT41" i="6" s="1"/>
  <c r="U101" i="6"/>
  <c r="G101" i="6"/>
  <c r="A761" i="23"/>
  <c r="G144" i="6"/>
  <c r="O86" i="6"/>
  <c r="P86" i="6" s="1"/>
  <c r="A581" i="23"/>
  <c r="G51" i="6"/>
  <c r="V49" i="6"/>
  <c r="B2" i="6"/>
  <c r="D2" i="18"/>
  <c r="M67" i="7"/>
  <c r="M59" i="14"/>
  <c r="M64" i="14" s="1"/>
  <c r="C217" i="6"/>
  <c r="K203" i="6"/>
  <c r="K217" i="6" s="1"/>
  <c r="O37" i="15"/>
  <c r="O28" i="15"/>
  <c r="C8" i="8" s="1"/>
  <c r="O69" i="15"/>
  <c r="AU59" i="5"/>
  <c r="O32" i="15"/>
  <c r="C11" i="8" s="1"/>
  <c r="K52" i="15"/>
  <c r="G52" i="15"/>
  <c r="BI107" i="5"/>
  <c r="G36" i="10"/>
  <c r="B44" i="26"/>
  <c r="S13" i="26" s="1"/>
  <c r="N96" i="5"/>
  <c r="B18" i="13"/>
  <c r="N52" i="15"/>
  <c r="L52" i="15"/>
  <c r="F52" i="15"/>
  <c r="D52" i="15"/>
  <c r="A753" i="23"/>
  <c r="V134" i="6"/>
  <c r="G136" i="6"/>
  <c r="N57" i="15"/>
  <c r="O57" i="15" s="1"/>
  <c r="N57" i="13"/>
  <c r="N58" i="13" s="1"/>
  <c r="N27" i="5"/>
  <c r="A710" i="23"/>
  <c r="E44" i="9"/>
  <c r="G53" i="7"/>
  <c r="J59" i="9"/>
  <c r="AQ15" i="9" s="1"/>
  <c r="E40" i="4"/>
  <c r="R21" i="4"/>
  <c r="V178" i="6"/>
  <c r="U178" i="6"/>
  <c r="B15" i="9"/>
  <c r="B15" i="26"/>
  <c r="B21" i="9"/>
  <c r="B21" i="26"/>
  <c r="K206" i="6"/>
  <c r="K220" i="6" s="1"/>
  <c r="C220" i="6"/>
  <c r="F56" i="15"/>
  <c r="F58" i="15" s="1"/>
  <c r="F59" i="15" s="1"/>
  <c r="AE15" i="15" s="1"/>
  <c r="F58" i="9"/>
  <c r="C56" i="15"/>
  <c r="C56" i="13"/>
  <c r="AN17" i="5"/>
  <c r="AU17" i="5"/>
  <c r="O161" i="7"/>
  <c r="E22" i="27"/>
  <c r="BW545" i="6"/>
  <c r="BP841" i="6"/>
  <c r="M21" i="27"/>
  <c r="O128" i="7"/>
  <c r="L42" i="13"/>
  <c r="L44" i="13" s="1"/>
  <c r="AV13" i="13" s="1"/>
  <c r="G42" i="9"/>
  <c r="O29" i="13"/>
  <c r="C58" i="9"/>
  <c r="N58" i="9"/>
  <c r="N59" i="9" s="1"/>
  <c r="BC15" i="9" s="1"/>
  <c r="AN103" i="5"/>
  <c r="AU103" i="5"/>
  <c r="BM23" i="6"/>
  <c r="AP12" i="9"/>
  <c r="D42" i="13"/>
  <c r="D44" i="13" s="1"/>
  <c r="X13" i="13" s="1"/>
  <c r="O28" i="13"/>
  <c r="H42" i="13"/>
  <c r="O40" i="13"/>
  <c r="AH120" i="4"/>
  <c r="A561" i="23"/>
  <c r="H94" i="6"/>
  <c r="M47" i="13"/>
  <c r="M64" i="13" s="1"/>
  <c r="D42" i="9"/>
  <c r="F56" i="13"/>
  <c r="F58" i="13" s="1"/>
  <c r="F59" i="13" s="1"/>
  <c r="AE15" i="13" s="1"/>
  <c r="O51" i="9"/>
  <c r="B152" i="6"/>
  <c r="BW7" i="6"/>
  <c r="BP303" i="6"/>
  <c r="BW630" i="6"/>
  <c r="BP926" i="6"/>
  <c r="AY12" i="13"/>
  <c r="F44" i="9"/>
  <c r="O57" i="9"/>
  <c r="AB13" i="6"/>
  <c r="O51" i="13"/>
  <c r="C42" i="13"/>
  <c r="C42" i="9"/>
  <c r="C44" i="9" s="1"/>
  <c r="N52" i="13"/>
  <c r="AS13" i="6"/>
  <c r="R42" i="9"/>
  <c r="R44" i="9" s="1"/>
  <c r="R47" i="9" s="1"/>
  <c r="M58" i="13"/>
  <c r="H52" i="13"/>
  <c r="A1028" i="23"/>
  <c r="AX57" i="6"/>
  <c r="AS58" i="6"/>
  <c r="C52" i="13"/>
  <c r="O50" i="13"/>
  <c r="O50" i="9"/>
  <c r="C52" i="9"/>
  <c r="G52" i="9"/>
  <c r="G59" i="9" s="1"/>
  <c r="AH15" i="9" s="1"/>
  <c r="A768" i="23"/>
  <c r="BC141" i="6"/>
  <c r="AB67" i="6"/>
  <c r="W66" i="6"/>
  <c r="AJ181" i="18"/>
  <c r="AJ185" i="18"/>
  <c r="BC154" i="6"/>
  <c r="P154" i="6"/>
  <c r="A931" i="23"/>
  <c r="A483" i="23"/>
  <c r="H71" i="6"/>
  <c r="BB68" i="18"/>
  <c r="A672" i="23"/>
  <c r="P105" i="6"/>
  <c r="A447" i="23"/>
  <c r="P59" i="6"/>
  <c r="H36" i="10"/>
  <c r="I52" i="9"/>
  <c r="I59" i="9" s="1"/>
  <c r="AN15" i="9" s="1"/>
  <c r="O30" i="9"/>
  <c r="BB37" i="18"/>
  <c r="BB36" i="18"/>
  <c r="BB38" i="18"/>
  <c r="BB34" i="18"/>
  <c r="BB30" i="18"/>
  <c r="AJ93" i="18"/>
  <c r="BB146" i="18"/>
  <c r="BB145" i="18"/>
  <c r="BB144" i="18"/>
  <c r="BB152" i="18"/>
  <c r="BB149" i="18"/>
  <c r="P13" i="6"/>
  <c r="A215" i="23"/>
  <c r="AO53" i="6"/>
  <c r="A481" i="23"/>
  <c r="H69" i="6"/>
  <c r="AJ47" i="18"/>
  <c r="AJ46" i="18"/>
  <c r="AJ49" i="18"/>
  <c r="AJ52" i="18"/>
  <c r="AJ45" i="18"/>
  <c r="AJ51" i="18"/>
  <c r="AJ53" i="18"/>
  <c r="BB62" i="18"/>
  <c r="BB67" i="18"/>
  <c r="BB66" i="18"/>
  <c r="BB70" i="18"/>
  <c r="BB64" i="18"/>
  <c r="BB65" i="18"/>
  <c r="G96" i="7"/>
  <c r="Z65" i="7" s="1"/>
  <c r="AC157" i="6"/>
  <c r="AB39" i="6"/>
  <c r="AB40" i="6" s="1"/>
  <c r="AB41" i="6" s="1"/>
  <c r="W38" i="6"/>
  <c r="P102" i="6"/>
  <c r="A977" i="23"/>
  <c r="H179" i="6"/>
  <c r="A477" i="23"/>
  <c r="H63" i="6"/>
  <c r="O153" i="6"/>
  <c r="A920" i="23"/>
  <c r="A667" i="23"/>
  <c r="BC155" i="6"/>
  <c r="A932" i="23"/>
  <c r="P155" i="6"/>
  <c r="BB83" i="18"/>
  <c r="BB84" i="18"/>
  <c r="BB63" i="18"/>
  <c r="A598" i="23"/>
  <c r="P93" i="6"/>
  <c r="A366" i="23"/>
  <c r="P40" i="6"/>
  <c r="P139" i="6"/>
  <c r="A802" i="23"/>
  <c r="BB22" i="18"/>
  <c r="A704" i="23"/>
  <c r="BE22" i="6"/>
  <c r="H84" i="6"/>
  <c r="H95" i="6"/>
  <c r="O29" i="10"/>
  <c r="O31" i="10" s="1"/>
  <c r="G27" i="10"/>
  <c r="C11" i="13"/>
  <c r="C11" i="15"/>
  <c r="AJ98" i="18"/>
  <c r="P41" i="6"/>
  <c r="A367" i="23"/>
  <c r="H156" i="6"/>
  <c r="A897" i="23"/>
  <c r="AJ84" i="18"/>
  <c r="AJ76" i="18"/>
  <c r="AJ81" i="18"/>
  <c r="P30" i="6"/>
  <c r="A294" i="23"/>
  <c r="A329" i="23"/>
  <c r="AN137" i="6"/>
  <c r="AO106" i="6"/>
  <c r="AO105" i="6" s="1"/>
  <c r="AO104" i="6" s="1"/>
  <c r="AO103" i="6" s="1"/>
  <c r="AO102" i="6" s="1"/>
  <c r="AO101" i="6" s="1"/>
  <c r="AT107" i="6"/>
  <c r="A676" i="23"/>
  <c r="P109" i="6"/>
  <c r="A633" i="23"/>
  <c r="H104" i="6"/>
  <c r="A257" i="23"/>
  <c r="H31" i="6"/>
  <c r="O91" i="6"/>
  <c r="AL91" i="6"/>
  <c r="A612" i="23"/>
  <c r="A586" i="23"/>
  <c r="G26" i="6"/>
  <c r="U26" i="6"/>
  <c r="A268" i="23"/>
  <c r="A242" i="23"/>
  <c r="AI32" i="18"/>
  <c r="AJ186" i="18"/>
  <c r="BA95" i="18"/>
  <c r="BB147" i="18"/>
  <c r="BB33" i="18"/>
  <c r="P143" i="6"/>
  <c r="BC143" i="6"/>
  <c r="A806" i="23"/>
  <c r="AC44" i="6"/>
  <c r="AC43" i="6" s="1"/>
  <c r="AJ178" i="18"/>
  <c r="AJ183" i="18"/>
  <c r="AC176" i="6"/>
  <c r="A407" i="23"/>
  <c r="A782" i="23"/>
  <c r="AI146" i="18"/>
  <c r="AJ145" i="18" s="1"/>
  <c r="A591" i="23"/>
  <c r="B14" i="15"/>
  <c r="B14" i="13"/>
  <c r="B13" i="13"/>
  <c r="BP470" i="6"/>
  <c r="BW174" i="6"/>
  <c r="AJ58" i="4"/>
  <c r="L87" i="22"/>
  <c r="AP54" i="4" s="1"/>
  <c r="B61" i="9"/>
  <c r="B61" i="13" s="1"/>
  <c r="B61" i="26"/>
  <c r="E11" i="15"/>
  <c r="I42" i="15"/>
  <c r="AM12" i="15" s="1"/>
  <c r="E42" i="15"/>
  <c r="AA12" i="15" s="1"/>
  <c r="I10" i="4"/>
  <c r="N7" i="5"/>
  <c r="AN66" i="6"/>
  <c r="A175" i="23"/>
  <c r="AS89" i="6"/>
  <c r="G139" i="6"/>
  <c r="B23" i="15"/>
  <c r="B23" i="13"/>
  <c r="R13" i="4"/>
  <c r="E32" i="4"/>
  <c r="R32" i="4"/>
  <c r="BP975" i="6"/>
  <c r="BW679" i="6"/>
  <c r="AD55" i="5"/>
  <c r="AD78" i="5" s="1"/>
  <c r="AD32" i="5"/>
  <c r="AB36" i="22"/>
  <c r="AB38" i="22" s="1"/>
  <c r="AB46" i="22" s="1"/>
  <c r="H46" i="22" s="1"/>
  <c r="N58" i="4" s="1"/>
  <c r="AH109" i="4"/>
  <c r="AH121" i="4" s="1"/>
  <c r="AI149" i="4"/>
  <c r="A970" i="23"/>
  <c r="P175" i="6"/>
  <c r="H72" i="6"/>
  <c r="B46" i="13"/>
  <c r="B46" i="15"/>
  <c r="D123" i="7"/>
  <c r="B16" i="27"/>
  <c r="V13" i="4"/>
  <c r="I32" i="4"/>
  <c r="BP369" i="6"/>
  <c r="BW73" i="6"/>
  <c r="L11" i="15"/>
  <c r="L11" i="13"/>
  <c r="BS109" i="5"/>
  <c r="BT109" i="5"/>
  <c r="AG45" i="4"/>
  <c r="M89" i="7" s="1"/>
  <c r="M90" i="7" s="1"/>
  <c r="AG44" i="4"/>
  <c r="I89" i="7" s="1"/>
  <c r="I90" i="7" s="1"/>
  <c r="AG43" i="4"/>
  <c r="G89" i="7" s="1"/>
  <c r="AJ182" i="18"/>
  <c r="P92" i="6"/>
  <c r="A756" i="23"/>
  <c r="E41" i="4"/>
  <c r="E22" i="4"/>
  <c r="R22" i="4"/>
  <c r="R41" i="4"/>
  <c r="B25" i="9"/>
  <c r="B25" i="26"/>
  <c r="BP969" i="6"/>
  <c r="BW673" i="6"/>
  <c r="AE46" i="4"/>
  <c r="B45" i="27"/>
  <c r="X42" i="6"/>
  <c r="AC71" i="6"/>
  <c r="AC70" i="6" s="1"/>
  <c r="AC69" i="6" s="1"/>
  <c r="AC68" i="6" s="1"/>
  <c r="AC67" i="6" s="1"/>
  <c r="AC66" i="6" s="1"/>
  <c r="AF32" i="5"/>
  <c r="V55" i="5"/>
  <c r="BP900" i="6"/>
  <c r="BW604" i="6"/>
  <c r="AE45" i="4"/>
  <c r="B47" i="27"/>
  <c r="X175" i="6"/>
  <c r="AT56" i="6"/>
  <c r="AN25" i="6"/>
  <c r="O37" i="6"/>
  <c r="BP908" i="6"/>
  <c r="BW612" i="6"/>
  <c r="M42" i="15"/>
  <c r="AY12" i="15" s="1"/>
  <c r="H52" i="15"/>
  <c r="BK107" i="5"/>
  <c r="F42" i="15"/>
  <c r="AD12" i="15" s="1"/>
  <c r="E58" i="15"/>
  <c r="E59" i="15" s="1"/>
  <c r="AB15" i="15" s="1"/>
  <c r="BR111" i="5"/>
  <c r="BI71" i="5"/>
  <c r="P84" i="6"/>
  <c r="N42" i="15"/>
  <c r="BB12" i="15" s="1"/>
  <c r="M58" i="15"/>
  <c r="M59" i="15" s="1"/>
  <c r="AZ15" i="15" s="1"/>
  <c r="BS111" i="5"/>
  <c r="C29" i="5"/>
  <c r="K42" i="15"/>
  <c r="AS12" i="15" s="1"/>
  <c r="J52" i="15"/>
  <c r="BT111" i="5"/>
  <c r="C98" i="5"/>
  <c r="L58" i="15"/>
  <c r="L59" i="15" s="1"/>
  <c r="AW15" i="15" s="1"/>
  <c r="C58" i="15"/>
  <c r="C59" i="15" s="1"/>
  <c r="V15" i="15" s="1"/>
  <c r="BH111" i="5"/>
  <c r="AV38" i="3"/>
  <c r="O145" i="7"/>
  <c r="C44" i="13"/>
  <c r="C47" i="13" s="1"/>
  <c r="U12" i="13"/>
  <c r="O53" i="7"/>
  <c r="E18" i="10"/>
  <c r="AP12" i="13"/>
  <c r="J47" i="13"/>
  <c r="I42" i="9"/>
  <c r="X154" i="6"/>
  <c r="F40" i="10"/>
  <c r="AC21" i="10"/>
  <c r="AD21" i="10" s="1"/>
  <c r="E40" i="10"/>
  <c r="U56" i="11"/>
  <c r="E35" i="10"/>
  <c r="E36" i="10" s="1"/>
  <c r="J35" i="10"/>
  <c r="R30" i="10"/>
  <c r="I2" i="18"/>
  <c r="G2" i="6"/>
  <c r="F2" i="16"/>
  <c r="F2" i="9"/>
  <c r="AS68" i="6"/>
  <c r="AL157" i="6"/>
  <c r="A950" i="23"/>
  <c r="BA164" i="18"/>
  <c r="O32" i="6"/>
  <c r="A286" i="23"/>
  <c r="A1024" i="23"/>
  <c r="O174" i="6"/>
  <c r="P73" i="6"/>
  <c r="A523" i="23"/>
  <c r="U31" i="6"/>
  <c r="B22" i="6" s="1"/>
  <c r="AM21" i="6"/>
  <c r="A277" i="23"/>
  <c r="U87" i="6"/>
  <c r="A570" i="23"/>
  <c r="A1002" i="23"/>
  <c r="O178" i="6"/>
  <c r="AN39" i="4"/>
  <c r="AL39" i="4"/>
  <c r="AI154" i="4"/>
  <c r="AI145" i="4"/>
  <c r="AM39" i="4"/>
  <c r="AG154" i="4"/>
  <c r="AP39" i="4"/>
  <c r="Y52" i="22"/>
  <c r="AK39" i="4"/>
  <c r="C127" i="6"/>
  <c r="C147" i="6"/>
  <c r="C164" i="6" s="1"/>
  <c r="AI107" i="18"/>
  <c r="G102" i="6"/>
  <c r="A621" i="23"/>
  <c r="A486" i="23"/>
  <c r="H74" i="6"/>
  <c r="O145" i="6"/>
  <c r="AM135" i="6"/>
  <c r="A798" i="23"/>
  <c r="H59" i="6"/>
  <c r="A409" i="23"/>
  <c r="AL89" i="6"/>
  <c r="BA93" i="18"/>
  <c r="A584" i="23"/>
  <c r="AC45" i="4"/>
  <c r="AC70" i="4"/>
  <c r="AG158" i="4"/>
  <c r="AG132" i="4" s="1"/>
  <c r="AG156" i="4"/>
  <c r="A214" i="23"/>
  <c r="A248" i="23"/>
  <c r="B2" i="9"/>
  <c r="B2" i="15" s="1"/>
  <c r="B27" i="15"/>
  <c r="B7" i="8" s="1"/>
  <c r="B40" i="15"/>
  <c r="B14" i="8" s="1"/>
  <c r="R40" i="4"/>
  <c r="B2" i="27"/>
  <c r="B51" i="9"/>
  <c r="B51" i="26"/>
  <c r="M15" i="3"/>
  <c r="AG157" i="4"/>
  <c r="BR84" i="5"/>
  <c r="BQ84" i="5"/>
  <c r="BS84" i="5"/>
  <c r="BT84" i="5"/>
  <c r="BS69" i="5"/>
  <c r="BR69" i="5"/>
  <c r="BQ69" i="5"/>
  <c r="BT69" i="5"/>
  <c r="M22" i="3"/>
  <c r="F6" i="6"/>
  <c r="K195" i="6"/>
  <c r="K209" i="6" s="1"/>
  <c r="C209" i="6"/>
  <c r="S12" i="9"/>
  <c r="M7" i="3"/>
  <c r="AG159" i="4"/>
  <c r="C61" i="4"/>
  <c r="C80" i="4"/>
  <c r="B123" i="7"/>
  <c r="B140" i="7"/>
  <c r="L78" i="22"/>
  <c r="AJ65" i="4" s="1"/>
  <c r="AJ54" i="4"/>
  <c r="B42" i="13"/>
  <c r="S12" i="13" s="1"/>
  <c r="I63" i="4"/>
  <c r="B58" i="15"/>
  <c r="H193" i="6"/>
  <c r="P193" i="6" s="1"/>
  <c r="B52" i="14"/>
  <c r="AI156" i="4"/>
  <c r="AI157" i="4"/>
  <c r="B26" i="9"/>
  <c r="B26" i="26"/>
  <c r="BK115" i="5"/>
  <c r="BJ115" i="5"/>
  <c r="BI115" i="5"/>
  <c r="BH115" i="5"/>
  <c r="N11" i="15"/>
  <c r="BP500" i="6"/>
  <c r="H42" i="15"/>
  <c r="BK117" i="5"/>
  <c r="BJ117" i="5"/>
  <c r="BH117" i="5"/>
  <c r="BK113" i="5"/>
  <c r="BJ113" i="5"/>
  <c r="BH113" i="5"/>
  <c r="J58" i="15"/>
  <c r="G58" i="15"/>
  <c r="G59" i="15" s="1"/>
  <c r="AH15" i="15" s="1"/>
  <c r="D58" i="15"/>
  <c r="AV37" i="3"/>
  <c r="BS48" i="5"/>
  <c r="BR48" i="5"/>
  <c r="BQ48" i="5"/>
  <c r="BT48" i="5"/>
  <c r="B7" i="27"/>
  <c r="J42" i="15"/>
  <c r="I58" i="15"/>
  <c r="I59" i="15" s="1"/>
  <c r="AN15" i="15" s="1"/>
  <c r="BS105" i="5"/>
  <c r="BR105" i="5"/>
  <c r="BQ105" i="5"/>
  <c r="BT105" i="5"/>
  <c r="BR92" i="5"/>
  <c r="BQ92" i="5"/>
  <c r="BS92" i="5"/>
  <c r="BT92" i="5"/>
  <c r="BI88" i="5"/>
  <c r="BH88" i="5"/>
  <c r="BJ88" i="5"/>
  <c r="BK88" i="5"/>
  <c r="BJ69" i="5"/>
  <c r="BI69" i="5"/>
  <c r="BH69" i="5"/>
  <c r="BK69" i="5"/>
  <c r="BK61" i="5"/>
  <c r="BJ61" i="5"/>
  <c r="BI61" i="5"/>
  <c r="BH61" i="5"/>
  <c r="BS57" i="5"/>
  <c r="BR57" i="5"/>
  <c r="BQ57" i="5"/>
  <c r="BT57" i="5"/>
  <c r="D42" i="15"/>
  <c r="BK90" i="5"/>
  <c r="BJ90" i="5"/>
  <c r="BI90" i="5"/>
  <c r="BH90" i="5"/>
  <c r="BJ103" i="5"/>
  <c r="BI103" i="5"/>
  <c r="BH103" i="5"/>
  <c r="BK103" i="5"/>
  <c r="L42" i="15"/>
  <c r="BT117" i="5"/>
  <c r="BS117" i="5"/>
  <c r="BQ117" i="5"/>
  <c r="BT115" i="5"/>
  <c r="BS115" i="5"/>
  <c r="BR115" i="5"/>
  <c r="BQ115" i="5"/>
  <c r="BT113" i="5"/>
  <c r="BS113" i="5"/>
  <c r="BQ113" i="5"/>
  <c r="BI109" i="5"/>
  <c r="BH109" i="5"/>
  <c r="BK109" i="5"/>
  <c r="BJ109" i="5"/>
  <c r="AB44" i="22"/>
  <c r="K58" i="15"/>
  <c r="K59" i="15" s="1"/>
  <c r="AT15" i="15" s="1"/>
  <c r="H58" i="15"/>
  <c r="H59" i="15" s="1"/>
  <c r="AK15" i="15" s="1"/>
  <c r="G42" i="15"/>
  <c r="BH107" i="5"/>
  <c r="BL107" i="5" s="1"/>
  <c r="BT86" i="5"/>
  <c r="BS86" i="5"/>
  <c r="BR86" i="5"/>
  <c r="BT71" i="5"/>
  <c r="BQ71" i="5"/>
  <c r="BR59" i="5"/>
  <c r="BQ59" i="5"/>
  <c r="BS59" i="5"/>
  <c r="BI57" i="5"/>
  <c r="BH57" i="5"/>
  <c r="BK57" i="5"/>
  <c r="BK40" i="5"/>
  <c r="BJ40" i="5"/>
  <c r="BI40" i="5"/>
  <c r="BI38" i="5"/>
  <c r="BH38" i="5"/>
  <c r="BJ38" i="5"/>
  <c r="BT103" i="5"/>
  <c r="BR103" i="5"/>
  <c r="BT82" i="5"/>
  <c r="BS82" i="5"/>
  <c r="BR82" i="5"/>
  <c r="BK80" i="5"/>
  <c r="BJ80" i="5"/>
  <c r="BI59" i="5"/>
  <c r="BH59" i="5"/>
  <c r="BJ59" i="5"/>
  <c r="BJ34" i="5"/>
  <c r="BI34" i="5"/>
  <c r="BH34" i="5"/>
  <c r="BK34" i="5"/>
  <c r="C42" i="15"/>
  <c r="AU34" i="3"/>
  <c r="M30" i="26" s="1"/>
  <c r="AU33" i="3"/>
  <c r="BI111" i="5"/>
  <c r="BQ107" i="5"/>
  <c r="BK86" i="5"/>
  <c r="BJ86" i="5"/>
  <c r="BI86" i="5"/>
  <c r="BI84" i="5"/>
  <c r="BH84" i="5"/>
  <c r="BJ84" i="5"/>
  <c r="BK71" i="5"/>
  <c r="BH71" i="5"/>
  <c r="BR107" i="5"/>
  <c r="BT94" i="5"/>
  <c r="BS94" i="5"/>
  <c r="BR94" i="5"/>
  <c r="BQ80" i="5"/>
  <c r="BT67" i="5"/>
  <c r="BS67" i="5"/>
  <c r="BR67" i="5"/>
  <c r="BQ67" i="5"/>
  <c r="BQ65" i="5"/>
  <c r="BT65" i="5"/>
  <c r="BR65" i="5"/>
  <c r="BJ48" i="5"/>
  <c r="BI48" i="5"/>
  <c r="BH48" i="5"/>
  <c r="BK48" i="5"/>
  <c r="BT46" i="5"/>
  <c r="BS46" i="5"/>
  <c r="BR46" i="5"/>
  <c r="BQ46" i="5"/>
  <c r="BQ44" i="5"/>
  <c r="BT44" i="5"/>
  <c r="BR44" i="5"/>
  <c r="BT63" i="5"/>
  <c r="BS63" i="5"/>
  <c r="BR63" i="5"/>
  <c r="BQ63" i="5"/>
  <c r="BT42" i="5"/>
  <c r="BS42" i="5"/>
  <c r="BR42" i="5"/>
  <c r="BQ42" i="5"/>
  <c r="BT36" i="5"/>
  <c r="BS36" i="5"/>
  <c r="BR36" i="5"/>
  <c r="BQ36" i="5"/>
  <c r="BR109" i="5"/>
  <c r="BQ109" i="5"/>
  <c r="BJ105" i="5"/>
  <c r="BI105" i="5"/>
  <c r="BH105" i="5"/>
  <c r="BQ103" i="5"/>
  <c r="BT90" i="5"/>
  <c r="BS90" i="5"/>
  <c r="BR90" i="5"/>
  <c r="BR88" i="5"/>
  <c r="BQ88" i="5"/>
  <c r="BS88" i="5"/>
  <c r="BH80" i="5"/>
  <c r="BK67" i="5"/>
  <c r="BJ67" i="5"/>
  <c r="BI67" i="5"/>
  <c r="BH67" i="5"/>
  <c r="BH65" i="5"/>
  <c r="BK65" i="5"/>
  <c r="BI65" i="5"/>
  <c r="BT61" i="5"/>
  <c r="BS61" i="5"/>
  <c r="BR61" i="5"/>
  <c r="BK46" i="5"/>
  <c r="BJ46" i="5"/>
  <c r="BI46" i="5"/>
  <c r="BH46" i="5"/>
  <c r="BH44" i="5"/>
  <c r="BT40" i="5"/>
  <c r="BS40" i="5"/>
  <c r="BR40" i="5"/>
  <c r="BR38" i="5"/>
  <c r="BQ38" i="5"/>
  <c r="BS38" i="5"/>
  <c r="BK36" i="5"/>
  <c r="BJ36" i="5"/>
  <c r="BI36" i="5"/>
  <c r="BH36" i="5"/>
  <c r="BS103" i="5"/>
  <c r="BK94" i="5"/>
  <c r="BJ94" i="5"/>
  <c r="BI94" i="5"/>
  <c r="BI92" i="5"/>
  <c r="BH92" i="5"/>
  <c r="BJ92" i="5"/>
  <c r="BI80" i="5"/>
  <c r="BK63" i="5"/>
  <c r="BJ63" i="5"/>
  <c r="BI63" i="5"/>
  <c r="BH63" i="5"/>
  <c r="BK42" i="5"/>
  <c r="BJ42" i="5"/>
  <c r="BI42" i="5"/>
  <c r="BH42" i="5"/>
  <c r="C75" i="5"/>
  <c r="A737" i="23" l="1"/>
  <c r="BE46" i="6"/>
  <c r="N73" i="5"/>
  <c r="H161" i="6"/>
  <c r="BC161" i="6" s="1"/>
  <c r="A902" i="23"/>
  <c r="AB138" i="6"/>
  <c r="W137" i="6"/>
  <c r="W138" i="6" s="1"/>
  <c r="N50" i="5"/>
  <c r="BE43" i="6" s="1"/>
  <c r="AJ67" i="18"/>
  <c r="AJ167" i="18"/>
  <c r="BB113" i="18"/>
  <c r="L27" i="5"/>
  <c r="A179" i="23"/>
  <c r="H15" i="6"/>
  <c r="A181" i="23"/>
  <c r="H17" i="6"/>
  <c r="O55" i="13"/>
  <c r="AO71" i="6"/>
  <c r="AO70" i="6" s="1"/>
  <c r="AO69" i="6" s="1"/>
  <c r="AO68" i="6" s="1"/>
  <c r="AO67" i="6" s="1"/>
  <c r="AO66" i="6" s="1"/>
  <c r="AT72" i="6"/>
  <c r="AT71" i="6" s="1"/>
  <c r="AT70" i="6" s="1"/>
  <c r="AT69" i="6" s="1"/>
  <c r="AT68" i="6" s="1"/>
  <c r="AT67" i="6" s="1"/>
  <c r="AU67" i="6" s="1"/>
  <c r="BB150" i="18"/>
  <c r="A764" i="23"/>
  <c r="H137" i="6"/>
  <c r="J152" i="6"/>
  <c r="A973" i="23"/>
  <c r="H175" i="6"/>
  <c r="A364" i="23"/>
  <c r="P38" i="6"/>
  <c r="D23" i="1"/>
  <c r="AI39" i="4"/>
  <c r="AI40" i="4"/>
  <c r="AJ156" i="4" s="1"/>
  <c r="L96" i="5"/>
  <c r="AH39" i="4"/>
  <c r="AH40" i="4"/>
  <c r="H7" i="18"/>
  <c r="O283" i="17"/>
  <c r="H6" i="18"/>
  <c r="L119" i="5"/>
  <c r="M283" i="17"/>
  <c r="BR39" i="6" s="1"/>
  <c r="A976" i="23"/>
  <c r="H178" i="6"/>
  <c r="BC178" i="6" s="1"/>
  <c r="F31" i="3"/>
  <c r="D22" i="1"/>
  <c r="A715" i="23"/>
  <c r="AA40" i="22"/>
  <c r="BD43" i="6"/>
  <c r="E44" i="13"/>
  <c r="AA13" i="13" s="1"/>
  <c r="E58" i="13"/>
  <c r="E59" i="13" s="1"/>
  <c r="AB15" i="13" s="1"/>
  <c r="BD46" i="6"/>
  <c r="A736" i="23"/>
  <c r="K58" i="13"/>
  <c r="K59" i="13" s="1"/>
  <c r="AT15" i="13" s="1"/>
  <c r="A723" i="23"/>
  <c r="BE44" i="6"/>
  <c r="O57" i="13"/>
  <c r="V108" i="6"/>
  <c r="H59" i="13"/>
  <c r="AK15" i="13" s="1"/>
  <c r="E59" i="9"/>
  <c r="AB15" i="9" s="1"/>
  <c r="N58" i="15"/>
  <c r="N59" i="15" s="1"/>
  <c r="BC15" i="15" s="1"/>
  <c r="A722" i="23"/>
  <c r="BD44" i="6"/>
  <c r="AA43" i="22"/>
  <c r="AA41" i="22"/>
  <c r="AA38" i="22"/>
  <c r="AA45" i="22" s="1"/>
  <c r="E46" i="22" s="1"/>
  <c r="N57" i="4" s="1"/>
  <c r="M29" i="10"/>
  <c r="M31" i="10" s="1"/>
  <c r="AA42" i="22"/>
  <c r="AA39" i="22"/>
  <c r="C13" i="8"/>
  <c r="N47" i="13"/>
  <c r="N60" i="13" s="1"/>
  <c r="N63" i="13" s="1"/>
  <c r="BB18" i="13" s="1"/>
  <c r="AB41" i="22"/>
  <c r="AS12" i="13"/>
  <c r="C16" i="8"/>
  <c r="AB43" i="22"/>
  <c r="AB42" i="22"/>
  <c r="I44" i="15"/>
  <c r="I47" i="15" s="1"/>
  <c r="I60" i="15" s="1"/>
  <c r="I63" i="15" s="1"/>
  <c r="AM18" i="15" s="1"/>
  <c r="AB39" i="22"/>
  <c r="E44" i="15"/>
  <c r="E47" i="15" s="1"/>
  <c r="E60" i="15" s="1"/>
  <c r="E63" i="15" s="1"/>
  <c r="AA18" i="15" s="1"/>
  <c r="AB40" i="22"/>
  <c r="BR80" i="5"/>
  <c r="BL38" i="5"/>
  <c r="D59" i="15"/>
  <c r="AC42" i="6"/>
  <c r="AC41" i="6" s="1"/>
  <c r="AC40" i="6" s="1"/>
  <c r="AC39" i="6" s="1"/>
  <c r="M59" i="13"/>
  <c r="AZ15" i="13" s="1"/>
  <c r="O54" i="13"/>
  <c r="BJ23" i="6"/>
  <c r="BB106" i="18"/>
  <c r="BN23" i="6"/>
  <c r="A132" i="23" s="1"/>
  <c r="BB108" i="18"/>
  <c r="AJ21" i="18"/>
  <c r="P176" i="6"/>
  <c r="BJ82" i="5"/>
  <c r="O52" i="15"/>
  <c r="X41" i="6"/>
  <c r="X40" i="6" s="1"/>
  <c r="X39" i="6" s="1"/>
  <c r="X38" i="6" s="1"/>
  <c r="S38" i="6" s="1"/>
  <c r="BC176" i="6"/>
  <c r="BB109" i="18"/>
  <c r="BK23" i="6"/>
  <c r="A745" i="23" s="1"/>
  <c r="AJ70" i="18"/>
  <c r="H32" i="6"/>
  <c r="A258" i="23"/>
  <c r="BI82" i="5"/>
  <c r="BB112" i="18"/>
  <c r="A744" i="23"/>
  <c r="AJ94" i="18"/>
  <c r="BC157" i="6"/>
  <c r="BK82" i="5"/>
  <c r="F44" i="15"/>
  <c r="F47" i="15" s="1"/>
  <c r="F64" i="15" s="1"/>
  <c r="F68" i="15" s="1"/>
  <c r="AE14" i="15" s="1"/>
  <c r="AJ17" i="18"/>
  <c r="BB110" i="18"/>
  <c r="BH23" i="6"/>
  <c r="O56" i="13"/>
  <c r="A898" i="23"/>
  <c r="BM24" i="6"/>
  <c r="BD24" i="6"/>
  <c r="BN24" i="6"/>
  <c r="A133" i="23" s="1"/>
  <c r="BI24" i="6"/>
  <c r="BJ24" i="6"/>
  <c r="BK24" i="6"/>
  <c r="A750" i="23" s="1"/>
  <c r="BL92" i="5"/>
  <c r="BB107" i="18"/>
  <c r="BI23" i="6"/>
  <c r="O58" i="9"/>
  <c r="O56" i="15"/>
  <c r="AM108" i="6"/>
  <c r="J99" i="6" s="1"/>
  <c r="W13" i="6"/>
  <c r="W14" i="6" s="1"/>
  <c r="P140" i="6"/>
  <c r="A803" i="23"/>
  <c r="BQ34" i="5"/>
  <c r="BS34" i="5"/>
  <c r="BT34" i="5"/>
  <c r="BT80" i="5"/>
  <c r="E47" i="13"/>
  <c r="E60" i="13" s="1"/>
  <c r="E63" i="13" s="1"/>
  <c r="AA18" i="13" s="1"/>
  <c r="I59" i="13"/>
  <c r="AN15" i="13" s="1"/>
  <c r="BB180" i="18"/>
  <c r="AO157" i="6"/>
  <c r="AO156" i="6" s="1"/>
  <c r="W53" i="6"/>
  <c r="X139" i="6"/>
  <c r="X138" i="6" s="1"/>
  <c r="AJ164" i="18"/>
  <c r="AC13" i="6"/>
  <c r="AC12" i="6" s="1"/>
  <c r="AC11" i="6" s="1"/>
  <c r="A439" i="23"/>
  <c r="P49" i="6"/>
  <c r="P51" i="6"/>
  <c r="H42" i="6"/>
  <c r="A330" i="23"/>
  <c r="AT141" i="6"/>
  <c r="AT140" i="6" s="1"/>
  <c r="AT139" i="6" s="1"/>
  <c r="AT138" i="6" s="1"/>
  <c r="AT137" i="6" s="1"/>
  <c r="H46" i="6"/>
  <c r="A334" i="23"/>
  <c r="A442" i="23"/>
  <c r="P54" i="6"/>
  <c r="AJ149" i="18"/>
  <c r="AC90" i="6"/>
  <c r="AC89" i="6" s="1"/>
  <c r="AC88" i="6" s="1"/>
  <c r="AC87" i="6" s="1"/>
  <c r="AS139" i="6"/>
  <c r="AO140" i="6"/>
  <c r="AO139" i="6" s="1"/>
  <c r="AO138" i="6" s="1"/>
  <c r="AO137" i="6" s="1"/>
  <c r="BB80" i="18"/>
  <c r="AN102" i="6"/>
  <c r="AN103" i="6" s="1"/>
  <c r="J50" i="6"/>
  <c r="AJ184" i="18"/>
  <c r="AJ65" i="18"/>
  <c r="J85" i="6"/>
  <c r="BB183" i="18"/>
  <c r="Y10" i="6"/>
  <c r="N44" i="15"/>
  <c r="N47" i="15" s="1"/>
  <c r="AO39" i="6"/>
  <c r="BB19" i="18"/>
  <c r="AM12" i="13"/>
  <c r="I44" i="13"/>
  <c r="AM13" i="13" s="1"/>
  <c r="L47" i="9"/>
  <c r="L61" i="9" s="1"/>
  <c r="L62" i="9" s="1"/>
  <c r="L62" i="26" s="1"/>
  <c r="H44" i="9"/>
  <c r="AJ13" i="9" s="1"/>
  <c r="AV12" i="9"/>
  <c r="M60" i="13"/>
  <c r="M63" i="13" s="1"/>
  <c r="AY18" i="13" s="1"/>
  <c r="BB12" i="13"/>
  <c r="K47" i="13"/>
  <c r="K61" i="13" s="1"/>
  <c r="K62" i="13" s="1"/>
  <c r="M61" i="13"/>
  <c r="M62" i="13" s="1"/>
  <c r="O42" i="9"/>
  <c r="BE12" i="9" s="1"/>
  <c r="M44" i="15"/>
  <c r="AY13" i="15" s="1"/>
  <c r="U12" i="9"/>
  <c r="N44" i="9"/>
  <c r="BB13" i="9" s="1"/>
  <c r="AB55" i="6"/>
  <c r="AU24" i="6"/>
  <c r="AX24" i="6"/>
  <c r="A630" i="23"/>
  <c r="H101" i="6"/>
  <c r="A1011" i="23"/>
  <c r="P177" i="6"/>
  <c r="BB12" i="9"/>
  <c r="AB102" i="6"/>
  <c r="W101" i="6"/>
  <c r="BB17" i="18"/>
  <c r="W157" i="6"/>
  <c r="Y156" i="6"/>
  <c r="S156" i="6"/>
  <c r="AG12" i="13"/>
  <c r="G44" i="13"/>
  <c r="A218" i="23"/>
  <c r="P16" i="6"/>
  <c r="BK44" i="5"/>
  <c r="BU36" i="5"/>
  <c r="J47" i="9"/>
  <c r="J60" i="9" s="1"/>
  <c r="J63" i="9" s="1"/>
  <c r="AP18" i="9" s="1"/>
  <c r="AV12" i="13"/>
  <c r="M68" i="13"/>
  <c r="AZ14" i="13" s="1"/>
  <c r="J59" i="15"/>
  <c r="AQ15" i="15" s="1"/>
  <c r="B52" i="13"/>
  <c r="BB21" i="18"/>
  <c r="P100" i="6"/>
  <c r="AJ161" i="18"/>
  <c r="AJ96" i="18"/>
  <c r="BC177" i="6"/>
  <c r="H16" i="6"/>
  <c r="A180" i="23"/>
  <c r="AT159" i="6"/>
  <c r="AT158" i="6" s="1"/>
  <c r="D59" i="13"/>
  <c r="Y15" i="13" s="1"/>
  <c r="P142" i="6"/>
  <c r="A805" i="23"/>
  <c r="B64" i="15"/>
  <c r="B64" i="13"/>
  <c r="AO176" i="6"/>
  <c r="AT177" i="6"/>
  <c r="AT176" i="6" s="1"/>
  <c r="AT175" i="6" s="1"/>
  <c r="AT174" i="6" s="1"/>
  <c r="AT173" i="6" s="1"/>
  <c r="AT172" i="6" s="1"/>
  <c r="BC142" i="6"/>
  <c r="BB77" i="18"/>
  <c r="Y13" i="6"/>
  <c r="AJ92" i="18"/>
  <c r="B47" i="15"/>
  <c r="B47" i="13"/>
  <c r="AB103" i="6"/>
  <c r="AB104" i="6" s="1"/>
  <c r="X101" i="6"/>
  <c r="BB81" i="18"/>
  <c r="AM17" i="6"/>
  <c r="AL17" i="6"/>
  <c r="BB111" i="18"/>
  <c r="BB151" i="18"/>
  <c r="AJ66" i="18"/>
  <c r="AB156" i="6"/>
  <c r="AB157" i="6" s="1"/>
  <c r="AB158" i="6" s="1"/>
  <c r="AJ68" i="18"/>
  <c r="A256" i="23"/>
  <c r="H30" i="6"/>
  <c r="AT16" i="6"/>
  <c r="AT15" i="6" s="1"/>
  <c r="AT14" i="6" s="1"/>
  <c r="AT13" i="6" s="1"/>
  <c r="AT12" i="6" s="1"/>
  <c r="AO15" i="6"/>
  <c r="AO14" i="6" s="1"/>
  <c r="AO13" i="6" s="1"/>
  <c r="AO12" i="6" s="1"/>
  <c r="AO11" i="6" s="1"/>
  <c r="AO10" i="6" s="1"/>
  <c r="U108" i="6"/>
  <c r="B99" i="6" s="1"/>
  <c r="AJ97" i="18"/>
  <c r="P3" i="13"/>
  <c r="P3" i="15"/>
  <c r="A968" i="23"/>
  <c r="H170" i="6"/>
  <c r="BC170" i="6" s="1"/>
  <c r="H168" i="6"/>
  <c r="BB78" i="18"/>
  <c r="BB79" i="18"/>
  <c r="AJ15" i="18"/>
  <c r="B49" i="15"/>
  <c r="BB18" i="18"/>
  <c r="U59" i="6"/>
  <c r="V59" i="6"/>
  <c r="AT40" i="6"/>
  <c r="J9" i="5"/>
  <c r="J32" i="5" s="1"/>
  <c r="J55" i="5" s="1"/>
  <c r="J78" i="5" s="1"/>
  <c r="J101" i="5" s="1"/>
  <c r="F30" i="5"/>
  <c r="F53" i="5" s="1"/>
  <c r="F76" i="5" s="1"/>
  <c r="F99" i="5" s="1"/>
  <c r="H56" i="6"/>
  <c r="A406" i="23"/>
  <c r="AJ169" i="18"/>
  <c r="A402" i="23"/>
  <c r="H52" i="6"/>
  <c r="A697" i="23"/>
  <c r="BE21" i="6"/>
  <c r="BB53" i="18"/>
  <c r="R29" i="10"/>
  <c r="R28" i="10"/>
  <c r="R31" i="10"/>
  <c r="J33" i="10"/>
  <c r="J36" i="10"/>
  <c r="J46" i="10" s="1"/>
  <c r="G49" i="10" s="1"/>
  <c r="J34" i="10"/>
  <c r="V56" i="11"/>
  <c r="J29" i="10"/>
  <c r="E49" i="10" s="1"/>
  <c r="H13" i="6"/>
  <c r="A177" i="23"/>
  <c r="AN12" i="6"/>
  <c r="AN13" i="6" s="1"/>
  <c r="BB181" i="18"/>
  <c r="A635" i="23"/>
  <c r="H106" i="6"/>
  <c r="AJ62" i="18"/>
  <c r="A518" i="23"/>
  <c r="P68" i="6"/>
  <c r="T76" i="5"/>
  <c r="T55" i="5"/>
  <c r="X29" i="6"/>
  <c r="X28" i="6" s="1"/>
  <c r="X27" i="6" s="1"/>
  <c r="X26" i="6" s="1"/>
  <c r="X25" i="6" s="1"/>
  <c r="AC30" i="6"/>
  <c r="AC29" i="6" s="1"/>
  <c r="AC28" i="6" s="1"/>
  <c r="AC27" i="6" s="1"/>
  <c r="AC26" i="6" s="1"/>
  <c r="BB31" i="18"/>
  <c r="AB172" i="6"/>
  <c r="AB173" i="6" s="1"/>
  <c r="AB174" i="6" s="1"/>
  <c r="AB175" i="6" s="1"/>
  <c r="AB176" i="6" s="1"/>
  <c r="W171" i="6"/>
  <c r="W172" i="6" s="1"/>
  <c r="W173" i="6" s="1"/>
  <c r="AD12" i="13"/>
  <c r="F44" i="13"/>
  <c r="AD13" i="13" s="1"/>
  <c r="A674" i="23"/>
  <c r="P107" i="6"/>
  <c r="AJ39" i="6"/>
  <c r="AO38" i="6"/>
  <c r="H138" i="6"/>
  <c r="A765" i="23"/>
  <c r="A800" i="23"/>
  <c r="BC137" i="6"/>
  <c r="P137" i="6"/>
  <c r="B15" i="8"/>
  <c r="S13" i="15"/>
  <c r="H37" i="6"/>
  <c r="H35" i="6"/>
  <c r="A325" i="23"/>
  <c r="W54" i="6"/>
  <c r="AC106" i="6"/>
  <c r="AC105" i="6" s="1"/>
  <c r="AC104" i="6" s="1"/>
  <c r="AC103" i="6" s="1"/>
  <c r="BU107" i="5"/>
  <c r="K44" i="15"/>
  <c r="K47" i="15" s="1"/>
  <c r="AJ22" i="18"/>
  <c r="BB23" i="18"/>
  <c r="H58" i="6"/>
  <c r="N59" i="13"/>
  <c r="BC15" i="13" s="1"/>
  <c r="U73" i="6"/>
  <c r="B64" i="6" s="1"/>
  <c r="F59" i="9"/>
  <c r="AE15" i="9" s="1"/>
  <c r="H51" i="6"/>
  <c r="A401" i="23"/>
  <c r="H49" i="6"/>
  <c r="AN55" i="6"/>
  <c r="AJ54" i="6"/>
  <c r="P55" i="6"/>
  <c r="A443" i="23"/>
  <c r="AJ168" i="18"/>
  <c r="AJ165" i="18"/>
  <c r="AJ162" i="18"/>
  <c r="A696" i="23"/>
  <c r="BK21" i="6"/>
  <c r="BJ21" i="6"/>
  <c r="BH21" i="6"/>
  <c r="BM21" i="6"/>
  <c r="BI21" i="6"/>
  <c r="BD21" i="6"/>
  <c r="BN21" i="6"/>
  <c r="A130" i="23" s="1"/>
  <c r="AJ163" i="18"/>
  <c r="BB52" i="18"/>
  <c r="A637" i="23"/>
  <c r="H108" i="6"/>
  <c r="A291" i="23"/>
  <c r="P27" i="6"/>
  <c r="AO28" i="6"/>
  <c r="AO27" i="6" s="1"/>
  <c r="AO26" i="6" s="1"/>
  <c r="AO25" i="6" s="1"/>
  <c r="AO24" i="6" s="1"/>
  <c r="K44" i="9"/>
  <c r="AS12" i="9"/>
  <c r="BB76" i="18"/>
  <c r="AJ69" i="18"/>
  <c r="B35" i="13"/>
  <c r="B35" i="15"/>
  <c r="Y11" i="6"/>
  <c r="AB25" i="6"/>
  <c r="AB26" i="6" s="1"/>
  <c r="AD26" i="6" s="1"/>
  <c r="W24" i="6"/>
  <c r="W25" i="6" s="1"/>
  <c r="A1004" i="23"/>
  <c r="P170" i="6"/>
  <c r="P168" i="6"/>
  <c r="H171" i="6"/>
  <c r="BC171" i="6"/>
  <c r="A969" i="23"/>
  <c r="S11" i="6"/>
  <c r="BU59" i="5"/>
  <c r="AO175" i="6"/>
  <c r="AO174" i="6" s="1"/>
  <c r="AO173" i="6" s="1"/>
  <c r="AO172" i="6" s="1"/>
  <c r="AO171" i="6" s="1"/>
  <c r="A629" i="23"/>
  <c r="H100" i="6"/>
  <c r="H98" i="6"/>
  <c r="AU138" i="6"/>
  <c r="BB45" i="18"/>
  <c r="BB20" i="18"/>
  <c r="AJ95" i="18"/>
  <c r="A1007" i="23"/>
  <c r="BC173" i="6"/>
  <c r="P173" i="6"/>
  <c r="BB186" i="18"/>
  <c r="BB185" i="18"/>
  <c r="BB184" i="18"/>
  <c r="W174" i="6"/>
  <c r="W175" i="6" s="1"/>
  <c r="W176" i="6" s="1"/>
  <c r="W177" i="6" s="1"/>
  <c r="BB182" i="18"/>
  <c r="BB46" i="18"/>
  <c r="H14" i="6"/>
  <c r="A178" i="23"/>
  <c r="P63" i="6"/>
  <c r="P65" i="6"/>
  <c r="A515" i="23"/>
  <c r="BB148" i="18"/>
  <c r="BB179" i="18"/>
  <c r="AJ18" i="18"/>
  <c r="A670" i="23"/>
  <c r="P103" i="6"/>
  <c r="BB114" i="18"/>
  <c r="A405" i="23"/>
  <c r="H55" i="6"/>
  <c r="A372" i="23"/>
  <c r="P46" i="6"/>
  <c r="AU137" i="6"/>
  <c r="AX137" i="6"/>
  <c r="A249" i="23"/>
  <c r="H23" i="6"/>
  <c r="H21" i="6"/>
  <c r="A293" i="23"/>
  <c r="P29" i="6"/>
  <c r="AH118" i="4"/>
  <c r="AH110" i="4"/>
  <c r="AG40" i="6"/>
  <c r="BL111" i="5"/>
  <c r="BL115" i="5"/>
  <c r="B61" i="15"/>
  <c r="AD40" i="6"/>
  <c r="S155" i="6"/>
  <c r="B30" i="13"/>
  <c r="BB16" i="18"/>
  <c r="AJ151" i="18"/>
  <c r="AJ91" i="18"/>
  <c r="A558" i="23"/>
  <c r="H91" i="6"/>
  <c r="A1005" i="23"/>
  <c r="P171" i="6"/>
  <c r="H162" i="6"/>
  <c r="AH160" i="6" s="1"/>
  <c r="H151" i="6"/>
  <c r="A903" i="23"/>
  <c r="AM73" i="6"/>
  <c r="AL73" i="6"/>
  <c r="AN154" i="6"/>
  <c r="AN155" i="6" s="1"/>
  <c r="AN156" i="6" s="1"/>
  <c r="AS155" i="6"/>
  <c r="AS156" i="6" s="1"/>
  <c r="AS157" i="6" s="1"/>
  <c r="BB178" i="18"/>
  <c r="AX138" i="6"/>
  <c r="H60" i="11"/>
  <c r="P108" i="6"/>
  <c r="A675" i="23"/>
  <c r="X89" i="6"/>
  <c r="X88" i="6" s="1"/>
  <c r="X87" i="6" s="1"/>
  <c r="A176" i="23"/>
  <c r="H12" i="6"/>
  <c r="P88" i="6"/>
  <c r="A593" i="23"/>
  <c r="AJ16" i="18"/>
  <c r="B161" i="7"/>
  <c r="B151" i="7" s="1"/>
  <c r="B141" i="7" s="1"/>
  <c r="B134" i="7" s="1"/>
  <c r="B124" i="7" s="1"/>
  <c r="B155" i="7"/>
  <c r="A250" i="23"/>
  <c r="H24" i="6"/>
  <c r="AJ23" i="18"/>
  <c r="A767" i="23"/>
  <c r="H140" i="6"/>
  <c r="BC140" i="6"/>
  <c r="AN41" i="6"/>
  <c r="AJ40" i="6"/>
  <c r="AM178" i="6"/>
  <c r="AL178" i="6"/>
  <c r="AJ102" i="6"/>
  <c r="BE45" i="6"/>
  <c r="A730" i="23"/>
  <c r="AM45" i="6"/>
  <c r="AL45" i="6"/>
  <c r="A1013" i="23"/>
  <c r="P179" i="6"/>
  <c r="X57" i="6"/>
  <c r="X56" i="6" s="1"/>
  <c r="X55" i="6" s="1"/>
  <c r="X54" i="6" s="1"/>
  <c r="X53" i="6" s="1"/>
  <c r="AC58" i="6"/>
  <c r="AC57" i="6" s="1"/>
  <c r="AC56" i="6" s="1"/>
  <c r="AC55" i="6" s="1"/>
  <c r="AC54" i="6" s="1"/>
  <c r="BB49" i="18"/>
  <c r="BB48" i="18"/>
  <c r="BB51" i="18"/>
  <c r="BB50" i="18"/>
  <c r="BI44" i="5"/>
  <c r="BU69" i="5"/>
  <c r="Y155" i="6"/>
  <c r="BU111" i="5"/>
  <c r="AS41" i="6"/>
  <c r="AS42" i="6" s="1"/>
  <c r="BB15" i="18"/>
  <c r="AJ99" i="18"/>
  <c r="A771" i="23"/>
  <c r="H144" i="6"/>
  <c r="BC144" i="6" s="1"/>
  <c r="U45" i="6"/>
  <c r="V45" i="6"/>
  <c r="A516" i="23"/>
  <c r="P66" i="6"/>
  <c r="AY69" i="6" s="1"/>
  <c r="AN171" i="6"/>
  <c r="AN172" i="6" s="1"/>
  <c r="AN173" i="6" s="1"/>
  <c r="AS172" i="6"/>
  <c r="AT171" i="6"/>
  <c r="P45" i="6"/>
  <c r="A371" i="23"/>
  <c r="BK22" i="6"/>
  <c r="BD22" i="6"/>
  <c r="A703" i="23"/>
  <c r="BJ22" i="6"/>
  <c r="BM22" i="6"/>
  <c r="BN22" i="6"/>
  <c r="A131" i="23" s="1"/>
  <c r="BH22" i="6"/>
  <c r="BI22" i="6"/>
  <c r="X137" i="6"/>
  <c r="AC138" i="6"/>
  <c r="A220" i="23"/>
  <c r="P18" i="6"/>
  <c r="AY23" i="18" s="1"/>
  <c r="P7" i="6"/>
  <c r="A289" i="23"/>
  <c r="P25" i="6"/>
  <c r="AJ166" i="18"/>
  <c r="AS26" i="6"/>
  <c r="AU25" i="6"/>
  <c r="AX25" i="6"/>
  <c r="S12" i="6"/>
  <c r="Y12" i="6"/>
  <c r="AX139" i="6"/>
  <c r="AS140" i="6"/>
  <c r="AU139" i="6"/>
  <c r="AJ64" i="18"/>
  <c r="B29" i="13"/>
  <c r="B29" i="15"/>
  <c r="B9" i="8" s="1"/>
  <c r="P28" i="6"/>
  <c r="A292" i="23"/>
  <c r="M44" i="9"/>
  <c r="AY13" i="9" s="1"/>
  <c r="AJ63" i="18"/>
  <c r="AB139" i="6"/>
  <c r="BB35" i="18"/>
  <c r="AP39" i="6"/>
  <c r="AG66" i="6"/>
  <c r="AD66" i="6"/>
  <c r="A763" i="23"/>
  <c r="H136" i="6"/>
  <c r="H134" i="6"/>
  <c r="BL63" i="5"/>
  <c r="BU38" i="5"/>
  <c r="AK38" i="5" s="1"/>
  <c r="BU88" i="5"/>
  <c r="BL84" i="5"/>
  <c r="Q49" i="3"/>
  <c r="Z66" i="7"/>
  <c r="E40" i="27" s="1"/>
  <c r="P40" i="27" s="1"/>
  <c r="X40" i="27" s="1"/>
  <c r="AP101" i="6"/>
  <c r="AJ101" i="6"/>
  <c r="AJ144" i="18"/>
  <c r="AG12" i="9"/>
  <c r="G44" i="9"/>
  <c r="AG13" i="9" s="1"/>
  <c r="B21" i="15"/>
  <c r="B21" i="13"/>
  <c r="V144" i="6"/>
  <c r="U144" i="6"/>
  <c r="P35" i="6"/>
  <c r="P37" i="6"/>
  <c r="A363" i="23"/>
  <c r="AN67" i="6"/>
  <c r="AJ66" i="6"/>
  <c r="AP66" i="6"/>
  <c r="H26" i="6"/>
  <c r="A252" i="23"/>
  <c r="AG169" i="18"/>
  <c r="AK103" i="6"/>
  <c r="AY105" i="6"/>
  <c r="AK107" i="6"/>
  <c r="AK102" i="6"/>
  <c r="AQ102" i="6" s="1"/>
  <c r="AY17" i="18"/>
  <c r="AY18" i="18"/>
  <c r="N7" i="6"/>
  <c r="AY16" i="18"/>
  <c r="AY21" i="18"/>
  <c r="AY20" i="18"/>
  <c r="AY22" i="18"/>
  <c r="AY10" i="6"/>
  <c r="AY13" i="6"/>
  <c r="AY19" i="18"/>
  <c r="AK16" i="6"/>
  <c r="AY15" i="6"/>
  <c r="AK10" i="6"/>
  <c r="AK15" i="6"/>
  <c r="AY12" i="6"/>
  <c r="AK14" i="6"/>
  <c r="AK13" i="6"/>
  <c r="AY15" i="18"/>
  <c r="AY14" i="6"/>
  <c r="AK12" i="6"/>
  <c r="AK11" i="6"/>
  <c r="AY16" i="6"/>
  <c r="AY11" i="6"/>
  <c r="O52" i="13"/>
  <c r="AT106" i="6"/>
  <c r="AU107" i="6"/>
  <c r="AX107" i="6"/>
  <c r="BL82" i="5"/>
  <c r="X12" i="13"/>
  <c r="AD103" i="6"/>
  <c r="AC102" i="6"/>
  <c r="AG103" i="6"/>
  <c r="AN138" i="6"/>
  <c r="AJ137" i="6"/>
  <c r="AP137" i="6"/>
  <c r="AY69" i="18"/>
  <c r="AY67" i="18"/>
  <c r="AY55" i="6"/>
  <c r="O52" i="9"/>
  <c r="I141" i="7" s="1"/>
  <c r="E26" i="27" s="1"/>
  <c r="C59" i="9"/>
  <c r="AU58" i="6"/>
  <c r="AX58" i="6"/>
  <c r="X12" i="9"/>
  <c r="D44" i="9"/>
  <c r="X13" i="9" s="1"/>
  <c r="B15" i="15"/>
  <c r="B15" i="13"/>
  <c r="E47" i="9"/>
  <c r="AA13" i="9"/>
  <c r="AG67" i="6"/>
  <c r="AD67" i="6"/>
  <c r="AB68" i="6"/>
  <c r="BU34" i="5"/>
  <c r="D47" i="13"/>
  <c r="D60" i="13" s="1"/>
  <c r="D63" i="13" s="1"/>
  <c r="X18" i="13" s="1"/>
  <c r="V78" i="5"/>
  <c r="AF55" i="5"/>
  <c r="AX67" i="6"/>
  <c r="AT66" i="6"/>
  <c r="AJ146" i="18"/>
  <c r="AJ150" i="18"/>
  <c r="AB105" i="6"/>
  <c r="AG104" i="6"/>
  <c r="AD104" i="6"/>
  <c r="W39" i="6"/>
  <c r="AO52" i="6"/>
  <c r="AP53" i="6"/>
  <c r="AJ53" i="6"/>
  <c r="AS14" i="6"/>
  <c r="BC179" i="6"/>
  <c r="AG181" i="18"/>
  <c r="AH173" i="6"/>
  <c r="AH172" i="6"/>
  <c r="AH171" i="6"/>
  <c r="BL105" i="5"/>
  <c r="BL42" i="5"/>
  <c r="BU109" i="5"/>
  <c r="BL46" i="5"/>
  <c r="BL40" i="5"/>
  <c r="BU71" i="5"/>
  <c r="BL61" i="5"/>
  <c r="AN26" i="6"/>
  <c r="B25" i="13"/>
  <c r="B25" i="15"/>
  <c r="B6" i="8" s="1"/>
  <c r="A766" i="23"/>
  <c r="H139" i="6"/>
  <c r="BC139" i="6"/>
  <c r="AE43" i="4"/>
  <c r="B48" i="27"/>
  <c r="L7" i="16"/>
  <c r="T7" i="16" s="1"/>
  <c r="D99" i="5"/>
  <c r="X98" i="4"/>
  <c r="AO90" i="6"/>
  <c r="AO89" i="6" s="1"/>
  <c r="AO88" i="6" s="1"/>
  <c r="AT91" i="6"/>
  <c r="AT90" i="6" s="1"/>
  <c r="AT89" i="6" s="1"/>
  <c r="A930" i="23"/>
  <c r="P153" i="6"/>
  <c r="AY162" i="18" s="1"/>
  <c r="P151" i="6"/>
  <c r="AB42" i="6"/>
  <c r="AD41" i="6"/>
  <c r="AG41" i="6"/>
  <c r="AJ147" i="18"/>
  <c r="AY64" i="18"/>
  <c r="W139" i="6"/>
  <c r="Y138" i="6"/>
  <c r="S138" i="6"/>
  <c r="AB14" i="6"/>
  <c r="C58" i="13"/>
  <c r="B169" i="6"/>
  <c r="BE42" i="6"/>
  <c r="A709" i="23"/>
  <c r="AC156" i="6"/>
  <c r="AG157" i="6"/>
  <c r="AD157" i="6"/>
  <c r="BU80" i="5"/>
  <c r="BL71" i="5"/>
  <c r="BL59" i="5"/>
  <c r="AK59" i="5" s="1"/>
  <c r="BL57" i="5"/>
  <c r="BL69" i="5"/>
  <c r="AK69" i="5" s="1"/>
  <c r="BU92" i="5"/>
  <c r="AT55" i="6"/>
  <c r="AX56" i="6"/>
  <c r="AU56" i="6"/>
  <c r="AJ36" i="18"/>
  <c r="AJ38" i="18"/>
  <c r="AJ33" i="18"/>
  <c r="AJ32" i="18"/>
  <c r="AJ37" i="18"/>
  <c r="AJ30" i="18"/>
  <c r="AJ31" i="18"/>
  <c r="AJ34" i="18"/>
  <c r="AJ35" i="18"/>
  <c r="A596" i="23"/>
  <c r="P91" i="6"/>
  <c r="AJ152" i="18"/>
  <c r="W67" i="6"/>
  <c r="S66" i="6"/>
  <c r="Y66" i="6"/>
  <c r="Y176" i="6"/>
  <c r="H44" i="13"/>
  <c r="AJ12" i="13"/>
  <c r="AC175" i="6"/>
  <c r="AP103" i="6"/>
  <c r="AJ103" i="6"/>
  <c r="AN104" i="6"/>
  <c r="O42" i="13"/>
  <c r="BE12" i="13" s="1"/>
  <c r="X174" i="6"/>
  <c r="G90" i="7"/>
  <c r="Q89" i="7"/>
  <c r="Q90" i="7" s="1"/>
  <c r="AX41" i="6"/>
  <c r="AC25" i="6"/>
  <c r="AJ148" i="18"/>
  <c r="AJ172" i="6"/>
  <c r="AP172" i="6"/>
  <c r="F47" i="9"/>
  <c r="AD13" i="9"/>
  <c r="T90" i="6"/>
  <c r="AG96" i="18"/>
  <c r="AG92" i="18"/>
  <c r="AG99" i="18"/>
  <c r="AH92" i="6"/>
  <c r="AG97" i="18"/>
  <c r="AH91" i="6"/>
  <c r="T92" i="6"/>
  <c r="T91" i="6"/>
  <c r="AH88" i="6"/>
  <c r="T93" i="6"/>
  <c r="AG95" i="18"/>
  <c r="AH93" i="6"/>
  <c r="AG98" i="18"/>
  <c r="T88" i="6"/>
  <c r="AH90" i="6"/>
  <c r="AG94" i="18"/>
  <c r="AH89" i="6"/>
  <c r="AH87" i="6"/>
  <c r="AG93" i="18"/>
  <c r="AG91" i="18"/>
  <c r="F84" i="6"/>
  <c r="T87" i="6"/>
  <c r="T89" i="6"/>
  <c r="AK107" i="5"/>
  <c r="K64" i="15"/>
  <c r="K68" i="15" s="1"/>
  <c r="AT14" i="15" s="1"/>
  <c r="K60" i="15"/>
  <c r="K63" i="15" s="1"/>
  <c r="AS18" i="15" s="1"/>
  <c r="K61" i="15"/>
  <c r="K62" i="15" s="1"/>
  <c r="BL65" i="5"/>
  <c r="BU63" i="5"/>
  <c r="BL109" i="5"/>
  <c r="BL117" i="5"/>
  <c r="B150" i="7"/>
  <c r="B160" i="7"/>
  <c r="H102" i="6"/>
  <c r="A631" i="23"/>
  <c r="AB88" i="6"/>
  <c r="W87" i="6"/>
  <c r="G26" i="26"/>
  <c r="J26" i="26"/>
  <c r="G40" i="10"/>
  <c r="G33" i="26"/>
  <c r="L47" i="13"/>
  <c r="BU65" i="5"/>
  <c r="BU82" i="5"/>
  <c r="G44" i="15"/>
  <c r="AG13" i="15" s="1"/>
  <c r="AG12" i="15"/>
  <c r="BU115" i="5"/>
  <c r="BL103" i="5"/>
  <c r="K71" i="15"/>
  <c r="K72" i="15" s="1"/>
  <c r="K73" i="15" s="1"/>
  <c r="K74" i="15" s="1"/>
  <c r="AS13" i="15"/>
  <c r="H44" i="15"/>
  <c r="AJ13" i="15" s="1"/>
  <c r="AJ12" i="15"/>
  <c r="N6" i="6"/>
  <c r="N20" i="6" s="1"/>
  <c r="N34" i="6" s="1"/>
  <c r="N48" i="6" s="1"/>
  <c r="N62" i="6" s="1"/>
  <c r="N83" i="6" s="1"/>
  <c r="N97" i="6" s="1"/>
  <c r="N122" i="6" s="1"/>
  <c r="F20" i="6"/>
  <c r="F34" i="6" s="1"/>
  <c r="F48" i="6" s="1"/>
  <c r="F62" i="6" s="1"/>
  <c r="F83" i="6" s="1"/>
  <c r="F97" i="6" s="1"/>
  <c r="F122" i="6" s="1"/>
  <c r="F127" i="6" s="1"/>
  <c r="F147" i="6" s="1"/>
  <c r="F164" i="6" s="1"/>
  <c r="B51" i="15"/>
  <c r="B51" i="13"/>
  <c r="AH58" i="6"/>
  <c r="AH55" i="6"/>
  <c r="AG67" i="18"/>
  <c r="AJ108" i="18"/>
  <c r="AJ109" i="18"/>
  <c r="AJ114" i="18"/>
  <c r="AJ112" i="18"/>
  <c r="AJ111" i="18"/>
  <c r="AJ106" i="18"/>
  <c r="AJ113" i="18"/>
  <c r="AJ110" i="18"/>
  <c r="AJ107" i="18"/>
  <c r="A296" i="23"/>
  <c r="P21" i="6"/>
  <c r="P32" i="6"/>
  <c r="AX68" i="6"/>
  <c r="AS69" i="6"/>
  <c r="AU68" i="6"/>
  <c r="I34" i="26"/>
  <c r="E34" i="26"/>
  <c r="AC38" i="6"/>
  <c r="AD39" i="6"/>
  <c r="AG39" i="6"/>
  <c r="K34" i="26"/>
  <c r="D32" i="26"/>
  <c r="AV33" i="3"/>
  <c r="AV39" i="3" s="1"/>
  <c r="BA33" i="3"/>
  <c r="AV35" i="3"/>
  <c r="BA40" i="3"/>
  <c r="BA38" i="3"/>
  <c r="BA34" i="3"/>
  <c r="BA39" i="3"/>
  <c r="BA35" i="3"/>
  <c r="BA37" i="3"/>
  <c r="BA36" i="3"/>
  <c r="BU57" i="5"/>
  <c r="AK57" i="5" s="1"/>
  <c r="AM31" i="6"/>
  <c r="AL31" i="6"/>
  <c r="BB163" i="18"/>
  <c r="BB161" i="18"/>
  <c r="BB164" i="18"/>
  <c r="BB165" i="18"/>
  <c r="BB168" i="18"/>
  <c r="BB169" i="18"/>
  <c r="BB166" i="18"/>
  <c r="BB167" i="18"/>
  <c r="BB162" i="18"/>
  <c r="D26" i="26"/>
  <c r="F2" i="15"/>
  <c r="F2" i="13"/>
  <c r="D34" i="26"/>
  <c r="E30" i="26"/>
  <c r="I44" i="9"/>
  <c r="AM13" i="9" s="1"/>
  <c r="I42" i="26"/>
  <c r="AM12" i="9"/>
  <c r="U13" i="9"/>
  <c r="BU46" i="5"/>
  <c r="N22" i="22"/>
  <c r="AM25" i="5"/>
  <c r="AM36" i="5"/>
  <c r="AM65" i="5"/>
  <c r="AM94" i="5"/>
  <c r="AM11" i="5"/>
  <c r="AM38" i="5"/>
  <c r="AM67" i="5"/>
  <c r="AM80" i="5"/>
  <c r="AM13" i="5"/>
  <c r="AM40" i="5"/>
  <c r="AM69" i="5"/>
  <c r="AM82" i="5"/>
  <c r="AM15" i="5"/>
  <c r="AM42" i="5"/>
  <c r="AM71" i="5"/>
  <c r="AM84" i="5"/>
  <c r="AM17" i="5"/>
  <c r="AM44" i="5"/>
  <c r="AM57" i="5"/>
  <c r="AM86" i="5"/>
  <c r="AM19" i="5"/>
  <c r="AM46" i="5"/>
  <c r="AM23" i="5"/>
  <c r="AM34" i="5"/>
  <c r="AM63" i="5"/>
  <c r="AM92" i="5"/>
  <c r="AM90" i="5"/>
  <c r="AM113" i="5"/>
  <c r="AM48" i="5"/>
  <c r="AM115" i="5"/>
  <c r="H52" i="14"/>
  <c r="AM117" i="5"/>
  <c r="H12" i="22"/>
  <c r="AM103" i="5"/>
  <c r="AM59" i="5"/>
  <c r="AM105" i="5"/>
  <c r="AM21" i="5"/>
  <c r="AM61" i="5"/>
  <c r="AM107" i="5"/>
  <c r="AM88" i="5"/>
  <c r="AM111" i="5"/>
  <c r="AM109" i="5"/>
  <c r="AJ55" i="4"/>
  <c r="V17" i="27"/>
  <c r="O164" i="7" s="1"/>
  <c r="J26" i="22"/>
  <c r="Q27" i="22"/>
  <c r="J48" i="3"/>
  <c r="D35" i="27" s="1"/>
  <c r="P19" i="26"/>
  <c r="P53" i="26"/>
  <c r="P54" i="26"/>
  <c r="P58" i="26"/>
  <c r="P37" i="26"/>
  <c r="S15" i="22"/>
  <c r="H15" i="22"/>
  <c r="N27" i="22"/>
  <c r="R26" i="22"/>
  <c r="P18" i="26"/>
  <c r="P41" i="26"/>
  <c r="P64" i="26"/>
  <c r="P59" i="26"/>
  <c r="BF15" i="26" s="1"/>
  <c r="P50" i="26"/>
  <c r="P29" i="26"/>
  <c r="I53" i="7"/>
  <c r="K15" i="22"/>
  <c r="O12" i="22"/>
  <c r="L27" i="22"/>
  <c r="M26" i="22"/>
  <c r="P27" i="22"/>
  <c r="P46" i="3"/>
  <c r="P21" i="26"/>
  <c r="P33" i="26"/>
  <c r="P52" i="26"/>
  <c r="P38" i="26"/>
  <c r="P56" i="26"/>
  <c r="Q53" i="7"/>
  <c r="R15" i="22"/>
  <c r="O15" i="22"/>
  <c r="K26" i="22"/>
  <c r="S26" i="22"/>
  <c r="K27" i="22"/>
  <c r="P43" i="3"/>
  <c r="P20" i="26"/>
  <c r="P25" i="26"/>
  <c r="P40" i="26"/>
  <c r="P51" i="26"/>
  <c r="P30" i="26"/>
  <c r="P27" i="26"/>
  <c r="C150" i="7"/>
  <c r="J15" i="22"/>
  <c r="N15" i="22"/>
  <c r="Q26" i="22"/>
  <c r="S27" i="22"/>
  <c r="P36" i="26"/>
  <c r="P32" i="26"/>
  <c r="P39" i="26"/>
  <c r="P35" i="26"/>
  <c r="D133" i="7"/>
  <c r="S12" i="22"/>
  <c r="M15" i="22"/>
  <c r="AU35" i="3"/>
  <c r="Q123" i="7"/>
  <c r="P26" i="22"/>
  <c r="J27" i="22"/>
  <c r="P44" i="26"/>
  <c r="BF13" i="26" s="1"/>
  <c r="P24" i="26"/>
  <c r="P31" i="26"/>
  <c r="P26" i="26"/>
  <c r="C140" i="7"/>
  <c r="Q15" i="22"/>
  <c r="L15" i="22"/>
  <c r="AJ53" i="4"/>
  <c r="M27" i="22"/>
  <c r="N26" i="22"/>
  <c r="I52" i="14"/>
  <c r="P68" i="26"/>
  <c r="BF14" i="26" s="1"/>
  <c r="P28" i="26"/>
  <c r="P47" i="26"/>
  <c r="P57" i="26"/>
  <c r="Q78" i="7"/>
  <c r="I15" i="22"/>
  <c r="AJ64" i="4"/>
  <c r="AJ66" i="4"/>
  <c r="D19" i="27"/>
  <c r="L26" i="22"/>
  <c r="R27" i="22"/>
  <c r="P17" i="26"/>
  <c r="P42" i="26"/>
  <c r="BF12" i="26" s="1"/>
  <c r="P55" i="26"/>
  <c r="P34" i="26"/>
  <c r="P49" i="26"/>
  <c r="C39" i="19"/>
  <c r="P15" i="22"/>
  <c r="K23" i="22"/>
  <c r="N23" i="22"/>
  <c r="L22" i="22"/>
  <c r="M12" i="22"/>
  <c r="P17" i="27"/>
  <c r="I12" i="22"/>
  <c r="H23" i="22"/>
  <c r="J23" i="22"/>
  <c r="Q22" i="22"/>
  <c r="P12" i="22"/>
  <c r="S22" i="22"/>
  <c r="M22" i="22"/>
  <c r="L23" i="22"/>
  <c r="N12" i="22"/>
  <c r="T17" i="27"/>
  <c r="O163" i="7" s="1"/>
  <c r="O22" i="22"/>
  <c r="R22" i="22"/>
  <c r="H22" i="22"/>
  <c r="K12" i="22"/>
  <c r="F26" i="26"/>
  <c r="H26" i="26"/>
  <c r="G34" i="26"/>
  <c r="J34" i="26"/>
  <c r="V64" i="7"/>
  <c r="K22" i="22"/>
  <c r="Q23" i="22"/>
  <c r="P22" i="22"/>
  <c r="R12" i="22"/>
  <c r="K26" i="26"/>
  <c r="J22" i="22"/>
  <c r="M23" i="22"/>
  <c r="J12" i="22"/>
  <c r="E26" i="26"/>
  <c r="N26" i="26"/>
  <c r="D39" i="19"/>
  <c r="S23" i="22"/>
  <c r="P23" i="22"/>
  <c r="I23" i="22"/>
  <c r="Q12" i="22"/>
  <c r="R17" i="27"/>
  <c r="O162" i="7" s="1"/>
  <c r="O23" i="22"/>
  <c r="R23" i="22"/>
  <c r="I22" i="22"/>
  <c r="L12" i="22"/>
  <c r="M26" i="26"/>
  <c r="I30" i="26"/>
  <c r="H34" i="26"/>
  <c r="C34" i="26"/>
  <c r="L34" i="26"/>
  <c r="C30" i="26"/>
  <c r="F30" i="26"/>
  <c r="M34" i="26"/>
  <c r="J30" i="26"/>
  <c r="K30" i="26"/>
  <c r="N30" i="26"/>
  <c r="D30" i="26"/>
  <c r="H30" i="26"/>
  <c r="L30" i="26"/>
  <c r="G31" i="26"/>
  <c r="H28" i="26"/>
  <c r="K56" i="26"/>
  <c r="C38" i="26"/>
  <c r="E35" i="26"/>
  <c r="D40" i="26"/>
  <c r="I36" i="26"/>
  <c r="F49" i="26"/>
  <c r="N24" i="26"/>
  <c r="H56" i="26"/>
  <c r="F27" i="26"/>
  <c r="J36" i="26"/>
  <c r="D53" i="26"/>
  <c r="N27" i="26"/>
  <c r="M53" i="26"/>
  <c r="F28" i="26"/>
  <c r="N35" i="26"/>
  <c r="E38" i="26"/>
  <c r="G40" i="26"/>
  <c r="F40" i="26"/>
  <c r="J28" i="26"/>
  <c r="I49" i="26"/>
  <c r="N37" i="26"/>
  <c r="J55" i="26"/>
  <c r="E32" i="26"/>
  <c r="C25" i="26"/>
  <c r="H35" i="26"/>
  <c r="D31" i="26"/>
  <c r="E37" i="26"/>
  <c r="H41" i="26"/>
  <c r="H53" i="26"/>
  <c r="M49" i="26"/>
  <c r="L53" i="26"/>
  <c r="J53" i="26"/>
  <c r="I40" i="26"/>
  <c r="H40" i="26"/>
  <c r="G56" i="26"/>
  <c r="N56" i="26"/>
  <c r="E56" i="26"/>
  <c r="C54" i="26"/>
  <c r="M28" i="26"/>
  <c r="N53" i="26"/>
  <c r="D25" i="26"/>
  <c r="C40" i="26"/>
  <c r="N31" i="26"/>
  <c r="M39" i="26"/>
  <c r="F35" i="26"/>
  <c r="E41" i="26"/>
  <c r="H38" i="26"/>
  <c r="D39" i="26"/>
  <c r="J27" i="26"/>
  <c r="G32" i="26"/>
  <c r="F25" i="26"/>
  <c r="K53" i="26"/>
  <c r="I31" i="26"/>
  <c r="I38" i="26"/>
  <c r="N25" i="26"/>
  <c r="M38" i="26"/>
  <c r="C41" i="26"/>
  <c r="E39" i="26"/>
  <c r="M31" i="26"/>
  <c r="G49" i="26"/>
  <c r="D49" i="26"/>
  <c r="I25" i="26"/>
  <c r="D54" i="26"/>
  <c r="L28" i="26"/>
  <c r="K28" i="26"/>
  <c r="N54" i="26"/>
  <c r="D35" i="26"/>
  <c r="K27" i="26"/>
  <c r="J39" i="26"/>
  <c r="I37" i="26"/>
  <c r="C36" i="26"/>
  <c r="K36" i="26"/>
  <c r="G53" i="26"/>
  <c r="F39" i="26"/>
  <c r="G27" i="26"/>
  <c r="G28" i="26"/>
  <c r="G35" i="26"/>
  <c r="H39" i="26"/>
  <c r="M40" i="26"/>
  <c r="N49" i="26"/>
  <c r="H49" i="26"/>
  <c r="N41" i="26"/>
  <c r="L31" i="26"/>
  <c r="H32" i="26"/>
  <c r="J38" i="26"/>
  <c r="N39" i="26"/>
  <c r="M32" i="26"/>
  <c r="N38" i="26"/>
  <c r="F56" i="26"/>
  <c r="C56" i="26"/>
  <c r="D55" i="26"/>
  <c r="C55" i="26"/>
  <c r="D27" i="26"/>
  <c r="E31" i="26"/>
  <c r="I54" i="26"/>
  <c r="G38" i="26"/>
  <c r="K38" i="26"/>
  <c r="H36" i="26"/>
  <c r="K31" i="26"/>
  <c r="F24" i="26"/>
  <c r="N28" i="26"/>
  <c r="K54" i="26"/>
  <c r="I28" i="26"/>
  <c r="M41" i="26"/>
  <c r="C28" i="26"/>
  <c r="C49" i="26"/>
  <c r="D41" i="26"/>
  <c r="I35" i="26"/>
  <c r="G25" i="26"/>
  <c r="L25" i="26"/>
  <c r="I56" i="26"/>
  <c r="G41" i="26"/>
  <c r="E28" i="26"/>
  <c r="M36" i="26"/>
  <c r="K40" i="26"/>
  <c r="J49" i="26"/>
  <c r="F36" i="26"/>
  <c r="L24" i="26"/>
  <c r="H55" i="26"/>
  <c r="I100" i="7"/>
  <c r="D33" i="26"/>
  <c r="K33" i="26"/>
  <c r="J29" i="26"/>
  <c r="I58" i="26"/>
  <c r="D58" i="26"/>
  <c r="K58" i="26"/>
  <c r="L29" i="26"/>
  <c r="G39" i="26"/>
  <c r="F38" i="26"/>
  <c r="J24" i="26"/>
  <c r="C32" i="26"/>
  <c r="H25" i="26"/>
  <c r="D28" i="26"/>
  <c r="J40" i="26"/>
  <c r="E53" i="26"/>
  <c r="E25" i="26"/>
  <c r="L37" i="26"/>
  <c r="F37" i="26"/>
  <c r="C53" i="26"/>
  <c r="J56" i="26"/>
  <c r="L54" i="26"/>
  <c r="G57" i="26"/>
  <c r="J57" i="26"/>
  <c r="K57" i="26"/>
  <c r="G29" i="26"/>
  <c r="F29" i="26"/>
  <c r="C29" i="26"/>
  <c r="C27" i="26"/>
  <c r="C24" i="26"/>
  <c r="L40" i="26"/>
  <c r="I32" i="26"/>
  <c r="J25" i="26"/>
  <c r="E49" i="26"/>
  <c r="H31" i="26"/>
  <c r="E36" i="26"/>
  <c r="D38" i="26"/>
  <c r="C37" i="26"/>
  <c r="N55" i="26"/>
  <c r="L124" i="7"/>
  <c r="H29" i="26"/>
  <c r="K79" i="7"/>
  <c r="K141" i="7"/>
  <c r="E27" i="27" s="1"/>
  <c r="F58" i="26"/>
  <c r="L58" i="26"/>
  <c r="J58" i="26"/>
  <c r="K151" i="7"/>
  <c r="F41" i="26"/>
  <c r="E24" i="26"/>
  <c r="I53" i="26"/>
  <c r="I41" i="26"/>
  <c r="M35" i="26"/>
  <c r="J32" i="26"/>
  <c r="C39" i="26"/>
  <c r="J37" i="26"/>
  <c r="L49" i="26"/>
  <c r="J41" i="26"/>
  <c r="L41" i="26"/>
  <c r="K41" i="26"/>
  <c r="L55" i="26"/>
  <c r="H57" i="26"/>
  <c r="M57" i="26"/>
  <c r="L57" i="26"/>
  <c r="H33" i="26"/>
  <c r="I33" i="26"/>
  <c r="N42" i="26"/>
  <c r="N40" i="26"/>
  <c r="H24" i="26"/>
  <c r="F31" i="26"/>
  <c r="L39" i="26"/>
  <c r="I39" i="26"/>
  <c r="C31" i="26"/>
  <c r="M25" i="26"/>
  <c r="N32" i="26"/>
  <c r="C35" i="26"/>
  <c r="D56" i="26"/>
  <c r="K37" i="26"/>
  <c r="J54" i="26"/>
  <c r="I55" i="26"/>
  <c r="L33" i="26"/>
  <c r="C33" i="26"/>
  <c r="J33" i="26"/>
  <c r="N58" i="26"/>
  <c r="M58" i="26"/>
  <c r="G58" i="26"/>
  <c r="J35" i="26"/>
  <c r="L27" i="26"/>
  <c r="E27" i="26"/>
  <c r="M37" i="26"/>
  <c r="L32" i="26"/>
  <c r="I24" i="26"/>
  <c r="M24" i="26"/>
  <c r="G37" i="26"/>
  <c r="L36" i="26"/>
  <c r="J31" i="26"/>
  <c r="M54" i="26"/>
  <c r="K55" i="26"/>
  <c r="L56" i="26"/>
  <c r="D57" i="26"/>
  <c r="E57" i="26"/>
  <c r="N57" i="26"/>
  <c r="N29" i="26"/>
  <c r="E33" i="26"/>
  <c r="D29" i="26"/>
  <c r="H42" i="26"/>
  <c r="J42" i="26"/>
  <c r="M42" i="26"/>
  <c r="L42" i="26"/>
  <c r="L35" i="26"/>
  <c r="D37" i="26"/>
  <c r="K32" i="26"/>
  <c r="K39" i="26"/>
  <c r="L38" i="26"/>
  <c r="F32" i="26"/>
  <c r="K25" i="26"/>
  <c r="M27" i="26"/>
  <c r="K49" i="26"/>
  <c r="F53" i="26"/>
  <c r="K35" i="26"/>
  <c r="H27" i="26"/>
  <c r="G55" i="26"/>
  <c r="M55" i="26"/>
  <c r="E54" i="26"/>
  <c r="M29" i="26"/>
  <c r="E58" i="26"/>
  <c r="H58" i="26"/>
  <c r="C58" i="26"/>
  <c r="E55" i="26"/>
  <c r="D24" i="26"/>
  <c r="E40" i="26"/>
  <c r="N36" i="26"/>
  <c r="H54" i="26"/>
  <c r="D36" i="26"/>
  <c r="K24" i="26"/>
  <c r="G36" i="26"/>
  <c r="I27" i="26"/>
  <c r="F55" i="26"/>
  <c r="G24" i="26"/>
  <c r="H37" i="26"/>
  <c r="G54" i="26"/>
  <c r="M56" i="26"/>
  <c r="F54" i="26"/>
  <c r="F57" i="26"/>
  <c r="I57" i="26"/>
  <c r="C57" i="26"/>
  <c r="E29" i="26"/>
  <c r="N33" i="26"/>
  <c r="K29" i="26"/>
  <c r="K42" i="26"/>
  <c r="G42" i="26"/>
  <c r="E42" i="26"/>
  <c r="R117" i="7"/>
  <c r="C42" i="26"/>
  <c r="D42" i="26"/>
  <c r="F42" i="26"/>
  <c r="AK1" i="5"/>
  <c r="N1" i="27"/>
  <c r="P1" i="6"/>
  <c r="N60" i="15"/>
  <c r="N63" i="15" s="1"/>
  <c r="BB18" i="15" s="1"/>
  <c r="N61" i="15"/>
  <c r="N62" i="15" s="1"/>
  <c r="N64" i="15"/>
  <c r="N68" i="15" s="1"/>
  <c r="BC14" i="15" s="1"/>
  <c r="AK75" i="4"/>
  <c r="E59" i="4"/>
  <c r="V73" i="4"/>
  <c r="AM144" i="6"/>
  <c r="AL144" i="6"/>
  <c r="L26" i="26"/>
  <c r="Y154" i="6"/>
  <c r="S154" i="6"/>
  <c r="J60" i="13"/>
  <c r="J63" i="13" s="1"/>
  <c r="AP18" i="13" s="1"/>
  <c r="J61" i="13"/>
  <c r="J62" i="13" s="1"/>
  <c r="J64" i="13"/>
  <c r="J68" i="13" s="1"/>
  <c r="AQ14" i="13" s="1"/>
  <c r="P1" i="26"/>
  <c r="C61" i="13"/>
  <c r="C62" i="13" s="1"/>
  <c r="C64" i="13"/>
  <c r="C60" i="13"/>
  <c r="C63" i="13" s="1"/>
  <c r="U18" i="13" s="1"/>
  <c r="BU40" i="5"/>
  <c r="AK40" i="5" s="1"/>
  <c r="BU90" i="5"/>
  <c r="BU42" i="5"/>
  <c r="AK42" i="5" s="1"/>
  <c r="BL48" i="5"/>
  <c r="BU94" i="5"/>
  <c r="BU103" i="5"/>
  <c r="BU117" i="5"/>
  <c r="BL90" i="5"/>
  <c r="T49" i="3"/>
  <c r="A70" i="23" s="1"/>
  <c r="B26" i="13"/>
  <c r="B26" i="15"/>
  <c r="N71" i="15"/>
  <c r="N72" i="15" s="1"/>
  <c r="N73" i="15" s="1"/>
  <c r="N74" i="15" s="1"/>
  <c r="BB13" i="15"/>
  <c r="AG160" i="4"/>
  <c r="AI160" i="4"/>
  <c r="AK73" i="4"/>
  <c r="A808" i="23"/>
  <c r="P145" i="6"/>
  <c r="P134" i="6"/>
  <c r="AT157" i="6"/>
  <c r="AT156" i="6" s="1"/>
  <c r="AN157" i="6"/>
  <c r="AS158" i="6"/>
  <c r="I26" i="26"/>
  <c r="G30" i="26"/>
  <c r="F33" i="26"/>
  <c r="R73" i="7"/>
  <c r="BL67" i="5"/>
  <c r="BL86" i="5"/>
  <c r="C44" i="15"/>
  <c r="C71" i="15" s="1"/>
  <c r="O42" i="15"/>
  <c r="BE12" i="15" s="1"/>
  <c r="U12" i="15"/>
  <c r="BU86" i="5"/>
  <c r="BU113" i="5"/>
  <c r="D44" i="15"/>
  <c r="X13" i="15" s="1"/>
  <c r="X12" i="15"/>
  <c r="J44" i="15"/>
  <c r="AP13" i="15" s="1"/>
  <c r="AP12" i="15"/>
  <c r="O58" i="15"/>
  <c r="BL113" i="5"/>
  <c r="AI131" i="4"/>
  <c r="AI136" i="4"/>
  <c r="AG131" i="4"/>
  <c r="AG136" i="4"/>
  <c r="T71" i="6"/>
  <c r="AG78" i="18"/>
  <c r="T67" i="6"/>
  <c r="AG81" i="18"/>
  <c r="F63" i="6"/>
  <c r="AH66" i="6"/>
  <c r="AE66" i="6" s="1"/>
  <c r="AG76" i="18"/>
  <c r="T72" i="6"/>
  <c r="AH72" i="6"/>
  <c r="T69" i="6"/>
  <c r="T70" i="6"/>
  <c r="AH71" i="6"/>
  <c r="AH70" i="6"/>
  <c r="AG80" i="18"/>
  <c r="AH68" i="6"/>
  <c r="AG83" i="18"/>
  <c r="AH67" i="6"/>
  <c r="AE67" i="6" s="1"/>
  <c r="AH69" i="6"/>
  <c r="AG82" i="18"/>
  <c r="AG79" i="18"/>
  <c r="AG77" i="18"/>
  <c r="T66" i="6"/>
  <c r="Z66" i="6" s="1"/>
  <c r="T68" i="6"/>
  <c r="AG84" i="18"/>
  <c r="A1012" i="23"/>
  <c r="P178" i="6"/>
  <c r="AY77" i="18"/>
  <c r="N34" i="26"/>
  <c r="Z1" i="4"/>
  <c r="BL94" i="5"/>
  <c r="BL36" i="5"/>
  <c r="BL44" i="5"/>
  <c r="BU61" i="5"/>
  <c r="AK61" i="5" s="1"/>
  <c r="BU44" i="5"/>
  <c r="BU67" i="5"/>
  <c r="BL34" i="5"/>
  <c r="AK34" i="5" s="1"/>
  <c r="BL80" i="5"/>
  <c r="AK80" i="5" s="1"/>
  <c r="F71" i="15"/>
  <c r="F72" i="15" s="1"/>
  <c r="F73" i="15" s="1"/>
  <c r="F74" i="15" s="1"/>
  <c r="Y15" i="15"/>
  <c r="O59" i="15"/>
  <c r="AM13" i="15"/>
  <c r="I71" i="15"/>
  <c r="I72" i="15" s="1"/>
  <c r="I73" i="15" s="1"/>
  <c r="I74" i="15" s="1"/>
  <c r="BB99" i="18"/>
  <c r="BB91" i="18"/>
  <c r="BB98" i="18"/>
  <c r="BB97" i="18"/>
  <c r="BB93" i="18"/>
  <c r="BB94" i="18"/>
  <c r="BB96" i="18"/>
  <c r="BB92" i="18"/>
  <c r="BB95" i="18"/>
  <c r="BC174" i="6"/>
  <c r="P174" i="6"/>
  <c r="A1008" i="23"/>
  <c r="C26" i="26"/>
  <c r="E64" i="13"/>
  <c r="E68" i="13" s="1"/>
  <c r="AB14" i="13" s="1"/>
  <c r="E61" i="13"/>
  <c r="E62" i="13" s="1"/>
  <c r="U13" i="13"/>
  <c r="L44" i="15"/>
  <c r="AV13" i="15" s="1"/>
  <c r="AV12" i="15"/>
  <c r="I61" i="15"/>
  <c r="I62" i="15" s="1"/>
  <c r="I64" i="15"/>
  <c r="I68" i="15" s="1"/>
  <c r="AN14" i="15" s="1"/>
  <c r="BL88" i="5"/>
  <c r="BU105" i="5"/>
  <c r="AK105" i="5" s="1"/>
  <c r="BU48" i="5"/>
  <c r="BU84" i="5"/>
  <c r="AK84" i="5" s="1"/>
  <c r="AS90" i="6"/>
  <c r="AN89" i="6"/>
  <c r="F34" i="26"/>
  <c r="M33" i="26"/>
  <c r="I29" i="26"/>
  <c r="C47" i="9"/>
  <c r="AZ16" i="13"/>
  <c r="AZ17" i="13"/>
  <c r="A729" i="23" l="1"/>
  <c r="BD45" i="6"/>
  <c r="AK94" i="5"/>
  <c r="AK113" i="5"/>
  <c r="AB105" i="18"/>
  <c r="AT90" i="18"/>
  <c r="AT143" i="18"/>
  <c r="AT61" i="18"/>
  <c r="AB61" i="18"/>
  <c r="AB143" i="18"/>
  <c r="AT29" i="18"/>
  <c r="AB90" i="18"/>
  <c r="AT44" i="18"/>
  <c r="AB75" i="18"/>
  <c r="AE83" i="18" s="1"/>
  <c r="AT75" i="18"/>
  <c r="AB44" i="18"/>
  <c r="AT14" i="18"/>
  <c r="AW22" i="18" s="1"/>
  <c r="AT105" i="18"/>
  <c r="AT160" i="18"/>
  <c r="AB14" i="18"/>
  <c r="AB160" i="18"/>
  <c r="AB177" i="18"/>
  <c r="AT177" i="18"/>
  <c r="AB29" i="18"/>
  <c r="AG66" i="18"/>
  <c r="BD42" i="6"/>
  <c r="A708" i="23"/>
  <c r="AW53" i="18"/>
  <c r="AZ53" i="18" s="1"/>
  <c r="BC53" i="18" s="1"/>
  <c r="AE114" i="18"/>
  <c r="AH114" i="18" s="1"/>
  <c r="AK114" i="18" s="1"/>
  <c r="AE70" i="18"/>
  <c r="AH70" i="18" s="1"/>
  <c r="AK70" i="18" s="1"/>
  <c r="AE169" i="18"/>
  <c r="AH169" i="18" s="1"/>
  <c r="AK169" i="18" s="1"/>
  <c r="AE53" i="18"/>
  <c r="AH53" i="18" s="1"/>
  <c r="AK53" i="18" s="1"/>
  <c r="AE38" i="18"/>
  <c r="AH38" i="18" s="1"/>
  <c r="AK38" i="18" s="1"/>
  <c r="AW186" i="18"/>
  <c r="AZ186" i="18" s="1"/>
  <c r="BC186" i="18" s="1"/>
  <c r="AE99" i="18"/>
  <c r="AH99" i="18" s="1"/>
  <c r="AK99" i="18" s="1"/>
  <c r="AE84" i="18"/>
  <c r="AH84" i="18" s="1"/>
  <c r="AK84" i="18" s="1"/>
  <c r="AW70" i="18"/>
  <c r="AZ70" i="18" s="1"/>
  <c r="BC70" i="18" s="1"/>
  <c r="AW84" i="18"/>
  <c r="AZ84" i="18" s="1"/>
  <c r="BC84" i="18" s="1"/>
  <c r="AW38" i="18"/>
  <c r="AZ38" i="18" s="1"/>
  <c r="BC38" i="18" s="1"/>
  <c r="AW23" i="18"/>
  <c r="AZ23" i="18" s="1"/>
  <c r="BC23" i="18" s="1"/>
  <c r="AW169" i="18"/>
  <c r="AZ169" i="18" s="1"/>
  <c r="BC169" i="18" s="1"/>
  <c r="AE23" i="18"/>
  <c r="AH23" i="18" s="1"/>
  <c r="AK23" i="18" s="1"/>
  <c r="AW114" i="18"/>
  <c r="AZ114" i="18" s="1"/>
  <c r="BC114" i="18" s="1"/>
  <c r="AE186" i="18"/>
  <c r="AH186" i="18" s="1"/>
  <c r="AK186" i="18" s="1"/>
  <c r="AE152" i="18"/>
  <c r="AH152" i="18" s="1"/>
  <c r="AK152" i="18" s="1"/>
  <c r="AW99" i="18"/>
  <c r="AZ99" i="18" s="1"/>
  <c r="BC99" i="18" s="1"/>
  <c r="AW152" i="18"/>
  <c r="AZ152" i="18" s="1"/>
  <c r="BC152" i="18" s="1"/>
  <c r="AE98" i="18"/>
  <c r="AH98" i="18" s="1"/>
  <c r="AK55" i="6"/>
  <c r="AE168" i="18"/>
  <c r="AH168" i="18" s="1"/>
  <c r="N61" i="13"/>
  <c r="N62" i="13" s="1"/>
  <c r="N64" i="13"/>
  <c r="N68" i="13" s="1"/>
  <c r="BC14" i="13" s="1"/>
  <c r="AA13" i="15"/>
  <c r="E71" i="15"/>
  <c r="E72" i="15" s="1"/>
  <c r="E73" i="15" s="1"/>
  <c r="E74" i="15" s="1"/>
  <c r="E64" i="15"/>
  <c r="E68" i="15" s="1"/>
  <c r="AB14" i="15" s="1"/>
  <c r="E151" i="7"/>
  <c r="E61" i="15"/>
  <c r="E62" i="15" s="1"/>
  <c r="F61" i="15"/>
  <c r="F62" i="15" s="1"/>
  <c r="AG13" i="6"/>
  <c r="F60" i="15"/>
  <c r="F63" i="15" s="1"/>
  <c r="AD18" i="15" s="1"/>
  <c r="AD13" i="15"/>
  <c r="AE16" i="15" s="1"/>
  <c r="AD13" i="6"/>
  <c r="S13" i="6"/>
  <c r="D61" i="13"/>
  <c r="D62" i="13" s="1"/>
  <c r="K64" i="13"/>
  <c r="K68" i="13" s="1"/>
  <c r="AT14" i="13" s="1"/>
  <c r="AT17" i="13" s="1"/>
  <c r="K60" i="13"/>
  <c r="K63" i="13" s="1"/>
  <c r="AS18" i="13" s="1"/>
  <c r="AB177" i="6"/>
  <c r="AD176" i="6"/>
  <c r="AG176" i="6"/>
  <c r="AG168" i="18"/>
  <c r="AE167" i="18" s="1"/>
  <c r="AH167" i="18" s="1"/>
  <c r="T155" i="6"/>
  <c r="Z155" i="6" s="1"/>
  <c r="AY72" i="6"/>
  <c r="AU41" i="6"/>
  <c r="AK56" i="6"/>
  <c r="AY66" i="18"/>
  <c r="T160" i="6"/>
  <c r="AH159" i="6"/>
  <c r="AG161" i="18"/>
  <c r="AK67" i="6"/>
  <c r="D64" i="13"/>
  <c r="D68" i="13" s="1"/>
  <c r="Y14" i="13" s="1"/>
  <c r="Y17" i="13" s="1"/>
  <c r="AG163" i="18"/>
  <c r="AY56" i="6"/>
  <c r="AK58" i="6"/>
  <c r="T159" i="6"/>
  <c r="AG164" i="18"/>
  <c r="J49" i="10"/>
  <c r="AY68" i="6"/>
  <c r="AV68" i="6" s="1"/>
  <c r="T157" i="6"/>
  <c r="AG166" i="18"/>
  <c r="AY65" i="18"/>
  <c r="AK53" i="6"/>
  <c r="AH155" i="6"/>
  <c r="AY48" i="18"/>
  <c r="I151" i="7"/>
  <c r="AY66" i="6"/>
  <c r="AK46" i="5"/>
  <c r="T156" i="6"/>
  <c r="Z156" i="6" s="1"/>
  <c r="AA155" i="6" s="1"/>
  <c r="AK92" i="5"/>
  <c r="AY54" i="6"/>
  <c r="AK54" i="6"/>
  <c r="AQ54" i="6" s="1"/>
  <c r="AG167" i="18"/>
  <c r="AH154" i="6"/>
  <c r="AJ11" i="6"/>
  <c r="AQ11" i="6" s="1"/>
  <c r="T158" i="6"/>
  <c r="AK57" i="6"/>
  <c r="AY70" i="18"/>
  <c r="AW69" i="18" s="1"/>
  <c r="AZ69" i="18" s="1"/>
  <c r="AH158" i="6"/>
  <c r="T154" i="6"/>
  <c r="Z154" i="6" s="1"/>
  <c r="AA154" i="6" s="1"/>
  <c r="L60" i="9"/>
  <c r="L63" i="9" s="1"/>
  <c r="AV18" i="9" s="1"/>
  <c r="BB164" i="6"/>
  <c r="AK88" i="5"/>
  <c r="Y38" i="6"/>
  <c r="AG165" i="18"/>
  <c r="J36" i="6"/>
  <c r="L64" i="9"/>
  <c r="L68" i="9" s="1"/>
  <c r="AW14" i="9" s="1"/>
  <c r="AW16" i="9" s="1"/>
  <c r="AP11" i="6"/>
  <c r="AY103" i="6"/>
  <c r="AP102" i="6"/>
  <c r="AG12" i="6"/>
  <c r="AK63" i="5"/>
  <c r="B36" i="6"/>
  <c r="S175" i="6"/>
  <c r="AD12" i="6"/>
  <c r="AQ53" i="6"/>
  <c r="J169" i="6"/>
  <c r="AG38" i="18"/>
  <c r="AE37" i="18" s="1"/>
  <c r="AH37" i="18" s="1"/>
  <c r="AY82" i="18"/>
  <c r="AH52" i="6"/>
  <c r="B50" i="6"/>
  <c r="O44" i="13"/>
  <c r="BE13" i="13" s="1"/>
  <c r="F47" i="13"/>
  <c r="F60" i="13" s="1"/>
  <c r="F63" i="13" s="1"/>
  <c r="AD18" i="13" s="1"/>
  <c r="H71" i="15"/>
  <c r="H72" i="15" s="1"/>
  <c r="H73" i="15" s="1"/>
  <c r="H74" i="15" s="1"/>
  <c r="G71" i="15"/>
  <c r="G72" i="15" s="1"/>
  <c r="G73" i="15" s="1"/>
  <c r="G74" i="15" s="1"/>
  <c r="AN17" i="15"/>
  <c r="H47" i="15"/>
  <c r="H64" i="15" s="1"/>
  <c r="H68" i="15" s="1"/>
  <c r="AK14" i="15" s="1"/>
  <c r="G47" i="15"/>
  <c r="G64" i="15" s="1"/>
  <c r="G68" i="15" s="1"/>
  <c r="AH14" i="15" s="1"/>
  <c r="H47" i="9"/>
  <c r="H60" i="9" s="1"/>
  <c r="H63" i="9" s="1"/>
  <c r="AJ18" i="9" s="1"/>
  <c r="I47" i="13"/>
  <c r="C47" i="15"/>
  <c r="M71" i="15"/>
  <c r="M72" i="15" s="1"/>
  <c r="M73" i="15" s="1"/>
  <c r="M74" i="15" s="1"/>
  <c r="M47" i="15"/>
  <c r="M60" i="15" s="1"/>
  <c r="M63" i="15" s="1"/>
  <c r="AY18" i="15" s="1"/>
  <c r="E141" i="7"/>
  <c r="E23" i="27" s="1"/>
  <c r="N47" i="9"/>
  <c r="AJ13" i="6"/>
  <c r="AN14" i="6"/>
  <c r="AP13" i="6"/>
  <c r="AC53" i="6"/>
  <c r="AD54" i="6"/>
  <c r="AG54" i="6"/>
  <c r="X52" i="6"/>
  <c r="Y53" i="6"/>
  <c r="S53" i="6"/>
  <c r="X24" i="6"/>
  <c r="Y25" i="6"/>
  <c r="AD11" i="6"/>
  <c r="AC10" i="6"/>
  <c r="AG11" i="6"/>
  <c r="AX171" i="6"/>
  <c r="AU171" i="6"/>
  <c r="AB27" i="6"/>
  <c r="T78" i="5"/>
  <c r="T99" i="5"/>
  <c r="T101" i="5" s="1"/>
  <c r="J8" i="6"/>
  <c r="S157" i="6"/>
  <c r="W158" i="6"/>
  <c r="Y157" i="6"/>
  <c r="AY78" i="18"/>
  <c r="AK72" i="6"/>
  <c r="AY71" i="6"/>
  <c r="J71" i="15"/>
  <c r="J72" i="15" s="1"/>
  <c r="J73" i="15" s="1"/>
  <c r="J74" i="15" s="1"/>
  <c r="T55" i="6"/>
  <c r="T58" i="6"/>
  <c r="T57" i="6"/>
  <c r="AK115" i="5"/>
  <c r="AJ25" i="6"/>
  <c r="T172" i="6"/>
  <c r="AG186" i="18"/>
  <c r="AE185" i="18" s="1"/>
  <c r="AH185" i="18" s="1"/>
  <c r="AY106" i="6"/>
  <c r="AY113" i="18"/>
  <c r="AY112" i="18"/>
  <c r="AS173" i="6"/>
  <c r="AU172" i="6"/>
  <c r="AX172" i="6"/>
  <c r="AG18" i="18"/>
  <c r="T15" i="6"/>
  <c r="T12" i="6"/>
  <c r="Z12" i="6" s="1"/>
  <c r="T16" i="6"/>
  <c r="AG21" i="18"/>
  <c r="T10" i="6"/>
  <c r="Z10" i="6" s="1"/>
  <c r="AH11" i="6"/>
  <c r="AH12" i="6"/>
  <c r="AE12" i="6" s="1"/>
  <c r="AH14" i="6"/>
  <c r="AH16" i="6"/>
  <c r="F7" i="6"/>
  <c r="AG15" i="18"/>
  <c r="AG16" i="18"/>
  <c r="T13" i="6"/>
  <c r="Z13" i="6" s="1"/>
  <c r="AG17" i="18"/>
  <c r="AG23" i="18"/>
  <c r="AE22" i="18" s="1"/>
  <c r="AH22" i="18" s="1"/>
  <c r="T14" i="6"/>
  <c r="AH15" i="6"/>
  <c r="T11" i="6"/>
  <c r="Z11" i="6" s="1"/>
  <c r="AH10" i="6"/>
  <c r="AH13" i="6"/>
  <c r="AE13" i="6" s="1"/>
  <c r="AG180" i="18"/>
  <c r="AK111" i="5"/>
  <c r="F35" i="6"/>
  <c r="AG45" i="18"/>
  <c r="T42" i="6"/>
  <c r="T41" i="6"/>
  <c r="AG53" i="18"/>
  <c r="AE52" i="18" s="1"/>
  <c r="AH52" i="18" s="1"/>
  <c r="AG51" i="18"/>
  <c r="T40" i="6"/>
  <c r="AH42" i="6"/>
  <c r="T43" i="6"/>
  <c r="AH44" i="6"/>
  <c r="AG46" i="18"/>
  <c r="AG47" i="18"/>
  <c r="AG48" i="18"/>
  <c r="AH40" i="6"/>
  <c r="AE40" i="6" s="1"/>
  <c r="T39" i="6"/>
  <c r="AH41" i="6"/>
  <c r="AE41" i="6" s="1"/>
  <c r="AF40" i="6" s="1"/>
  <c r="AG50" i="18"/>
  <c r="T38" i="6"/>
  <c r="Z38" i="6" s="1"/>
  <c r="AG52" i="18"/>
  <c r="AG49" i="18"/>
  <c r="T44" i="6"/>
  <c r="AH38" i="6"/>
  <c r="AH39" i="6"/>
  <c r="AE39" i="6" s="1"/>
  <c r="AH43" i="6"/>
  <c r="AP38" i="6"/>
  <c r="AJ38" i="6"/>
  <c r="AK71" i="6"/>
  <c r="AG68" i="18"/>
  <c r="AH57" i="6"/>
  <c r="F49" i="6"/>
  <c r="AG178" i="18"/>
  <c r="T175" i="6"/>
  <c r="Z175" i="6" s="1"/>
  <c r="AH174" i="6"/>
  <c r="AG184" i="18"/>
  <c r="AX13" i="6"/>
  <c r="AY106" i="18"/>
  <c r="AY102" i="6"/>
  <c r="T114" i="6"/>
  <c r="AB140" i="6"/>
  <c r="AG139" i="6"/>
  <c r="AD139" i="6"/>
  <c r="AJ173" i="6"/>
  <c r="AP173" i="6"/>
  <c r="BC162" i="6"/>
  <c r="BB147" i="6" s="1"/>
  <c r="L147" i="6" s="1"/>
  <c r="AG162" i="18"/>
  <c r="AH157" i="6"/>
  <c r="AH156" i="6"/>
  <c r="AY58" i="6"/>
  <c r="AV58" i="6" s="1"/>
  <c r="AY62" i="18"/>
  <c r="N49" i="6"/>
  <c r="AY57" i="6"/>
  <c r="AV57" i="6" s="1"/>
  <c r="AK52" i="6"/>
  <c r="AY68" i="18"/>
  <c r="AY53" i="6"/>
  <c r="AY63" i="18"/>
  <c r="AY52" i="6"/>
  <c r="E43" i="10"/>
  <c r="R54" i="11"/>
  <c r="F39" i="10" s="1"/>
  <c r="E39" i="10"/>
  <c r="E41" i="10"/>
  <c r="G41" i="10" s="1"/>
  <c r="E42" i="10"/>
  <c r="F42" i="10"/>
  <c r="F43" i="10"/>
  <c r="M2" i="11"/>
  <c r="Y101" i="6"/>
  <c r="S101" i="6"/>
  <c r="W102" i="6"/>
  <c r="AJ24" i="6"/>
  <c r="AP24" i="6"/>
  <c r="T52" i="6"/>
  <c r="AY84" i="18"/>
  <c r="AW83" i="18" s="1"/>
  <c r="AZ83" i="18" s="1"/>
  <c r="AK90" i="5"/>
  <c r="O26" i="26"/>
  <c r="J61" i="9"/>
  <c r="J62" i="9" s="1"/>
  <c r="J62" i="26" s="1"/>
  <c r="AK69" i="6"/>
  <c r="AY80" i="18"/>
  <c r="AY81" i="18"/>
  <c r="J47" i="15"/>
  <c r="J60" i="15" s="1"/>
  <c r="J63" i="15" s="1"/>
  <c r="AP18" i="15" s="1"/>
  <c r="X17" i="27"/>
  <c r="AG70" i="18"/>
  <c r="AE69" i="18" s="1"/>
  <c r="AH69" i="18" s="1"/>
  <c r="AG63" i="18"/>
  <c r="AH53" i="6"/>
  <c r="AY163" i="18"/>
  <c r="AG182" i="18"/>
  <c r="AY111" i="18"/>
  <c r="T177" i="6"/>
  <c r="T173" i="6"/>
  <c r="F168" i="6"/>
  <c r="BL179" i="18" s="1"/>
  <c r="BL178" i="18" s="1"/>
  <c r="BM179" i="18" s="1"/>
  <c r="V182" i="18" s="1"/>
  <c r="AY49" i="18"/>
  <c r="AY108" i="18"/>
  <c r="AE166" i="18"/>
  <c r="AH166" i="18" s="1"/>
  <c r="AK105" i="6"/>
  <c r="AY107" i="6"/>
  <c r="AV107" i="6" s="1"/>
  <c r="AY107" i="18"/>
  <c r="AD138" i="6"/>
  <c r="AC137" i="6"/>
  <c r="AG138" i="6"/>
  <c r="F151" i="6"/>
  <c r="BL162" i="18" s="1"/>
  <c r="BL161" i="18" s="1"/>
  <c r="AG20" i="18"/>
  <c r="AG19" i="18"/>
  <c r="AB159" i="6"/>
  <c r="AD158" i="6"/>
  <c r="AG158" i="6"/>
  <c r="AE158" i="6" s="1"/>
  <c r="AB56" i="6"/>
  <c r="AG55" i="6"/>
  <c r="AE55" i="6" s="1"/>
  <c r="AD55" i="6"/>
  <c r="AH54" i="6"/>
  <c r="AG62" i="18"/>
  <c r="AG179" i="18"/>
  <c r="AG147" i="18"/>
  <c r="AH176" i="6"/>
  <c r="AE176" i="6" s="1"/>
  <c r="AH175" i="6"/>
  <c r="AG185" i="18"/>
  <c r="AU13" i="6"/>
  <c r="AK104" i="6"/>
  <c r="AK101" i="6"/>
  <c r="AQ101" i="6" s="1"/>
  <c r="AR101" i="6" s="1"/>
  <c r="AY109" i="18"/>
  <c r="AG183" i="18"/>
  <c r="AX26" i="6"/>
  <c r="AU26" i="6"/>
  <c r="AS27" i="6"/>
  <c r="Y137" i="6"/>
  <c r="S137" i="6"/>
  <c r="AP41" i="6"/>
  <c r="AN42" i="6"/>
  <c r="AJ41" i="6"/>
  <c r="B145" i="7"/>
  <c r="D128" i="7"/>
  <c r="AG22" i="18"/>
  <c r="AE21" i="18" s="1"/>
  <c r="AH21" i="18" s="1"/>
  <c r="G47" i="13"/>
  <c r="AG13" i="13"/>
  <c r="F61" i="13"/>
  <c r="F62" i="13" s="1"/>
  <c r="F64" i="13"/>
  <c r="F68" i="13" s="1"/>
  <c r="AE14" i="13" s="1"/>
  <c r="AE17" i="13" s="1"/>
  <c r="AJ12" i="6"/>
  <c r="AQ12" i="6" s="1"/>
  <c r="AP12" i="6"/>
  <c r="AT11" i="6"/>
  <c r="AU12" i="6"/>
  <c r="AX12" i="6"/>
  <c r="AV12" i="6" s="1"/>
  <c r="AY70" i="6"/>
  <c r="AY67" i="6"/>
  <c r="AV67" i="6" s="1"/>
  <c r="AW67" i="6" s="1"/>
  <c r="N63" i="6"/>
  <c r="V84" i="18" s="1"/>
  <c r="AK66" i="6"/>
  <c r="AQ66" i="6" s="1"/>
  <c r="AY76" i="18"/>
  <c r="AY79" i="18"/>
  <c r="AG65" i="18"/>
  <c r="T53" i="6"/>
  <c r="Z53" i="6" s="1"/>
  <c r="AG64" i="18"/>
  <c r="AK109" i="5"/>
  <c r="AG26" i="6"/>
  <c r="Y175" i="6"/>
  <c r="S176" i="6"/>
  <c r="AY114" i="18"/>
  <c r="AW113" i="18" s="1"/>
  <c r="AZ113" i="18" s="1"/>
  <c r="T174" i="6"/>
  <c r="AH177" i="6"/>
  <c r="AY101" i="6"/>
  <c r="AK106" i="6"/>
  <c r="AY110" i="18"/>
  <c r="W15" i="6"/>
  <c r="Y14" i="6"/>
  <c r="S14" i="6"/>
  <c r="J64" i="6"/>
  <c r="AN174" i="6"/>
  <c r="AG69" i="18"/>
  <c r="AH56" i="6"/>
  <c r="AP25" i="6"/>
  <c r="J64" i="9"/>
  <c r="J68" i="9" s="1"/>
  <c r="AQ14" i="9" s="1"/>
  <c r="AQ17" i="9" s="1"/>
  <c r="AK68" i="6"/>
  <c r="AK36" i="5"/>
  <c r="AK70" i="6"/>
  <c r="AY83" i="18"/>
  <c r="AW82" i="18" s="1"/>
  <c r="AZ82" i="18" s="1"/>
  <c r="T56" i="6"/>
  <c r="T54" i="6"/>
  <c r="AK82" i="5"/>
  <c r="AE157" i="6"/>
  <c r="T171" i="6"/>
  <c r="T176" i="6"/>
  <c r="AY104" i="6"/>
  <c r="M47" i="9"/>
  <c r="AU140" i="6"/>
  <c r="AX140" i="6"/>
  <c r="AS141" i="6"/>
  <c r="AD177" i="6"/>
  <c r="AG177" i="6"/>
  <c r="S25" i="6"/>
  <c r="AS13" i="9"/>
  <c r="K47" i="9"/>
  <c r="AP55" i="6"/>
  <c r="AJ55" i="6"/>
  <c r="AQ55" i="6" s="1"/>
  <c r="AR54" i="6" s="1"/>
  <c r="AN56" i="6"/>
  <c r="W55" i="6"/>
  <c r="Y54" i="6"/>
  <c r="S54" i="6"/>
  <c r="AT39" i="6"/>
  <c r="AU40" i="6"/>
  <c r="AX40" i="6"/>
  <c r="AP10" i="6"/>
  <c r="AJ10" i="6"/>
  <c r="AQ10" i="6" s="1"/>
  <c r="W26" i="6"/>
  <c r="O58" i="13"/>
  <c r="C59" i="13"/>
  <c r="AN27" i="6"/>
  <c r="AJ26" i="6"/>
  <c r="AP26" i="6"/>
  <c r="AG68" i="6"/>
  <c r="AE68" i="6" s="1"/>
  <c r="AF67" i="6" s="1"/>
  <c r="AD68" i="6"/>
  <c r="AB69" i="6"/>
  <c r="AT105" i="6"/>
  <c r="AX106" i="6"/>
  <c r="AU106" i="6"/>
  <c r="BK17" i="6"/>
  <c r="A578" i="23" s="1"/>
  <c r="BM17" i="6"/>
  <c r="A577" i="23"/>
  <c r="T92" i="18"/>
  <c r="BI17" i="6"/>
  <c r="BN17" i="6"/>
  <c r="A126" i="23" s="1"/>
  <c r="BJ17" i="6"/>
  <c r="BD17" i="6"/>
  <c r="V93" i="18"/>
  <c r="X93" i="18"/>
  <c r="BH17" i="6"/>
  <c r="BL92" i="18"/>
  <c r="BL91" i="18" s="1"/>
  <c r="AE97" i="18"/>
  <c r="AH97" i="18" s="1"/>
  <c r="AC24" i="6"/>
  <c r="AG25" i="6"/>
  <c r="AD25" i="6"/>
  <c r="S177" i="6"/>
  <c r="Z177" i="6" s="1"/>
  <c r="Y177" i="6"/>
  <c r="AT54" i="6"/>
  <c r="AX55" i="6"/>
  <c r="AV55" i="6" s="1"/>
  <c r="AU55" i="6"/>
  <c r="AP138" i="6"/>
  <c r="AJ138" i="6"/>
  <c r="AN139" i="6"/>
  <c r="N98" i="6"/>
  <c r="BD20" i="6"/>
  <c r="T30" i="6"/>
  <c r="F21" i="6"/>
  <c r="AG31" i="18"/>
  <c r="T26" i="6"/>
  <c r="AG34" i="18"/>
  <c r="AG32" i="18"/>
  <c r="AH28" i="6"/>
  <c r="AG33" i="18"/>
  <c r="T28" i="6"/>
  <c r="AH27" i="6"/>
  <c r="AH30" i="6"/>
  <c r="AH26" i="6"/>
  <c r="AG30" i="18"/>
  <c r="AG37" i="18"/>
  <c r="AG36" i="18"/>
  <c r="AG35" i="18"/>
  <c r="AH29" i="6"/>
  <c r="T24" i="6"/>
  <c r="T27" i="6"/>
  <c r="AH25" i="6"/>
  <c r="T29" i="6"/>
  <c r="T25" i="6"/>
  <c r="AH24" i="6"/>
  <c r="B135" i="6"/>
  <c r="F60" i="9"/>
  <c r="F63" i="9" s="1"/>
  <c r="AD18" i="9" s="1"/>
  <c r="F61" i="9"/>
  <c r="F62" i="9" s="1"/>
  <c r="F62" i="26" s="1"/>
  <c r="F64" i="9"/>
  <c r="F68" i="9" s="1"/>
  <c r="AE14" i="9" s="1"/>
  <c r="W40" i="6"/>
  <c r="S39" i="6"/>
  <c r="Z39" i="6" s="1"/>
  <c r="Y39" i="6"/>
  <c r="O53" i="26"/>
  <c r="AX66" i="6"/>
  <c r="AV66" i="6" s="1"/>
  <c r="AU66" i="6"/>
  <c r="AV56" i="6"/>
  <c r="BC17" i="13"/>
  <c r="BC16" i="13"/>
  <c r="D47" i="15"/>
  <c r="AK86" i="5"/>
  <c r="AB17" i="15"/>
  <c r="AP171" i="6"/>
  <c r="AJ171" i="6"/>
  <c r="AJ104" i="6"/>
  <c r="AQ104" i="6" s="1"/>
  <c r="AP104" i="6"/>
  <c r="AN105" i="6"/>
  <c r="H47" i="13"/>
  <c r="AJ13" i="13"/>
  <c r="AG156" i="6"/>
  <c r="AE156" i="6" s="1"/>
  <c r="AD156" i="6"/>
  <c r="AC155" i="6"/>
  <c r="AD14" i="6"/>
  <c r="AG14" i="6"/>
  <c r="AB15" i="6"/>
  <c r="S24" i="6"/>
  <c r="Y24" i="6"/>
  <c r="O59" i="9"/>
  <c r="V15" i="9"/>
  <c r="T23" i="18"/>
  <c r="BD8" i="6"/>
  <c r="A235" i="23"/>
  <c r="BI8" i="6"/>
  <c r="BH8" i="6"/>
  <c r="V24" i="18"/>
  <c r="BT16" i="18"/>
  <c r="BT15" i="18" s="1"/>
  <c r="BN8" i="6"/>
  <c r="A117" i="23" s="1"/>
  <c r="BK8" i="6"/>
  <c r="A236" i="23" s="1"/>
  <c r="BM8" i="6"/>
  <c r="X24" i="18"/>
  <c r="BJ8" i="6"/>
  <c r="X173" i="6"/>
  <c r="S174" i="6"/>
  <c r="Z174" i="6" s="1"/>
  <c r="Y174" i="6"/>
  <c r="AT16" i="15"/>
  <c r="AS43" i="6"/>
  <c r="AU42" i="6"/>
  <c r="AX42" i="6"/>
  <c r="AY96" i="18"/>
  <c r="AY93" i="6"/>
  <c r="AY92" i="6"/>
  <c r="AY89" i="6"/>
  <c r="AK92" i="6"/>
  <c r="AY92" i="18"/>
  <c r="AK93" i="6"/>
  <c r="AY94" i="18"/>
  <c r="AY88" i="6"/>
  <c r="AY91" i="6"/>
  <c r="N84" i="6"/>
  <c r="AK88" i="6"/>
  <c r="AY87" i="6"/>
  <c r="AK89" i="6"/>
  <c r="AK91" i="6"/>
  <c r="AY90" i="6"/>
  <c r="AK90" i="6"/>
  <c r="AY95" i="18"/>
  <c r="AY93" i="18"/>
  <c r="AY91" i="18"/>
  <c r="AY99" i="18"/>
  <c r="AW98" i="18" s="1"/>
  <c r="AZ98" i="18" s="1"/>
  <c r="AK87" i="6"/>
  <c r="H64" i="9"/>
  <c r="H68" i="9" s="1"/>
  <c r="AK14" i="9" s="1"/>
  <c r="H61" i="9"/>
  <c r="H62" i="9" s="1"/>
  <c r="H62" i="26" s="1"/>
  <c r="AX14" i="6"/>
  <c r="AV14" i="6" s="1"/>
  <c r="AS15" i="6"/>
  <c r="AU14" i="6"/>
  <c r="E60" i="9"/>
  <c r="E63" i="9" s="1"/>
  <c r="AA18" i="9" s="1"/>
  <c r="E64" i="9"/>
  <c r="E68" i="9" s="1"/>
  <c r="AB14" i="9" s="1"/>
  <c r="E61" i="9"/>
  <c r="E62" i="9" s="1"/>
  <c r="E62" i="26" s="1"/>
  <c r="AR53" i="6"/>
  <c r="AN68" i="6"/>
  <c r="AJ67" i="6"/>
  <c r="AQ67" i="6" s="1"/>
  <c r="AP67" i="6"/>
  <c r="AK44" i="5"/>
  <c r="O58" i="26"/>
  <c r="AY98" i="18"/>
  <c r="AB43" i="6"/>
  <c r="AD42" i="6"/>
  <c r="AG42" i="6"/>
  <c r="AE42" i="6" s="1"/>
  <c r="V101" i="5"/>
  <c r="AF78" i="5"/>
  <c r="AY97" i="18"/>
  <c r="AQ13" i="6"/>
  <c r="AV13" i="6"/>
  <c r="G47" i="9"/>
  <c r="AC174" i="6"/>
  <c r="AG175" i="6"/>
  <c r="AD175" i="6"/>
  <c r="BC17" i="15"/>
  <c r="O44" i="9"/>
  <c r="AK71" i="5"/>
  <c r="W140" i="6"/>
  <c r="S139" i="6"/>
  <c r="Y139" i="6"/>
  <c r="AN15" i="6"/>
  <c r="AJ14" i="6"/>
  <c r="AQ14" i="6" s="1"/>
  <c r="AP14" i="6"/>
  <c r="AK41" i="6"/>
  <c r="AY41" i="6"/>
  <c r="AV41" i="6" s="1"/>
  <c r="AK38" i="6"/>
  <c r="AQ38" i="6" s="1"/>
  <c r="AY43" i="6"/>
  <c r="AY51" i="18"/>
  <c r="AY39" i="6"/>
  <c r="AY44" i="6"/>
  <c r="AK40" i="6"/>
  <c r="AQ40" i="6" s="1"/>
  <c r="AY40" i="6"/>
  <c r="AV40" i="6" s="1"/>
  <c r="AY50" i="18"/>
  <c r="AK44" i="6"/>
  <c r="AY45" i="18"/>
  <c r="N35" i="6"/>
  <c r="AK42" i="6"/>
  <c r="AY42" i="6"/>
  <c r="AY53" i="18"/>
  <c r="AW52" i="18" s="1"/>
  <c r="AZ52" i="18" s="1"/>
  <c r="AY47" i="18"/>
  <c r="AK39" i="6"/>
  <c r="AQ39" i="6" s="1"/>
  <c r="AK43" i="6"/>
  <c r="AY38" i="6"/>
  <c r="AY46" i="18"/>
  <c r="AY52" i="18"/>
  <c r="L52" i="7"/>
  <c r="M40" i="27"/>
  <c r="BC136" i="6"/>
  <c r="BB130" i="6" s="1"/>
  <c r="C130" i="6" s="1"/>
  <c r="AG148" i="18"/>
  <c r="F134" i="6"/>
  <c r="BL145" i="18" s="1"/>
  <c r="BL144" i="18" s="1"/>
  <c r="AG149" i="18"/>
  <c r="AG144" i="18"/>
  <c r="AG151" i="18"/>
  <c r="AG152" i="18"/>
  <c r="AE151" i="18" s="1"/>
  <c r="AH151" i="18" s="1"/>
  <c r="AG145" i="18"/>
  <c r="T138" i="6"/>
  <c r="Z138" i="6" s="1"/>
  <c r="T137" i="6"/>
  <c r="Z137" i="6" s="1"/>
  <c r="AH143" i="6"/>
  <c r="T141" i="6"/>
  <c r="AH141" i="6"/>
  <c r="AH138" i="6"/>
  <c r="AG150" i="18"/>
  <c r="T139" i="6"/>
  <c r="T140" i="6"/>
  <c r="AH139" i="6"/>
  <c r="AH142" i="6"/>
  <c r="T143" i="6"/>
  <c r="AH140" i="6"/>
  <c r="AG146" i="18"/>
  <c r="AH137" i="6"/>
  <c r="T142" i="6"/>
  <c r="AF66" i="6"/>
  <c r="S67" i="6"/>
  <c r="Z67" i="6" s="1"/>
  <c r="AA66" i="6" s="1"/>
  <c r="Y67" i="6"/>
  <c r="W68" i="6"/>
  <c r="AY164" i="18"/>
  <c r="AY161" i="18"/>
  <c r="AY167" i="18"/>
  <c r="AY166" i="18"/>
  <c r="N151" i="6"/>
  <c r="AY168" i="18"/>
  <c r="AY169" i="18"/>
  <c r="AW168" i="18" s="1"/>
  <c r="AZ168" i="18" s="1"/>
  <c r="AK155" i="6"/>
  <c r="AY156" i="6"/>
  <c r="AK156" i="6"/>
  <c r="AY154" i="6"/>
  <c r="AK160" i="6"/>
  <c r="AY160" i="6"/>
  <c r="AK158" i="6"/>
  <c r="AY155" i="6"/>
  <c r="AK154" i="6"/>
  <c r="AY158" i="6"/>
  <c r="AY159" i="6"/>
  <c r="AY165" i="18"/>
  <c r="AK157" i="6"/>
  <c r="AK159" i="6"/>
  <c r="AY157" i="6"/>
  <c r="AP52" i="6"/>
  <c r="AJ52" i="6"/>
  <c r="AB106" i="6"/>
  <c r="AG105" i="6"/>
  <c r="AD105" i="6"/>
  <c r="D47" i="9"/>
  <c r="AC101" i="6"/>
  <c r="AD102" i="6"/>
  <c r="AG102" i="6"/>
  <c r="AQ103" i="6"/>
  <c r="AR102" i="6" s="1"/>
  <c r="Z63" i="7"/>
  <c r="G134" i="7" s="1"/>
  <c r="E36" i="27" s="1"/>
  <c r="A71" i="23"/>
  <c r="T164" i="18"/>
  <c r="BN162" i="18"/>
  <c r="X165" i="18" s="1"/>
  <c r="BM162" i="18"/>
  <c r="V165" i="18" s="1"/>
  <c r="AQ17" i="13"/>
  <c r="AQ16" i="13"/>
  <c r="C72" i="15"/>
  <c r="C73" i="15" s="1"/>
  <c r="C74" i="15" s="1"/>
  <c r="AB16" i="13"/>
  <c r="AB17" i="13"/>
  <c r="AN90" i="6"/>
  <c r="AJ89" i="6"/>
  <c r="AQ89" i="6" s="1"/>
  <c r="AP89" i="6"/>
  <c r="BE15" i="15"/>
  <c r="O63" i="15"/>
  <c r="AY186" i="18"/>
  <c r="AW185" i="18" s="1"/>
  <c r="AZ185" i="18" s="1"/>
  <c r="AK67" i="5"/>
  <c r="AO155" i="6"/>
  <c r="AP156" i="6"/>
  <c r="AJ156" i="6"/>
  <c r="BC16" i="15"/>
  <c r="X12" i="26"/>
  <c r="AS12" i="26"/>
  <c r="O31" i="26"/>
  <c r="O28" i="26"/>
  <c r="O56" i="26"/>
  <c r="O34" i="26"/>
  <c r="J49" i="3"/>
  <c r="J22" i="6"/>
  <c r="AY38" i="18"/>
  <c r="AW37" i="18" s="1"/>
  <c r="AZ37" i="18" s="1"/>
  <c r="AY29" i="6"/>
  <c r="AY36" i="18"/>
  <c r="AY34" i="18"/>
  <c r="N21" i="6"/>
  <c r="AY28" i="6"/>
  <c r="AK27" i="6"/>
  <c r="AK28" i="6"/>
  <c r="AY30" i="18"/>
  <c r="AY27" i="6"/>
  <c r="AY26" i="6"/>
  <c r="AK24" i="6"/>
  <c r="AQ24" i="6" s="1"/>
  <c r="AK26" i="6"/>
  <c r="AY35" i="18"/>
  <c r="AY33" i="18"/>
  <c r="AY31" i="18"/>
  <c r="AK30" i="6"/>
  <c r="AY32" i="18"/>
  <c r="AK25" i="6"/>
  <c r="AQ25" i="6" s="1"/>
  <c r="AK29" i="6"/>
  <c r="AY24" i="6"/>
  <c r="AV24" i="6" s="1"/>
  <c r="AY30" i="6"/>
  <c r="AY25" i="6"/>
  <c r="AV25" i="6" s="1"/>
  <c r="AY37" i="18"/>
  <c r="BH13" i="6"/>
  <c r="BI13" i="6"/>
  <c r="X62" i="18"/>
  <c r="BD13" i="6"/>
  <c r="BM13" i="6"/>
  <c r="BN13" i="6"/>
  <c r="A122" i="23" s="1"/>
  <c r="V62" i="18"/>
  <c r="BK13" i="6"/>
  <c r="A426" i="23" s="1"/>
  <c r="BL63" i="18"/>
  <c r="BL62" i="18" s="1"/>
  <c r="BJ13" i="6"/>
  <c r="T61" i="18"/>
  <c r="A425" i="23"/>
  <c r="L60" i="13"/>
  <c r="L63" i="13" s="1"/>
  <c r="AV18" i="13" s="1"/>
  <c r="L64" i="13"/>
  <c r="L68" i="13" s="1"/>
  <c r="AW14" i="13" s="1"/>
  <c r="L61" i="13"/>
  <c r="L62" i="13" s="1"/>
  <c r="W88" i="6"/>
  <c r="Y87" i="6"/>
  <c r="S87" i="6"/>
  <c r="Z87" i="6" s="1"/>
  <c r="AS91" i="6"/>
  <c r="AU90" i="6"/>
  <c r="AX90" i="6"/>
  <c r="AV90" i="6" s="1"/>
  <c r="AT155" i="6"/>
  <c r="AU156" i="6"/>
  <c r="AX156" i="6"/>
  <c r="AV12" i="26"/>
  <c r="O40" i="26"/>
  <c r="O38" i="26"/>
  <c r="AB89" i="6"/>
  <c r="AD88" i="6"/>
  <c r="AG88" i="6"/>
  <c r="AE88" i="6" s="1"/>
  <c r="AK65" i="5"/>
  <c r="L71" i="15"/>
  <c r="L72" i="15" s="1"/>
  <c r="L73" i="15" s="1"/>
  <c r="L74" i="15" s="1"/>
  <c r="AK48" i="5"/>
  <c r="C68" i="13"/>
  <c r="AY12" i="26"/>
  <c r="O41" i="26"/>
  <c r="D134" i="7"/>
  <c r="E35" i="27" s="1"/>
  <c r="AG38" i="6"/>
  <c r="AE38" i="6" s="1"/>
  <c r="AD38" i="6"/>
  <c r="H60" i="15"/>
  <c r="H63" i="15" s="1"/>
  <c r="AJ18" i="15" s="1"/>
  <c r="AY184" i="18"/>
  <c r="AY179" i="18"/>
  <c r="AY178" i="18"/>
  <c r="AY182" i="18"/>
  <c r="AY180" i="18"/>
  <c r="N168" i="6"/>
  <c r="AY183" i="18"/>
  <c r="AY181" i="18"/>
  <c r="AY185" i="18"/>
  <c r="AK174" i="6"/>
  <c r="AK172" i="6"/>
  <c r="AQ172" i="6" s="1"/>
  <c r="AY174" i="6"/>
  <c r="AY176" i="6"/>
  <c r="AY177" i="6"/>
  <c r="AY173" i="6"/>
  <c r="AK173" i="6"/>
  <c r="AK176" i="6"/>
  <c r="AY171" i="6"/>
  <c r="AV171" i="6" s="1"/>
  <c r="AK177" i="6"/>
  <c r="AK171" i="6"/>
  <c r="AY175" i="6"/>
  <c r="AY172" i="6"/>
  <c r="AV172" i="6" s="1"/>
  <c r="AK175" i="6"/>
  <c r="BH16" i="6"/>
  <c r="BI16" i="6"/>
  <c r="X84" i="18"/>
  <c r="BJ16" i="6"/>
  <c r="AY150" i="18"/>
  <c r="AY151" i="18"/>
  <c r="AY149" i="18"/>
  <c r="AY152" i="18"/>
  <c r="AW151" i="18" s="1"/>
  <c r="AZ151" i="18" s="1"/>
  <c r="AY147" i="18"/>
  <c r="AY148" i="18"/>
  <c r="AY144" i="18"/>
  <c r="AY146" i="18"/>
  <c r="AY145" i="18"/>
  <c r="N134" i="6"/>
  <c r="AY141" i="6"/>
  <c r="AK138" i="6"/>
  <c r="AQ138" i="6" s="1"/>
  <c r="AK141" i="6"/>
  <c r="AY138" i="6"/>
  <c r="AV138" i="6" s="1"/>
  <c r="AK142" i="6"/>
  <c r="AK137" i="6"/>
  <c r="AQ137" i="6" s="1"/>
  <c r="AY140" i="6"/>
  <c r="AV140" i="6" s="1"/>
  <c r="AK140" i="6"/>
  <c r="AY137" i="6"/>
  <c r="AV137" i="6" s="1"/>
  <c r="AY142" i="6"/>
  <c r="AK143" i="6"/>
  <c r="AK139" i="6"/>
  <c r="AY139" i="6"/>
  <c r="AV139" i="6" s="1"/>
  <c r="AY143" i="6"/>
  <c r="AX157" i="6"/>
  <c r="U12" i="26"/>
  <c r="O42" i="26"/>
  <c r="BE12" i="26" s="1"/>
  <c r="AP12" i="26"/>
  <c r="O39" i="26"/>
  <c r="O37" i="26"/>
  <c r="O24" i="26"/>
  <c r="O36" i="26"/>
  <c r="O25" i="26"/>
  <c r="Q80" i="7"/>
  <c r="Q129" i="7"/>
  <c r="F20" i="25"/>
  <c r="D20" i="25" s="1"/>
  <c r="B1" i="3" s="1"/>
  <c r="E20" i="25"/>
  <c r="AG110" i="18"/>
  <c r="AG111" i="18"/>
  <c r="AG114" i="18"/>
  <c r="AE113" i="18" s="1"/>
  <c r="AH113" i="18" s="1"/>
  <c r="F98" i="6"/>
  <c r="AG109" i="18"/>
  <c r="AG106" i="18"/>
  <c r="AG107" i="18"/>
  <c r="AG112" i="18"/>
  <c r="AG108" i="18"/>
  <c r="AG113" i="18"/>
  <c r="AH102" i="6"/>
  <c r="AH107" i="6"/>
  <c r="T107" i="6"/>
  <c r="AH104" i="6"/>
  <c r="AE104" i="6" s="1"/>
  <c r="T105" i="6"/>
  <c r="T102" i="6"/>
  <c r="AH106" i="6"/>
  <c r="AH105" i="6"/>
  <c r="AE105" i="6" s="1"/>
  <c r="T104" i="6"/>
  <c r="T103" i="6"/>
  <c r="AH101" i="6"/>
  <c r="AH103" i="6"/>
  <c r="AE103" i="6" s="1"/>
  <c r="T101" i="6"/>
  <c r="T106" i="6"/>
  <c r="AE17" i="15"/>
  <c r="C60" i="9"/>
  <c r="C63" i="9" s="1"/>
  <c r="U18" i="9" s="1"/>
  <c r="C64" i="9"/>
  <c r="C68" i="9" s="1"/>
  <c r="C61" i="9"/>
  <c r="L47" i="15"/>
  <c r="L164" i="6"/>
  <c r="D71" i="15"/>
  <c r="D72" i="15" s="1"/>
  <c r="D73" i="15" s="1"/>
  <c r="D74" i="15" s="1"/>
  <c r="AU157" i="6"/>
  <c r="O57" i="26"/>
  <c r="O27" i="26"/>
  <c r="D25" i="27"/>
  <c r="D27" i="27"/>
  <c r="D30" i="27"/>
  <c r="D32" i="27"/>
  <c r="D23" i="27"/>
  <c r="D20" i="27"/>
  <c r="D26" i="27"/>
  <c r="I47" i="9"/>
  <c r="Q1" i="3"/>
  <c r="I1" i="16"/>
  <c r="BM15" i="6"/>
  <c r="BI15" i="6"/>
  <c r="BD15" i="6"/>
  <c r="BN15" i="6"/>
  <c r="A124" i="23" s="1"/>
  <c r="BL77" i="18"/>
  <c r="BL76" i="18" s="1"/>
  <c r="BK15" i="6"/>
  <c r="A502" i="23" s="1"/>
  <c r="V77" i="18"/>
  <c r="T76" i="18"/>
  <c r="A501" i="23"/>
  <c r="X77" i="18"/>
  <c r="BJ15" i="6"/>
  <c r="BH15" i="6"/>
  <c r="O44" i="15"/>
  <c r="U13" i="15"/>
  <c r="AA12" i="26"/>
  <c r="AJ12" i="26"/>
  <c r="O35" i="26"/>
  <c r="O29" i="26"/>
  <c r="O54" i="26"/>
  <c r="AM12" i="26"/>
  <c r="AT88" i="6"/>
  <c r="AX89" i="6"/>
  <c r="AV89" i="6" s="1"/>
  <c r="AU89" i="6"/>
  <c r="AB16" i="15"/>
  <c r="C60" i="15"/>
  <c r="C63" i="15" s="1"/>
  <c r="C61" i="15"/>
  <c r="C62" i="15" s="1"/>
  <c r="C64" i="15"/>
  <c r="C68" i="15" s="1"/>
  <c r="AU158" i="6"/>
  <c r="AX158" i="6"/>
  <c r="AS159" i="6"/>
  <c r="BB12" i="26"/>
  <c r="O32" i="26"/>
  <c r="O55" i="26"/>
  <c r="O30" i="26"/>
  <c r="Y22" i="27"/>
  <c r="X22" i="27"/>
  <c r="M22" i="27" s="1"/>
  <c r="V50" i="7" s="1"/>
  <c r="X21" i="27"/>
  <c r="O21" i="27" s="1"/>
  <c r="V74" i="7" s="1"/>
  <c r="U49" i="21"/>
  <c r="X49" i="21" s="1"/>
  <c r="U57" i="21"/>
  <c r="X57" i="21" s="1"/>
  <c r="U65" i="21"/>
  <c r="X65" i="21" s="1"/>
  <c r="U73" i="21"/>
  <c r="X73" i="21" s="1"/>
  <c r="U81" i="21"/>
  <c r="X81" i="21" s="1"/>
  <c r="U89" i="21"/>
  <c r="X89" i="21" s="1"/>
  <c r="U97" i="21"/>
  <c r="U105" i="21"/>
  <c r="U113" i="21"/>
  <c r="U121" i="21"/>
  <c r="U129" i="21"/>
  <c r="U137" i="21"/>
  <c r="X137" i="21" s="1"/>
  <c r="U50" i="21"/>
  <c r="X50" i="21" s="1"/>
  <c r="U58" i="21"/>
  <c r="X58" i="21" s="1"/>
  <c r="U66" i="21"/>
  <c r="X66" i="21" s="1"/>
  <c r="U74" i="21"/>
  <c r="X74" i="21" s="1"/>
  <c r="U82" i="21"/>
  <c r="X82" i="21" s="1"/>
  <c r="U90" i="21"/>
  <c r="X90" i="21" s="1"/>
  <c r="U98" i="21"/>
  <c r="U106" i="21"/>
  <c r="U114" i="21"/>
  <c r="U122" i="21"/>
  <c r="U130" i="21"/>
  <c r="U138" i="21"/>
  <c r="X138" i="21" s="1"/>
  <c r="U43" i="21"/>
  <c r="X43" i="21" s="1"/>
  <c r="U51" i="21"/>
  <c r="X51" i="21" s="1"/>
  <c r="U59" i="21"/>
  <c r="X59" i="21" s="1"/>
  <c r="U67" i="21"/>
  <c r="X67" i="21" s="1"/>
  <c r="U75" i="21"/>
  <c r="X75" i="21" s="1"/>
  <c r="U83" i="21"/>
  <c r="X83" i="21" s="1"/>
  <c r="U91" i="21"/>
  <c r="X91" i="21" s="1"/>
  <c r="U99" i="21"/>
  <c r="U107" i="21"/>
  <c r="U115" i="21"/>
  <c r="U123" i="21"/>
  <c r="U131" i="21"/>
  <c r="U139" i="21"/>
  <c r="X139" i="21" s="1"/>
  <c r="U44" i="21"/>
  <c r="X44" i="21" s="1"/>
  <c r="U52" i="21"/>
  <c r="X52" i="21" s="1"/>
  <c r="U60" i="21"/>
  <c r="X60" i="21" s="1"/>
  <c r="U68" i="21"/>
  <c r="X68" i="21" s="1"/>
  <c r="U76" i="21"/>
  <c r="X76" i="21" s="1"/>
  <c r="U84" i="21"/>
  <c r="X84" i="21" s="1"/>
  <c r="U92" i="21"/>
  <c r="X92" i="21" s="1"/>
  <c r="U100" i="21"/>
  <c r="U108" i="21"/>
  <c r="U116" i="21"/>
  <c r="U124" i="21"/>
  <c r="U132" i="21"/>
  <c r="U42" i="21"/>
  <c r="O45" i="3"/>
  <c r="U45" i="21"/>
  <c r="X45" i="21" s="1"/>
  <c r="U53" i="21"/>
  <c r="X53" i="21" s="1"/>
  <c r="U61" i="21"/>
  <c r="X61" i="21" s="1"/>
  <c r="U69" i="21"/>
  <c r="X69" i="21" s="1"/>
  <c r="U77" i="21"/>
  <c r="X77" i="21" s="1"/>
  <c r="U85" i="21"/>
  <c r="X85" i="21" s="1"/>
  <c r="U93" i="21"/>
  <c r="U101" i="21"/>
  <c r="U109" i="21"/>
  <c r="U117" i="21"/>
  <c r="U125" i="21"/>
  <c r="U133" i="21"/>
  <c r="X133" i="21" s="1"/>
  <c r="U46" i="21"/>
  <c r="X46" i="21" s="1"/>
  <c r="U54" i="21"/>
  <c r="X54" i="21" s="1"/>
  <c r="U62" i="21"/>
  <c r="X62" i="21" s="1"/>
  <c r="U70" i="21"/>
  <c r="X70" i="21" s="1"/>
  <c r="U78" i="21"/>
  <c r="X78" i="21" s="1"/>
  <c r="U86" i="21"/>
  <c r="X86" i="21" s="1"/>
  <c r="U94" i="21"/>
  <c r="U102" i="21"/>
  <c r="U110" i="21"/>
  <c r="U118" i="21"/>
  <c r="U126" i="21"/>
  <c r="U134" i="21"/>
  <c r="X134" i="21" s="1"/>
  <c r="O39" i="3"/>
  <c r="U48" i="21"/>
  <c r="X48" i="21" s="1"/>
  <c r="U56" i="21"/>
  <c r="X56" i="21" s="1"/>
  <c r="U64" i="21"/>
  <c r="X64" i="21" s="1"/>
  <c r="U72" i="21"/>
  <c r="X72" i="21" s="1"/>
  <c r="U80" i="21"/>
  <c r="X80" i="21" s="1"/>
  <c r="U88" i="21"/>
  <c r="X88" i="21" s="1"/>
  <c r="U96" i="21"/>
  <c r="U104" i="21"/>
  <c r="U112" i="21"/>
  <c r="U120" i="21"/>
  <c r="U128" i="21"/>
  <c r="U136" i="21"/>
  <c r="X136" i="21" s="1"/>
  <c r="U71" i="21"/>
  <c r="X71" i="21" s="1"/>
  <c r="U135" i="21"/>
  <c r="X135" i="21" s="1"/>
  <c r="U79" i="21"/>
  <c r="X79" i="21" s="1"/>
  <c r="O41" i="3"/>
  <c r="A64" i="23" s="1"/>
  <c r="U87" i="21"/>
  <c r="X87" i="21" s="1"/>
  <c r="U95" i="21"/>
  <c r="O42" i="3"/>
  <c r="A65" i="23" s="1"/>
  <c r="U103" i="21"/>
  <c r="T43" i="3"/>
  <c r="U47" i="21"/>
  <c r="X47" i="21" s="1"/>
  <c r="U111" i="21"/>
  <c r="O40" i="3"/>
  <c r="A63" i="23" s="1"/>
  <c r="U63" i="21"/>
  <c r="X63" i="21" s="1"/>
  <c r="U127" i="21"/>
  <c r="U55" i="21"/>
  <c r="X55" i="21" s="1"/>
  <c r="O44" i="3"/>
  <c r="A67" i="23" s="1"/>
  <c r="U119" i="21"/>
  <c r="B23" i="10"/>
  <c r="O38" i="3"/>
  <c r="R7" i="26"/>
  <c r="A60" i="23"/>
  <c r="M42" i="3"/>
  <c r="B54" i="7"/>
  <c r="T46" i="3"/>
  <c r="M44" i="3"/>
  <c r="M37" i="3"/>
  <c r="M43" i="3"/>
  <c r="P1" i="19"/>
  <c r="M39" i="3"/>
  <c r="M40" i="3"/>
  <c r="B19" i="10"/>
  <c r="M46" i="3"/>
  <c r="M41" i="3"/>
  <c r="V62" i="7"/>
  <c r="AV34" i="3"/>
  <c r="J46" i="7" s="1"/>
  <c r="AS70" i="6"/>
  <c r="AU69" i="6"/>
  <c r="AX69" i="6"/>
  <c r="AV69" i="6" s="1"/>
  <c r="AW68" i="6" s="1"/>
  <c r="AK103" i="5"/>
  <c r="AK117" i="5"/>
  <c r="AO87" i="6"/>
  <c r="AP88" i="6"/>
  <c r="AJ88" i="6"/>
  <c r="AQ88" i="6" s="1"/>
  <c r="AN16" i="15"/>
  <c r="AJ157" i="6"/>
  <c r="AQ157" i="6" s="1"/>
  <c r="AN158" i="6"/>
  <c r="AP157" i="6"/>
  <c r="AI133" i="4"/>
  <c r="AI141" i="4" s="1"/>
  <c r="AI142" i="4" s="1"/>
  <c r="AG133" i="4"/>
  <c r="J135" i="6"/>
  <c r="AD12" i="26"/>
  <c r="AG12" i="26"/>
  <c r="O33" i="26"/>
  <c r="E18" i="27"/>
  <c r="Z58" i="7"/>
  <c r="O49" i="26"/>
  <c r="AD87" i="6"/>
  <c r="AG87" i="6"/>
  <c r="AE87" i="6" s="1"/>
  <c r="AT17" i="15"/>
  <c r="AH83" i="18" l="1"/>
  <c r="AE82" i="18"/>
  <c r="AZ22" i="18"/>
  <c r="AW21" i="18"/>
  <c r="BD99" i="18"/>
  <c r="BF99" i="18"/>
  <c r="BH99" i="18" s="1"/>
  <c r="BD84" i="18"/>
  <c r="BF84" i="18"/>
  <c r="BH84" i="18" s="1"/>
  <c r="AL70" i="18"/>
  <c r="AN70" i="18"/>
  <c r="AP70" i="18" s="1"/>
  <c r="AL152" i="18"/>
  <c r="AN152" i="18"/>
  <c r="AP152" i="18" s="1"/>
  <c r="BF70" i="18"/>
  <c r="BH70" i="18" s="1"/>
  <c r="BD70" i="18"/>
  <c r="AL114" i="18"/>
  <c r="AN114" i="18"/>
  <c r="AP114" i="18" s="1"/>
  <c r="AN186" i="18"/>
  <c r="AP186" i="18" s="1"/>
  <c r="AL186" i="18"/>
  <c r="AN84" i="18"/>
  <c r="AP84" i="18" s="1"/>
  <c r="AL84" i="18"/>
  <c r="BD53" i="18"/>
  <c r="BF53" i="18"/>
  <c r="BH53" i="18" s="1"/>
  <c r="BF114" i="18"/>
  <c r="BH114" i="18" s="1"/>
  <c r="BD114" i="18"/>
  <c r="AL99" i="18"/>
  <c r="AN99" i="18"/>
  <c r="AP99" i="18" s="1"/>
  <c r="AR13" i="6"/>
  <c r="AN23" i="18"/>
  <c r="AP23" i="18" s="1"/>
  <c r="AL23" i="18"/>
  <c r="BD186" i="18"/>
  <c r="BF186" i="18"/>
  <c r="BH186" i="18" s="1"/>
  <c r="Z157" i="6"/>
  <c r="AA156" i="6" s="1"/>
  <c r="BF169" i="18"/>
  <c r="BH169" i="18" s="1"/>
  <c r="BD169" i="18"/>
  <c r="AL38" i="18"/>
  <c r="AN38" i="18"/>
  <c r="AP38" i="18" s="1"/>
  <c r="Z176" i="6"/>
  <c r="BD23" i="18"/>
  <c r="BF23" i="18"/>
  <c r="BH23" i="18" s="1"/>
  <c r="AN53" i="18"/>
  <c r="AP53" i="18" s="1"/>
  <c r="AL53" i="18"/>
  <c r="BD152" i="18"/>
  <c r="BF152" i="18"/>
  <c r="BH152" i="18" s="1"/>
  <c r="BF38" i="18"/>
  <c r="BH38" i="18" s="1"/>
  <c r="BD38" i="18"/>
  <c r="AL169" i="18"/>
  <c r="AN169" i="18"/>
  <c r="AP169" i="18" s="1"/>
  <c r="AW167" i="18"/>
  <c r="AZ167" i="18" s="1"/>
  <c r="AW17" i="9"/>
  <c r="AE36" i="18"/>
  <c r="AH36" i="18" s="1"/>
  <c r="AE165" i="18"/>
  <c r="AH165" i="18" s="1"/>
  <c r="AW68" i="18"/>
  <c r="AT16" i="13"/>
  <c r="AF12" i="6"/>
  <c r="AQ16" i="9"/>
  <c r="AA10" i="6"/>
  <c r="M64" i="15"/>
  <c r="M68" i="15" s="1"/>
  <c r="AZ14" i="15" s="1"/>
  <c r="AZ16" i="15" s="1"/>
  <c r="M61" i="15"/>
  <c r="M62" i="15" s="1"/>
  <c r="H61" i="15"/>
  <c r="H62" i="15" s="1"/>
  <c r="Y16" i="13"/>
  <c r="AF39" i="6"/>
  <c r="AW150" i="18"/>
  <c r="AZ150" i="18" s="1"/>
  <c r="BN179" i="18"/>
  <c r="X182" i="18" s="1"/>
  <c r="AE139" i="6"/>
  <c r="T181" i="18"/>
  <c r="AR10" i="6"/>
  <c r="AE102" i="6"/>
  <c r="AQ41" i="6"/>
  <c r="AV106" i="6"/>
  <c r="AE51" i="18"/>
  <c r="AH51" i="18" s="1"/>
  <c r="AE68" i="18"/>
  <c r="AR11" i="6"/>
  <c r="O47" i="15"/>
  <c r="AA12" i="6"/>
  <c r="Z101" i="6"/>
  <c r="AQ173" i="6"/>
  <c r="AW66" i="6"/>
  <c r="AR103" i="6"/>
  <c r="AE96" i="18"/>
  <c r="AW57" i="6"/>
  <c r="AE11" i="6"/>
  <c r="AF11" i="6" s="1"/>
  <c r="AW97" i="18"/>
  <c r="AZ97" i="18" s="1"/>
  <c r="AF157" i="6"/>
  <c r="AE112" i="18"/>
  <c r="AH112" i="18" s="1"/>
  <c r="AW138" i="6"/>
  <c r="Z139" i="6"/>
  <c r="AA138" i="6" s="1"/>
  <c r="G43" i="10"/>
  <c r="G61" i="15"/>
  <c r="G62" i="15" s="1"/>
  <c r="G60" i="15"/>
  <c r="G63" i="15" s="1"/>
  <c r="AG18" i="15" s="1"/>
  <c r="I61" i="13"/>
  <c r="I62" i="13" s="1"/>
  <c r="I60" i="13"/>
  <c r="I63" i="13" s="1"/>
  <c r="AM18" i="13" s="1"/>
  <c r="I64" i="13"/>
  <c r="I68" i="13" s="1"/>
  <c r="AN14" i="13" s="1"/>
  <c r="D61" i="15"/>
  <c r="D62" i="15" s="1"/>
  <c r="N64" i="9"/>
  <c r="N68" i="9" s="1"/>
  <c r="BC14" i="9" s="1"/>
  <c r="N61" i="9"/>
  <c r="N62" i="9" s="1"/>
  <c r="N62" i="26" s="1"/>
  <c r="N60" i="9"/>
  <c r="N63" i="9" s="1"/>
  <c r="BB18" i="9" s="1"/>
  <c r="D64" i="15"/>
  <c r="D68" i="15" s="1"/>
  <c r="Y14" i="15" s="1"/>
  <c r="Y17" i="15" s="1"/>
  <c r="J64" i="15"/>
  <c r="J68" i="15" s="1"/>
  <c r="AQ14" i="15" s="1"/>
  <c r="AQ17" i="15" s="1"/>
  <c r="G39" i="10"/>
  <c r="D60" i="15"/>
  <c r="D63" i="15" s="1"/>
  <c r="X18" i="15" s="1"/>
  <c r="J61" i="15"/>
  <c r="J62" i="15" s="1"/>
  <c r="AE16" i="13"/>
  <c r="AE17" i="9"/>
  <c r="AE16" i="9"/>
  <c r="Y26" i="6"/>
  <c r="W27" i="6"/>
  <c r="S26" i="6"/>
  <c r="Z26" i="6" s="1"/>
  <c r="AD56" i="6"/>
  <c r="AB57" i="6"/>
  <c r="AG56" i="6"/>
  <c r="AE56" i="6" s="1"/>
  <c r="AF55" i="6" s="1"/>
  <c r="AG137" i="6"/>
  <c r="AE137" i="6" s="1"/>
  <c r="AD137" i="6"/>
  <c r="AV158" i="6"/>
  <c r="BN16" i="6"/>
  <c r="A125" i="23" s="1"/>
  <c r="A539" i="23"/>
  <c r="AW56" i="6"/>
  <c r="AW12" i="6"/>
  <c r="Z25" i="6"/>
  <c r="AA176" i="6"/>
  <c r="W56" i="6"/>
  <c r="Y55" i="6"/>
  <c r="S55" i="6"/>
  <c r="Z55" i="6" s="1"/>
  <c r="AJ174" i="6"/>
  <c r="AN175" i="6"/>
  <c r="AP174" i="6"/>
  <c r="BK14" i="6"/>
  <c r="A464" i="23" s="1"/>
  <c r="T68" i="18"/>
  <c r="BI14" i="6"/>
  <c r="A463" i="23"/>
  <c r="BT63" i="18"/>
  <c r="BT62" i="18" s="1"/>
  <c r="V69" i="18"/>
  <c r="X69" i="18"/>
  <c r="BH14" i="6"/>
  <c r="BD14" i="6"/>
  <c r="BM14" i="6"/>
  <c r="BJ14" i="6"/>
  <c r="BN14" i="6"/>
  <c r="A123" i="23" s="1"/>
  <c r="BH11" i="6"/>
  <c r="BN11" i="6"/>
  <c r="A120" i="23" s="1"/>
  <c r="T46" i="18"/>
  <c r="BJ11" i="6"/>
  <c r="BM11" i="6"/>
  <c r="X47" i="18"/>
  <c r="BD11" i="6"/>
  <c r="A349" i="23"/>
  <c r="BK11" i="6"/>
  <c r="A350" i="23" s="1"/>
  <c r="V47" i="18"/>
  <c r="BI11" i="6"/>
  <c r="BL46" i="18"/>
  <c r="BL45" i="18" s="1"/>
  <c r="Z54" i="6"/>
  <c r="AA53" i="6" s="1"/>
  <c r="Y52" i="6"/>
  <c r="S52" i="6"/>
  <c r="Z52" i="6" s="1"/>
  <c r="AE184" i="18"/>
  <c r="W103" i="6"/>
  <c r="S102" i="6"/>
  <c r="Z102" i="6" s="1"/>
  <c r="AA101" i="6" s="1"/>
  <c r="Y102" i="6"/>
  <c r="AD10" i="6"/>
  <c r="AG10" i="6"/>
  <c r="AE10" i="6" s="1"/>
  <c r="BM16" i="6"/>
  <c r="BT77" i="18"/>
  <c r="BT76" i="18" s="1"/>
  <c r="AQ156" i="6"/>
  <c r="AR156" i="6" s="1"/>
  <c r="AA175" i="6"/>
  <c r="AR40" i="6"/>
  <c r="AR12" i="6"/>
  <c r="AE164" i="18"/>
  <c r="AP56" i="6"/>
  <c r="AJ56" i="6"/>
  <c r="AQ56" i="6" s="1"/>
  <c r="AR55" i="6" s="1"/>
  <c r="AN57" i="6"/>
  <c r="AU141" i="6"/>
  <c r="AX141" i="6"/>
  <c r="AV141" i="6" s="1"/>
  <c r="AS142" i="6"/>
  <c r="AJ42" i="6"/>
  <c r="AN43" i="6"/>
  <c r="AP42" i="6"/>
  <c r="AG53" i="6"/>
  <c r="AE53" i="6" s="1"/>
  <c r="AC52" i="6"/>
  <c r="AD53" i="6"/>
  <c r="O47" i="9"/>
  <c r="T83" i="18"/>
  <c r="AV156" i="6"/>
  <c r="AA174" i="6"/>
  <c r="AE175" i="6"/>
  <c r="AE26" i="6"/>
  <c r="AE177" i="6"/>
  <c r="AF176" i="6" s="1"/>
  <c r="AZ21" i="18"/>
  <c r="AW20" i="18"/>
  <c r="AB160" i="6"/>
  <c r="AD159" i="6"/>
  <c r="AG159" i="6"/>
  <c r="AE159" i="6" s="1"/>
  <c r="AF158" i="6" s="1"/>
  <c r="AS174" i="6"/>
  <c r="AX173" i="6"/>
  <c r="AV173" i="6" s="1"/>
  <c r="AW172" i="6" s="1"/>
  <c r="AU173" i="6"/>
  <c r="AD27" i="6"/>
  <c r="AG27" i="6"/>
  <c r="AE27" i="6" s="1"/>
  <c r="AB28" i="6"/>
  <c r="AQ174" i="6"/>
  <c r="BD16" i="6"/>
  <c r="AQ26" i="6"/>
  <c r="AR25" i="6" s="1"/>
  <c r="AV42" i="6"/>
  <c r="AW41" i="6" s="1"/>
  <c r="AE14" i="6"/>
  <c r="Z14" i="6"/>
  <c r="AA13" i="6" s="1"/>
  <c r="AG140" i="6"/>
  <c r="AD140" i="6"/>
  <c r="AB141" i="6"/>
  <c r="AE20" i="18"/>
  <c r="S158" i="6"/>
  <c r="Z158" i="6" s="1"/>
  <c r="AA157" i="6" s="1"/>
  <c r="W159" i="6"/>
  <c r="Y158" i="6"/>
  <c r="BK16" i="6"/>
  <c r="A540" i="23" s="1"/>
  <c r="AE138" i="6"/>
  <c r="AE150" i="18"/>
  <c r="AH150" i="18" s="1"/>
  <c r="AW51" i="18"/>
  <c r="AZ51" i="18" s="1"/>
  <c r="AQ42" i="6"/>
  <c r="AT38" i="6"/>
  <c r="AU39" i="6"/>
  <c r="AX39" i="6"/>
  <c r="AV39" i="6" s="1"/>
  <c r="K60" i="9"/>
  <c r="K63" i="9" s="1"/>
  <c r="AS18" i="9" s="1"/>
  <c r="K61" i="9"/>
  <c r="K62" i="9" s="1"/>
  <c r="K62" i="26" s="1"/>
  <c r="K64" i="9"/>
  <c r="K68" i="9" s="1"/>
  <c r="AT14" i="9" s="1"/>
  <c r="M64" i="9"/>
  <c r="M68" i="9" s="1"/>
  <c r="AZ14" i="9" s="1"/>
  <c r="M60" i="9"/>
  <c r="M63" i="9" s="1"/>
  <c r="AY18" i="9" s="1"/>
  <c r="M61" i="9"/>
  <c r="M62" i="9" s="1"/>
  <c r="M62" i="26" s="1"/>
  <c r="G64" i="13"/>
  <c r="G68" i="13" s="1"/>
  <c r="G60" i="13"/>
  <c r="G63" i="13" s="1"/>
  <c r="AG18" i="13" s="1"/>
  <c r="G61" i="13"/>
  <c r="G62" i="13" s="1"/>
  <c r="AE54" i="6"/>
  <c r="AF54" i="6" s="1"/>
  <c r="G42" i="10"/>
  <c r="AW112" i="18"/>
  <c r="AZ112" i="18" s="1"/>
  <c r="AQ52" i="6"/>
  <c r="AF104" i="6"/>
  <c r="AQ171" i="6"/>
  <c r="AR171" i="6" s="1"/>
  <c r="AV26" i="6"/>
  <c r="AE140" i="6"/>
  <c r="AF139" i="6" s="1"/>
  <c r="Y15" i="6"/>
  <c r="W16" i="6"/>
  <c r="S15" i="6"/>
  <c r="Z15" i="6" s="1"/>
  <c r="AX11" i="6"/>
  <c r="AV11" i="6" s="1"/>
  <c r="AT10" i="6"/>
  <c r="AU11" i="6"/>
  <c r="AX27" i="6"/>
  <c r="AV27" i="6" s="1"/>
  <c r="AW26" i="6" s="1"/>
  <c r="AS28" i="6"/>
  <c r="AU27" i="6"/>
  <c r="T16" i="18"/>
  <c r="BD7" i="6"/>
  <c r="BK7" i="6"/>
  <c r="A198" i="23" s="1"/>
  <c r="V17" i="18"/>
  <c r="BM7" i="6"/>
  <c r="X17" i="18"/>
  <c r="BN7" i="6"/>
  <c r="A116" i="23" s="1"/>
  <c r="BH7" i="6"/>
  <c r="BJ7" i="6"/>
  <c r="A197" i="23"/>
  <c r="BI7" i="6"/>
  <c r="BL16" i="18"/>
  <c r="BL15" i="18" s="1"/>
  <c r="AA11" i="6"/>
  <c r="AR66" i="6"/>
  <c r="AB17" i="9"/>
  <c r="AB16" i="9"/>
  <c r="AH17" i="15"/>
  <c r="AH16" i="15"/>
  <c r="AK17" i="9"/>
  <c r="AK16" i="9"/>
  <c r="AG155" i="6"/>
  <c r="AE155" i="6" s="1"/>
  <c r="AD155" i="6"/>
  <c r="AC154" i="6"/>
  <c r="AB70" i="6"/>
  <c r="AG69" i="6"/>
  <c r="AE69" i="6" s="1"/>
  <c r="AD69" i="6"/>
  <c r="AV157" i="6"/>
  <c r="AG101" i="6"/>
  <c r="AE101" i="6" s="1"/>
  <c r="AD101" i="6"/>
  <c r="AR39" i="6"/>
  <c r="AC173" i="6"/>
  <c r="AD174" i="6"/>
  <c r="AG174" i="6"/>
  <c r="AE174" i="6" s="1"/>
  <c r="BE15" i="9"/>
  <c r="O63" i="9"/>
  <c r="O63" i="26" s="1"/>
  <c r="BE18" i="26" s="1"/>
  <c r="AW55" i="6"/>
  <c r="AP68" i="6"/>
  <c r="AJ68" i="6"/>
  <c r="AQ68" i="6" s="1"/>
  <c r="AR67" i="6" s="1"/>
  <c r="AN69" i="6"/>
  <c r="D60" i="9"/>
  <c r="D63" i="9" s="1"/>
  <c r="X18" i="9" s="1"/>
  <c r="D64" i="9"/>
  <c r="D68" i="9" s="1"/>
  <c r="Y14" i="9" s="1"/>
  <c r="D61" i="9"/>
  <c r="D62" i="9" s="1"/>
  <c r="D62" i="26" s="1"/>
  <c r="BE13" i="9"/>
  <c r="G141" i="7"/>
  <c r="E25" i="27" s="1"/>
  <c r="AF175" i="6"/>
  <c r="X172" i="6"/>
  <c r="S173" i="6"/>
  <c r="Z173" i="6" s="1"/>
  <c r="Y173" i="6"/>
  <c r="AE35" i="18"/>
  <c r="W69" i="6"/>
  <c r="S68" i="6"/>
  <c r="Z68" i="6" s="1"/>
  <c r="AA67" i="6" s="1"/>
  <c r="Y68" i="6"/>
  <c r="AW36" i="18"/>
  <c r="AZ36" i="18" s="1"/>
  <c r="BT162" i="18"/>
  <c r="BT161" i="18" s="1"/>
  <c r="BB146" i="6"/>
  <c r="AR41" i="6"/>
  <c r="AF41" i="6"/>
  <c r="AA38" i="6"/>
  <c r="BI20" i="6"/>
  <c r="BM20" i="6"/>
  <c r="BH20" i="6"/>
  <c r="A691" i="23"/>
  <c r="BJ20" i="6"/>
  <c r="BN20" i="6"/>
  <c r="A129" i="23" s="1"/>
  <c r="BK20" i="6"/>
  <c r="A692" i="23" s="1"/>
  <c r="AG24" i="6"/>
  <c r="AE24" i="6" s="1"/>
  <c r="AD24" i="6"/>
  <c r="V15" i="13"/>
  <c r="O59" i="13"/>
  <c r="AE111" i="18"/>
  <c r="AH111" i="18" s="1"/>
  <c r="BT46" i="18"/>
  <c r="BT45" i="18" s="1"/>
  <c r="X54" i="18"/>
  <c r="BI12" i="6"/>
  <c r="A387" i="23"/>
  <c r="BJ12" i="6"/>
  <c r="T53" i="18"/>
  <c r="BN12" i="6"/>
  <c r="A121" i="23" s="1"/>
  <c r="BD12" i="6"/>
  <c r="BM12" i="6"/>
  <c r="BH12" i="6"/>
  <c r="V54" i="18"/>
  <c r="BK12" i="6"/>
  <c r="A388" i="23" s="1"/>
  <c r="AW50" i="18"/>
  <c r="AW106" i="6"/>
  <c r="W41" i="6"/>
  <c r="Y40" i="6"/>
  <c r="S40" i="6"/>
  <c r="Z40" i="6" s="1"/>
  <c r="AA39" i="6" s="1"/>
  <c r="AE183" i="18"/>
  <c r="AH184" i="18"/>
  <c r="AX15" i="6"/>
  <c r="AV15" i="6" s="1"/>
  <c r="AW14" i="6" s="1"/>
  <c r="AU15" i="6"/>
  <c r="AS16" i="6"/>
  <c r="AR173" i="6"/>
  <c r="AB107" i="6"/>
  <c r="AD106" i="6"/>
  <c r="AG106" i="6"/>
  <c r="AE106" i="6" s="1"/>
  <c r="AW166" i="18"/>
  <c r="BM145" i="18"/>
  <c r="V148" i="18" s="1"/>
  <c r="T147" i="18"/>
  <c r="BN145" i="18"/>
  <c r="X148" i="18" s="1"/>
  <c r="G60" i="9"/>
  <c r="G63" i="9" s="1"/>
  <c r="AG18" i="9" s="1"/>
  <c r="G61" i="9"/>
  <c r="G62" i="9" s="1"/>
  <c r="G62" i="26" s="1"/>
  <c r="G64" i="9"/>
  <c r="G68" i="9" s="1"/>
  <c r="AH14" i="9" s="1"/>
  <c r="AB44" i="6"/>
  <c r="AD43" i="6"/>
  <c r="AG43" i="6"/>
  <c r="AE43" i="6" s="1"/>
  <c r="AF42" i="6" s="1"/>
  <c r="AX43" i="6"/>
  <c r="AV43" i="6" s="1"/>
  <c r="AS44" i="6"/>
  <c r="AU43" i="6"/>
  <c r="AD15" i="6"/>
  <c r="AB16" i="6"/>
  <c r="AG15" i="6"/>
  <c r="AE15" i="6" s="1"/>
  <c r="AF14" i="6" s="1"/>
  <c r="AE25" i="6"/>
  <c r="AF25" i="6" s="1"/>
  <c r="AF102" i="6"/>
  <c r="AW184" i="18"/>
  <c r="AZ184" i="18" s="1"/>
  <c r="AF138" i="6"/>
  <c r="AJ15" i="6"/>
  <c r="AQ15" i="6" s="1"/>
  <c r="AR14" i="6" s="1"/>
  <c r="AP15" i="6"/>
  <c r="AN16" i="6"/>
  <c r="W141" i="6"/>
  <c r="Y140" i="6"/>
  <c r="S140" i="6"/>
  <c r="T99" i="18"/>
  <c r="BI18" i="6"/>
  <c r="BT92" i="18"/>
  <c r="BT91" i="18" s="1"/>
  <c r="A615" i="23"/>
  <c r="BH18" i="6"/>
  <c r="BM18" i="6"/>
  <c r="BN18" i="6"/>
  <c r="A127" i="23" s="1"/>
  <c r="BK18" i="6"/>
  <c r="A616" i="23" s="1"/>
  <c r="V100" i="18"/>
  <c r="BD18" i="6"/>
  <c r="BJ18" i="6"/>
  <c r="X100" i="18"/>
  <c r="AH164" i="18"/>
  <c r="AE163" i="18"/>
  <c r="BU16" i="18"/>
  <c r="BV16" i="18"/>
  <c r="AW13" i="6"/>
  <c r="AF13" i="6"/>
  <c r="H60" i="13"/>
  <c r="H63" i="13" s="1"/>
  <c r="AJ18" i="13" s="1"/>
  <c r="H61" i="13"/>
  <c r="H62" i="13" s="1"/>
  <c r="H64" i="13"/>
  <c r="H68" i="13" s="1"/>
  <c r="AK14" i="13" s="1"/>
  <c r="O47" i="13"/>
  <c r="AJ139" i="6"/>
  <c r="AQ139" i="6" s="1"/>
  <c r="AN140" i="6"/>
  <c r="AP139" i="6"/>
  <c r="AT53" i="6"/>
  <c r="AX54" i="6"/>
  <c r="AV54" i="6" s="1"/>
  <c r="AU54" i="6"/>
  <c r="BM92" i="18"/>
  <c r="BN92" i="18"/>
  <c r="Z140" i="6"/>
  <c r="AA139" i="6" s="1"/>
  <c r="AA137" i="6"/>
  <c r="AR38" i="6"/>
  <c r="AW40" i="6"/>
  <c r="AR52" i="6"/>
  <c r="AJ105" i="6"/>
  <c r="AQ105" i="6" s="1"/>
  <c r="AR104" i="6" s="1"/>
  <c r="AP105" i="6"/>
  <c r="AN106" i="6"/>
  <c r="Z24" i="6"/>
  <c r="BL31" i="18"/>
  <c r="BL30" i="18" s="1"/>
  <c r="BN9" i="6"/>
  <c r="A118" i="23" s="1"/>
  <c r="BJ9" i="6"/>
  <c r="X32" i="18"/>
  <c r="BM9" i="6"/>
  <c r="V32" i="18"/>
  <c r="BK9" i="6"/>
  <c r="A274" i="23" s="1"/>
  <c r="T31" i="18"/>
  <c r="BI9" i="6"/>
  <c r="A273" i="23"/>
  <c r="BH9" i="6"/>
  <c r="BD9" i="6"/>
  <c r="AT104" i="6"/>
  <c r="AX105" i="6"/>
  <c r="AV105" i="6" s="1"/>
  <c r="AU105" i="6"/>
  <c r="AP27" i="6"/>
  <c r="AJ27" i="6"/>
  <c r="AQ27" i="6" s="1"/>
  <c r="AN28" i="6"/>
  <c r="AF156" i="6"/>
  <c r="V14" i="9"/>
  <c r="AK17" i="15"/>
  <c r="AK16" i="15"/>
  <c r="AZ17" i="15"/>
  <c r="AJ87" i="6"/>
  <c r="AQ87" i="6" s="1"/>
  <c r="AP87" i="6"/>
  <c r="AU70" i="6"/>
  <c r="AX70" i="6"/>
  <c r="AV70" i="6" s="1"/>
  <c r="AW69" i="6" s="1"/>
  <c r="AS71" i="6"/>
  <c r="AZ38" i="30"/>
  <c r="X127" i="21"/>
  <c r="AZ6" i="30"/>
  <c r="X95" i="21"/>
  <c r="AZ31" i="30"/>
  <c r="X120" i="21"/>
  <c r="AZ5" i="30"/>
  <c r="X94" i="21"/>
  <c r="AZ27" i="30"/>
  <c r="X116" i="21"/>
  <c r="X130" i="21"/>
  <c r="AZ41" i="30"/>
  <c r="AZ8" i="30"/>
  <c r="X97" i="21"/>
  <c r="J69" i="19"/>
  <c r="K69" i="19"/>
  <c r="U18" i="15"/>
  <c r="Y16" i="15"/>
  <c r="AW81" i="18"/>
  <c r="F61" i="26"/>
  <c r="C61" i="26"/>
  <c r="N61" i="26"/>
  <c r="G61" i="26"/>
  <c r="H61" i="26"/>
  <c r="O61" i="26"/>
  <c r="D61" i="26"/>
  <c r="I61" i="26"/>
  <c r="L61" i="26"/>
  <c r="J61" i="26"/>
  <c r="E61" i="26"/>
  <c r="K61" i="26"/>
  <c r="M61" i="26"/>
  <c r="C62" i="9"/>
  <c r="C62" i="26" s="1"/>
  <c r="AF103" i="6"/>
  <c r="AR137" i="6"/>
  <c r="AW171" i="6"/>
  <c r="BT179" i="18"/>
  <c r="BT178" i="18" s="1"/>
  <c r="BB163" i="6"/>
  <c r="V14" i="13"/>
  <c r="O74" i="15"/>
  <c r="M53" i="7"/>
  <c r="B20" i="27" s="1"/>
  <c r="B6" i="15"/>
  <c r="B6" i="9"/>
  <c r="B5" i="15"/>
  <c r="B5" i="9"/>
  <c r="E1" i="22"/>
  <c r="D78" i="6"/>
  <c r="AZ23" i="30"/>
  <c r="X112" i="21"/>
  <c r="AZ36" i="30"/>
  <c r="X125" i="21"/>
  <c r="AZ19" i="30"/>
  <c r="X108" i="21"/>
  <c r="AZ33" i="30"/>
  <c r="X122" i="21"/>
  <c r="AU159" i="6"/>
  <c r="AS160" i="6"/>
  <c r="AX159" i="6"/>
  <c r="AV159" i="6" s="1"/>
  <c r="AW158" i="6" s="1"/>
  <c r="BN77" i="18"/>
  <c r="BM77" i="18"/>
  <c r="AB90" i="6"/>
  <c r="AG89" i="6"/>
  <c r="AE89" i="6" s="1"/>
  <c r="AF88" i="6" s="1"/>
  <c r="AD89" i="6"/>
  <c r="V39" i="18"/>
  <c r="BD10" i="6"/>
  <c r="BN10" i="6"/>
  <c r="A119" i="23" s="1"/>
  <c r="A311" i="23"/>
  <c r="BM10" i="6"/>
  <c r="BJ10" i="6"/>
  <c r="X39" i="18"/>
  <c r="BT31" i="18"/>
  <c r="BT30" i="18" s="1"/>
  <c r="BI10" i="6"/>
  <c r="BH10" i="6"/>
  <c r="BK10" i="6"/>
  <c r="A312" i="23" s="1"/>
  <c r="T38" i="18"/>
  <c r="AR88" i="6"/>
  <c r="O71" i="15"/>
  <c r="Z60" i="7"/>
  <c r="E20" i="27" s="1"/>
  <c r="O124" i="7" s="1"/>
  <c r="Q141" i="7"/>
  <c r="O79" i="7"/>
  <c r="B6" i="26"/>
  <c r="B5" i="27"/>
  <c r="G51" i="26"/>
  <c r="E51" i="26"/>
  <c r="D51" i="26"/>
  <c r="K51" i="26"/>
  <c r="J50" i="26"/>
  <c r="C51" i="26"/>
  <c r="J51" i="26"/>
  <c r="F51" i="26"/>
  <c r="L52" i="26"/>
  <c r="I51" i="26"/>
  <c r="K50" i="26"/>
  <c r="G52" i="26"/>
  <c r="N51" i="26"/>
  <c r="H51" i="26"/>
  <c r="M51" i="26"/>
  <c r="L51" i="26"/>
  <c r="L50" i="26"/>
  <c r="D52" i="26"/>
  <c r="K52" i="26"/>
  <c r="F52" i="26"/>
  <c r="M50" i="26"/>
  <c r="N50" i="26"/>
  <c r="F50" i="26"/>
  <c r="C52" i="26"/>
  <c r="G50" i="26"/>
  <c r="J52" i="26"/>
  <c r="C50" i="26"/>
  <c r="I52" i="26"/>
  <c r="H52" i="26"/>
  <c r="D50" i="26"/>
  <c r="N52" i="26"/>
  <c r="E52" i="26"/>
  <c r="H50" i="26"/>
  <c r="M52" i="26"/>
  <c r="E50" i="26"/>
  <c r="I50" i="26"/>
  <c r="G59" i="26"/>
  <c r="AH15" i="26" s="1"/>
  <c r="L59" i="26"/>
  <c r="AW15" i="26" s="1"/>
  <c r="H59" i="26"/>
  <c r="AK15" i="26" s="1"/>
  <c r="M59" i="26"/>
  <c r="AZ15" i="26" s="1"/>
  <c r="F59" i="26"/>
  <c r="AE15" i="26" s="1"/>
  <c r="H44" i="26"/>
  <c r="C44" i="26"/>
  <c r="K59" i="26"/>
  <c r="AT15" i="26" s="1"/>
  <c r="N59" i="26"/>
  <c r="BC15" i="26" s="1"/>
  <c r="C59" i="26"/>
  <c r="D59" i="26"/>
  <c r="Y15" i="26" s="1"/>
  <c r="E59" i="26"/>
  <c r="AB15" i="26" s="1"/>
  <c r="J59" i="26"/>
  <c r="AQ15" i="26" s="1"/>
  <c r="I59" i="26"/>
  <c r="AN15" i="26" s="1"/>
  <c r="L44" i="26"/>
  <c r="I44" i="26"/>
  <c r="J44" i="26"/>
  <c r="E44" i="26"/>
  <c r="G44" i="26"/>
  <c r="J63" i="26"/>
  <c r="AP18" i="26" s="1"/>
  <c r="E63" i="26"/>
  <c r="AA18" i="26" s="1"/>
  <c r="L63" i="26"/>
  <c r="AV18" i="26" s="1"/>
  <c r="M44" i="26"/>
  <c r="N44" i="26"/>
  <c r="D44" i="26"/>
  <c r="K44" i="26"/>
  <c r="F44" i="26"/>
  <c r="F63" i="26"/>
  <c r="AD18" i="26" s="1"/>
  <c r="H63" i="26"/>
  <c r="AJ18" i="26" s="1"/>
  <c r="C63" i="26"/>
  <c r="U18" i="26" s="1"/>
  <c r="M63" i="26"/>
  <c r="AY18" i="26" s="1"/>
  <c r="AZ15" i="30"/>
  <c r="X104" i="21"/>
  <c r="M53" i="3"/>
  <c r="A74" i="23" s="1"/>
  <c r="R16" i="9"/>
  <c r="D32" i="19"/>
  <c r="A62" i="23"/>
  <c r="AZ28" i="30"/>
  <c r="X117" i="21"/>
  <c r="AZ11" i="30"/>
  <c r="X100" i="21"/>
  <c r="AZ25" i="30"/>
  <c r="X114" i="21"/>
  <c r="O165" i="7"/>
  <c r="O55" i="7"/>
  <c r="BK19" i="6"/>
  <c r="A654" i="23" s="1"/>
  <c r="A653" i="23"/>
  <c r="BL107" i="18"/>
  <c r="BL106" i="18" s="1"/>
  <c r="T107" i="18"/>
  <c r="BN19" i="6"/>
  <c r="A128" i="23" s="1"/>
  <c r="BM19" i="6"/>
  <c r="BI19" i="6"/>
  <c r="BJ19" i="6"/>
  <c r="V108" i="18"/>
  <c r="X108" i="18"/>
  <c r="BD19" i="6"/>
  <c r="BH19" i="6"/>
  <c r="BT145" i="18"/>
  <c r="BT144" i="18" s="1"/>
  <c r="BB129" i="6"/>
  <c r="AW89" i="6"/>
  <c r="S88" i="6"/>
  <c r="Z88" i="6" s="1"/>
  <c r="AA87" i="6" s="1"/>
  <c r="W89" i="6"/>
  <c r="Y88" i="6"/>
  <c r="BM63" i="18"/>
  <c r="BN63" i="18"/>
  <c r="AN91" i="6"/>
  <c r="AP90" i="6"/>
  <c r="AJ90" i="6"/>
  <c r="AQ90" i="6" s="1"/>
  <c r="AR89" i="6" s="1"/>
  <c r="L38" i="3"/>
  <c r="AZ22" i="30"/>
  <c r="X111" i="21"/>
  <c r="AZ7" i="30"/>
  <c r="X96" i="21"/>
  <c r="AZ20" i="30"/>
  <c r="X109" i="21"/>
  <c r="AZ42" i="30"/>
  <c r="X131" i="21"/>
  <c r="AZ17" i="30"/>
  <c r="X106" i="21"/>
  <c r="W50" i="7"/>
  <c r="X50" i="7"/>
  <c r="X51" i="7" s="1"/>
  <c r="AW139" i="6"/>
  <c r="AW149" i="18"/>
  <c r="AZ149" i="18" s="1"/>
  <c r="BV77" i="18"/>
  <c r="BU77" i="18"/>
  <c r="AW17" i="13"/>
  <c r="AW16" i="13"/>
  <c r="AR24" i="6"/>
  <c r="AW25" i="6"/>
  <c r="AW35" i="18"/>
  <c r="AZ35" i="18" s="1"/>
  <c r="AG143" i="4"/>
  <c r="AG144" i="4" s="1"/>
  <c r="AG147" i="4"/>
  <c r="V63" i="7"/>
  <c r="E22" i="22"/>
  <c r="E23" i="22"/>
  <c r="AZ37" i="30"/>
  <c r="X126" i="21"/>
  <c r="AZ12" i="30"/>
  <c r="X101" i="21"/>
  <c r="AV57" i="3"/>
  <c r="K24" i="19"/>
  <c r="K27" i="19" s="1"/>
  <c r="A68" i="23"/>
  <c r="Q151" i="7"/>
  <c r="AZ34" i="30"/>
  <c r="X123" i="21"/>
  <c r="AZ9" i="30"/>
  <c r="X98" i="21"/>
  <c r="AZ40" i="30"/>
  <c r="X129" i="21"/>
  <c r="AE110" i="18"/>
  <c r="AH110" i="18" s="1"/>
  <c r="AS92" i="6"/>
  <c r="AU91" i="6"/>
  <c r="AX91" i="6"/>
  <c r="AV91" i="6" s="1"/>
  <c r="AW90" i="6" s="1"/>
  <c r="AI147" i="4"/>
  <c r="AI143" i="4"/>
  <c r="AI144" i="4" s="1"/>
  <c r="AZ30" i="30"/>
  <c r="X119" i="21"/>
  <c r="A66" i="23"/>
  <c r="O43" i="3"/>
  <c r="AZ29" i="30"/>
  <c r="X118" i="21"/>
  <c r="AZ4" i="30"/>
  <c r="X93" i="21"/>
  <c r="AZ26" i="30"/>
  <c r="X115" i="21"/>
  <c r="AZ32" i="30"/>
  <c r="X121" i="21"/>
  <c r="V14" i="15"/>
  <c r="V17" i="15" s="1"/>
  <c r="AX88" i="6"/>
  <c r="AV88" i="6" s="1"/>
  <c r="AU88" i="6"/>
  <c r="AT87" i="6"/>
  <c r="I60" i="9"/>
  <c r="I63" i="9" s="1"/>
  <c r="AM18" i="9" s="1"/>
  <c r="I61" i="9"/>
  <c r="I62" i="9" s="1"/>
  <c r="I62" i="26" s="1"/>
  <c r="I64" i="9"/>
  <c r="I68" i="9" s="1"/>
  <c r="AN14" i="9" s="1"/>
  <c r="AG141" i="4"/>
  <c r="AG142" i="4" s="1"/>
  <c r="AW183" i="18"/>
  <c r="AZ183" i="18" s="1"/>
  <c r="BE18" i="15"/>
  <c r="M151" i="7"/>
  <c r="E31" i="27" s="1"/>
  <c r="AR87" i="6"/>
  <c r="A69" i="23"/>
  <c r="O46" i="3"/>
  <c r="AZ14" i="30"/>
  <c r="X103" i="21"/>
  <c r="AZ21" i="30"/>
  <c r="X110" i="21"/>
  <c r="AZ43" i="30"/>
  <c r="X132" i="21"/>
  <c r="AZ18" i="30"/>
  <c r="X107" i="21"/>
  <c r="AZ24" i="30"/>
  <c r="X113" i="21"/>
  <c r="B2" i="14"/>
  <c r="B2" i="7"/>
  <c r="B1" i="19"/>
  <c r="B1" i="22"/>
  <c r="B1" i="4"/>
  <c r="B1" i="26"/>
  <c r="D1" i="5"/>
  <c r="B1" i="27"/>
  <c r="B1" i="18"/>
  <c r="B1" i="9"/>
  <c r="B1" i="17"/>
  <c r="B1" i="11"/>
  <c r="B1" i="10"/>
  <c r="AW137" i="6"/>
  <c r="AR172" i="6"/>
  <c r="AX155" i="6"/>
  <c r="AV155" i="6" s="1"/>
  <c r="AU155" i="6"/>
  <c r="AT154" i="6"/>
  <c r="AF38" i="6"/>
  <c r="AJ158" i="6"/>
  <c r="AQ158" i="6" s="1"/>
  <c r="AR157" i="6" s="1"/>
  <c r="AP158" i="6"/>
  <c r="AN159" i="6"/>
  <c r="AZ39" i="30"/>
  <c r="X128" i="21"/>
  <c r="AZ13" i="30"/>
  <c r="X102" i="21"/>
  <c r="BC36" i="3"/>
  <c r="AZ35" i="30"/>
  <c r="X124" i="21"/>
  <c r="AZ10" i="30"/>
  <c r="X99" i="21"/>
  <c r="AZ16" i="30"/>
  <c r="X105" i="21"/>
  <c r="BE13" i="15"/>
  <c r="C15" i="8"/>
  <c r="G151" i="7"/>
  <c r="E30" i="27" s="1"/>
  <c r="L64" i="15"/>
  <c r="L68" i="15" s="1"/>
  <c r="L61" i="15"/>
  <c r="L62" i="15" s="1"/>
  <c r="L60" i="15"/>
  <c r="L63" i="15" s="1"/>
  <c r="AV18" i="15" s="1"/>
  <c r="AF87" i="6"/>
  <c r="AW24" i="6"/>
  <c r="AO154" i="6"/>
  <c r="AJ155" i="6"/>
  <c r="AQ155" i="6" s="1"/>
  <c r="AP155" i="6"/>
  <c r="AE50" i="18" l="1"/>
  <c r="AA52" i="6"/>
  <c r="AA25" i="6"/>
  <c r="AH82" i="18"/>
  <c r="AE81" i="18"/>
  <c r="AZ68" i="18"/>
  <c r="AW67" i="18"/>
  <c r="AA14" i="6"/>
  <c r="AF10" i="6"/>
  <c r="N63" i="26"/>
  <c r="BB18" i="26" s="1"/>
  <c r="AF174" i="6"/>
  <c r="AH68" i="18"/>
  <c r="AE67" i="18"/>
  <c r="AH96" i="18"/>
  <c r="AE95" i="18"/>
  <c r="AW105" i="6"/>
  <c r="AF155" i="6"/>
  <c r="AI152" i="4"/>
  <c r="AG152" i="4"/>
  <c r="AA54" i="6"/>
  <c r="AW96" i="18"/>
  <c r="AN17" i="13"/>
  <c r="AN16" i="13"/>
  <c r="AH14" i="13"/>
  <c r="AH17" i="13" s="1"/>
  <c r="O68" i="13"/>
  <c r="BE14" i="13" s="1"/>
  <c r="AQ16" i="15"/>
  <c r="G44" i="10"/>
  <c r="K63" i="26"/>
  <c r="AS18" i="26" s="1"/>
  <c r="BC16" i="9"/>
  <c r="BC17" i="9"/>
  <c r="AT17" i="9"/>
  <c r="AT16" i="9"/>
  <c r="AW140" i="6"/>
  <c r="AD141" i="6"/>
  <c r="AG141" i="6"/>
  <c r="AE141" i="6" s="1"/>
  <c r="AF140" i="6" s="1"/>
  <c r="AB142" i="6"/>
  <c r="AW19" i="18"/>
  <c r="AZ20" i="18"/>
  <c r="Y16" i="6"/>
  <c r="S16" i="6"/>
  <c r="Z16" i="6" s="1"/>
  <c r="AA15" i="6" s="1"/>
  <c r="AA17" i="6" s="1"/>
  <c r="O64" i="9"/>
  <c r="AW156" i="6"/>
  <c r="AN58" i="6"/>
  <c r="AP57" i="6"/>
  <c r="AJ57" i="6"/>
  <c r="AQ57" i="6" s="1"/>
  <c r="AR56" i="6" s="1"/>
  <c r="Y103" i="6"/>
  <c r="W104" i="6"/>
  <c r="S103" i="6"/>
  <c r="Z103" i="6" s="1"/>
  <c r="AA102" i="6" s="1"/>
  <c r="AG57" i="6"/>
  <c r="AE57" i="6" s="1"/>
  <c r="AF56" i="6" s="1"/>
  <c r="AB58" i="6"/>
  <c r="AD57" i="6"/>
  <c r="AF101" i="6"/>
  <c r="AD52" i="6"/>
  <c r="AG52" i="6"/>
  <c r="AE52" i="6" s="1"/>
  <c r="AW39" i="6"/>
  <c r="AP175" i="6"/>
  <c r="AN176" i="6"/>
  <c r="AJ175" i="6"/>
  <c r="AQ175" i="6" s="1"/>
  <c r="AR174" i="6" s="1"/>
  <c r="AG148" i="4"/>
  <c r="AU28" i="6"/>
  <c r="AS29" i="6"/>
  <c r="AX28" i="6"/>
  <c r="AV28" i="6" s="1"/>
  <c r="AW27" i="6" s="1"/>
  <c r="S159" i="6"/>
  <c r="Z159" i="6" s="1"/>
  <c r="AA158" i="6" s="1"/>
  <c r="Y159" i="6"/>
  <c r="W160" i="6"/>
  <c r="BU63" i="18"/>
  <c r="BV63" i="18"/>
  <c r="AF137" i="6"/>
  <c r="AS175" i="6"/>
  <c r="AU174" i="6"/>
  <c r="AX174" i="6"/>
  <c r="AV174" i="6" s="1"/>
  <c r="AJ43" i="6"/>
  <c r="AQ43" i="6" s="1"/>
  <c r="AR42" i="6" s="1"/>
  <c r="AP43" i="6"/>
  <c r="AN44" i="6"/>
  <c r="AW111" i="18"/>
  <c r="Y56" i="6"/>
  <c r="W57" i="6"/>
  <c r="S56" i="6"/>
  <c r="Z56" i="6" s="1"/>
  <c r="D63" i="26"/>
  <c r="X18" i="26" s="1"/>
  <c r="BM16" i="18"/>
  <c r="BN16" i="18"/>
  <c r="AX10" i="6"/>
  <c r="AV10" i="6" s="1"/>
  <c r="AU10" i="6"/>
  <c r="AZ16" i="9"/>
  <c r="AZ17" i="9"/>
  <c r="AX38" i="6"/>
  <c r="AV38" i="6" s="1"/>
  <c r="AW38" i="6" s="1"/>
  <c r="AU38" i="6"/>
  <c r="AH20" i="18"/>
  <c r="AE19" i="18"/>
  <c r="AB29" i="6"/>
  <c r="AG28" i="6"/>
  <c r="AE28" i="6" s="1"/>
  <c r="AF27" i="6" s="1"/>
  <c r="AD28" i="6"/>
  <c r="Y27" i="6"/>
  <c r="W28" i="6"/>
  <c r="S27" i="6"/>
  <c r="Z27" i="6" s="1"/>
  <c r="AA26" i="6" s="1"/>
  <c r="BM46" i="18"/>
  <c r="BN46" i="18"/>
  <c r="AA173" i="6"/>
  <c r="AE149" i="18"/>
  <c r="AF53" i="6"/>
  <c r="AF26" i="6"/>
  <c r="AE49" i="18"/>
  <c r="AH50" i="18"/>
  <c r="AD160" i="6"/>
  <c r="AG160" i="6"/>
  <c r="AE160" i="6" s="1"/>
  <c r="AF159" i="6" s="1"/>
  <c r="AX142" i="6"/>
  <c r="AV142" i="6" s="1"/>
  <c r="AW141" i="6" s="1"/>
  <c r="AU142" i="6"/>
  <c r="AS143" i="6"/>
  <c r="AW11" i="6"/>
  <c r="AW42" i="6"/>
  <c r="AR26" i="6"/>
  <c r="AR138" i="6"/>
  <c r="AF105" i="6"/>
  <c r="AR155" i="6"/>
  <c r="BM31" i="18"/>
  <c r="BN31" i="18"/>
  <c r="AW54" i="6"/>
  <c r="BV162" i="18"/>
  <c r="X171" i="18" s="1"/>
  <c r="BU162" i="18"/>
  <c r="V171" i="18" s="1"/>
  <c r="T170" i="18"/>
  <c r="AB71" i="6"/>
  <c r="AD70" i="6"/>
  <c r="AG70" i="6"/>
  <c r="AE70" i="6" s="1"/>
  <c r="AF69" i="6" s="1"/>
  <c r="AU53" i="6"/>
  <c r="AX53" i="6"/>
  <c r="AV53" i="6" s="1"/>
  <c r="AT52" i="6"/>
  <c r="AE162" i="18"/>
  <c r="AH163" i="18"/>
  <c r="W142" i="6"/>
  <c r="S141" i="6"/>
  <c r="Z141" i="6" s="1"/>
  <c r="AA140" i="6" s="1"/>
  <c r="Y141" i="6"/>
  <c r="AH17" i="9"/>
  <c r="AH16" i="9"/>
  <c r="AZ166" i="18"/>
  <c r="AW165" i="18"/>
  <c r="AH183" i="18"/>
  <c r="AE182" i="18"/>
  <c r="BU46" i="18"/>
  <c r="BV46" i="18"/>
  <c r="X171" i="6"/>
  <c r="S172" i="6"/>
  <c r="Z172" i="6" s="1"/>
  <c r="Y172" i="6"/>
  <c r="AP16" i="6"/>
  <c r="AJ16" i="6"/>
  <c r="AQ16" i="6" s="1"/>
  <c r="O64" i="13"/>
  <c r="W70" i="6"/>
  <c r="S69" i="6"/>
  <c r="Z69" i="6" s="1"/>
  <c r="AA68" i="6" s="1"/>
  <c r="Y69" i="6"/>
  <c r="Y17" i="9"/>
  <c r="Y16" i="9"/>
  <c r="AT103" i="6"/>
  <c r="AU104" i="6"/>
  <c r="AX104" i="6"/>
  <c r="AV104" i="6" s="1"/>
  <c r="AJ106" i="6"/>
  <c r="AQ106" i="6" s="1"/>
  <c r="AR105" i="6" s="1"/>
  <c r="AP106" i="6"/>
  <c r="AN107" i="6"/>
  <c r="AN141" i="6"/>
  <c r="AJ140" i="6"/>
  <c r="AQ140" i="6" s="1"/>
  <c r="AR139" i="6" s="1"/>
  <c r="AP140" i="6"/>
  <c r="AF24" i="6"/>
  <c r="BE15" i="13"/>
  <c r="O63" i="13"/>
  <c r="BE18" i="13" s="1"/>
  <c r="AD154" i="6"/>
  <c r="AG154" i="6"/>
  <c r="AE154" i="6" s="1"/>
  <c r="AE109" i="18"/>
  <c r="AH109" i="18" s="1"/>
  <c r="BV92" i="18"/>
  <c r="BU92" i="18"/>
  <c r="AG44" i="6"/>
  <c r="AE44" i="6" s="1"/>
  <c r="AF43" i="6" s="1"/>
  <c r="AF45" i="6" s="1"/>
  <c r="AD44" i="6"/>
  <c r="AG107" i="6"/>
  <c r="AE107" i="6" s="1"/>
  <c r="AF106" i="6" s="1"/>
  <c r="AD107" i="6"/>
  <c r="W42" i="6"/>
  <c r="Y41" i="6"/>
  <c r="S41" i="6"/>
  <c r="Z41" i="6" s="1"/>
  <c r="AA40" i="6" s="1"/>
  <c r="AE34" i="18"/>
  <c r="AH35" i="18"/>
  <c r="AC172" i="6"/>
  <c r="AD173" i="6"/>
  <c r="AG173" i="6"/>
  <c r="AE173" i="6" s="1"/>
  <c r="AW157" i="6"/>
  <c r="AK17" i="13"/>
  <c r="AK16" i="13"/>
  <c r="AX44" i="6"/>
  <c r="AV44" i="6" s="1"/>
  <c r="AW43" i="6" s="1"/>
  <c r="AU44" i="6"/>
  <c r="AW182" i="18"/>
  <c r="AZ182" i="18" s="1"/>
  <c r="G63" i="26"/>
  <c r="AG18" i="26" s="1"/>
  <c r="AG16" i="6"/>
  <c r="AE16" i="6" s="1"/>
  <c r="AF15" i="6" s="1"/>
  <c r="AF17" i="6" s="1"/>
  <c r="AD16" i="6"/>
  <c r="AX16" i="6"/>
  <c r="AV16" i="6" s="1"/>
  <c r="AW15" i="6" s="1"/>
  <c r="AU16" i="6"/>
  <c r="AZ50" i="18"/>
  <c r="AW49" i="18"/>
  <c r="AN70" i="6"/>
  <c r="AJ69" i="6"/>
  <c r="AQ69" i="6" s="1"/>
  <c r="AR68" i="6" s="1"/>
  <c r="AP69" i="6"/>
  <c r="AJ28" i="6"/>
  <c r="AQ28" i="6" s="1"/>
  <c r="AR27" i="6" s="1"/>
  <c r="AP28" i="6"/>
  <c r="AN29" i="6"/>
  <c r="AA24" i="6"/>
  <c r="J147" i="6"/>
  <c r="BB148" i="6"/>
  <c r="J148" i="6" s="1"/>
  <c r="M141" i="7"/>
  <c r="E28" i="27" s="1"/>
  <c r="BE18" i="9"/>
  <c r="AH149" i="18"/>
  <c r="AE148" i="18"/>
  <c r="AF68" i="6"/>
  <c r="AW14" i="15"/>
  <c r="O68" i="15"/>
  <c r="AU154" i="6"/>
  <c r="AX154" i="6"/>
  <c r="AV154" i="6" s="1"/>
  <c r="AI148" i="4"/>
  <c r="H51" i="14"/>
  <c r="AD13" i="26"/>
  <c r="F47" i="26"/>
  <c r="AV13" i="26"/>
  <c r="L47" i="26"/>
  <c r="U13" i="26"/>
  <c r="O44" i="26"/>
  <c r="BE13" i="26" s="1"/>
  <c r="C47" i="26"/>
  <c r="O50" i="26"/>
  <c r="AG90" i="6"/>
  <c r="AE90" i="6" s="1"/>
  <c r="AD90" i="6"/>
  <c r="AB91" i="6"/>
  <c r="B1" i="16"/>
  <c r="B1" i="6"/>
  <c r="O64" i="15"/>
  <c r="BM107" i="18"/>
  <c r="BN107" i="18"/>
  <c r="AS13" i="26"/>
  <c r="K47" i="26"/>
  <c r="AJ13" i="26"/>
  <c r="H47" i="26"/>
  <c r="AW34" i="18"/>
  <c r="AU87" i="6"/>
  <c r="AX87" i="6"/>
  <c r="AV87" i="6" s="1"/>
  <c r="AG146" i="4"/>
  <c r="AG153" i="4"/>
  <c r="X13" i="26"/>
  <c r="D47" i="26"/>
  <c r="O52" i="26"/>
  <c r="BU31" i="18"/>
  <c r="BV31" i="18"/>
  <c r="V17" i="13"/>
  <c r="V16" i="13"/>
  <c r="AZ81" i="18"/>
  <c r="AW80" i="18"/>
  <c r="V16" i="15"/>
  <c r="AN17" i="9"/>
  <c r="AN16" i="9"/>
  <c r="BB13" i="26"/>
  <c r="N47" i="26"/>
  <c r="AG13" i="26"/>
  <c r="G47" i="26"/>
  <c r="AP154" i="6"/>
  <c r="AJ154" i="6"/>
  <c r="AQ154" i="6" s="1"/>
  <c r="E29" i="27"/>
  <c r="G161" i="7"/>
  <c r="S89" i="6"/>
  <c r="Z89" i="6" s="1"/>
  <c r="AA88" i="6" s="1"/>
  <c r="W90" i="6"/>
  <c r="Y89" i="6"/>
  <c r="C129" i="6"/>
  <c r="BB131" i="6"/>
  <c r="C131" i="6" s="1"/>
  <c r="I63" i="26"/>
  <c r="AM18" i="26" s="1"/>
  <c r="AA13" i="26"/>
  <c r="E47" i="26"/>
  <c r="V15" i="26"/>
  <c r="O59" i="26"/>
  <c r="BE15" i="26" s="1"/>
  <c r="O51" i="26"/>
  <c r="AW148" i="18"/>
  <c r="AX160" i="6"/>
  <c r="AV160" i="6" s="1"/>
  <c r="AW159" i="6" s="1"/>
  <c r="AU160" i="6"/>
  <c r="J164" i="6"/>
  <c r="BB165" i="6"/>
  <c r="J165" i="6" s="1"/>
  <c r="AP159" i="6"/>
  <c r="AN160" i="6"/>
  <c r="AJ159" i="6"/>
  <c r="AQ159" i="6" s="1"/>
  <c r="AR158" i="6" s="1"/>
  <c r="AS93" i="6"/>
  <c r="AX92" i="6"/>
  <c r="AV92" i="6" s="1"/>
  <c r="AW91" i="6" s="1"/>
  <c r="AU92" i="6"/>
  <c r="AW88" i="6"/>
  <c r="BV145" i="18"/>
  <c r="X154" i="18" s="1"/>
  <c r="BU145" i="18"/>
  <c r="V154" i="18" s="1"/>
  <c r="T153" i="18"/>
  <c r="AY13" i="26"/>
  <c r="M47" i="26"/>
  <c r="AP13" i="26"/>
  <c r="J47" i="26"/>
  <c r="T187" i="18"/>
  <c r="BV179" i="18"/>
  <c r="X188" i="18" s="1"/>
  <c r="BU179" i="18"/>
  <c r="V188" i="18" s="1"/>
  <c r="V17" i="9"/>
  <c r="V16" i="9"/>
  <c r="D21" i="9"/>
  <c r="L17" i="26"/>
  <c r="E17" i="26"/>
  <c r="H18" i="26"/>
  <c r="E21" i="26"/>
  <c r="N20" i="26"/>
  <c r="J19" i="26"/>
  <c r="E19" i="26"/>
  <c r="C17" i="26"/>
  <c r="E15" i="26"/>
  <c r="M16" i="26"/>
  <c r="H15" i="26"/>
  <c r="J19" i="13"/>
  <c r="J17" i="9"/>
  <c r="L15" i="13"/>
  <c r="H16" i="13"/>
  <c r="E17" i="13"/>
  <c r="M15" i="9"/>
  <c r="D205" i="6" s="1"/>
  <c r="H16" i="15"/>
  <c r="L17" i="9"/>
  <c r="I15" i="9"/>
  <c r="D201" i="6" s="1"/>
  <c r="H18" i="13"/>
  <c r="J16" i="9"/>
  <c r="D18" i="13"/>
  <c r="M16" i="15"/>
  <c r="G20" i="13"/>
  <c r="J15" i="13"/>
  <c r="N17" i="9"/>
  <c r="K16" i="13"/>
  <c r="K16" i="9"/>
  <c r="D17" i="13"/>
  <c r="I18" i="26"/>
  <c r="M17" i="26"/>
  <c r="F17" i="26"/>
  <c r="F21" i="26"/>
  <c r="K21" i="26"/>
  <c r="G20" i="26"/>
  <c r="J17" i="26"/>
  <c r="C18" i="26"/>
  <c r="G16" i="26"/>
  <c r="E16" i="26"/>
  <c r="G15" i="26"/>
  <c r="C20" i="13"/>
  <c r="F16" i="15"/>
  <c r="L16" i="9"/>
  <c r="BM4" i="6"/>
  <c r="E16" i="13"/>
  <c r="G15" i="9"/>
  <c r="D199" i="6" s="1"/>
  <c r="L18" i="13"/>
  <c r="I21" i="13"/>
  <c r="H17" i="9"/>
  <c r="D21" i="13"/>
  <c r="D15" i="9"/>
  <c r="D196" i="6" s="1"/>
  <c r="I17" i="9"/>
  <c r="M17" i="13"/>
  <c r="M20" i="13"/>
  <c r="G16" i="15"/>
  <c r="G16" i="13"/>
  <c r="F19" i="26"/>
  <c r="J18" i="26"/>
  <c r="N17" i="26"/>
  <c r="M19" i="26"/>
  <c r="K19" i="26"/>
  <c r="D21" i="26"/>
  <c r="G18" i="26"/>
  <c r="L15" i="26"/>
  <c r="J15" i="26"/>
  <c r="O15" i="26"/>
  <c r="L15" i="9"/>
  <c r="D204" i="6" s="1"/>
  <c r="L17" i="13"/>
  <c r="D16" i="15"/>
  <c r="C17" i="13"/>
  <c r="F19" i="13"/>
  <c r="J17" i="13"/>
  <c r="BC37" i="3"/>
  <c r="J20" i="13"/>
  <c r="H21" i="13"/>
  <c r="N16" i="15"/>
  <c r="L21" i="13"/>
  <c r="I15" i="13"/>
  <c r="F17" i="13"/>
  <c r="M17" i="9"/>
  <c r="C15" i="9"/>
  <c r="D195" i="6" s="1"/>
  <c r="F20" i="13"/>
  <c r="H15" i="9"/>
  <c r="D200" i="6" s="1"/>
  <c r="N19" i="26"/>
  <c r="G19" i="26"/>
  <c r="K18" i="26"/>
  <c r="G17" i="26"/>
  <c r="L19" i="26"/>
  <c r="L21" i="26"/>
  <c r="D19" i="26"/>
  <c r="I16" i="26"/>
  <c r="D15" i="26"/>
  <c r="L16" i="26"/>
  <c r="J16" i="26"/>
  <c r="J16" i="15"/>
  <c r="E18" i="13"/>
  <c r="E21" i="13"/>
  <c r="C79" i="15"/>
  <c r="I18" i="13"/>
  <c r="C16" i="9"/>
  <c r="H15" i="13"/>
  <c r="N21" i="13"/>
  <c r="M16" i="9"/>
  <c r="C17" i="9"/>
  <c r="I16" i="15"/>
  <c r="F15" i="9"/>
  <c r="D198" i="6" s="1"/>
  <c r="K17" i="9"/>
  <c r="O15" i="13"/>
  <c r="I16" i="9"/>
  <c r="G18" i="13"/>
  <c r="K19" i="13"/>
  <c r="K20" i="26"/>
  <c r="D20" i="26"/>
  <c r="H19" i="26"/>
  <c r="D18" i="26"/>
  <c r="J20" i="26"/>
  <c r="I17" i="26"/>
  <c r="N21" i="26"/>
  <c r="N15" i="26"/>
  <c r="N16" i="26"/>
  <c r="D16" i="26"/>
  <c r="K21" i="13"/>
  <c r="H19" i="13"/>
  <c r="G16" i="9"/>
  <c r="J18" i="13"/>
  <c r="N16" i="13"/>
  <c r="C16" i="15"/>
  <c r="G17" i="13"/>
  <c r="M16" i="13"/>
  <c r="D16" i="13"/>
  <c r="K18" i="13"/>
  <c r="E17" i="9"/>
  <c r="J16" i="13"/>
  <c r="F17" i="9"/>
  <c r="I19" i="13"/>
  <c r="N16" i="9"/>
  <c r="C19" i="13"/>
  <c r="N18" i="13"/>
  <c r="N15" i="13"/>
  <c r="H21" i="26"/>
  <c r="L20" i="26"/>
  <c r="E20" i="26"/>
  <c r="L18" i="26"/>
  <c r="H17" i="26"/>
  <c r="F18" i="26"/>
  <c r="G21" i="26"/>
  <c r="F15" i="26"/>
  <c r="F16" i="26"/>
  <c r="I15" i="26"/>
  <c r="E19" i="13"/>
  <c r="K16" i="15"/>
  <c r="C18" i="13"/>
  <c r="C21" i="13"/>
  <c r="L19" i="13"/>
  <c r="M18" i="13"/>
  <c r="I16" i="13"/>
  <c r="M21" i="13"/>
  <c r="N19" i="13"/>
  <c r="M19" i="13"/>
  <c r="L20" i="13"/>
  <c r="L16" i="13"/>
  <c r="F16" i="13"/>
  <c r="L16" i="15"/>
  <c r="H20" i="13"/>
  <c r="N20" i="13"/>
  <c r="O15" i="15"/>
  <c r="F21" i="13"/>
  <c r="E20" i="13"/>
  <c r="D17" i="9"/>
  <c r="A54" i="23"/>
  <c r="C21" i="26"/>
  <c r="M21" i="26"/>
  <c r="I21" i="26"/>
  <c r="M20" i="26"/>
  <c r="I19" i="26"/>
  <c r="E18" i="26"/>
  <c r="N18" i="26"/>
  <c r="C19" i="26"/>
  <c r="H16" i="26"/>
  <c r="K15" i="26"/>
  <c r="K16" i="26"/>
  <c r="M15" i="13"/>
  <c r="C15" i="13"/>
  <c r="H16" i="9"/>
  <c r="G15" i="13"/>
  <c r="E16" i="9"/>
  <c r="D19" i="13"/>
  <c r="K15" i="13"/>
  <c r="F15" i="13"/>
  <c r="E15" i="9"/>
  <c r="D197" i="6" s="1"/>
  <c r="E15" i="13"/>
  <c r="G21" i="13"/>
  <c r="F18" i="13"/>
  <c r="O15" i="9"/>
  <c r="K15" i="9"/>
  <c r="D203" i="6" s="1"/>
  <c r="K17" i="13"/>
  <c r="G17" i="9"/>
  <c r="D15" i="13"/>
  <c r="J21" i="13"/>
  <c r="H17" i="13"/>
  <c r="F8" i="19"/>
  <c r="F11" i="19" s="1"/>
  <c r="D31" i="19" s="1"/>
  <c r="D38" i="19" s="1"/>
  <c r="D40" i="19" s="1"/>
  <c r="D44" i="19" s="1"/>
  <c r="D17" i="26"/>
  <c r="K17" i="26"/>
  <c r="H20" i="26"/>
  <c r="J21" i="26"/>
  <c r="F20" i="26"/>
  <c r="M18" i="26"/>
  <c r="I20" i="26"/>
  <c r="C20" i="26"/>
  <c r="M15" i="26"/>
  <c r="C15" i="26"/>
  <c r="C16" i="26"/>
  <c r="E16" i="15"/>
  <c r="F16" i="9"/>
  <c r="I17" i="13"/>
  <c r="N17" i="13"/>
  <c r="C16" i="13"/>
  <c r="D20" i="13"/>
  <c r="K20" i="13"/>
  <c r="I20" i="13"/>
  <c r="D16" i="9"/>
  <c r="J15" i="9"/>
  <c r="D202" i="6" s="1"/>
  <c r="G19" i="13"/>
  <c r="N15" i="9"/>
  <c r="D206" i="6" s="1"/>
  <c r="J15" i="15"/>
  <c r="N17" i="15"/>
  <c r="K15" i="15"/>
  <c r="I20" i="9"/>
  <c r="E19" i="9"/>
  <c r="K20" i="15"/>
  <c r="M15" i="15"/>
  <c r="F19" i="15"/>
  <c r="N18" i="9"/>
  <c r="I18" i="15"/>
  <c r="D15" i="15"/>
  <c r="H21" i="15"/>
  <c r="L20" i="15"/>
  <c r="H17" i="15"/>
  <c r="C15" i="15"/>
  <c r="J18" i="15"/>
  <c r="E15" i="15"/>
  <c r="J19" i="9"/>
  <c r="M20" i="15"/>
  <c r="I17" i="15"/>
  <c r="C18" i="9"/>
  <c r="H21" i="9"/>
  <c r="L18" i="9"/>
  <c r="H18" i="15"/>
  <c r="M19" i="15"/>
  <c r="L21" i="15"/>
  <c r="K20" i="9"/>
  <c r="N15" i="15"/>
  <c r="H18" i="9"/>
  <c r="C19" i="9"/>
  <c r="G19" i="9"/>
  <c r="L20" i="9"/>
  <c r="F20" i="15"/>
  <c r="I18" i="9"/>
  <c r="D18" i="15"/>
  <c r="I21" i="15"/>
  <c r="M20" i="9"/>
  <c r="G20" i="15"/>
  <c r="C17" i="15"/>
  <c r="G19" i="15"/>
  <c r="H15" i="15"/>
  <c r="F21" i="15"/>
  <c r="F20" i="9"/>
  <c r="N18" i="15"/>
  <c r="C20" i="15"/>
  <c r="M17" i="15"/>
  <c r="G20" i="9"/>
  <c r="M18" i="9"/>
  <c r="J20" i="9"/>
  <c r="M21" i="9"/>
  <c r="I21" i="9"/>
  <c r="H19" i="15"/>
  <c r="M18" i="15"/>
  <c r="N21" i="15"/>
  <c r="L17" i="15"/>
  <c r="I15" i="15"/>
  <c r="H19" i="9"/>
  <c r="N21" i="9"/>
  <c r="F21" i="9"/>
  <c r="J19" i="15"/>
  <c r="E21" i="9"/>
  <c r="G18" i="15"/>
  <c r="C21" i="9"/>
  <c r="F18" i="9"/>
  <c r="F19" i="9"/>
  <c r="F17" i="15"/>
  <c r="E19" i="15"/>
  <c r="D20" i="15"/>
  <c r="L21" i="9"/>
  <c r="G18" i="9"/>
  <c r="L19" i="15"/>
  <c r="G21" i="9"/>
  <c r="K18" i="15"/>
  <c r="F15" i="15"/>
  <c r="K19" i="9"/>
  <c r="N20" i="15"/>
  <c r="J17" i="15"/>
  <c r="D20" i="9"/>
  <c r="L18" i="15"/>
  <c r="G15" i="15"/>
  <c r="M21" i="15"/>
  <c r="E21" i="15"/>
  <c r="K17" i="15"/>
  <c r="E20" i="9"/>
  <c r="K19" i="15"/>
  <c r="C20" i="9"/>
  <c r="C19" i="15"/>
  <c r="I19" i="15"/>
  <c r="J20" i="15"/>
  <c r="G17" i="15"/>
  <c r="D21" i="15"/>
  <c r="E20" i="15"/>
  <c r="D19" i="15"/>
  <c r="C21" i="15"/>
  <c r="J18" i="9"/>
  <c r="E18" i="15"/>
  <c r="J21" i="15"/>
  <c r="N20" i="9"/>
  <c r="H20" i="15"/>
  <c r="D17" i="15"/>
  <c r="K18" i="9"/>
  <c r="F18" i="15"/>
  <c r="L19" i="9"/>
  <c r="D19" i="9"/>
  <c r="I20" i="15"/>
  <c r="E17" i="15"/>
  <c r="J21" i="9"/>
  <c r="K21" i="9"/>
  <c r="N19" i="15"/>
  <c r="H269" i="22"/>
  <c r="D18" i="9"/>
  <c r="I19" i="9"/>
  <c r="H20" i="9"/>
  <c r="E18" i="9"/>
  <c r="K21" i="15"/>
  <c r="C18" i="15"/>
  <c r="M19" i="9"/>
  <c r="G21" i="15"/>
  <c r="L15" i="15"/>
  <c r="N19" i="9"/>
  <c r="AI146" i="4"/>
  <c r="AI153" i="4"/>
  <c r="AW155" i="6"/>
  <c r="AN92" i="6"/>
  <c r="AJ91" i="6"/>
  <c r="AQ91" i="6" s="1"/>
  <c r="AR90" i="6" s="1"/>
  <c r="AP91" i="6"/>
  <c r="AM13" i="26"/>
  <c r="I47" i="26"/>
  <c r="AU71" i="6"/>
  <c r="AX71" i="6"/>
  <c r="AV71" i="6" s="1"/>
  <c r="AS72" i="6"/>
  <c r="O68" i="9"/>
  <c r="E15" i="10" s="1"/>
  <c r="M15" i="10" s="1"/>
  <c r="AH81" i="18" l="1"/>
  <c r="AE80" i="18"/>
  <c r="AW66" i="18"/>
  <c r="AZ67" i="18"/>
  <c r="Z17" i="6"/>
  <c r="AA172" i="6"/>
  <c r="AF154" i="6"/>
  <c r="AF161" i="6" s="1"/>
  <c r="AH16" i="13"/>
  <c r="AH67" i="18"/>
  <c r="AE66" i="18"/>
  <c r="AW10" i="6"/>
  <c r="AW17" i="6" s="1"/>
  <c r="AZ96" i="18"/>
  <c r="AW95" i="18"/>
  <c r="AW154" i="6"/>
  <c r="AE161" i="6"/>
  <c r="AH95" i="18"/>
  <c r="AE94" i="18"/>
  <c r="W105" i="6"/>
  <c r="Y104" i="6"/>
  <c r="S104" i="6"/>
  <c r="Z104" i="6" s="1"/>
  <c r="AA103" i="6" s="1"/>
  <c r="AF52" i="6"/>
  <c r="AA55" i="6"/>
  <c r="AW181" i="18"/>
  <c r="AZ181" i="18" s="1"/>
  <c r="AW87" i="6"/>
  <c r="AU143" i="6"/>
  <c r="AX143" i="6"/>
  <c r="AV143" i="6" s="1"/>
  <c r="AW142" i="6" s="1"/>
  <c r="AW144" i="6" s="1"/>
  <c r="Y57" i="6"/>
  <c r="S57" i="6"/>
  <c r="Z57" i="6" s="1"/>
  <c r="AA56" i="6" s="1"/>
  <c r="W58" i="6"/>
  <c r="AS176" i="6"/>
  <c r="AU175" i="6"/>
  <c r="AX175" i="6"/>
  <c r="AV175" i="6" s="1"/>
  <c r="AW174" i="6" s="1"/>
  <c r="AF108" i="6"/>
  <c r="AZ111" i="18"/>
  <c r="AW110" i="18"/>
  <c r="AU29" i="6"/>
  <c r="AS30" i="6"/>
  <c r="AX29" i="6"/>
  <c r="AV29" i="6" s="1"/>
  <c r="AW28" i="6" s="1"/>
  <c r="AV45" i="6"/>
  <c r="AD29" i="6"/>
  <c r="AG29" i="6"/>
  <c r="AE29" i="6" s="1"/>
  <c r="AF28" i="6" s="1"/>
  <c r="AB30" i="6"/>
  <c r="AJ44" i="6"/>
  <c r="AQ44" i="6" s="1"/>
  <c r="AP44" i="6"/>
  <c r="AW45" i="6"/>
  <c r="AH19" i="18"/>
  <c r="AE18" i="18"/>
  <c r="Y28" i="6"/>
  <c r="W29" i="6"/>
  <c r="S28" i="6"/>
  <c r="Z28" i="6" s="1"/>
  <c r="AA27" i="6" s="1"/>
  <c r="Y160" i="6"/>
  <c r="S160" i="6"/>
  <c r="Z160" i="6" s="1"/>
  <c r="AP58" i="6"/>
  <c r="AJ58" i="6"/>
  <c r="AQ58" i="6" s="1"/>
  <c r="AW18" i="18"/>
  <c r="AZ19" i="18"/>
  <c r="AH49" i="18"/>
  <c r="AE48" i="18"/>
  <c r="AW173" i="6"/>
  <c r="AN177" i="6"/>
  <c r="AJ176" i="6"/>
  <c r="AQ176" i="6" s="1"/>
  <c r="AR175" i="6" s="1"/>
  <c r="AP176" i="6"/>
  <c r="AD58" i="6"/>
  <c r="AG58" i="6"/>
  <c r="AE58" i="6" s="1"/>
  <c r="AF57" i="6" s="1"/>
  <c r="AB143" i="6"/>
  <c r="AD142" i="6"/>
  <c r="AG142" i="6"/>
  <c r="AE142" i="6" s="1"/>
  <c r="AN30" i="6"/>
  <c r="AJ29" i="6"/>
  <c r="AQ29" i="6" s="1"/>
  <c r="AR28" i="6" s="1"/>
  <c r="AP29" i="6"/>
  <c r="AF173" i="6"/>
  <c r="AE108" i="18"/>
  <c r="AC171" i="6"/>
  <c r="AD172" i="6"/>
  <c r="AG172" i="6"/>
  <c r="AE172" i="6" s="1"/>
  <c r="Y42" i="6"/>
  <c r="W43" i="6"/>
  <c r="S42" i="6"/>
  <c r="Z42" i="6" s="1"/>
  <c r="AA41" i="6" s="1"/>
  <c r="AR15" i="6"/>
  <c r="AR17" i="6" s="1"/>
  <c r="AQ17" i="6"/>
  <c r="AH182" i="18"/>
  <c r="AE181" i="18"/>
  <c r="S142" i="6"/>
  <c r="Z142" i="6" s="1"/>
  <c r="AA141" i="6" s="1"/>
  <c r="W143" i="6"/>
  <c r="Y142" i="6"/>
  <c r="AT102" i="6"/>
  <c r="AX103" i="6"/>
  <c r="AV103" i="6" s="1"/>
  <c r="AU103" i="6"/>
  <c r="AB72" i="6"/>
  <c r="AG71" i="6"/>
  <c r="AE71" i="6" s="1"/>
  <c r="AF70" i="6" s="1"/>
  <c r="AD71" i="6"/>
  <c r="AN71" i="6"/>
  <c r="AJ70" i="6"/>
  <c r="AQ70" i="6" s="1"/>
  <c r="AR69" i="6" s="1"/>
  <c r="AP70" i="6"/>
  <c r="AH34" i="18"/>
  <c r="AE33" i="18"/>
  <c r="AW104" i="6"/>
  <c r="AZ165" i="18"/>
  <c r="AW164" i="18"/>
  <c r="AE161" i="18"/>
  <c r="AH162" i="18"/>
  <c r="AZ49" i="18"/>
  <c r="AW48" i="18"/>
  <c r="AV17" i="6"/>
  <c r="AJ141" i="6"/>
  <c r="AQ141" i="6" s="1"/>
  <c r="AR140" i="6" s="1"/>
  <c r="AN142" i="6"/>
  <c r="AP141" i="6"/>
  <c r="AX52" i="6"/>
  <c r="AV52" i="6" s="1"/>
  <c r="AV59" i="6" s="1"/>
  <c r="AU52" i="6"/>
  <c r="AH148" i="18"/>
  <c r="AE147" i="18"/>
  <c r="AJ107" i="6"/>
  <c r="AQ107" i="6" s="1"/>
  <c r="AR106" i="6" s="1"/>
  <c r="AR108" i="6" s="1"/>
  <c r="AP107" i="6"/>
  <c r="S70" i="6"/>
  <c r="Z70" i="6" s="1"/>
  <c r="W71" i="6"/>
  <c r="Y70" i="6"/>
  <c r="AW53" i="6"/>
  <c r="AE17" i="6"/>
  <c r="AE45" i="6"/>
  <c r="Y171" i="6"/>
  <c r="S171" i="6"/>
  <c r="Z171" i="6" s="1"/>
  <c r="Z178" i="6" s="1"/>
  <c r="AE108" i="6"/>
  <c r="O16" i="26"/>
  <c r="O16" i="13"/>
  <c r="O20" i="26"/>
  <c r="L206" i="6"/>
  <c r="D220" i="6"/>
  <c r="L220" i="6" s="1"/>
  <c r="O18" i="13"/>
  <c r="O17" i="9"/>
  <c r="L205" i="6"/>
  <c r="D219" i="6"/>
  <c r="L219" i="6" s="1"/>
  <c r="J64" i="26"/>
  <c r="J68" i="26" s="1"/>
  <c r="AQ14" i="26" s="1"/>
  <c r="J60" i="26"/>
  <c r="AW180" i="18"/>
  <c r="K64" i="26"/>
  <c r="K68" i="26" s="1"/>
  <c r="AT14" i="26" s="1"/>
  <c r="K60" i="26"/>
  <c r="X1" i="18"/>
  <c r="P1" i="15"/>
  <c r="M2" i="19"/>
  <c r="P78" i="6"/>
  <c r="Q56" i="7"/>
  <c r="M1" i="22"/>
  <c r="P1" i="9"/>
  <c r="P1" i="13"/>
  <c r="M2" i="17"/>
  <c r="BE14" i="9"/>
  <c r="K56" i="7"/>
  <c r="O141" i="7"/>
  <c r="AP92" i="6"/>
  <c r="AN93" i="6"/>
  <c r="AJ92" i="6"/>
  <c r="AQ92" i="6" s="1"/>
  <c r="AR91" i="6" s="1"/>
  <c r="O19" i="15"/>
  <c r="O21" i="9"/>
  <c r="O17" i="15"/>
  <c r="O16" i="15"/>
  <c r="O17" i="26"/>
  <c r="D60" i="26"/>
  <c r="D64" i="26"/>
  <c r="D68" i="26" s="1"/>
  <c r="Y14" i="26" s="1"/>
  <c r="Y17" i="26" s="1"/>
  <c r="AZ34" i="18"/>
  <c r="AW33" i="18"/>
  <c r="AX72" i="6"/>
  <c r="AV72" i="6" s="1"/>
  <c r="AW71" i="6" s="1"/>
  <c r="AU72" i="6"/>
  <c r="J56" i="19"/>
  <c r="K59" i="19"/>
  <c r="J55" i="19"/>
  <c r="K58" i="19"/>
  <c r="J58" i="19"/>
  <c r="K57" i="19"/>
  <c r="J59" i="19"/>
  <c r="J57" i="19"/>
  <c r="K60" i="19"/>
  <c r="K56" i="19"/>
  <c r="K55" i="19"/>
  <c r="J60" i="19"/>
  <c r="O21" i="15"/>
  <c r="O20" i="9"/>
  <c r="O19" i="9"/>
  <c r="L202" i="6"/>
  <c r="D216" i="6"/>
  <c r="L216" i="6" s="1"/>
  <c r="D211" i="6"/>
  <c r="L211" i="6" s="1"/>
  <c r="L197" i="6"/>
  <c r="O17" i="13"/>
  <c r="L199" i="6"/>
  <c r="D213" i="6"/>
  <c r="L213" i="6" s="1"/>
  <c r="M60" i="26"/>
  <c r="M64" i="26"/>
  <c r="M68" i="26" s="1"/>
  <c r="AZ14" i="26" s="1"/>
  <c r="AZ148" i="18"/>
  <c r="AW147" i="18"/>
  <c r="AR154" i="6"/>
  <c r="L60" i="26"/>
  <c r="L64" i="26"/>
  <c r="L68" i="26" s="1"/>
  <c r="AW14" i="26" s="1"/>
  <c r="AW70" i="6"/>
  <c r="O20" i="15"/>
  <c r="O18" i="9"/>
  <c r="O18" i="26"/>
  <c r="AD91" i="6"/>
  <c r="AG91" i="6"/>
  <c r="AE91" i="6" s="1"/>
  <c r="AF90" i="6" s="1"/>
  <c r="AB92" i="6"/>
  <c r="AV161" i="6"/>
  <c r="O18" i="15"/>
  <c r="O16" i="9"/>
  <c r="AJ160" i="6"/>
  <c r="AQ160" i="6" s="1"/>
  <c r="AR159" i="6" s="1"/>
  <c r="AP160" i="6"/>
  <c r="Y90" i="6"/>
  <c r="W91" i="6"/>
  <c r="S90" i="6"/>
  <c r="Z90" i="6" s="1"/>
  <c r="AA89" i="6" s="1"/>
  <c r="G60" i="26"/>
  <c r="G64" i="26"/>
  <c r="G68" i="26" s="1"/>
  <c r="AH14" i="26" s="1"/>
  <c r="F60" i="26"/>
  <c r="F64" i="26"/>
  <c r="F68" i="26" s="1"/>
  <c r="AE14" i="26" s="1"/>
  <c r="I64" i="26"/>
  <c r="I68" i="26" s="1"/>
  <c r="AN14" i="26" s="1"/>
  <c r="AN17" i="26" s="1"/>
  <c r="I60" i="26"/>
  <c r="D217" i="6"/>
  <c r="L217" i="6" s="1"/>
  <c r="L203" i="6"/>
  <c r="O21" i="26"/>
  <c r="D214" i="6"/>
  <c r="L214" i="6" s="1"/>
  <c r="L200" i="6"/>
  <c r="L204" i="6"/>
  <c r="D218" i="6"/>
  <c r="L218" i="6" s="1"/>
  <c r="D210" i="6"/>
  <c r="L210" i="6" s="1"/>
  <c r="L196" i="6"/>
  <c r="D215" i="6"/>
  <c r="L215" i="6" s="1"/>
  <c r="L201" i="6"/>
  <c r="AZ80" i="18"/>
  <c r="AW79" i="18"/>
  <c r="AF89" i="6"/>
  <c r="G19" i="10"/>
  <c r="H19" i="10"/>
  <c r="D194" i="6"/>
  <c r="L194" i="6" s="1"/>
  <c r="F19" i="10"/>
  <c r="D30" i="19"/>
  <c r="D208" i="6"/>
  <c r="L208" i="6" s="1"/>
  <c r="E26" i="10"/>
  <c r="E19" i="10"/>
  <c r="AF50" i="4"/>
  <c r="AG50" i="4" s="1"/>
  <c r="AF51" i="4"/>
  <c r="AG51" i="4" s="1"/>
  <c r="AF69" i="4"/>
  <c r="AG69" i="4" s="1"/>
  <c r="AF70" i="4"/>
  <c r="AG70" i="4" s="1"/>
  <c r="O19" i="26"/>
  <c r="D212" i="6"/>
  <c r="L212" i="6" s="1"/>
  <c r="L198" i="6"/>
  <c r="E64" i="26"/>
  <c r="E68" i="26" s="1"/>
  <c r="AB14" i="26" s="1"/>
  <c r="AB17" i="26" s="1"/>
  <c r="E60" i="26"/>
  <c r="N64" i="26"/>
  <c r="N68" i="26" s="1"/>
  <c r="BC14" i="26" s="1"/>
  <c r="N60" i="26"/>
  <c r="H64" i="26"/>
  <c r="H68" i="26" s="1"/>
  <c r="AK14" i="26" s="1"/>
  <c r="H60" i="26"/>
  <c r="BE14" i="15"/>
  <c r="O151" i="7"/>
  <c r="E32" i="27" s="1"/>
  <c r="AH135" i="6"/>
  <c r="AY99" i="6"/>
  <c r="AY22" i="6"/>
  <c r="AH64" i="6"/>
  <c r="AK36" i="6"/>
  <c r="T8" i="6"/>
  <c r="AH22" i="6"/>
  <c r="AK64" i="6"/>
  <c r="R15" i="9"/>
  <c r="AK8" i="6"/>
  <c r="AY135" i="6"/>
  <c r="AH99" i="6"/>
  <c r="AY169" i="6"/>
  <c r="T169" i="6"/>
  <c r="AK169" i="6"/>
  <c r="AY36" i="6"/>
  <c r="T22" i="6"/>
  <c r="AY8" i="6"/>
  <c r="AH36" i="6"/>
  <c r="AY64" i="6"/>
  <c r="AH50" i="6"/>
  <c r="AY85" i="6"/>
  <c r="AK99" i="6"/>
  <c r="AK85" i="6"/>
  <c r="AH8" i="6"/>
  <c r="AK22" i="6"/>
  <c r="T135" i="6"/>
  <c r="AH169" i="6"/>
  <c r="AY152" i="6"/>
  <c r="AK50" i="6"/>
  <c r="T50" i="6"/>
  <c r="T85" i="6"/>
  <c r="T36" i="6"/>
  <c r="AK135" i="6"/>
  <c r="T64" i="6"/>
  <c r="AH85" i="6"/>
  <c r="T152" i="6"/>
  <c r="AH152" i="6"/>
  <c r="AK152" i="6"/>
  <c r="T99" i="6"/>
  <c r="AY50" i="6"/>
  <c r="O21" i="13"/>
  <c r="O19" i="13"/>
  <c r="D209" i="6"/>
  <c r="L195" i="6"/>
  <c r="O20" i="13"/>
  <c r="AH108" i="18"/>
  <c r="AE107" i="18"/>
  <c r="AU93" i="6"/>
  <c r="AX93" i="6"/>
  <c r="AV93" i="6" s="1"/>
  <c r="AW92" i="6" s="1"/>
  <c r="AW94" i="6" s="1"/>
  <c r="AW161" i="6"/>
  <c r="C64" i="26"/>
  <c r="C68" i="26" s="1"/>
  <c r="C60" i="26"/>
  <c r="O47" i="26"/>
  <c r="AW17" i="15"/>
  <c r="AW16" i="15"/>
  <c r="AQ108" i="6" l="1"/>
  <c r="AE79" i="18"/>
  <c r="AH80" i="18"/>
  <c r="AZ66" i="18"/>
  <c r="AW65" i="18"/>
  <c r="AH66" i="18"/>
  <c r="AE65" i="18"/>
  <c r="AH94" i="18"/>
  <c r="AE93" i="18"/>
  <c r="AZ95" i="18"/>
  <c r="AW94" i="18"/>
  <c r="Y58" i="6"/>
  <c r="S58" i="6"/>
  <c r="Z58" i="6" s="1"/>
  <c r="AA57" i="6" s="1"/>
  <c r="AA59" i="6" s="1"/>
  <c r="AD143" i="6"/>
  <c r="AG143" i="6"/>
  <c r="AE143" i="6" s="1"/>
  <c r="AF142" i="6" s="1"/>
  <c r="AH48" i="18"/>
  <c r="AE47" i="18"/>
  <c r="AR43" i="6"/>
  <c r="AR45" i="6" s="1"/>
  <c r="AQ45" i="6"/>
  <c r="AF59" i="6"/>
  <c r="AG30" i="6"/>
  <c r="AE30" i="6" s="1"/>
  <c r="AD30" i="6"/>
  <c r="AZ110" i="18"/>
  <c r="AW109" i="18"/>
  <c r="Y16" i="26"/>
  <c r="S29" i="6"/>
  <c r="Z29" i="6" s="1"/>
  <c r="AA28" i="6" s="1"/>
  <c r="W30" i="6"/>
  <c r="Y29" i="6"/>
  <c r="AW17" i="18"/>
  <c r="AZ18" i="18"/>
  <c r="Y105" i="6"/>
  <c r="W106" i="6"/>
  <c r="S105" i="6"/>
  <c r="Z105" i="6" s="1"/>
  <c r="AA104" i="6" s="1"/>
  <c r="AR57" i="6"/>
  <c r="AR59" i="6" s="1"/>
  <c r="AQ59" i="6"/>
  <c r="AH18" i="18"/>
  <c r="AE17" i="18"/>
  <c r="AE59" i="6"/>
  <c r="AU30" i="6"/>
  <c r="AX30" i="6"/>
  <c r="AV30" i="6" s="1"/>
  <c r="AP177" i="6"/>
  <c r="AJ177" i="6"/>
  <c r="AQ177" i="6" s="1"/>
  <c r="AR176" i="6" s="1"/>
  <c r="AR178" i="6" s="1"/>
  <c r="AV144" i="6"/>
  <c r="AF141" i="6"/>
  <c r="Z161" i="6"/>
  <c r="AA159" i="6"/>
  <c r="AA161" i="6" s="1"/>
  <c r="AS177" i="6"/>
  <c r="AX176" i="6"/>
  <c r="AV176" i="6" s="1"/>
  <c r="AU176" i="6"/>
  <c r="AQ17" i="26"/>
  <c r="AQ16" i="26"/>
  <c r="AW52" i="6"/>
  <c r="AW59" i="6" s="1"/>
  <c r="AD72" i="6"/>
  <c r="AG72" i="6"/>
  <c r="AE72" i="6" s="1"/>
  <c r="AJ30" i="6"/>
  <c r="AQ30" i="6" s="1"/>
  <c r="AR29" i="6" s="1"/>
  <c r="AR31" i="6" s="1"/>
  <c r="AP30" i="6"/>
  <c r="O64" i="26"/>
  <c r="AV73" i="6"/>
  <c r="AQ161" i="6"/>
  <c r="AA171" i="6"/>
  <c r="AA178" i="6" s="1"/>
  <c r="AN143" i="6"/>
  <c r="AP142" i="6"/>
  <c r="AJ142" i="6"/>
  <c r="AQ142" i="6" s="1"/>
  <c r="AH161" i="18"/>
  <c r="AE160" i="18"/>
  <c r="AH160" i="18" s="1"/>
  <c r="AN72" i="6"/>
  <c r="AJ71" i="6"/>
  <c r="AQ71" i="6" s="1"/>
  <c r="AR70" i="6" s="1"/>
  <c r="AP71" i="6"/>
  <c r="AX102" i="6"/>
  <c r="AV102" i="6" s="1"/>
  <c r="AU102" i="6"/>
  <c r="AT101" i="6"/>
  <c r="W44" i="6"/>
  <c r="Y43" i="6"/>
  <c r="S43" i="6"/>
  <c r="Z43" i="6" s="1"/>
  <c r="AW73" i="6"/>
  <c r="AZ164" i="18"/>
  <c r="AW163" i="18"/>
  <c r="Y71" i="6"/>
  <c r="W72" i="6"/>
  <c r="S71" i="6"/>
  <c r="Z71" i="6" s="1"/>
  <c r="AA70" i="6" s="1"/>
  <c r="AD171" i="6"/>
  <c r="AG171" i="6"/>
  <c r="AE171" i="6" s="1"/>
  <c r="AE178" i="6" s="1"/>
  <c r="AR161" i="6"/>
  <c r="AA69" i="6"/>
  <c r="AH147" i="18"/>
  <c r="AE146" i="18"/>
  <c r="AW47" i="18"/>
  <c r="AZ48" i="18"/>
  <c r="AF172" i="6"/>
  <c r="AH181" i="18"/>
  <c r="AE180" i="18"/>
  <c r="AH33" i="18"/>
  <c r="AE32" i="18"/>
  <c r="Y143" i="6"/>
  <c r="S143" i="6"/>
  <c r="Z143" i="6" s="1"/>
  <c r="AW103" i="6"/>
  <c r="F194" i="6"/>
  <c r="H194" i="6"/>
  <c r="AZ17" i="26"/>
  <c r="AZ16" i="26"/>
  <c r="AT17" i="26"/>
  <c r="AT16" i="26"/>
  <c r="AK17" i="26"/>
  <c r="AK16" i="26"/>
  <c r="AH17" i="26"/>
  <c r="AH16" i="26"/>
  <c r="BC17" i="26"/>
  <c r="BC16" i="26"/>
  <c r="AE17" i="26"/>
  <c r="AE16" i="26"/>
  <c r="AW17" i="26"/>
  <c r="AW16" i="26"/>
  <c r="AH107" i="18"/>
  <c r="AE106" i="18"/>
  <c r="AN16" i="26"/>
  <c r="AZ79" i="18"/>
  <c r="AW78" i="18"/>
  <c r="AZ147" i="18"/>
  <c r="AW146" i="18"/>
  <c r="W92" i="6"/>
  <c r="Y91" i="6"/>
  <c r="S91" i="6"/>
  <c r="Z91" i="6" s="1"/>
  <c r="AD92" i="6"/>
  <c r="AG92" i="6"/>
  <c r="AE92" i="6" s="1"/>
  <c r="AB93" i="6"/>
  <c r="AZ33" i="18"/>
  <c r="AW32" i="18"/>
  <c r="AP93" i="6"/>
  <c r="AJ93" i="6"/>
  <c r="AQ93" i="6" s="1"/>
  <c r="Q15" i="9"/>
  <c r="I161" i="7" s="1"/>
  <c r="V71" i="7"/>
  <c r="V72" i="7" s="1"/>
  <c r="AZ180" i="18"/>
  <c r="AW179" i="18"/>
  <c r="N194" i="6"/>
  <c r="P194" i="6"/>
  <c r="J19" i="10"/>
  <c r="E23" i="10" s="1"/>
  <c r="J23" i="10" s="1"/>
  <c r="AV94" i="6"/>
  <c r="AB16" i="26"/>
  <c r="L209" i="6"/>
  <c r="F208" i="6"/>
  <c r="H208" i="6"/>
  <c r="V14" i="26"/>
  <c r="O68" i="26"/>
  <c r="BE14" i="26" s="1"/>
  <c r="AH79" i="18" l="1"/>
  <c r="AE78" i="18"/>
  <c r="AW64" i="18"/>
  <c r="AZ65" i="18"/>
  <c r="Z59" i="6"/>
  <c r="AH65" i="18"/>
  <c r="AE64" i="18"/>
  <c r="AE144" i="6"/>
  <c r="AF144" i="6"/>
  <c r="AZ94" i="18"/>
  <c r="AW93" i="18"/>
  <c r="AW102" i="6"/>
  <c r="AE92" i="18"/>
  <c r="AH93" i="18"/>
  <c r="W107" i="6"/>
  <c r="S106" i="6"/>
  <c r="Z106" i="6" s="1"/>
  <c r="AA105" i="6" s="1"/>
  <c r="Y106" i="6"/>
  <c r="AE46" i="18"/>
  <c r="AH47" i="18"/>
  <c r="AH17" i="18"/>
  <c r="AE16" i="18"/>
  <c r="AZ109" i="18"/>
  <c r="AW108" i="18"/>
  <c r="AW29" i="6"/>
  <c r="AW31" i="6" s="1"/>
  <c r="AV31" i="6"/>
  <c r="AW175" i="6"/>
  <c r="AW16" i="18"/>
  <c r="AZ17" i="18"/>
  <c r="AX177" i="6"/>
  <c r="AV177" i="6" s="1"/>
  <c r="AW176" i="6" s="1"/>
  <c r="AU177" i="6"/>
  <c r="AF29" i="6"/>
  <c r="AF31" i="6" s="1"/>
  <c r="AE31" i="6"/>
  <c r="AQ178" i="6"/>
  <c r="S30" i="6"/>
  <c r="Z30" i="6" s="1"/>
  <c r="AA29" i="6" s="1"/>
  <c r="AA31" i="6" s="1"/>
  <c r="Y30" i="6"/>
  <c r="AH180" i="18"/>
  <c r="AE179" i="18"/>
  <c r="AH146" i="18"/>
  <c r="AE145" i="18"/>
  <c r="AU101" i="6"/>
  <c r="AX101" i="6"/>
  <c r="AV101" i="6" s="1"/>
  <c r="AV108" i="6" s="1"/>
  <c r="AR141" i="6"/>
  <c r="S72" i="6"/>
  <c r="Z72" i="6" s="1"/>
  <c r="Y72" i="6"/>
  <c r="S44" i="6"/>
  <c r="Z44" i="6" s="1"/>
  <c r="AA43" i="6" s="1"/>
  <c r="AA45" i="6" s="1"/>
  <c r="Y44" i="6"/>
  <c r="AA42" i="6"/>
  <c r="AJ143" i="6"/>
  <c r="AQ143" i="6" s="1"/>
  <c r="AR142" i="6" s="1"/>
  <c r="AP143" i="6"/>
  <c r="AA142" i="6"/>
  <c r="AA144" i="6" s="1"/>
  <c r="Z144" i="6"/>
  <c r="AW162" i="18"/>
  <c r="AZ163" i="18"/>
  <c r="AJ72" i="6"/>
  <c r="AQ72" i="6" s="1"/>
  <c r="AP72" i="6"/>
  <c r="AK160" i="18"/>
  <c r="AA160" i="18"/>
  <c r="AQ31" i="6"/>
  <c r="AE31" i="18"/>
  <c r="AH32" i="18"/>
  <c r="AZ47" i="18"/>
  <c r="AW46" i="18"/>
  <c r="AF171" i="6"/>
  <c r="AF178" i="6" s="1"/>
  <c r="AF71" i="6"/>
  <c r="AF73" i="6" s="1"/>
  <c r="AE73" i="6"/>
  <c r="V17" i="26"/>
  <c r="V16" i="26"/>
  <c r="AA90" i="6"/>
  <c r="AZ146" i="18"/>
  <c r="AW145" i="18"/>
  <c r="Y92" i="6"/>
  <c r="W93" i="6"/>
  <c r="S92" i="6"/>
  <c r="Z92" i="6" s="1"/>
  <c r="AA91" i="6" s="1"/>
  <c r="AZ179" i="18"/>
  <c r="AW178" i="18"/>
  <c r="AD93" i="6"/>
  <c r="AG93" i="6"/>
  <c r="AE93" i="6" s="1"/>
  <c r="AF92" i="6" s="1"/>
  <c r="AF91" i="6"/>
  <c r="AZ78" i="18"/>
  <c r="AW77" i="18"/>
  <c r="AR92" i="6"/>
  <c r="AR94" i="6" s="1"/>
  <c r="AQ94" i="6"/>
  <c r="P208" i="6"/>
  <c r="N208" i="6"/>
  <c r="I165" i="7"/>
  <c r="E161" i="7"/>
  <c r="AZ32" i="18"/>
  <c r="AW31" i="18"/>
  <c r="AH106" i="18"/>
  <c r="AE105" i="18"/>
  <c r="AH105" i="18" s="1"/>
  <c r="AE77" i="18" l="1"/>
  <c r="AH78" i="18"/>
  <c r="AZ64" i="18"/>
  <c r="AW63" i="18"/>
  <c r="AE63" i="18"/>
  <c r="AH64" i="18"/>
  <c r="AV178" i="6"/>
  <c r="AZ93" i="18"/>
  <c r="AW92" i="18"/>
  <c r="AW178" i="6"/>
  <c r="AH92" i="18"/>
  <c r="AE91" i="18"/>
  <c r="AE15" i="18"/>
  <c r="AH16" i="18"/>
  <c r="AH46" i="18"/>
  <c r="AE45" i="18"/>
  <c r="AW15" i="18"/>
  <c r="AZ16" i="18"/>
  <c r="AW107" i="18"/>
  <c r="AZ108" i="18"/>
  <c r="S107" i="6"/>
  <c r="Z107" i="6" s="1"/>
  <c r="Y107" i="6"/>
  <c r="Z31" i="6"/>
  <c r="AN160" i="18"/>
  <c r="AP160" i="18" s="1"/>
  <c r="AL160" i="18"/>
  <c r="Z45" i="6"/>
  <c r="AZ46" i="18"/>
  <c r="AW45" i="18"/>
  <c r="AW101" i="6"/>
  <c r="AW108" i="6" s="1"/>
  <c r="AH145" i="18"/>
  <c r="AE144" i="18"/>
  <c r="AH31" i="18"/>
  <c r="AE30" i="18"/>
  <c r="AA71" i="6"/>
  <c r="AA73" i="6" s="1"/>
  <c r="Z73" i="6"/>
  <c r="AR71" i="6"/>
  <c r="AR73" i="6" s="1"/>
  <c r="AQ73" i="6"/>
  <c r="AZ162" i="18"/>
  <c r="AW161" i="18"/>
  <c r="AQ144" i="6"/>
  <c r="AH179" i="18"/>
  <c r="AE178" i="18"/>
  <c r="AK168" i="18"/>
  <c r="AK167" i="18" s="1"/>
  <c r="AR144" i="6"/>
  <c r="S93" i="6"/>
  <c r="Z93" i="6" s="1"/>
  <c r="Y93" i="6"/>
  <c r="AZ77" i="18"/>
  <c r="AW76" i="18"/>
  <c r="AK105" i="18"/>
  <c r="AA105" i="18"/>
  <c r="AE94" i="6"/>
  <c r="AZ178" i="18"/>
  <c r="AW177" i="18"/>
  <c r="AZ177" i="18" s="1"/>
  <c r="E33" i="27"/>
  <c r="M33" i="27" s="1"/>
  <c r="E165" i="7"/>
  <c r="AF94" i="6"/>
  <c r="AZ31" i="18"/>
  <c r="AW30" i="18"/>
  <c r="AZ145" i="18"/>
  <c r="AW144" i="18"/>
  <c r="AH77" i="18" l="1"/>
  <c r="AE76" i="18"/>
  <c r="AZ63" i="18"/>
  <c r="AW62" i="18"/>
  <c r="AE62" i="18"/>
  <c r="AH63" i="18"/>
  <c r="AH91" i="18"/>
  <c r="AE90" i="18"/>
  <c r="AH90" i="18" s="1"/>
  <c r="AZ92" i="18"/>
  <c r="AW91" i="18"/>
  <c r="AZ15" i="18"/>
  <c r="AW14" i="18"/>
  <c r="AZ14" i="18" s="1"/>
  <c r="AZ107" i="18"/>
  <c r="AW106" i="18"/>
  <c r="AH45" i="18"/>
  <c r="AE44" i="18"/>
  <c r="AH44" i="18" s="1"/>
  <c r="AA106" i="6"/>
  <c r="AA108" i="6" s="1"/>
  <c r="Z108" i="6"/>
  <c r="AE14" i="18"/>
  <c r="AH14" i="18" s="1"/>
  <c r="AH15" i="18"/>
  <c r="AE29" i="18"/>
  <c r="AH29" i="18" s="1"/>
  <c r="AH30" i="18"/>
  <c r="AK166" i="18"/>
  <c r="AN167" i="18"/>
  <c r="AP167" i="18" s="1"/>
  <c r="AL167" i="18"/>
  <c r="AZ161" i="18"/>
  <c r="AW160" i="18"/>
  <c r="AZ160" i="18" s="1"/>
  <c r="AN168" i="18"/>
  <c r="AP168" i="18" s="1"/>
  <c r="AL168" i="18"/>
  <c r="AH144" i="18"/>
  <c r="AE143" i="18"/>
  <c r="AH143" i="18" s="1"/>
  <c r="AZ45" i="18"/>
  <c r="AW44" i="18"/>
  <c r="AZ44" i="18" s="1"/>
  <c r="AH178" i="18"/>
  <c r="AE177" i="18"/>
  <c r="AH177" i="18" s="1"/>
  <c r="AZ30" i="18"/>
  <c r="AW29" i="18"/>
  <c r="AZ29" i="18" s="1"/>
  <c r="AK113" i="18"/>
  <c r="AK112" i="18" s="1"/>
  <c r="BC177" i="18"/>
  <c r="AS177" i="18"/>
  <c r="AN105" i="18"/>
  <c r="AP105" i="18" s="1"/>
  <c r="AL105" i="18"/>
  <c r="AZ76" i="18"/>
  <c r="AW75" i="18"/>
  <c r="AZ75" i="18" s="1"/>
  <c r="AZ144" i="18"/>
  <c r="AW143" i="18"/>
  <c r="AZ143" i="18" s="1"/>
  <c r="AA92" i="6"/>
  <c r="AA94" i="6" s="1"/>
  <c r="Z94" i="6"/>
  <c r="AH76" i="18" l="1"/>
  <c r="AE75" i="18"/>
  <c r="AH75" i="18" s="1"/>
  <c r="AW61" i="18"/>
  <c r="AZ61" i="18" s="1"/>
  <c r="AZ62" i="18"/>
  <c r="AH62" i="18"/>
  <c r="AE61" i="18"/>
  <c r="AH61" i="18" s="1"/>
  <c r="AZ91" i="18"/>
  <c r="AW90" i="18"/>
  <c r="AZ90" i="18" s="1"/>
  <c r="AA90" i="18"/>
  <c r="AK98" i="18" s="1"/>
  <c r="AK97" i="18" s="1"/>
  <c r="AL97" i="18" s="1"/>
  <c r="AK90" i="18"/>
  <c r="AA44" i="18"/>
  <c r="AK52" i="18" s="1"/>
  <c r="AL52" i="18" s="1"/>
  <c r="AK44" i="18"/>
  <c r="AZ106" i="18"/>
  <c r="AW105" i="18"/>
  <c r="AZ105" i="18" s="1"/>
  <c r="BC14" i="18"/>
  <c r="AS14" i="18"/>
  <c r="AK14" i="18"/>
  <c r="AA14" i="18"/>
  <c r="AK22" i="18" s="1"/>
  <c r="AL22" i="18" s="1"/>
  <c r="AK143" i="18"/>
  <c r="AA143" i="18"/>
  <c r="AN166" i="18"/>
  <c r="AP166" i="18" s="1"/>
  <c r="AL166" i="18"/>
  <c r="AK165" i="18"/>
  <c r="AS44" i="18"/>
  <c r="BC52" i="18" s="1"/>
  <c r="BC51" i="18" s="1"/>
  <c r="BD51" i="18" s="1"/>
  <c r="BC44" i="18"/>
  <c r="AA177" i="18"/>
  <c r="AK177" i="18"/>
  <c r="BC160" i="18"/>
  <c r="AS160" i="18"/>
  <c r="AA29" i="18"/>
  <c r="AK37" i="18" s="1"/>
  <c r="AK36" i="18" s="1"/>
  <c r="AN36" i="18" s="1"/>
  <c r="AP36" i="18" s="1"/>
  <c r="AK29" i="18"/>
  <c r="AS143" i="18"/>
  <c r="BC143" i="18"/>
  <c r="AL112" i="18"/>
  <c r="AN112" i="18"/>
  <c r="AP112" i="18" s="1"/>
  <c r="AK111" i="18"/>
  <c r="AL113" i="18"/>
  <c r="AN113" i="18"/>
  <c r="AP113" i="18" s="1"/>
  <c r="BC75" i="18"/>
  <c r="AS75" i="18"/>
  <c r="BC185" i="18"/>
  <c r="BF177" i="18"/>
  <c r="BH177" i="18" s="1"/>
  <c r="BD177" i="18"/>
  <c r="AS29" i="18"/>
  <c r="BC29" i="18"/>
  <c r="AN98" i="18" l="1"/>
  <c r="AP98" i="18" s="1"/>
  <c r="AK75" i="18"/>
  <c r="AA75" i="18"/>
  <c r="AK83" i="18" s="1"/>
  <c r="AL98" i="18"/>
  <c r="AK96" i="18"/>
  <c r="AN97" i="18"/>
  <c r="AP97" i="18" s="1"/>
  <c r="AS61" i="18"/>
  <c r="BC61" i="18"/>
  <c r="AN52" i="18"/>
  <c r="AP52" i="18" s="1"/>
  <c r="AK61" i="18"/>
  <c r="AA61" i="18"/>
  <c r="AK51" i="18"/>
  <c r="AN90" i="18"/>
  <c r="AP90" i="18" s="1"/>
  <c r="AL90" i="18"/>
  <c r="AS90" i="18"/>
  <c r="BC90" i="18"/>
  <c r="AK21" i="18"/>
  <c r="AN21" i="18" s="1"/>
  <c r="AP21" i="18" s="1"/>
  <c r="BC22" i="18"/>
  <c r="BC21" i="18" s="1"/>
  <c r="AN14" i="18"/>
  <c r="AP14" i="18" s="1"/>
  <c r="AL14" i="18"/>
  <c r="BC50" i="18"/>
  <c r="BC49" i="18" s="1"/>
  <c r="AN22" i="18"/>
  <c r="AP22" i="18" s="1"/>
  <c r="BF14" i="18"/>
  <c r="BH14" i="18" s="1"/>
  <c r="BD14" i="18"/>
  <c r="BD52" i="18"/>
  <c r="AS105" i="18"/>
  <c r="BC105" i="18"/>
  <c r="BF52" i="18"/>
  <c r="BH52" i="18" s="1"/>
  <c r="AN44" i="18"/>
  <c r="AP44" i="18" s="1"/>
  <c r="AL44" i="18"/>
  <c r="AL29" i="18"/>
  <c r="AN29" i="18"/>
  <c r="AP29" i="18" s="1"/>
  <c r="BC168" i="18"/>
  <c r="BC167" i="18" s="1"/>
  <c r="AN165" i="18"/>
  <c r="AP165" i="18" s="1"/>
  <c r="AL165" i="18"/>
  <c r="AK164" i="18"/>
  <c r="BF51" i="18"/>
  <c r="BH51" i="18" s="1"/>
  <c r="BD160" i="18"/>
  <c r="BF160" i="18"/>
  <c r="BH160" i="18" s="1"/>
  <c r="AK151" i="18"/>
  <c r="AK150" i="18" s="1"/>
  <c r="AK35" i="18"/>
  <c r="AL35" i="18" s="1"/>
  <c r="AL177" i="18"/>
  <c r="AN177" i="18"/>
  <c r="AP177" i="18" s="1"/>
  <c r="AL96" i="18"/>
  <c r="AN96" i="18"/>
  <c r="AP96" i="18" s="1"/>
  <c r="AK95" i="18"/>
  <c r="AL36" i="18"/>
  <c r="AK185" i="18"/>
  <c r="AN51" i="18"/>
  <c r="AP51" i="18" s="1"/>
  <c r="AL51" i="18"/>
  <c r="AK50" i="18"/>
  <c r="AL143" i="18"/>
  <c r="AN143" i="18"/>
  <c r="AP143" i="18" s="1"/>
  <c r="AL37" i="18"/>
  <c r="AN37" i="18"/>
  <c r="AP37" i="18" s="1"/>
  <c r="BF44" i="18"/>
  <c r="BH44" i="18" s="1"/>
  <c r="BD44" i="18"/>
  <c r="AL83" i="18"/>
  <c r="AN83" i="18"/>
  <c r="AP83" i="18" s="1"/>
  <c r="BF29" i="18"/>
  <c r="BH29" i="18" s="1"/>
  <c r="BD29" i="18"/>
  <c r="BC37" i="18"/>
  <c r="BC36" i="18" s="1"/>
  <c r="BC35" i="18" s="1"/>
  <c r="BF143" i="18"/>
  <c r="BH143" i="18" s="1"/>
  <c r="BD143" i="18"/>
  <c r="BD185" i="18"/>
  <c r="BF185" i="18"/>
  <c r="BH185" i="18" s="1"/>
  <c r="BC151" i="18"/>
  <c r="BC150" i="18" s="1"/>
  <c r="BC184" i="18"/>
  <c r="BD50" i="18"/>
  <c r="BC83" i="18"/>
  <c r="BC82" i="18" s="1"/>
  <c r="BC81" i="18" s="1"/>
  <c r="BC80" i="18" s="1"/>
  <c r="BD75" i="18"/>
  <c r="BF75" i="18"/>
  <c r="BH75" i="18" s="1"/>
  <c r="AN111" i="18"/>
  <c r="AP111" i="18" s="1"/>
  <c r="AL111" i="18"/>
  <c r="AK110" i="18"/>
  <c r="AK82" i="18" l="1"/>
  <c r="AL75" i="18"/>
  <c r="AN75" i="18"/>
  <c r="AP75" i="18" s="1"/>
  <c r="BD61" i="18"/>
  <c r="BF61" i="18"/>
  <c r="BH61" i="18" s="1"/>
  <c r="BC69" i="18"/>
  <c r="AK20" i="18"/>
  <c r="AL20" i="18" s="1"/>
  <c r="BF50" i="18"/>
  <c r="BH50" i="18" s="1"/>
  <c r="AK69" i="18"/>
  <c r="AL61" i="18"/>
  <c r="AN61" i="18"/>
  <c r="AP61" i="18" s="1"/>
  <c r="BF90" i="18"/>
  <c r="BH90" i="18" s="1"/>
  <c r="BD90" i="18"/>
  <c r="BC98" i="18"/>
  <c r="AK34" i="18"/>
  <c r="BF105" i="18"/>
  <c r="BH105" i="18" s="1"/>
  <c r="BD105" i="18"/>
  <c r="AL21" i="18"/>
  <c r="BC113" i="18"/>
  <c r="BC112" i="18" s="1"/>
  <c r="BC20" i="18"/>
  <c r="BF21" i="18"/>
  <c r="BH21" i="18" s="1"/>
  <c r="BD21" i="18"/>
  <c r="BD22" i="18"/>
  <c r="BF22" i="18"/>
  <c r="BH22" i="18" s="1"/>
  <c r="AL50" i="18"/>
  <c r="AN50" i="18"/>
  <c r="AP50" i="18" s="1"/>
  <c r="AK49" i="18"/>
  <c r="AN35" i="18"/>
  <c r="AP35" i="18" s="1"/>
  <c r="AL164" i="18"/>
  <c r="AN164" i="18"/>
  <c r="AP164" i="18" s="1"/>
  <c r="AK163" i="18"/>
  <c r="AN151" i="18"/>
  <c r="AP151" i="18" s="1"/>
  <c r="AL151" i="18"/>
  <c r="BF168" i="18"/>
  <c r="BH168" i="18" s="1"/>
  <c r="BD168" i="18"/>
  <c r="AL95" i="18"/>
  <c r="AN95" i="18"/>
  <c r="AP95" i="18" s="1"/>
  <c r="AK94" i="18"/>
  <c r="AL150" i="18"/>
  <c r="AN150" i="18"/>
  <c r="AP150" i="18" s="1"/>
  <c r="BC166" i="18"/>
  <c r="BD167" i="18"/>
  <c r="BF167" i="18"/>
  <c r="BH167" i="18" s="1"/>
  <c r="AN185" i="18"/>
  <c r="AP185" i="18" s="1"/>
  <c r="AL185" i="18"/>
  <c r="AK184" i="18"/>
  <c r="AK149" i="18"/>
  <c r="BD150" i="18"/>
  <c r="BF150" i="18"/>
  <c r="BH150" i="18" s="1"/>
  <c r="BC149" i="18"/>
  <c r="BF80" i="18"/>
  <c r="BH80" i="18" s="1"/>
  <c r="BD80" i="18"/>
  <c r="BC79" i="18"/>
  <c r="BF35" i="18"/>
  <c r="BH35" i="18" s="1"/>
  <c r="BD35" i="18"/>
  <c r="BC34" i="18"/>
  <c r="BD82" i="18"/>
  <c r="BF82" i="18"/>
  <c r="BH82" i="18" s="1"/>
  <c r="BD83" i="18"/>
  <c r="BF83" i="18"/>
  <c r="BH83" i="18" s="1"/>
  <c r="AN82" i="18"/>
  <c r="AP82" i="18" s="1"/>
  <c r="AL82" i="18"/>
  <c r="AK81" i="18"/>
  <c r="BD151" i="18"/>
  <c r="BF151" i="18"/>
  <c r="BH151" i="18" s="1"/>
  <c r="AN34" i="18"/>
  <c r="AP34" i="18" s="1"/>
  <c r="AL34" i="18"/>
  <c r="AK33" i="18"/>
  <c r="AL110" i="18"/>
  <c r="AN110" i="18"/>
  <c r="AP110" i="18" s="1"/>
  <c r="AK109" i="18"/>
  <c r="BF49" i="18"/>
  <c r="BH49" i="18" s="1"/>
  <c r="BD49" i="18"/>
  <c r="BC48" i="18"/>
  <c r="BD37" i="18"/>
  <c r="BF37" i="18"/>
  <c r="BH37" i="18" s="1"/>
  <c r="BD81" i="18"/>
  <c r="BF81" i="18"/>
  <c r="BH81" i="18" s="1"/>
  <c r="BF36" i="18"/>
  <c r="BH36" i="18" s="1"/>
  <c r="BD36" i="18"/>
  <c r="BD184" i="18"/>
  <c r="BF184" i="18"/>
  <c r="BH184" i="18" s="1"/>
  <c r="BC183" i="18"/>
  <c r="BC68" i="18" l="1"/>
  <c r="BF69" i="18"/>
  <c r="BH69" i="18" s="1"/>
  <c r="BD69" i="18"/>
  <c r="AK19" i="18"/>
  <c r="AN20" i="18"/>
  <c r="AP20" i="18" s="1"/>
  <c r="AK68" i="18"/>
  <c r="AN69" i="18"/>
  <c r="AP69" i="18" s="1"/>
  <c r="AL69" i="18"/>
  <c r="BC97" i="18"/>
  <c r="BD98" i="18"/>
  <c r="BF98" i="18"/>
  <c r="BH98" i="18" s="1"/>
  <c r="BC111" i="18"/>
  <c r="BF112" i="18"/>
  <c r="BH112" i="18" s="1"/>
  <c r="BD112" i="18"/>
  <c r="BF113" i="18"/>
  <c r="BH113" i="18" s="1"/>
  <c r="BD113" i="18"/>
  <c r="BC19" i="18"/>
  <c r="BD20" i="18"/>
  <c r="BF20" i="18"/>
  <c r="BH20" i="18" s="1"/>
  <c r="BF166" i="18"/>
  <c r="BH166" i="18" s="1"/>
  <c r="BD166" i="18"/>
  <c r="BC165" i="18"/>
  <c r="AL19" i="18"/>
  <c r="AN19" i="18"/>
  <c r="AP19" i="18" s="1"/>
  <c r="AK18" i="18"/>
  <c r="AN49" i="18"/>
  <c r="AP49" i="18" s="1"/>
  <c r="AL49" i="18"/>
  <c r="AK48" i="18"/>
  <c r="AL149" i="18"/>
  <c r="AN149" i="18"/>
  <c r="AP149" i="18" s="1"/>
  <c r="AK148" i="18"/>
  <c r="AN163" i="18"/>
  <c r="AP163" i="18" s="1"/>
  <c r="AK162" i="18"/>
  <c r="AL163" i="18"/>
  <c r="AL184" i="18"/>
  <c r="AN184" i="18"/>
  <c r="AP184" i="18" s="1"/>
  <c r="AK183" i="18"/>
  <c r="AK93" i="18"/>
  <c r="AL94" i="18"/>
  <c r="AN94" i="18"/>
  <c r="AP94" i="18" s="1"/>
  <c r="AL109" i="18"/>
  <c r="AN109" i="18"/>
  <c r="AP109" i="18" s="1"/>
  <c r="AK108" i="18"/>
  <c r="BF34" i="18"/>
  <c r="BH34" i="18" s="1"/>
  <c r="BD34" i="18"/>
  <c r="BC33" i="18"/>
  <c r="BF183" i="18"/>
  <c r="BH183" i="18" s="1"/>
  <c r="BD183" i="18"/>
  <c r="BC182" i="18"/>
  <c r="AN33" i="18"/>
  <c r="AP33" i="18" s="1"/>
  <c r="AL33" i="18"/>
  <c r="AK32" i="18"/>
  <c r="BF48" i="18"/>
  <c r="BH48" i="18" s="1"/>
  <c r="BD48" i="18"/>
  <c r="BC47" i="18"/>
  <c r="AN81" i="18"/>
  <c r="AP81" i="18" s="1"/>
  <c r="AL81" i="18"/>
  <c r="AK80" i="18"/>
  <c r="BD79" i="18"/>
  <c r="BF79" i="18"/>
  <c r="BH79" i="18" s="1"/>
  <c r="BC78" i="18"/>
  <c r="BF149" i="18"/>
  <c r="BH149" i="18" s="1"/>
  <c r="BD149" i="18"/>
  <c r="BC148" i="18"/>
  <c r="BC67" i="18" l="1"/>
  <c r="BF68" i="18"/>
  <c r="BH68" i="18" s="1"/>
  <c r="BD68" i="18"/>
  <c r="AL68" i="18"/>
  <c r="AN68" i="18"/>
  <c r="AP68" i="18" s="1"/>
  <c r="AK67" i="18"/>
  <c r="BC96" i="18"/>
  <c r="BF97" i="18"/>
  <c r="BH97" i="18" s="1"/>
  <c r="BD97" i="18"/>
  <c r="BF19" i="18"/>
  <c r="BH19" i="18" s="1"/>
  <c r="BC18" i="18"/>
  <c r="BD19" i="18"/>
  <c r="BF111" i="18"/>
  <c r="BH111" i="18" s="1"/>
  <c r="BD111" i="18"/>
  <c r="BC110" i="18"/>
  <c r="AL162" i="18"/>
  <c r="AN162" i="18"/>
  <c r="AP162" i="18" s="1"/>
  <c r="AK161" i="18"/>
  <c r="AL18" i="18"/>
  <c r="AN18" i="18"/>
  <c r="AP18" i="18" s="1"/>
  <c r="AK17" i="18"/>
  <c r="AN148" i="18"/>
  <c r="AP148" i="18" s="1"/>
  <c r="AL148" i="18"/>
  <c r="AK147" i="18"/>
  <c r="AL93" i="18"/>
  <c r="AN93" i="18"/>
  <c r="AP93" i="18" s="1"/>
  <c r="AK92" i="18"/>
  <c r="BC164" i="18"/>
  <c r="BD165" i="18"/>
  <c r="BF165" i="18"/>
  <c r="BH165" i="18" s="1"/>
  <c r="AK182" i="18"/>
  <c r="AL183" i="18"/>
  <c r="AN183" i="18"/>
  <c r="AP183" i="18" s="1"/>
  <c r="AN48" i="18"/>
  <c r="AP48" i="18" s="1"/>
  <c r="AL48" i="18"/>
  <c r="AK47" i="18"/>
  <c r="BD78" i="18"/>
  <c r="BF78" i="18"/>
  <c r="BH78" i="18" s="1"/>
  <c r="BC77" i="18"/>
  <c r="BD148" i="18"/>
  <c r="BF148" i="18"/>
  <c r="BH148" i="18" s="1"/>
  <c r="BC147" i="18"/>
  <c r="AL32" i="18"/>
  <c r="AN32" i="18"/>
  <c r="AP32" i="18" s="1"/>
  <c r="AK31" i="18"/>
  <c r="AL80" i="18"/>
  <c r="AN80" i="18"/>
  <c r="AP80" i="18" s="1"/>
  <c r="AK79" i="18"/>
  <c r="BF182" i="18"/>
  <c r="BH182" i="18" s="1"/>
  <c r="BD182" i="18"/>
  <c r="BC181" i="18"/>
  <c r="BD47" i="18"/>
  <c r="BF47" i="18"/>
  <c r="BH47" i="18" s="1"/>
  <c r="BC46" i="18"/>
  <c r="AL108" i="18"/>
  <c r="AN108" i="18"/>
  <c r="AP108" i="18" s="1"/>
  <c r="AK107" i="18"/>
  <c r="BD33" i="18"/>
  <c r="BF33" i="18"/>
  <c r="BH33" i="18" s="1"/>
  <c r="BC32" i="18"/>
  <c r="BD67" i="18" l="1"/>
  <c r="BF67" i="18"/>
  <c r="BH67" i="18" s="1"/>
  <c r="BC66" i="18"/>
  <c r="AL67" i="18"/>
  <c r="AN67" i="18"/>
  <c r="AP67" i="18" s="1"/>
  <c r="AK66" i="18"/>
  <c r="BF96" i="18"/>
  <c r="BH96" i="18" s="1"/>
  <c r="BD96" i="18"/>
  <c r="BC95" i="18"/>
  <c r="BF110" i="18"/>
  <c r="BH110" i="18" s="1"/>
  <c r="BD110" i="18"/>
  <c r="BC109" i="18"/>
  <c r="BF18" i="18"/>
  <c r="BH18" i="18" s="1"/>
  <c r="BD18" i="18"/>
  <c r="BC17" i="18"/>
  <c r="AN17" i="18"/>
  <c r="AP17" i="18" s="1"/>
  <c r="AL17" i="18"/>
  <c r="AK16" i="18"/>
  <c r="AL182" i="18"/>
  <c r="AN182" i="18"/>
  <c r="AP182" i="18" s="1"/>
  <c r="AK181" i="18"/>
  <c r="AN47" i="18"/>
  <c r="AP47" i="18" s="1"/>
  <c r="AL47" i="18"/>
  <c r="AK46" i="18"/>
  <c r="BC163" i="18"/>
  <c r="BD164" i="18"/>
  <c r="BF164" i="18"/>
  <c r="BH164" i="18" s="1"/>
  <c r="AL92" i="18"/>
  <c r="AN92" i="18"/>
  <c r="AP92" i="18" s="1"/>
  <c r="AK91" i="18"/>
  <c r="AL161" i="18"/>
  <c r="AN161" i="18"/>
  <c r="AP161" i="18" s="1"/>
  <c r="AK146" i="18"/>
  <c r="AL147" i="18"/>
  <c r="AN147" i="18"/>
  <c r="AP147" i="18" s="1"/>
  <c r="AN107" i="18"/>
  <c r="AP107" i="18" s="1"/>
  <c r="AL107" i="18"/>
  <c r="AK106" i="18"/>
  <c r="BF147" i="18"/>
  <c r="BH147" i="18" s="1"/>
  <c r="BD147" i="18"/>
  <c r="BC146" i="18"/>
  <c r="BD46" i="18"/>
  <c r="BF46" i="18"/>
  <c r="BH46" i="18" s="1"/>
  <c r="BC45" i="18"/>
  <c r="BD32" i="18"/>
  <c r="BF32" i="18"/>
  <c r="BH32" i="18" s="1"/>
  <c r="BC31" i="18"/>
  <c r="BF77" i="18"/>
  <c r="BH77" i="18" s="1"/>
  <c r="BD77" i="18"/>
  <c r="BC76" i="18"/>
  <c r="BD181" i="18"/>
  <c r="BF181" i="18"/>
  <c r="BH181" i="18" s="1"/>
  <c r="BC180" i="18"/>
  <c r="AL79" i="18"/>
  <c r="AN79" i="18"/>
  <c r="AP79" i="18" s="1"/>
  <c r="AK78" i="18"/>
  <c r="AL31" i="18"/>
  <c r="AN31" i="18"/>
  <c r="AP31" i="18" s="1"/>
  <c r="AK30" i="18"/>
  <c r="BD66" i="18" l="1"/>
  <c r="BF66" i="18"/>
  <c r="BH66" i="18" s="1"/>
  <c r="BC65" i="18"/>
  <c r="AL66" i="18"/>
  <c r="AN66" i="18"/>
  <c r="AP66" i="18" s="1"/>
  <c r="AK65" i="18"/>
  <c r="BD95" i="18"/>
  <c r="BF95" i="18"/>
  <c r="BH95" i="18" s="1"/>
  <c r="BC94" i="18"/>
  <c r="BC16" i="18"/>
  <c r="BD17" i="18"/>
  <c r="BF17" i="18"/>
  <c r="BH17" i="18" s="1"/>
  <c r="BD109" i="18"/>
  <c r="BF109" i="18"/>
  <c r="BH109" i="18" s="1"/>
  <c r="BC108" i="18"/>
  <c r="AN91" i="18"/>
  <c r="AP91" i="18" s="1"/>
  <c r="AL91" i="18"/>
  <c r="AN16" i="18"/>
  <c r="AP16" i="18" s="1"/>
  <c r="AL16" i="18"/>
  <c r="AK15" i="18"/>
  <c r="AN146" i="18"/>
  <c r="AP146" i="18" s="1"/>
  <c r="AK145" i="18"/>
  <c r="AL146" i="18"/>
  <c r="BC162" i="18"/>
  <c r="BD163" i="18"/>
  <c r="BF163" i="18"/>
  <c r="BH163" i="18" s="1"/>
  <c r="AK180" i="18"/>
  <c r="AL181" i="18"/>
  <c r="AN181" i="18"/>
  <c r="AP181" i="18" s="1"/>
  <c r="AL46" i="18"/>
  <c r="AN46" i="18"/>
  <c r="AP46" i="18" s="1"/>
  <c r="AK45" i="18"/>
  <c r="BD31" i="18"/>
  <c r="BF31" i="18"/>
  <c r="BH31" i="18" s="1"/>
  <c r="BC30" i="18"/>
  <c r="BD146" i="18"/>
  <c r="BF146" i="18"/>
  <c r="BH146" i="18" s="1"/>
  <c r="BC145" i="18"/>
  <c r="AL30" i="18"/>
  <c r="AN30" i="18"/>
  <c r="AP30" i="18" s="1"/>
  <c r="BD180" i="18"/>
  <c r="BF180" i="18"/>
  <c r="BH180" i="18" s="1"/>
  <c r="BC179" i="18"/>
  <c r="AL78" i="18"/>
  <c r="AN78" i="18"/>
  <c r="AP78" i="18" s="1"/>
  <c r="AK77" i="18"/>
  <c r="BF76" i="18"/>
  <c r="BH76" i="18" s="1"/>
  <c r="BD76" i="18"/>
  <c r="BD45" i="18"/>
  <c r="BF45" i="18"/>
  <c r="BH45" i="18" s="1"/>
  <c r="AN106" i="18"/>
  <c r="AP106" i="18" s="1"/>
  <c r="AL106" i="18"/>
  <c r="BD65" i="18" l="1"/>
  <c r="BF65" i="18"/>
  <c r="BH65" i="18" s="1"/>
  <c r="BC64" i="18"/>
  <c r="AK64" i="18"/>
  <c r="AN65" i="18"/>
  <c r="AP65" i="18" s="1"/>
  <c r="AL65" i="18"/>
  <c r="BD94" i="18"/>
  <c r="BF94" i="18"/>
  <c r="BH94" i="18" s="1"/>
  <c r="BC93" i="18"/>
  <c r="BD16" i="18"/>
  <c r="BF16" i="18"/>
  <c r="BH16" i="18" s="1"/>
  <c r="BC15" i="18"/>
  <c r="BD108" i="18"/>
  <c r="BC107" i="18"/>
  <c r="BF108" i="18"/>
  <c r="BH108" i="18" s="1"/>
  <c r="AN15" i="18"/>
  <c r="AP15" i="18" s="1"/>
  <c r="AL15" i="18"/>
  <c r="AK144" i="18"/>
  <c r="AN145" i="18"/>
  <c r="AP145" i="18" s="1"/>
  <c r="AL145" i="18"/>
  <c r="AN180" i="18"/>
  <c r="AP180" i="18" s="1"/>
  <c r="AL180" i="18"/>
  <c r="AK179" i="18"/>
  <c r="AL45" i="18"/>
  <c r="AN45" i="18"/>
  <c r="AP45" i="18" s="1"/>
  <c r="BF162" i="18"/>
  <c r="BH162" i="18" s="1"/>
  <c r="BD162" i="18"/>
  <c r="BC161" i="18"/>
  <c r="AN77" i="18"/>
  <c r="AP77" i="18" s="1"/>
  <c r="AL77" i="18"/>
  <c r="AK76" i="18"/>
  <c r="BF145" i="18"/>
  <c r="BH145" i="18" s="1"/>
  <c r="BD145" i="18"/>
  <c r="BC144" i="18"/>
  <c r="BD179" i="18"/>
  <c r="BF179" i="18"/>
  <c r="BH179" i="18" s="1"/>
  <c r="BC178" i="18"/>
  <c r="BD30" i="18"/>
  <c r="BF30" i="18"/>
  <c r="BH30" i="18" s="1"/>
  <c r="BD64" i="18" l="1"/>
  <c r="BF64" i="18"/>
  <c r="BH64" i="18" s="1"/>
  <c r="BC63" i="18"/>
  <c r="AN64" i="18"/>
  <c r="AP64" i="18" s="1"/>
  <c r="AL64" i="18"/>
  <c r="AK63" i="18"/>
  <c r="BF93" i="18"/>
  <c r="BH93" i="18" s="1"/>
  <c r="BD93" i="18"/>
  <c r="BC92" i="18"/>
  <c r="BC106" i="18"/>
  <c r="BD107" i="18"/>
  <c r="BF107" i="18"/>
  <c r="BH107" i="18" s="1"/>
  <c r="BD15" i="18"/>
  <c r="BF15" i="18"/>
  <c r="BH15" i="18" s="1"/>
  <c r="AK178" i="18"/>
  <c r="AN179" i="18"/>
  <c r="AP179" i="18" s="1"/>
  <c r="AL179" i="18"/>
  <c r="AL144" i="18"/>
  <c r="AN144" i="18"/>
  <c r="AP144" i="18" s="1"/>
  <c r="BD161" i="18"/>
  <c r="BF161" i="18"/>
  <c r="BH161" i="18" s="1"/>
  <c r="BF178" i="18"/>
  <c r="BH178" i="18" s="1"/>
  <c r="BD178" i="18"/>
  <c r="BD144" i="18"/>
  <c r="BF144" i="18"/>
  <c r="BH144" i="18" s="1"/>
  <c r="AL76" i="18"/>
  <c r="AN76" i="18"/>
  <c r="AP76" i="18" s="1"/>
  <c r="BD63" i="18" l="1"/>
  <c r="BC62" i="18"/>
  <c r="BF63" i="18"/>
  <c r="BH63" i="18" s="1"/>
  <c r="AL63" i="18"/>
  <c r="AK62" i="18"/>
  <c r="AN63" i="18"/>
  <c r="AP63" i="18" s="1"/>
  <c r="BD92" i="18"/>
  <c r="BC91" i="18"/>
  <c r="BF92" i="18"/>
  <c r="BH92" i="18" s="1"/>
  <c r="BF106" i="18"/>
  <c r="BH106" i="18" s="1"/>
  <c r="BD106" i="18"/>
  <c r="AN178" i="18"/>
  <c r="AP178" i="18" s="1"/>
  <c r="AL178" i="18"/>
  <c r="BF62" i="18" l="1"/>
  <c r="BH62" i="18" s="1"/>
  <c r="BD62" i="18"/>
  <c r="AL62" i="18"/>
  <c r="AN62" i="18"/>
  <c r="AP62" i="18" s="1"/>
  <c r="BF91" i="18"/>
  <c r="BH91" i="18" s="1"/>
  <c r="BD91" i="18"/>
</calcChain>
</file>

<file path=xl/comments1.xml><?xml version="1.0" encoding="utf-8"?>
<comments xmlns="http://schemas.openxmlformats.org/spreadsheetml/2006/main">
  <authors>
    <author>Arthur Huber</author>
  </authors>
  <commentList>
    <comment ref="L45" authorId="0" shapeId="0">
      <text>
        <r>
          <rPr>
            <sz val="8"/>
            <color indexed="81"/>
            <rFont val="Tahoma"/>
            <family val="2"/>
          </rPr>
          <t>Für MINERGIE:
Wert aus MINERGIE - Nachweis übernehmen.</t>
        </r>
      </text>
    </comment>
  </commentList>
</comments>
</file>

<file path=xl/comments2.xml><?xml version="1.0" encoding="utf-8"?>
<comments xmlns="http://schemas.openxmlformats.org/spreadsheetml/2006/main">
  <authors>
    <author>arthur</author>
  </authors>
  <commentList>
    <comment ref="C21" authorId="0" shapeId="0">
      <text>
        <r>
          <rPr>
            <b/>
            <sz val="9"/>
            <color indexed="81"/>
            <rFont val="Segoe UI"/>
            <family val="2"/>
          </rPr>
          <t>Nr. des unbeheizten Raums
No. du local non chauffé</t>
        </r>
      </text>
    </comment>
    <comment ref="P21" authorId="0" shapeId="0">
      <text>
        <r>
          <rPr>
            <b/>
            <sz val="9"/>
            <color indexed="81"/>
            <rFont val="Segoe UI"/>
            <family val="2"/>
          </rPr>
          <t>Nr. des unbeheizten Raums
No. du local non chauffé</t>
        </r>
      </text>
    </comment>
    <comment ref="C40" authorId="0" shapeId="0">
      <text>
        <r>
          <rPr>
            <b/>
            <sz val="9"/>
            <color indexed="81"/>
            <rFont val="Segoe UI"/>
            <family val="2"/>
          </rPr>
          <t>Nr. des unbeheizten Raums
No. du local non chauffé</t>
        </r>
      </text>
    </comment>
    <comment ref="P40" authorId="0" shapeId="0">
      <text>
        <r>
          <rPr>
            <b/>
            <sz val="9"/>
            <color indexed="81"/>
            <rFont val="Segoe UI"/>
            <family val="2"/>
          </rPr>
          <t>Nr. des unbeheizten Raums
No. du local non chauffé</t>
        </r>
      </text>
    </comment>
    <comment ref="C48" authorId="0" shapeId="0">
      <text>
        <r>
          <rPr>
            <b/>
            <sz val="9"/>
            <color indexed="81"/>
            <rFont val="Segoe UI"/>
            <family val="2"/>
          </rPr>
          <t>Nr. des unbeheizten Raums
No. du local non chauffé</t>
        </r>
      </text>
    </comment>
    <comment ref="C56" authorId="0" shapeId="0">
      <text>
        <r>
          <rPr>
            <b/>
            <sz val="9"/>
            <color indexed="81"/>
            <rFont val="Segoe UI"/>
            <family val="2"/>
          </rPr>
          <t>Nr. des unbeheizten Raums
No. du local non chauffé</t>
        </r>
      </text>
    </comment>
  </commentList>
</comments>
</file>

<file path=xl/comments3.xml><?xml version="1.0" encoding="utf-8"?>
<comments xmlns="http://schemas.openxmlformats.org/spreadsheetml/2006/main">
  <authors>
    <author>arthur</author>
  </authors>
  <commentList>
    <comment ref="B5" authorId="0" shapeId="0">
      <text>
        <r>
          <rPr>
            <b/>
            <sz val="9"/>
            <color indexed="81"/>
            <rFont val="Segoe UI"/>
            <family val="2"/>
          </rPr>
          <t>auswählen
choisir</t>
        </r>
        <r>
          <rPr>
            <sz val="9"/>
            <color indexed="81"/>
            <rFont val="Segoe UI"/>
            <family val="2"/>
          </rPr>
          <t xml:space="preserve">
</t>
        </r>
      </text>
    </comment>
  </commentList>
</comments>
</file>

<file path=xl/comments4.xml><?xml version="1.0" encoding="utf-8"?>
<comments xmlns="http://schemas.openxmlformats.org/spreadsheetml/2006/main">
  <authors>
    <author>A. Huber</author>
  </authors>
  <commentList>
    <comment ref="B14" authorId="0" shapeId="0">
      <text>
        <r>
          <rPr>
            <sz val="8"/>
            <color indexed="81"/>
            <rFont val="Tahoma"/>
            <family val="2"/>
          </rPr>
          <t xml:space="preserve">Für Nachweis des erneuerbaren Anteils:
Eingabe nur bei Neu- und Anbauten zwingend.
</t>
        </r>
      </text>
    </comment>
    <comment ref="B15" authorId="0" shapeId="0">
      <text>
        <r>
          <rPr>
            <sz val="8"/>
            <color indexed="81"/>
            <rFont val="Tahoma"/>
            <family val="2"/>
          </rPr>
          <t xml:space="preserve">Für Nachweis des erneuerbaren Anteils:
Eingabe nur bei Neu- und Anbauten zwingend.
</t>
        </r>
      </text>
    </comment>
  </commentList>
</comments>
</file>

<file path=xl/sharedStrings.xml><?xml version="1.0" encoding="utf-8"?>
<sst xmlns="http://schemas.openxmlformats.org/spreadsheetml/2006/main" count="23553" uniqueCount="9379">
  <si>
    <t>Dämmstärke</t>
  </si>
  <si>
    <t>Randdämmung</t>
  </si>
  <si>
    <t>Globalstrahlung horizontal :</t>
  </si>
  <si>
    <t>Fenster horizontal :</t>
  </si>
  <si>
    <t>Globalstrahlung Nord :</t>
  </si>
  <si>
    <t>Überhang</t>
  </si>
  <si>
    <t>Verschattungsfaktoren  Überhang (Fs2)</t>
  </si>
  <si>
    <t>° Ueberhang</t>
  </si>
  <si>
    <t>Interpolation</t>
  </si>
  <si>
    <r>
      <t>F</t>
    </r>
    <r>
      <rPr>
        <b/>
        <vertAlign val="subscript"/>
        <sz val="10"/>
        <color indexed="9"/>
        <rFont val="Arial"/>
        <family val="2"/>
      </rPr>
      <t>s2</t>
    </r>
  </si>
  <si>
    <t>Süd-West</t>
  </si>
  <si>
    <t>Nord-Ost</t>
  </si>
  <si>
    <t>Süd-Ost</t>
  </si>
  <si>
    <t>Nord-West</t>
  </si>
  <si>
    <t xml:space="preserve">Drehung Gebäude = </t>
  </si>
  <si>
    <t>Blende</t>
  </si>
  <si>
    <t>Blatt "Kondens": Bauteil 1 macht falschen Verweis für den Ist-Wert für fs</t>
  </si>
  <si>
    <t>Perlit, Vermiculit lose (N)</t>
  </si>
  <si>
    <t>Wirksame Gesamtdicke der Bodenplatte dt2</t>
  </si>
  <si>
    <t>Wirksame gesamtdicke der Kellerwand1:  dw1 =</t>
  </si>
  <si>
    <t>Wirksame gesamtdicke der Kellerwand2:  dw2 =</t>
  </si>
  <si>
    <t>Blatt "Bau": ISO 13370: Fehlermeldungen / Wanddicke zum Eingeben</t>
  </si>
  <si>
    <t>b-Wert Bauteil 1</t>
  </si>
  <si>
    <t>b-Wert Bauteil 2</t>
  </si>
  <si>
    <t>b-Wert Bauteil 3</t>
  </si>
  <si>
    <t>T14</t>
  </si>
  <si>
    <t>Bruchstein-Mauerwerk</t>
  </si>
  <si>
    <t>Kalkschlämme</t>
  </si>
  <si>
    <t>Blatt "Klima": Zusätzliche Wetterstationen nach SIA 2028</t>
  </si>
  <si>
    <t>Basalt</t>
  </si>
  <si>
    <t>Bauplatte, Faserzement</t>
  </si>
  <si>
    <t>Betonplatten</t>
  </si>
  <si>
    <t>Bindiger Boden, feucht</t>
  </si>
  <si>
    <t>Blähton,  lambda 0.11</t>
  </si>
  <si>
    <t>Blähton,  lambda 0.13</t>
  </si>
  <si>
    <t>Blähton,  lambda 0.15</t>
  </si>
  <si>
    <t>Blähtonbeton,  lambda 0.3</t>
  </si>
  <si>
    <t>Blähtonbeton,  lambda 0.5</t>
  </si>
  <si>
    <t>Blähtonbeton,  lambda 0.7</t>
  </si>
  <si>
    <t>Blähtonbeton,  lambda 1.0</t>
  </si>
  <si>
    <t>Buche</t>
  </si>
  <si>
    <t>Eiche</t>
  </si>
  <si>
    <t>Fichte</t>
  </si>
  <si>
    <t>Gasbetonsteine,  lambda 0.16</t>
  </si>
  <si>
    <t>Gasbetonsteine,  lambda 0.18</t>
  </si>
  <si>
    <t>Klima spez.</t>
  </si>
  <si>
    <t>W/K</t>
  </si>
  <si>
    <t>Wärmebrücken</t>
  </si>
  <si>
    <t>U-Wert Bauteil 11</t>
  </si>
  <si>
    <t>Blatt "Bau": Zellen P71: neu b-Faktor für Treppe/Lift gegen unbeheizt immer 1</t>
  </si>
  <si>
    <t>Flumroc-Dämmplatte DECO</t>
  </si>
  <si>
    <t>Flumroc-Dämmplatte DUO C</t>
  </si>
  <si>
    <t>Flumroc-Dämmplatte DUO D 20</t>
  </si>
  <si>
    <t>Flumroc-Dämmplatte FHW 80</t>
  </si>
  <si>
    <t>Flumroc-Dämmplatte TOPA AKUSTIK</t>
  </si>
  <si>
    <t>Blatt "Fenster": Neue Eingabemöglichkeit von Daten aus externem Fenster-Tool</t>
  </si>
  <si>
    <t>Unbeheizter Raum oder Erdreich:</t>
  </si>
  <si>
    <t>Blatt "Bau": neue Reihenfolge der Eingaben: Dach am Schluss</t>
  </si>
  <si>
    <t>Psi-Wert Wärmebrücke 2</t>
  </si>
  <si>
    <t>Länge Wärmebrücke 3</t>
  </si>
  <si>
    <t>Psi-Wert Wärmebrücke 3</t>
  </si>
  <si>
    <t>Länge Wärmebrücke 4</t>
  </si>
  <si>
    <t>Psi-Wert Wärmebrücke 4</t>
  </si>
  <si>
    <t>U-Werte, Inhomogener Bauteil 19, Abschnitt 1</t>
  </si>
  <si>
    <t>U-Werte, Inhomogener Bauteil 19, Abschnitt 2</t>
  </si>
  <si>
    <t>U-Wert Bauteil 19</t>
  </si>
  <si>
    <t>Prozentualer Anteil Abschnitt 1 (10=10%)</t>
  </si>
  <si>
    <t>Bezeichnung Konstruktion 20</t>
  </si>
  <si>
    <t>U-Wert Konstruktion 20</t>
  </si>
  <si>
    <t>Bezeichnung Konstruktion 21</t>
  </si>
  <si>
    <t>U-Wert Konstruktion 21</t>
  </si>
  <si>
    <t>Bezeichnung Konstruktion 22</t>
  </si>
  <si>
    <t>U-Wert Konstruktion 22</t>
  </si>
  <si>
    <t>Bezeichnung Konstruktion 23</t>
  </si>
  <si>
    <t>U-Wert Konstruktion 23</t>
  </si>
  <si>
    <t>Blatt "GEAK": Neue Schnittstellendefinition zum GEAK vom 10. 9. 2009</t>
  </si>
  <si>
    <t>Vergleich Deckungsgrad gewünscht / effektiv</t>
  </si>
  <si>
    <t>Art des Bauvorhabens:</t>
  </si>
  <si>
    <t>Energiebezugsfläche EBF</t>
  </si>
  <si>
    <t>Systemanforderung</t>
  </si>
  <si>
    <t>Blatt "Projekt": Zuschlag für Bauteilheizung neu unabhängig vom Regelungszuschlag</t>
  </si>
  <si>
    <t>PVC-Folien</t>
  </si>
  <si>
    <t>Dichtungsbahn für Flachdächer</t>
  </si>
  <si>
    <t>Polyisobuthylen-Folie</t>
  </si>
  <si>
    <t>Wand2</t>
  </si>
  <si>
    <t>Wand1</t>
  </si>
  <si>
    <t>Boden1</t>
  </si>
  <si>
    <t>Boden2</t>
  </si>
  <si>
    <t>Wand gn. Erde 1:</t>
  </si>
  <si>
    <t>Alu-Folie, mit 2x Kunststoff</t>
  </si>
  <si>
    <t>Luzern</t>
  </si>
  <si>
    <t>Heiden</t>
  </si>
  <si>
    <t>Bad Ragaz</t>
  </si>
  <si>
    <t>Disentis</t>
  </si>
  <si>
    <t>Glarus</t>
  </si>
  <si>
    <t>Olten</t>
  </si>
  <si>
    <t>Klimakorr:</t>
  </si>
  <si>
    <t>Altbaufaktor:</t>
  </si>
  <si>
    <t>Lugano</t>
  </si>
  <si>
    <t>Airolo</t>
  </si>
  <si>
    <t>Comprovasco</t>
  </si>
  <si>
    <t>HT</t>
  </si>
  <si>
    <t>Polyethylen-Folien</t>
  </si>
  <si>
    <t>Gk</t>
  </si>
  <si>
    <t>Basel-Binningen</t>
  </si>
  <si>
    <t>Lausanne</t>
  </si>
  <si>
    <r>
      <t>P</t>
    </r>
    <r>
      <rPr>
        <sz val="10"/>
        <color indexed="43"/>
        <rFont val="Arial"/>
        <family val="2"/>
      </rPr>
      <t>S</t>
    </r>
    <r>
      <rPr>
        <sz val="10"/>
        <color indexed="43"/>
        <rFont val="Arial"/>
        <family val="2"/>
      </rPr>
      <t>:</t>
    </r>
  </si>
  <si>
    <r>
      <t>R</t>
    </r>
    <r>
      <rPr>
        <sz val="10"/>
        <color indexed="43"/>
        <rFont val="Arial"/>
        <family val="2"/>
      </rPr>
      <t>D</t>
    </r>
    <r>
      <rPr>
        <sz val="10"/>
        <color indexed="43"/>
        <rFont val="Arial"/>
        <family val="2"/>
      </rPr>
      <t xml:space="preserve"> :</t>
    </r>
  </si>
  <si>
    <r>
      <t>R</t>
    </r>
    <r>
      <rPr>
        <sz val="10"/>
        <color indexed="43"/>
        <rFont val="Arial"/>
        <family val="2"/>
      </rPr>
      <t>D</t>
    </r>
    <r>
      <rPr>
        <sz val="10"/>
        <color indexed="43"/>
        <rFont val="Arial"/>
        <family val="2"/>
      </rPr>
      <t xml:space="preserve"> relativ:</t>
    </r>
  </si>
  <si>
    <r>
      <t>T</t>
    </r>
    <r>
      <rPr>
        <sz val="10"/>
        <color indexed="43"/>
        <rFont val="Arial"/>
        <family val="2"/>
      </rPr>
      <t>D1</t>
    </r>
  </si>
  <si>
    <r>
      <t>T</t>
    </r>
    <r>
      <rPr>
        <sz val="10"/>
        <color indexed="43"/>
        <rFont val="Arial"/>
        <family val="2"/>
      </rPr>
      <t>D2</t>
    </r>
  </si>
  <si>
    <r>
      <t>T</t>
    </r>
    <r>
      <rPr>
        <sz val="10"/>
        <color indexed="43"/>
        <rFont val="Arial"/>
        <family val="2"/>
      </rPr>
      <t>Deff</t>
    </r>
  </si>
  <si>
    <t>Dezember</t>
  </si>
  <si>
    <t>Monatsvariable Bauteile:</t>
  </si>
  <si>
    <t>3-IV-IR-IR, Glas U-Wert 1.2 W/m2K</t>
  </si>
  <si>
    <t>3-IV-IR-IR, Glas U-Wert 1.1 W/m2K</t>
  </si>
  <si>
    <t>3-IV-IR-IR, Glas U-Wert 0.9 W/m2K</t>
  </si>
  <si>
    <t>3-IV-IR-IR, Glas U-Wert 0.8 W/m2K</t>
  </si>
  <si>
    <t>2-IV-IR, Glas U-Wert 1.8 W/m2K</t>
  </si>
  <si>
    <t>Berechnung des Heizwärmebedarfs nach der Monats - Methode  SIA 380/1</t>
  </si>
  <si>
    <r>
      <t>a</t>
    </r>
    <r>
      <rPr>
        <vertAlign val="subscript"/>
        <sz val="10"/>
        <rFont val="Arial"/>
        <family val="2"/>
      </rPr>
      <t>0</t>
    </r>
  </si>
  <si>
    <t>Definitionen:</t>
  </si>
  <si>
    <r>
      <t>m</t>
    </r>
    <r>
      <rPr>
        <b/>
        <vertAlign val="superscript"/>
        <sz val="10"/>
        <rFont val="Arial"/>
        <family val="2"/>
      </rPr>
      <t>2</t>
    </r>
  </si>
  <si>
    <r>
      <t>m</t>
    </r>
    <r>
      <rPr>
        <b/>
        <vertAlign val="superscript"/>
        <sz val="10"/>
        <rFont val="Arial"/>
        <family val="2"/>
      </rPr>
      <t>3</t>
    </r>
  </si>
  <si>
    <t>E-mail:</t>
  </si>
  <si>
    <t>Château-d'Oex</t>
  </si>
  <si>
    <t>HP</t>
  </si>
  <si>
    <t>Aargau</t>
  </si>
  <si>
    <t>Appenzell Innerrhoden</t>
  </si>
  <si>
    <t>Appenzell Ausserrhoden</t>
  </si>
  <si>
    <t>Basel Land</t>
  </si>
  <si>
    <t>Basel Stadt</t>
  </si>
  <si>
    <t>Nidwalden</t>
  </si>
  <si>
    <t>Betrieb pro Woche (max. 168 h)</t>
  </si>
  <si>
    <t>2-IV-IR, Glas U-Wert 1.6 W/m2K</t>
  </si>
  <si>
    <t>Blatt "Projekt": Neu 2 Stellen nach Komma für Wärmebrücken</t>
  </si>
  <si>
    <t>Fürstentum Liechtenstein</t>
  </si>
  <si>
    <t>Chippis</t>
  </si>
  <si>
    <r>
      <t>A</t>
    </r>
    <r>
      <rPr>
        <vertAlign val="subscript"/>
        <sz val="9"/>
        <rFont val="Arial"/>
        <family val="2"/>
      </rPr>
      <t>E</t>
    </r>
    <r>
      <rPr>
        <sz val="9"/>
        <rFont val="Arial"/>
        <family val="2"/>
      </rPr>
      <t xml:space="preserve"> [m2]</t>
    </r>
  </si>
  <si>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</si>
  <si>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Temperaturzuschlag</t>
  </si>
  <si>
    <t>3-IV-IR-IR, Glas U-Wert 0.5 W/m2K</t>
  </si>
  <si>
    <t>Quarzabrieb</t>
  </si>
  <si>
    <t>Aussenabrieb</t>
  </si>
  <si>
    <t>Kellenwurf</t>
  </si>
  <si>
    <t>Gipsspachtel</t>
  </si>
  <si>
    <t>Länge Wärmebrücke 5</t>
  </si>
  <si>
    <t>Psi-Wert Wärmebrücke 5</t>
  </si>
  <si>
    <t>Anzahl Punkt-Wärmebrücken</t>
  </si>
  <si>
    <t>X-Wert der Punkt-Wärmebrücken</t>
  </si>
  <si>
    <t>Bezeichnung Bauteil 1</t>
  </si>
  <si>
    <t>alpha-Wert Wärmeübergang1</t>
  </si>
  <si>
    <t>Bezeichnung Bauteil 2</t>
  </si>
  <si>
    <t>U-Wert Bauteil 2</t>
  </si>
  <si>
    <t>U-Werte, Bauteil 3</t>
  </si>
  <si>
    <t>Bezeichnung Bauteil 3</t>
  </si>
  <si>
    <t>U-Wert Bauteil 3</t>
  </si>
  <si>
    <t>U-Werte, Bauteil 4</t>
  </si>
  <si>
    <t>Bezeichnung Bauteil 4</t>
  </si>
  <si>
    <t>U-Wert Bauteil 4</t>
  </si>
  <si>
    <t>U-Werte, Bauteil 5</t>
  </si>
  <si>
    <t>Bezeichnung Bauteil 5</t>
  </si>
  <si>
    <t>U-Wert Bauteil 5</t>
  </si>
  <si>
    <t>U-Werte, Bauteil 6</t>
  </si>
  <si>
    <t>Bezeichnung Bauteil 6</t>
  </si>
  <si>
    <t>U-Wert Bauteil 6</t>
  </si>
  <si>
    <t>U-Werte, Bauteil 7</t>
  </si>
  <si>
    <t>Blatt "M1": Standardluftwechsel, auch wenn Optimierung gewählt</t>
  </si>
  <si>
    <t>Kondens.</t>
  </si>
  <si>
    <t>Sarnen</t>
  </si>
  <si>
    <t>Säntis</t>
  </si>
  <si>
    <t>Kt. Aargau mit Klimast. Basel-Binningen: Fehler Grenzwert Qh,li korrigiert (Nachweis!V62)</t>
  </si>
  <si>
    <t>SIA 380/1, Ver. 2007, Blatt "Projekt":Temperaturzuschlag bei Bodenheizung angepasst</t>
  </si>
  <si>
    <t>Boden gegen Erde 1:</t>
  </si>
  <si>
    <t>Wand gegen Erde 2:</t>
  </si>
  <si>
    <t>Boden gegen Erde 2:</t>
  </si>
  <si>
    <t>SIA 380/1, Ver. 2007, Blatt "Projekt" und "Tab.":Neuer b-Werte gegen Erdreich</t>
  </si>
  <si>
    <t>2-IV-IR, Glas U-Wert 1.1 W/m2K</t>
  </si>
  <si>
    <r>
      <t>Luftdurchlässigkeit Gebäudehülle bei Betrieb Lüftung V</t>
    </r>
    <r>
      <rPr>
        <vertAlign val="subscript"/>
        <sz val="10"/>
        <rFont val="Arial"/>
        <family val="2"/>
      </rPr>
      <t>X</t>
    </r>
  </si>
  <si>
    <t>Keller beheizt, Backsteinwand, Bodenheizung</t>
  </si>
  <si>
    <t>Keller beheizt, Betonwand, Bodenheizung</t>
  </si>
  <si>
    <t>Keller beheizt, Backsteinw, 50cm Deckendämm.</t>
  </si>
  <si>
    <t>Keller unbeheizt, Backstein, 50cm UK isoliert</t>
  </si>
  <si>
    <t>Kategorie II,  Spezialrahmen, U-F-Wert 1.4  W/m2K</t>
  </si>
  <si>
    <t>Kategorie III,  Holz - Metall - Rahmen  U-F-Wert 1.8 W/m2K</t>
  </si>
  <si>
    <t>Kategorie IV,  Kunststoffrahmen U-F-Wert 2.2 W/m2K</t>
  </si>
  <si>
    <t>Kategorie V, Verbundprofile U-F-Wert 2.8 W/m2K</t>
  </si>
  <si>
    <t>Angaben bei Rahmenanteil 20%</t>
  </si>
  <si>
    <t>Blatt "UWerte": Fenster, Fehler bei Auswahl Glas-UWert 0.5 W/m2K. behoben.</t>
  </si>
  <si>
    <t>Blatt "Bauteile": Fenster-U-Werte überarbeitet, neue Rahmenkategorie I</t>
  </si>
  <si>
    <t>Blatt "Bauteile": Maximaler Rahmenanteil neu 50% statt 30%</t>
  </si>
  <si>
    <t>Blatt "erneuerbar": Neu anteilmässiger Grenzwert für §10a bei Anbauten möglich</t>
  </si>
  <si>
    <t>Obwalden</t>
  </si>
  <si>
    <t>Thurgau</t>
  </si>
  <si>
    <t>Uri</t>
  </si>
  <si>
    <t>Waadt</t>
  </si>
  <si>
    <t>Wallis</t>
  </si>
  <si>
    <t>Saanen</t>
  </si>
  <si>
    <t>Bauteil Nr. 20b</t>
  </si>
  <si>
    <t>vertikale Luftschicht &gt;25mm</t>
  </si>
  <si>
    <t>horizontale Luftschicht 5mm, Boden</t>
  </si>
  <si>
    <t>horizontale Luftschicht 10mm, Boden</t>
  </si>
  <si>
    <t>horizontale Luftschicht 25mm, Boden</t>
  </si>
  <si>
    <t>Robbia</t>
  </si>
  <si>
    <t>Blatt "Kondens": falscher Bezug (Bauteilbezeichnung) in Zelle D159 und D176. Behoben.</t>
  </si>
  <si>
    <t>Dachfenster (horizontal)</t>
  </si>
  <si>
    <t>Verwal-</t>
  </si>
  <si>
    <t>tung</t>
  </si>
  <si>
    <t>Schulen</t>
  </si>
  <si>
    <t>Beton (Stahlbeton 2% Stahl)</t>
  </si>
  <si>
    <t>Bauder PIR diffusionsdicht</t>
  </si>
  <si>
    <t xml:space="preserve">hkorr = </t>
  </si>
  <si>
    <t>EBF korr</t>
  </si>
  <si>
    <t>Einzelraum-Temperaturregelung oder TVL&lt;30°C</t>
  </si>
  <si>
    <t>Blatt "Nachweis": unlesbare Anzeige Grenzwert Basel-Stadt und Basel-Land korrigiert</t>
  </si>
  <si>
    <t>2-4 cm Wärmedämmung</t>
  </si>
  <si>
    <t>Unterbr. Dämmschicht, &lt; 2 cm Wärmedämmung</t>
  </si>
  <si>
    <t>Hinterlüftete Fassaden und Luftschichten</t>
  </si>
  <si>
    <t>Blatt "UWert": Bauteil 13 kann in Vollversion mit Übertrag von Bauteil 14 kombiniert werden</t>
  </si>
  <si>
    <t>Unterbr. Dämmschicht, 2-4 cm Wärmedämmung</t>
  </si>
  <si>
    <t>In Dämmschicht, ohne Flankendämmung, Aluminium</t>
  </si>
  <si>
    <r>
      <t>d</t>
    </r>
    <r>
      <rPr>
        <vertAlign val="subscript"/>
        <sz val="10"/>
        <rFont val="Arial"/>
        <family val="2"/>
      </rPr>
      <t>t</t>
    </r>
    <r>
      <rPr>
        <sz val="10"/>
        <rFont val="Arial"/>
        <family val="2"/>
      </rPr>
      <t xml:space="preserve"> =</t>
    </r>
  </si>
  <si>
    <r>
      <t>U</t>
    </r>
    <r>
      <rPr>
        <vertAlign val="subscript"/>
        <sz val="10"/>
        <rFont val="Arial"/>
        <family val="2"/>
      </rPr>
      <t>0</t>
    </r>
    <r>
      <rPr>
        <sz val="10"/>
        <rFont val="Arial"/>
        <family val="2"/>
      </rPr>
      <t xml:space="preserve"> =</t>
    </r>
  </si>
  <si>
    <r>
      <t>b</t>
    </r>
    <r>
      <rPr>
        <vertAlign val="subscript"/>
        <sz val="10"/>
        <rFont val="Arial"/>
        <family val="2"/>
      </rPr>
      <t>Boden</t>
    </r>
    <r>
      <rPr>
        <sz val="10"/>
        <rFont val="Arial"/>
        <family val="2"/>
      </rPr>
      <t xml:space="preserve"> = </t>
    </r>
  </si>
  <si>
    <t>Index:</t>
  </si>
  <si>
    <t>aktuell gewählte Werte:</t>
  </si>
  <si>
    <t>Bodenmaterial:</t>
  </si>
  <si>
    <r>
      <t>DY</t>
    </r>
    <r>
      <rPr>
        <sz val="10"/>
        <rFont val="Arial"/>
        <family val="2"/>
      </rPr>
      <t xml:space="preserve"> </t>
    </r>
    <r>
      <rPr>
        <sz val="10"/>
        <rFont val="Arial"/>
        <family val="2"/>
      </rPr>
      <t>=</t>
    </r>
  </si>
  <si>
    <t>(inkl. Regelungs- und Temperaturzuschlag für Bodenheizung)</t>
  </si>
  <si>
    <t>Holzfeuerung</t>
  </si>
  <si>
    <t>Abwärmenutzung</t>
  </si>
  <si>
    <r>
      <t xml:space="preserve">B = 1 m, D = 0.05 m, </t>
    </r>
    <r>
      <rPr>
        <sz val="10"/>
        <rFont val="GreekC"/>
      </rPr>
      <t>l</t>
    </r>
    <r>
      <rPr>
        <sz val="10"/>
        <rFont val="Arial"/>
        <family val="2"/>
      </rPr>
      <t xml:space="preserve"> = 0.04</t>
    </r>
  </si>
  <si>
    <r>
      <t xml:space="preserve">B = 1 m, D = 0.05 m, </t>
    </r>
    <r>
      <rPr>
        <sz val="10"/>
        <rFont val="GreekC"/>
      </rPr>
      <t>l</t>
    </r>
    <r>
      <rPr>
        <sz val="10"/>
        <rFont val="Arial"/>
        <family val="2"/>
      </rPr>
      <t xml:space="preserve"> = 0.06</t>
    </r>
  </si>
  <si>
    <t>Blatt "Bau": AB117/118 Wärmeübergang innen in ISO 13370 ergänzt</t>
  </si>
  <si>
    <t>bauten</t>
  </si>
  <si>
    <t>Hallen-</t>
  </si>
  <si>
    <t>bäder</t>
  </si>
  <si>
    <t xml:space="preserve">2. Boden gegen beheizt </t>
  </si>
  <si>
    <t>Decke gegen beheizt :</t>
  </si>
  <si>
    <t>Boden gegen beheizt :</t>
  </si>
  <si>
    <t>1. Flachdach</t>
  </si>
  <si>
    <t>2. Flachdach</t>
  </si>
  <si>
    <t>Schrägdach</t>
  </si>
  <si>
    <r>
      <t>m</t>
    </r>
    <r>
      <rPr>
        <vertAlign val="superscript"/>
        <sz val="10"/>
        <rFont val="Arial"/>
        <family val="2"/>
      </rPr>
      <t>2</t>
    </r>
  </si>
  <si>
    <r>
      <t>W/m</t>
    </r>
    <r>
      <rPr>
        <vertAlign val="superscript"/>
        <sz val="10"/>
        <color indexed="8"/>
        <rFont val="Arial"/>
        <family val="2"/>
      </rPr>
      <t>2</t>
    </r>
    <r>
      <rPr>
        <sz val="10"/>
        <color indexed="8"/>
        <rFont val="Arial"/>
        <family val="2"/>
      </rPr>
      <t>K</t>
    </r>
  </si>
  <si>
    <r>
      <t>W/m</t>
    </r>
    <r>
      <rPr>
        <b/>
        <vertAlign val="superscript"/>
        <sz val="10"/>
        <rFont val="Arial"/>
        <family val="2"/>
      </rPr>
      <t>2</t>
    </r>
    <r>
      <rPr>
        <b/>
        <sz val="10"/>
        <rFont val="Arial"/>
        <family val="2"/>
      </rPr>
      <t>K</t>
    </r>
  </si>
  <si>
    <r>
      <t>W/m</t>
    </r>
    <r>
      <rPr>
        <vertAlign val="superscript"/>
        <sz val="10"/>
        <rFont val="Arial"/>
        <family val="2"/>
      </rPr>
      <t>2</t>
    </r>
    <r>
      <rPr>
        <sz val="10"/>
        <rFont val="Arial"/>
        <family val="2"/>
      </rPr>
      <t>K</t>
    </r>
  </si>
  <si>
    <r>
      <t>W/m</t>
    </r>
    <r>
      <rPr>
        <vertAlign val="superscript"/>
        <sz val="10"/>
        <rFont val="Arial"/>
        <family val="2"/>
      </rPr>
      <t>2</t>
    </r>
    <r>
      <rPr>
        <sz val="10"/>
        <rFont val="Arial"/>
        <family val="2"/>
      </rPr>
      <t>K</t>
    </r>
  </si>
  <si>
    <r>
      <t>kg/m</t>
    </r>
    <r>
      <rPr>
        <vertAlign val="superscript"/>
        <sz val="9"/>
        <rFont val="Arial"/>
        <family val="2"/>
      </rPr>
      <t>3</t>
    </r>
  </si>
  <si>
    <r>
      <t>W/m</t>
    </r>
    <r>
      <rPr>
        <vertAlign val="superscript"/>
        <sz val="9"/>
        <rFont val="Arial"/>
        <family val="2"/>
      </rPr>
      <t>2</t>
    </r>
    <r>
      <rPr>
        <sz val="9"/>
        <rFont val="Arial"/>
        <family val="2"/>
      </rPr>
      <t>K</t>
    </r>
  </si>
  <si>
    <r>
      <t>MJ/m</t>
    </r>
    <r>
      <rPr>
        <vertAlign val="superscript"/>
        <sz val="10"/>
        <rFont val="Arial"/>
        <family val="2"/>
      </rPr>
      <t>2</t>
    </r>
    <r>
      <rPr>
        <sz val="10"/>
        <rFont val="Arial"/>
        <family val="2"/>
      </rPr>
      <t>a</t>
    </r>
  </si>
  <si>
    <r>
      <t>MJ/m</t>
    </r>
    <r>
      <rPr>
        <b/>
        <vertAlign val="superscript"/>
        <sz val="10"/>
        <rFont val="Arial"/>
        <family val="2"/>
      </rPr>
      <t>2</t>
    </r>
    <r>
      <rPr>
        <b/>
        <sz val="10"/>
        <rFont val="Arial"/>
        <family val="2"/>
      </rPr>
      <t>a</t>
    </r>
  </si>
  <si>
    <t>Blatt "GEAK": Neue Schnittstellendefinition zum GEAK vom 28. 8. 2009</t>
  </si>
  <si>
    <t>Ausrichtung (1: Süd-Ost;  2: Ost)</t>
  </si>
  <si>
    <t>Ausrichtung (1: Nord-West;  2: West)</t>
  </si>
  <si>
    <t>S- und SW-Fenster, Bauteil Nr. 37</t>
  </si>
  <si>
    <t>E- und SE-Fenster, Bauteil Nr. 38</t>
  </si>
  <si>
    <t>W- und NW-Fenster, Bauteil Nr. 39</t>
  </si>
  <si>
    <t>N- und NE-Fenster, Bauteil Nr. 40</t>
  </si>
  <si>
    <t xml:space="preserve">Eingabe der grauen Energie ?    </t>
  </si>
  <si>
    <t>Graue Energie:</t>
  </si>
  <si>
    <t>U-Wert W/m2K</t>
  </si>
  <si>
    <t>Warmwasserbedarf total</t>
  </si>
  <si>
    <t>Mittel</t>
  </si>
  <si>
    <t>Blatt "U-Wert": Ab Bauteil Nr. 7 Fehler in der Dampfdiffusionsberechnung (Pascaltagmethode)</t>
  </si>
  <si>
    <t>Blatt "Projekt": AX41 neu 20°C für thetai, falls keine Nutzung gewählt</t>
  </si>
  <si>
    <t>Oberflächentemperaturfaktoren</t>
  </si>
  <si>
    <t>Oberflächenkondensationsfreiheit:</t>
  </si>
  <si>
    <r>
      <t>f</t>
    </r>
    <r>
      <rPr>
        <b/>
        <vertAlign val="subscript"/>
        <sz val="9"/>
        <rFont val="Arial"/>
        <family val="2"/>
      </rPr>
      <t>R</t>
    </r>
    <r>
      <rPr>
        <b/>
        <sz val="9"/>
        <rFont val="Arial"/>
        <family val="2"/>
      </rPr>
      <t xml:space="preserve"> &gt; f</t>
    </r>
    <r>
      <rPr>
        <b/>
        <vertAlign val="subscript"/>
        <sz val="9"/>
        <rFont val="Arial"/>
        <family val="2"/>
      </rPr>
      <t>K</t>
    </r>
  </si>
  <si>
    <t>Schimmelpilzfreiheit:</t>
  </si>
  <si>
    <r>
      <t>f</t>
    </r>
    <r>
      <rPr>
        <b/>
        <vertAlign val="subscript"/>
        <sz val="10"/>
        <rFont val="Arial"/>
        <family val="2"/>
      </rPr>
      <t>R</t>
    </r>
    <r>
      <rPr>
        <b/>
        <sz val="10"/>
        <rFont val="Arial"/>
        <family val="2"/>
      </rPr>
      <t xml:space="preserve"> &gt; f</t>
    </r>
    <r>
      <rPr>
        <b/>
        <vertAlign val="subscript"/>
        <sz val="10"/>
        <rFont val="Arial"/>
        <family val="2"/>
      </rPr>
      <t>S</t>
    </r>
  </si>
  <si>
    <t>Ist-Wert</t>
  </si>
  <si>
    <t>Grenzwert</t>
  </si>
  <si>
    <r>
      <t>f</t>
    </r>
    <r>
      <rPr>
        <vertAlign val="subscript"/>
        <sz val="11"/>
        <rFont val="Arial"/>
        <family val="2"/>
      </rPr>
      <t>K</t>
    </r>
  </si>
  <si>
    <r>
      <t>f</t>
    </r>
    <r>
      <rPr>
        <vertAlign val="subscript"/>
        <sz val="11"/>
        <rFont val="Arial"/>
        <family val="2"/>
      </rPr>
      <t>R</t>
    </r>
  </si>
  <si>
    <t>Schimmel</t>
  </si>
  <si>
    <r>
      <t>f</t>
    </r>
    <r>
      <rPr>
        <vertAlign val="subscript"/>
        <sz val="11"/>
        <rFont val="Arial"/>
        <family val="2"/>
      </rPr>
      <t>S</t>
    </r>
  </si>
  <si>
    <t>Blatt "UWert": Stehende Luftschicht im Bauteil</t>
  </si>
  <si>
    <t>Dicke Schicht 1 (m)</t>
  </si>
  <si>
    <t>Dicke Schicht 2 (m)</t>
  </si>
  <si>
    <t>Dicke Schicht 3 (m)</t>
  </si>
  <si>
    <t>Dicke Schicht 4 (m)</t>
  </si>
  <si>
    <t>Dicke Schicht 5 (m)</t>
  </si>
  <si>
    <t>Dicke Schicht 6 (m)</t>
  </si>
  <si>
    <t>Dicke Schicht 7(m)</t>
  </si>
  <si>
    <t>alpha-Wert Luftschicht / hinterlüftung</t>
  </si>
  <si>
    <t>alpha-Wert Wärmeübergang2</t>
  </si>
  <si>
    <t>Bezeichnung Konstruktion 24</t>
  </si>
  <si>
    <t>U-Wert Konstruktion 24</t>
  </si>
  <si>
    <t>Bezeichnung Konstruktion 25</t>
  </si>
  <si>
    <t>U-Wert Konstruktion 25</t>
  </si>
  <si>
    <t>Bezeichnung Konstruktion 26</t>
  </si>
  <si>
    <t>U-Wert Konstruktion 26</t>
  </si>
  <si>
    <t>Blatt "Klima": Wetterstation Interlaken falsch referenziert. Fehler behoben.</t>
  </si>
  <si>
    <t>U-Wert Konstruktion 29</t>
  </si>
  <si>
    <t>Bezeichnung Konstruktion 30</t>
  </si>
  <si>
    <t>U-Wert Konstruktion 30</t>
  </si>
  <si>
    <t>Blatt "UWert": Pulldown ersetzt (Probleme bei Office 2010 und Office 2011)</t>
  </si>
  <si>
    <r>
      <t>MJ/m</t>
    </r>
    <r>
      <rPr>
        <vertAlign val="superscript"/>
        <sz val="9"/>
        <rFont val="Arial"/>
        <family val="2"/>
      </rPr>
      <t>2</t>
    </r>
  </si>
  <si>
    <r>
      <t>Q</t>
    </r>
    <r>
      <rPr>
        <vertAlign val="subscript"/>
        <sz val="9"/>
        <rFont val="Arial"/>
        <family val="2"/>
      </rPr>
      <t>T</t>
    </r>
    <r>
      <rPr>
        <sz val="9"/>
        <rFont val="Arial"/>
        <family val="2"/>
      </rPr>
      <t xml:space="preserve"> </t>
    </r>
  </si>
  <si>
    <r>
      <t>Q</t>
    </r>
    <r>
      <rPr>
        <vertAlign val="subscript"/>
        <sz val="9"/>
        <rFont val="Arial"/>
        <family val="2"/>
      </rPr>
      <t xml:space="preserve">V </t>
    </r>
  </si>
  <si>
    <r>
      <t>Q</t>
    </r>
    <r>
      <rPr>
        <vertAlign val="subscript"/>
        <sz val="9"/>
        <rFont val="Arial"/>
        <family val="2"/>
      </rPr>
      <t>i</t>
    </r>
  </si>
  <si>
    <r>
      <t>Q</t>
    </r>
    <r>
      <rPr>
        <vertAlign val="subscript"/>
        <sz val="9"/>
        <rFont val="Arial"/>
        <family val="2"/>
      </rPr>
      <t>s</t>
    </r>
  </si>
  <si>
    <r>
      <t>h</t>
    </r>
    <r>
      <rPr>
        <vertAlign val="subscript"/>
        <sz val="9"/>
        <rFont val="Arial"/>
        <family val="2"/>
      </rPr>
      <t>g</t>
    </r>
  </si>
  <si>
    <t>U-Wert Konstruktion 31</t>
  </si>
  <si>
    <t>1. Boden gegen Erdreich</t>
  </si>
  <si>
    <t>2. Boden gegen Erdreich</t>
  </si>
  <si>
    <t>1. Boden gegen unbeheizt:</t>
  </si>
  <si>
    <t>Grossprojekt</t>
  </si>
  <si>
    <t>Faktor Basel/Liechtenstein:</t>
  </si>
  <si>
    <t>Grenzwert Liechtenstein (80% / 90% SIA Grenzwert)</t>
  </si>
  <si>
    <t>U-Werte, Inhomogener Bauteil 20, Abschnitt 1</t>
  </si>
  <si>
    <t>U-Werte, Inhomogener Bauteil 20, Abschnitt 2</t>
  </si>
  <si>
    <t>Bezeichnung Bauteil 20</t>
  </si>
  <si>
    <t>U-Wert Bauteil 20</t>
  </si>
  <si>
    <t>Bezeichnung Bauteil 21</t>
  </si>
  <si>
    <t>U-Wert Bauteil 21</t>
  </si>
  <si>
    <t>Steinwolle, Platten, Matten, Rollen (U)</t>
  </si>
  <si>
    <t>Steinwolle, Platten, Matten, Rollen (N)</t>
  </si>
  <si>
    <t>Schaumglas, Platten (U)</t>
  </si>
  <si>
    <t>Schaumglas, Platten (N)</t>
  </si>
  <si>
    <t>Schaumglas, lose (N)</t>
  </si>
  <si>
    <t>mit Fenster</t>
  </si>
  <si>
    <t>TWD</t>
  </si>
  <si>
    <t>g</t>
  </si>
  <si>
    <t>TWD / Lucido:</t>
  </si>
  <si>
    <t>A * U</t>
  </si>
  <si>
    <t>U mittel</t>
  </si>
  <si>
    <t>Lucido / TWD :</t>
  </si>
  <si>
    <t>Blatt "erneuerbar": E37 und E38: falscher Bezug auf Bedarf WW</t>
  </si>
  <si>
    <t>Quelle: "Checkliste Wärmebrücken", Version 4.0, www.energie.zh.ch</t>
  </si>
  <si>
    <t>Blatt "Projekt":Name der Wärmebrücken änderbar</t>
  </si>
  <si>
    <t>C4.3</t>
  </si>
  <si>
    <t>D1</t>
  </si>
  <si>
    <t>D7</t>
  </si>
  <si>
    <t>D8</t>
  </si>
  <si>
    <t>Blatt "erneuerbar": Zelle E15: Qh mit Standardluftwechsel, ausser wenn 1. Pulldown "Ja"</t>
  </si>
  <si>
    <t>Brennstoff</t>
  </si>
  <si>
    <t>Elektrizität</t>
  </si>
  <si>
    <t>Erneuerbar</t>
  </si>
  <si>
    <t>W'grad elektrisch:</t>
  </si>
  <si>
    <t>Standard Bruttoenerg. Heizung:</t>
  </si>
  <si>
    <t>BBGF :</t>
  </si>
  <si>
    <t>Klimastation :</t>
  </si>
  <si>
    <t>Ausrichtung :</t>
  </si>
  <si>
    <t>(1 = 45° gedreht)</t>
  </si>
  <si>
    <t>Wohnen</t>
  </si>
  <si>
    <t>EFH</t>
  </si>
  <si>
    <t>MFH</t>
  </si>
  <si>
    <t>Industrie</t>
  </si>
  <si>
    <t xml:space="preserve"> </t>
  </si>
  <si>
    <t>Zürich SMA</t>
  </si>
  <si>
    <t>Höhe:</t>
  </si>
  <si>
    <t>m ü.M</t>
  </si>
  <si>
    <t>Klimaregion:</t>
  </si>
  <si>
    <t>Lage:</t>
  </si>
  <si>
    <t>S</t>
  </si>
  <si>
    <t>Ta min:</t>
  </si>
  <si>
    <t>nur Heiztage</t>
  </si>
  <si>
    <t>18/10</t>
  </si>
  <si>
    <r>
      <t>Q</t>
    </r>
    <r>
      <rPr>
        <vertAlign val="subscript"/>
        <sz val="9"/>
        <rFont val="Arial"/>
        <family val="2"/>
      </rPr>
      <t>h,li</t>
    </r>
  </si>
  <si>
    <t>SIA 380/1, Ver. 2007, Blatt "Projekt" und "Bauteile":Neue Wärmebrücke "Rolladenkasten"</t>
  </si>
  <si>
    <t>Nutzungskategorie</t>
  </si>
  <si>
    <t>(Mittel)</t>
  </si>
  <si>
    <t>effektiver Temperaturverlauf</t>
  </si>
  <si>
    <t>Dampfsperre PVC-Folie</t>
  </si>
  <si>
    <t>m.ü.M</t>
  </si>
  <si>
    <t>code</t>
  </si>
  <si>
    <t>Massivbau</t>
  </si>
  <si>
    <t>Windkl</t>
  </si>
  <si>
    <t>Aarau</t>
  </si>
  <si>
    <t>Tannenholz, 2 cm</t>
  </si>
  <si>
    <t>Adelboden</t>
  </si>
  <si>
    <t>Tannenholz, 5 cm</t>
  </si>
  <si>
    <t>Blähtonbeton, Gips, 5 cm</t>
  </si>
  <si>
    <r>
      <t>A</t>
    </r>
    <r>
      <rPr>
        <vertAlign val="subscript"/>
        <sz val="9"/>
        <rFont val="Arial"/>
        <family val="2"/>
      </rPr>
      <t>th</t>
    </r>
    <r>
      <rPr>
        <sz val="9"/>
        <rFont val="Arial"/>
        <family val="2"/>
      </rPr>
      <t>/EBF</t>
    </r>
  </si>
  <si>
    <t>Gebäudehüllzahl</t>
  </si>
  <si>
    <t>Gebäude mit Bodenheizung</t>
  </si>
  <si>
    <t>Auslegung Vorlauf:</t>
  </si>
  <si>
    <r>
      <t>Q</t>
    </r>
    <r>
      <rPr>
        <vertAlign val="subscript"/>
        <sz val="9"/>
        <rFont val="Arial"/>
        <family val="2"/>
      </rPr>
      <t>h,max</t>
    </r>
  </si>
  <si>
    <t>Regelungszuschlag</t>
  </si>
  <si>
    <t>System:</t>
  </si>
  <si>
    <t>Summe der Länge aller Wärmebrücken:</t>
  </si>
  <si>
    <r>
      <t>DQ</t>
    </r>
    <r>
      <rPr>
        <vertAlign val="subscript"/>
        <sz val="9"/>
        <rFont val="Arial"/>
        <family val="2"/>
      </rPr>
      <t>i,g</t>
    </r>
  </si>
  <si>
    <r>
      <t>MJ/m</t>
    </r>
    <r>
      <rPr>
        <b/>
        <vertAlign val="superscript"/>
        <sz val="9"/>
        <rFont val="Arial"/>
        <family val="2"/>
      </rPr>
      <t>2</t>
    </r>
  </si>
  <si>
    <t>horizontale Luftschicht &gt;15mm, Decke</t>
  </si>
  <si>
    <t>vertikale Luftschicht 5mm</t>
  </si>
  <si>
    <t>vertikale Luftschicht 10mm</t>
  </si>
  <si>
    <r>
      <t>I</t>
    </r>
    <r>
      <rPr>
        <vertAlign val="subscript"/>
        <sz val="11"/>
        <color indexed="8"/>
        <rFont val="Arial"/>
        <family val="2"/>
      </rPr>
      <t>sE</t>
    </r>
    <r>
      <rPr>
        <sz val="10"/>
        <color indexed="8"/>
        <rFont val="Arial"/>
        <family val="2"/>
      </rPr>
      <t/>
    </r>
  </si>
  <si>
    <r>
      <t>I</t>
    </r>
    <r>
      <rPr>
        <vertAlign val="subscript"/>
        <sz val="11"/>
        <color indexed="8"/>
        <rFont val="Arial"/>
        <family val="2"/>
      </rPr>
      <t>sW</t>
    </r>
    <r>
      <rPr>
        <sz val="10"/>
        <color indexed="8"/>
        <rFont val="Arial"/>
        <family val="2"/>
      </rPr>
      <t/>
    </r>
  </si>
  <si>
    <r>
      <t>I</t>
    </r>
    <r>
      <rPr>
        <vertAlign val="subscript"/>
        <sz val="11"/>
        <color indexed="8"/>
        <rFont val="Arial"/>
        <family val="2"/>
      </rPr>
      <t>sN</t>
    </r>
    <r>
      <rPr>
        <sz val="10"/>
        <color indexed="8"/>
        <rFont val="Arial"/>
        <family val="2"/>
      </rPr>
      <t/>
    </r>
  </si>
  <si>
    <t>Genutzter Gewinn</t>
  </si>
  <si>
    <t>Spez. Heizleistungsbedarf - MINERGIE-P</t>
  </si>
  <si>
    <t>Maximaler spez. Wärmeleistungsbedarf - MINERGIE-P</t>
  </si>
  <si>
    <t>Wetter B = trüber Tag</t>
  </si>
  <si>
    <t>Wetter A = klarer Tag   /</t>
  </si>
  <si>
    <t>Auslegungstemperatur und Strahlungsdaten</t>
  </si>
  <si>
    <r>
      <t>W / m</t>
    </r>
    <r>
      <rPr>
        <vertAlign val="superscript"/>
        <sz val="10"/>
        <color indexed="8"/>
        <rFont val="Arial"/>
        <family val="2"/>
      </rPr>
      <t>2</t>
    </r>
  </si>
  <si>
    <r>
      <t>q</t>
    </r>
    <r>
      <rPr>
        <vertAlign val="subscript"/>
        <sz val="14"/>
        <color indexed="8"/>
        <rFont val="Arial"/>
        <family val="2"/>
      </rPr>
      <t>h-MP,max</t>
    </r>
    <r>
      <rPr>
        <sz val="14"/>
        <color indexed="8"/>
        <rFont val="Arial"/>
        <family val="2"/>
      </rPr>
      <t/>
    </r>
  </si>
  <si>
    <r>
      <t>W / m</t>
    </r>
    <r>
      <rPr>
        <b/>
        <vertAlign val="superscript"/>
        <sz val="10"/>
        <color indexed="8"/>
        <rFont val="Arial"/>
        <family val="2"/>
      </rPr>
      <t>2</t>
    </r>
  </si>
  <si>
    <r>
      <t>t</t>
    </r>
    <r>
      <rPr>
        <vertAlign val="subscript"/>
        <sz val="11"/>
        <color indexed="8"/>
        <rFont val="Arial"/>
        <family val="2"/>
      </rPr>
      <t>a</t>
    </r>
    <r>
      <rPr>
        <sz val="10"/>
        <color indexed="8"/>
        <rFont val="Arial"/>
        <family val="2"/>
      </rPr>
      <t>min</t>
    </r>
    <r>
      <rPr>
        <vertAlign val="subscript"/>
        <sz val="11"/>
        <color indexed="8"/>
        <rFont val="Arial"/>
        <family val="2"/>
      </rPr>
      <t>korr</t>
    </r>
  </si>
  <si>
    <r>
      <t>t</t>
    </r>
    <r>
      <rPr>
        <vertAlign val="subscript"/>
        <sz val="11"/>
        <color indexed="8"/>
        <rFont val="Arial"/>
        <family val="2"/>
      </rPr>
      <t>a</t>
    </r>
    <r>
      <rPr>
        <sz val="10"/>
        <color indexed="8"/>
        <rFont val="Arial"/>
        <family val="2"/>
      </rPr>
      <t>min</t>
    </r>
  </si>
  <si>
    <t>zu übertragen in MINERGIE-P - Nachweisformular</t>
  </si>
  <si>
    <r>
      <t>q</t>
    </r>
    <r>
      <rPr>
        <vertAlign val="subscript"/>
        <sz val="11"/>
        <color indexed="8"/>
        <rFont val="Arial"/>
        <family val="2"/>
      </rPr>
      <t>sH</t>
    </r>
    <r>
      <rPr>
        <sz val="10"/>
        <color indexed="8"/>
        <rFont val="Arial"/>
        <family val="2"/>
      </rPr>
      <t/>
    </r>
  </si>
  <si>
    <r>
      <t>q</t>
    </r>
    <r>
      <rPr>
        <vertAlign val="subscript"/>
        <sz val="11"/>
        <color indexed="8"/>
        <rFont val="Arial"/>
        <family val="2"/>
      </rPr>
      <t>sS</t>
    </r>
    <r>
      <rPr>
        <sz val="10"/>
        <color indexed="8"/>
        <rFont val="Arial"/>
        <family val="2"/>
      </rPr>
      <t/>
    </r>
  </si>
  <si>
    <t>Dichte Schicht 2</t>
  </si>
  <si>
    <t>Dichte Schicht 3</t>
  </si>
  <si>
    <t>Dichte Schicht 4</t>
  </si>
  <si>
    <t>Dichte Schicht 5</t>
  </si>
  <si>
    <t>Dichte Schicht 6</t>
  </si>
  <si>
    <t>Dichte Schicht 7</t>
  </si>
  <si>
    <t>Türe, Bauteil 17</t>
  </si>
  <si>
    <t>Bezeichnung Bauteil 17</t>
  </si>
  <si>
    <t>U-Wert Türe</t>
  </si>
  <si>
    <t>Türen-Typ</t>
  </si>
  <si>
    <t>Türe, Bauteil 18</t>
  </si>
  <si>
    <t>Bezeichnung Bauteil 18</t>
  </si>
  <si>
    <t>Bezeichnung Bauteil 19</t>
  </si>
  <si>
    <t>Grenzwerte Hg</t>
  </si>
  <si>
    <t>Geb.kat.</t>
  </si>
  <si>
    <t>Fassaden</t>
  </si>
  <si>
    <t>gg. Erdreich</t>
  </si>
  <si>
    <t>Bauteilheizungen</t>
  </si>
  <si>
    <t>Flächen und U-Werte</t>
  </si>
  <si>
    <t>Nutzungsbeispiele</t>
  </si>
  <si>
    <t>'Nachweis',  'Projekt',  'Bau',  'Fenster',  'Uwert',  'M1'</t>
  </si>
  <si>
    <t>SIA 380/1, Ver. 2007, Blatt "Fenster", "Tab": Neu gestaltet, Neue Abschattungsfaktoren</t>
  </si>
  <si>
    <r>
      <t>t</t>
    </r>
    <r>
      <rPr>
        <vertAlign val="subscript"/>
        <sz val="10"/>
        <rFont val="Symbol"/>
        <family val="1"/>
        <charset val="2"/>
      </rPr>
      <t>0</t>
    </r>
  </si>
  <si>
    <t>Telefon Bauherr</t>
  </si>
  <si>
    <t>Fax Bauherr</t>
  </si>
  <si>
    <t>Email Bauherr</t>
  </si>
  <si>
    <t>Vertreter Bauherr</t>
  </si>
  <si>
    <t>Adresse Bauherr / Vertreter</t>
  </si>
  <si>
    <t>Firma Wärmedämmprojekt</t>
  </si>
  <si>
    <t>Sachbearbeiter Wärmedämmprojekt</t>
  </si>
  <si>
    <t>Blatt "M1"-"M3": Berechnung Zeitkonstante neu ohne Bauteile zu beheizt (AW.n/AFn)</t>
  </si>
  <si>
    <t>Zertifikat</t>
  </si>
  <si>
    <t>Blatt "Nachweis": In Basel war MINERGIE-P Grenzwert 20% tiefer. Korrigiert</t>
  </si>
  <si>
    <t>=b</t>
  </si>
  <si>
    <t>H = 8 m, D = 0.1 m, l = 0.035</t>
  </si>
  <si>
    <t>H = 8 m, D = 0.1 m, l = 0.04</t>
  </si>
  <si>
    <r>
      <t>Q</t>
    </r>
    <r>
      <rPr>
        <vertAlign val="subscript"/>
        <sz val="10"/>
        <rFont val="Arial"/>
        <family val="2"/>
      </rPr>
      <t>min</t>
    </r>
  </si>
  <si>
    <t>Kontrollkästchen Art des Bauvorhabens</t>
  </si>
  <si>
    <t>Kontrollkästchen erfüllt/nicht erfüllt</t>
  </si>
  <si>
    <r>
      <t>D</t>
    </r>
    <r>
      <rPr>
        <sz val="9"/>
        <rFont val="Arial"/>
        <family val="2"/>
      </rPr>
      <t>H</t>
    </r>
    <r>
      <rPr>
        <vertAlign val="subscript"/>
        <sz val="9"/>
        <rFont val="Arial"/>
        <family val="2"/>
      </rPr>
      <t>g</t>
    </r>
  </si>
  <si>
    <r>
      <t>H</t>
    </r>
    <r>
      <rPr>
        <vertAlign val="subscript"/>
        <sz val="9"/>
        <rFont val="Arial"/>
        <family val="2"/>
      </rPr>
      <t>g</t>
    </r>
    <r>
      <rPr>
        <sz val="9"/>
        <rFont val="Arial"/>
        <family val="2"/>
      </rPr>
      <t>:</t>
    </r>
  </si>
  <si>
    <t>x</t>
  </si>
  <si>
    <t>horizontale Fenster, Bauteil Nr. 36</t>
  </si>
  <si>
    <t>FS-Wert Fenster</t>
  </si>
  <si>
    <t>Ausrichtung (1: Süd-West;  2: Süd)</t>
  </si>
  <si>
    <t>Kondensationsberechnung von aussen nach innen:</t>
  </si>
  <si>
    <r>
      <t>a</t>
    </r>
    <r>
      <rPr>
        <sz val="10"/>
        <rFont val="Arial"/>
        <family val="2"/>
      </rPr>
      <t>i oben</t>
    </r>
  </si>
  <si>
    <r>
      <t>a</t>
    </r>
    <r>
      <rPr>
        <sz val="10"/>
        <rFont val="Arial"/>
        <family val="2"/>
      </rPr>
      <t>i unten</t>
    </r>
  </si>
  <si>
    <t>Bauteil Nr. 3</t>
  </si>
  <si>
    <t>Bauteil Nr. 5</t>
  </si>
  <si>
    <t>Bauteil Nr. 7</t>
  </si>
  <si>
    <t>Bauteil Nr. 9</t>
  </si>
  <si>
    <t>Bauteil Nr. 11</t>
  </si>
  <si>
    <t>Bauteil Nr. 13</t>
  </si>
  <si>
    <t>Bauteil Nr. 2</t>
  </si>
  <si>
    <t>Bauteil Nr. 4</t>
  </si>
  <si>
    <t>Bauteil Nr. 8</t>
  </si>
  <si>
    <t>Bauteil Nr. 10</t>
  </si>
  <si>
    <t>Bauteil Nr. 12</t>
  </si>
  <si>
    <t>Bauteil Nr. 14</t>
  </si>
  <si>
    <t>**** Holzfaserplatten ****</t>
  </si>
  <si>
    <t>**** Zellulose ****</t>
  </si>
  <si>
    <t>**** Verbundplatten ****</t>
  </si>
  <si>
    <t>durchgehend betoniert, Wand Backstein 0.35 W/m2K</t>
  </si>
  <si>
    <r>
      <t>m</t>
    </r>
    <r>
      <rPr>
        <vertAlign val="superscript"/>
        <sz val="10"/>
        <rFont val="Arial"/>
        <family val="2"/>
      </rPr>
      <t xml:space="preserve">2 </t>
    </r>
    <r>
      <rPr>
        <sz val="10"/>
        <rFont val="Arial"/>
        <family val="2"/>
      </rPr>
      <t>EBF</t>
    </r>
  </si>
  <si>
    <t>Heizvert.</t>
  </si>
  <si>
    <t>Lüftung</t>
  </si>
  <si>
    <t>Erdregister</t>
  </si>
  <si>
    <r>
      <t>m</t>
    </r>
    <r>
      <rPr>
        <vertAlign val="superscript"/>
        <sz val="10"/>
        <rFont val="Arial"/>
        <family val="2"/>
      </rPr>
      <t xml:space="preserve">2 </t>
    </r>
    <r>
      <rPr>
        <sz val="10"/>
        <rFont val="Arial"/>
        <family val="2"/>
      </rPr>
      <t>Koll.</t>
    </r>
  </si>
  <si>
    <t>Erdsonden</t>
  </si>
  <si>
    <t>Elektro</t>
  </si>
  <si>
    <t>Sanitär</t>
  </si>
  <si>
    <t>Blatt "Tab": Zelle B102: FS3-Wert bei einseitiger Seitenblende neu 0.5 statt 0</t>
  </si>
  <si>
    <t>Blatt "MINERGIE": Zelle B29: Telefonnummer wird nicht übernommen. korrigiert.</t>
  </si>
  <si>
    <t>Solarer Wärmegewinn Lucido / TWD:</t>
  </si>
  <si>
    <t>B' =</t>
  </si>
  <si>
    <t>R' =</t>
  </si>
  <si>
    <t>d' =</t>
  </si>
  <si>
    <t>Solaranlage</t>
  </si>
  <si>
    <t>Absorberfläche:</t>
  </si>
  <si>
    <t>Heizung</t>
  </si>
  <si>
    <t>Warmwasser</t>
  </si>
  <si>
    <t>Holzheizung</t>
  </si>
  <si>
    <t>A:  Objekt</t>
  </si>
  <si>
    <t>Jan</t>
  </si>
  <si>
    <t>Feb</t>
  </si>
  <si>
    <t>Mär</t>
  </si>
  <si>
    <t>Apr</t>
  </si>
  <si>
    <t>Mai</t>
  </si>
  <si>
    <t>Jun</t>
  </si>
  <si>
    <t>Jul</t>
  </si>
  <si>
    <t>Aug</t>
  </si>
  <si>
    <t>Sep</t>
  </si>
  <si>
    <t>Okt</t>
  </si>
  <si>
    <t>Nov</t>
  </si>
  <si>
    <t>Dez</t>
  </si>
  <si>
    <t>Jahr</t>
  </si>
  <si>
    <t>Alle</t>
  </si>
  <si>
    <t>B:  Klimadaten</t>
  </si>
  <si>
    <t>Tage im Monat :</t>
  </si>
  <si>
    <t>Tage</t>
  </si>
  <si>
    <t/>
  </si>
  <si>
    <t>Anteil erneuerbar</t>
  </si>
  <si>
    <t>WW</t>
  </si>
  <si>
    <t>Strombedarf</t>
  </si>
  <si>
    <t>zusätzlicher Strombedarf:</t>
  </si>
  <si>
    <t>Wand an isol. Kellerdecke, Bodenheizung, 0.2 W/m2K</t>
  </si>
  <si>
    <t>b-Wert Bauteil 12</t>
  </si>
  <si>
    <t>U-Wert Bauteil 9</t>
  </si>
  <si>
    <t>U-Werte, Bauteil 10</t>
  </si>
  <si>
    <t>Blatt "Leistung": Wärmeleistungsbedarf für Minergie-P</t>
  </si>
  <si>
    <t>III: Verwaltung</t>
  </si>
  <si>
    <t>VII: Versammlungslokale</t>
  </si>
  <si>
    <t>VIII: Spitäler</t>
  </si>
  <si>
    <t>Nachweis der nicht erneuerbaren Energie:</t>
  </si>
  <si>
    <t>Auswahl Anteil nicht erneuerbare Energie:</t>
  </si>
  <si>
    <t>Gedreht:</t>
  </si>
  <si>
    <t>ja</t>
  </si>
  <si>
    <t>nein</t>
  </si>
  <si>
    <t>(in weisse Zelle vor dem Bauteil ein "x" zur Auswahl einfügen)</t>
  </si>
  <si>
    <t>swissporROC Typ 3</t>
  </si>
  <si>
    <t>swissporROC Putzträgerplatte</t>
  </si>
  <si>
    <t>swissporROC Typ 150</t>
  </si>
  <si>
    <t>swissporROC Bodenplatte TS</t>
  </si>
  <si>
    <t>Flumroc-Dämmplatte TRIA</t>
  </si>
  <si>
    <t>Firma:</t>
  </si>
  <si>
    <t>Jupiterstrasse 26</t>
  </si>
  <si>
    <t>8032 Zürich</t>
  </si>
  <si>
    <t>Geplanter Energiebedarf Neu- und Anbau</t>
  </si>
  <si>
    <t>Neue Zertifizierungsnummer 0915</t>
  </si>
  <si>
    <t>b-Wert Bauteil 5</t>
  </si>
  <si>
    <t>Durchschnitt der Dächer gegen aussen, beheizt und unbeheizt:</t>
  </si>
  <si>
    <t>Flächengewichtet</t>
  </si>
  <si>
    <t>unbeheizt</t>
  </si>
  <si>
    <t>beheizt</t>
  </si>
  <si>
    <t>Erde</t>
  </si>
  <si>
    <t>Blatt "Nachweis": V59, G86-G88, K87-K88: b-Faktoren neu ohne U-Wert gewichtet</t>
  </si>
  <si>
    <t>0.031</t>
  </si>
  <si>
    <t>Joma EPS PST</t>
  </si>
  <si>
    <t>Joma EPS 15</t>
  </si>
  <si>
    <t>Joma EPS 20</t>
  </si>
  <si>
    <t>Joma EPS 30</t>
  </si>
  <si>
    <t>Joma EPS 033 grau</t>
  </si>
  <si>
    <t>Joma EPS 031 grau</t>
  </si>
  <si>
    <t>Joma EPS 030 grau</t>
  </si>
  <si>
    <t>Joma EPS Perimeter</t>
  </si>
  <si>
    <t>swissporROC Typ 1</t>
  </si>
  <si>
    <r>
      <t xml:space="preserve">SIA-Grenzwerte für den Heizwärmebedarf pro Jahr von Neubauten (bei 8.5°C Jahresmitteltemperatur) und Ausnutzungsgrade ao und </t>
    </r>
    <r>
      <rPr>
        <b/>
        <sz val="11"/>
        <rFont val="Symbol"/>
        <family val="1"/>
        <charset val="2"/>
      </rPr>
      <t>t</t>
    </r>
    <r>
      <rPr>
        <b/>
        <sz val="11"/>
        <rFont val="Arial"/>
        <family val="2"/>
      </rPr>
      <t>o</t>
    </r>
  </si>
  <si>
    <t>H = 5 m, D = 0.1 m, l = 0.04</t>
  </si>
  <si>
    <t>Blatt "M2" und "M3": Berechnung Zeitkonstante neu mit effektivem thermischen Aussenluftvolumenstrom</t>
  </si>
  <si>
    <t>Andere Wärmeerzeugung</t>
  </si>
  <si>
    <t>Heizkessel</t>
  </si>
  <si>
    <t>Elektrisch direkt</t>
  </si>
  <si>
    <t>Fernwärme</t>
  </si>
  <si>
    <t>Wärmepumpe (Heizung)</t>
  </si>
  <si>
    <t>Wärmepumpe (Warmwasser)</t>
  </si>
  <si>
    <t>Stufe 1</t>
  </si>
  <si>
    <t>Stufe 2</t>
  </si>
  <si>
    <t>H = 8 m, D = 0.08 m, l = 0.03</t>
  </si>
  <si>
    <t>H = 8 m, D = 0.08 m, l = 0.04</t>
  </si>
  <si>
    <t>H = 8 m, D = 0.08 m, l = 0.06</t>
  </si>
  <si>
    <t>H = 8 m, D = 0.08 m, l = 0.08</t>
  </si>
  <si>
    <t>H = 8 m, D = 0.05 m, l = 0.03</t>
  </si>
  <si>
    <t>H = 8 m, D = 0.05 m, l = 0.04</t>
  </si>
  <si>
    <t>SDa</t>
  </si>
  <si>
    <t>SDi</t>
  </si>
  <si>
    <t>d</t>
  </si>
  <si>
    <t>Restkond</t>
  </si>
  <si>
    <t>Kondensationskonstanten:</t>
  </si>
  <si>
    <t xml:space="preserve">Ak = </t>
  </si>
  <si>
    <t xml:space="preserve">Bk = </t>
  </si>
  <si>
    <t xml:space="preserve">mj = </t>
  </si>
  <si>
    <t>Kondensationsberechnung von innen nach aussen:</t>
  </si>
  <si>
    <t>Bauteil Nr. 1</t>
  </si>
  <si>
    <t>(Das Baltt Helas ist als csv-Datei abzuspeichern: Datei - speichern unter - Dateityp: CSV, Trennzeichen getrennt)</t>
  </si>
  <si>
    <t>Telefon Programminhaber</t>
  </si>
  <si>
    <t>Adresse Programminhaber</t>
  </si>
  <si>
    <t>Firma Programminhaber</t>
  </si>
  <si>
    <t>Fax Programminhaber</t>
  </si>
  <si>
    <t>Email Programminhaber</t>
  </si>
  <si>
    <t>Energiebezugsfläche</t>
  </si>
  <si>
    <t>Energiebezugsfläche korrigiert</t>
  </si>
  <si>
    <t>Ubw2 dw2&lt;&gt;dt2</t>
  </si>
  <si>
    <t>Ubf1  dt1+z1/2&lt;B'1</t>
  </si>
  <si>
    <t>Ubf2  dt2+z2/2&lt;B'2</t>
  </si>
  <si>
    <t>Ubw1 dw1&lt;dt1</t>
  </si>
  <si>
    <t>Ubw2 dw2&lt;dt2</t>
  </si>
  <si>
    <t>Wirksamer Wärmedurchlasskoeffizient Bodenplatte 1</t>
  </si>
  <si>
    <t>Wirksamer Wärmedurchlasskoeffizient Bodenplatte 2</t>
  </si>
  <si>
    <t>Wirksamer Wärmedurchlasskoeffizient Wand 1</t>
  </si>
  <si>
    <t>Wirksamer Wärmedurchlasskoeffizient Wand 2</t>
  </si>
  <si>
    <t>Wirksamer Wärmedurchlasskoeffizient gesamtes Kellergeschoss 1</t>
  </si>
  <si>
    <t>Wirksamer Wärmedurchlasskoeffizient gesamtes Kellergeschoss 2</t>
  </si>
  <si>
    <t>Unbeheizter Raum ist:</t>
  </si>
  <si>
    <t>Kellerraum ist:</t>
  </si>
  <si>
    <t>Boden Frostriegel</t>
  </si>
  <si>
    <t>Boden Randstreifen</t>
  </si>
  <si>
    <t>Randstreifen senkrecht:</t>
  </si>
  <si>
    <t>Spitäler, psychiatrische Kliniken, Krankenheime, Altersheime, Rehabilitationszentren, Behandlungsräume</t>
  </si>
  <si>
    <t>Gips (Dichte 1200)</t>
  </si>
  <si>
    <t>Gips (Dichte 1500)</t>
  </si>
  <si>
    <t>Gneis</t>
  </si>
  <si>
    <t>Gusseisen</t>
  </si>
  <si>
    <t>Holzfaserplatte (N)</t>
  </si>
  <si>
    <t>Holzfaserplatte (U)</t>
  </si>
  <si>
    <t>Holzplatte OSB</t>
  </si>
  <si>
    <t>Holzspanplatte (Dichte 300)</t>
  </si>
  <si>
    <t>Holzspanplatte (Dichte 600)</t>
  </si>
  <si>
    <t>Holzspanplatte (Dichte 900)</t>
  </si>
  <si>
    <t>Holzspanplatte, zementgebunden</t>
  </si>
  <si>
    <t>Holzwolle - Leichtbauplatten (N), l. 1</t>
  </si>
  <si>
    <t>Holzwolle - Leichtbauplatten (U), l. 0.089</t>
  </si>
  <si>
    <t>Kalksandstein,  extra weich</t>
  </si>
  <si>
    <t>Kalksandstein, weich</t>
  </si>
  <si>
    <t>Kalksandsteine, halbhart</t>
  </si>
  <si>
    <t>Kalksandsteine, hart</t>
  </si>
  <si>
    <t>Kupfer</t>
  </si>
  <si>
    <t>Messing</t>
  </si>
  <si>
    <t>Naturkautschuk</t>
  </si>
  <si>
    <t>****Polyisocyanurat (PIR)****</t>
  </si>
  <si>
    <t>PUR Pentan, diff.dicht (U), lambda 0.026</t>
  </si>
  <si>
    <t>PUR Pentan, diff.offen (U), lambda 0.032</t>
  </si>
  <si>
    <t>****Polystyrol (EPS) expandiert****</t>
  </si>
  <si>
    <t>Polystyrol (EPS) expandiert, Dichte 15-40 (N)</t>
  </si>
  <si>
    <t>Polystyrol (EPS) expandiert, Dichte 15-40 (U)</t>
  </si>
  <si>
    <t>Polystyrol (EPS) expandiert, Dichte &lt;15 (N)</t>
  </si>
  <si>
    <t>Polystyrol (EPS) expandiert, Dichte &lt;15 (U)</t>
  </si>
  <si>
    <t>****Polystyrol (XPS) extrudiert****</t>
  </si>
  <si>
    <t>****Polyurethan (PUR)****</t>
  </si>
  <si>
    <t>Sperrholzplatte (Dichte 300)</t>
  </si>
  <si>
    <t>Sperrholzplatte (Dichte 500)</t>
  </si>
  <si>
    <t>Sperrholzplatte (Dichte 700)</t>
  </si>
  <si>
    <t>Sperrholzplatte (Dichte 1000)</t>
  </si>
  <si>
    <t>Stahl, nicht rostend</t>
  </si>
  <si>
    <t>Stahlbeton (1% Stahl)</t>
  </si>
  <si>
    <t>Stahlbeton (2% Stahl)</t>
  </si>
  <si>
    <t>Zellulose, lose (U)</t>
  </si>
  <si>
    <t>Zellulose, Platten (U)</t>
  </si>
  <si>
    <t>Zink</t>
  </si>
  <si>
    <t>Sockel:</t>
  </si>
  <si>
    <t>Balkon:</t>
  </si>
  <si>
    <t>**** Vakuum -Isolationspaneele (VIP) ****</t>
  </si>
  <si>
    <t>**** Verputzte Aussenwärmedämm-System ****</t>
  </si>
  <si>
    <t>Wärmepumpe</t>
  </si>
  <si>
    <t>H = 8 m, D = 0.05 m, l = 0.08</t>
  </si>
  <si>
    <t>Kellerraum teilweise oder ganz über Erdreich</t>
  </si>
  <si>
    <t>Wärmebedarf für Warmwasser pro Jahr</t>
  </si>
  <si>
    <t>Kanton für Nachweis:</t>
  </si>
  <si>
    <t>Beilage / Seite:</t>
  </si>
  <si>
    <t>Gebäudedaten</t>
  </si>
  <si>
    <t xml:space="preserve">Leistungsbedarf Warmwasser  </t>
  </si>
  <si>
    <t>Periode</t>
  </si>
  <si>
    <t>2-IV-IR, Glas U-Wert 1.2 W/m2K</t>
  </si>
  <si>
    <t>2-IV-IR, Glas U-Wert 1.5 W/m2K</t>
  </si>
  <si>
    <t>2-IV, Luftspalt, Klarglas</t>
  </si>
  <si>
    <t>2-IV, Argon, Klarglas</t>
  </si>
  <si>
    <t>3-IV, Argon, Klarglas</t>
  </si>
  <si>
    <t>3-IV, Luft, Klarglas</t>
  </si>
  <si>
    <t>Alphabetisch geordnet:</t>
  </si>
  <si>
    <t>Aluminium</t>
  </si>
  <si>
    <t>Backstein BN 25</t>
  </si>
  <si>
    <t>Blatt "Bau": Zelle G81 neu geschützt</t>
  </si>
  <si>
    <t>SIA 380/1, Ver. 2007, Blatt "Projekt" und "Tab.":Neuer Regelungszuschlag</t>
  </si>
  <si>
    <t>beheizt?</t>
  </si>
  <si>
    <t>aktiv beheizte EBF:</t>
  </si>
  <si>
    <t xml:space="preserve">aktiv  </t>
  </si>
  <si>
    <t>(Diese sind der Heizwärmebedarfsberechnung gemäss SIA 380/1 zu entnehmen.)</t>
  </si>
  <si>
    <t>Thermische Zone</t>
  </si>
  <si>
    <t>Summe</t>
  </si>
  <si>
    <t>Blatt "Klima": Bei Wahl Genève falsche Wetterstation (nur Ver. franz.) Genf -&gt; Genève</t>
  </si>
  <si>
    <t>b) Minimaler Aussenluftwechsel n=0.3 (wenn keine Lüftungsanlage):</t>
  </si>
  <si>
    <t>a) Thermisch wirksamer Aussenluftvolumenstrom (manuelle Eingabe auf Blatt "Projekt"):</t>
  </si>
  <si>
    <r>
      <t>m</t>
    </r>
    <r>
      <rPr>
        <b/>
        <vertAlign val="superscript"/>
        <sz val="10"/>
        <color indexed="8"/>
        <rFont val="Arial"/>
        <family val="2"/>
      </rPr>
      <t>3</t>
    </r>
    <r>
      <rPr>
        <b/>
        <sz val="10"/>
        <color indexed="8"/>
        <rFont val="Arial"/>
        <family val="2"/>
      </rPr>
      <t>/h</t>
    </r>
  </si>
  <si>
    <t>Blatt "Leistung": L58 neu Lüftungsverlust nach Vth (falls ausgefüllt)</t>
  </si>
  <si>
    <t>Fehlercode Bauteil Nr. 26</t>
  </si>
  <si>
    <t>Fehlercode Bauteil Nr. 27</t>
  </si>
  <si>
    <t>Fehlercode Bauteil Nr. 28</t>
  </si>
  <si>
    <t>Fehlercode Bauteil Nr. 29</t>
  </si>
  <si>
    <t>Fehlercode Bauteil Nr. 30</t>
  </si>
  <si>
    <t>Fehlercode Bauteil Nr. 31</t>
  </si>
  <si>
    <t>Fehlercode Bauteil Nr. 32</t>
  </si>
  <si>
    <t>Fehlercode Bauteil Nr. 33</t>
  </si>
  <si>
    <t>Fehlercode Bauteil Nr. 34</t>
  </si>
  <si>
    <t>Fehlercode Bauteil Nr. 35</t>
  </si>
  <si>
    <t>Fehlercode Bauteil Nr. 36</t>
  </si>
  <si>
    <t>A/P</t>
  </si>
  <si>
    <t>Tiefe</t>
  </si>
  <si>
    <t>Glasvorbau</t>
  </si>
  <si>
    <t>Referenzraum-Temperaturregelung</t>
  </si>
  <si>
    <t>Unbeheizter Raum</t>
  </si>
  <si>
    <t>Blatt "Nachweis": F87, Temperaturkorrektur 2 x angewendet. Neu nur noch 1 x</t>
  </si>
  <si>
    <t>U-Wert</t>
  </si>
  <si>
    <t>Zürich SMA  2028</t>
  </si>
  <si>
    <t>Zürich-Kloten  2028</t>
  </si>
  <si>
    <t>Genève  2028</t>
  </si>
  <si>
    <t>Davos  2028</t>
  </si>
  <si>
    <t>AE</t>
  </si>
  <si>
    <t>Locarno-Monti  2028</t>
  </si>
  <si>
    <t>St. Gallen  2028</t>
  </si>
  <si>
    <t>NW</t>
  </si>
  <si>
    <t>Adelboden 2028</t>
  </si>
  <si>
    <t>Schaffhausen  2028</t>
  </si>
  <si>
    <t>Aigle 2028</t>
  </si>
  <si>
    <t>Bern  Liebefeld  2028</t>
  </si>
  <si>
    <t>Buchs Aarau 2028</t>
  </si>
  <si>
    <t>Luzern  2028</t>
  </si>
  <si>
    <t>Güttingen 2028</t>
  </si>
  <si>
    <t>Interlaken 2028</t>
  </si>
  <si>
    <t>Disentis  2028</t>
  </si>
  <si>
    <t>Glarus  2028</t>
  </si>
  <si>
    <t>La Frêtaz  2028</t>
  </si>
  <si>
    <t>SE</t>
  </si>
  <si>
    <t>Lugano  2028</t>
  </si>
  <si>
    <t>Magadino  2028</t>
  </si>
  <si>
    <t>Payerne  2028</t>
  </si>
  <si>
    <t>Basel-Binningen  2028</t>
  </si>
  <si>
    <t>Piotta  2028</t>
  </si>
  <si>
    <t>Pully  2028</t>
  </si>
  <si>
    <t>Rünenberg  2028</t>
  </si>
  <si>
    <t>Sion  2028</t>
  </si>
  <si>
    <t>San Bernardino 2028</t>
  </si>
  <si>
    <t>Montana  2028</t>
  </si>
  <si>
    <t>Ulrichen 2028</t>
  </si>
  <si>
    <t>La Chaux-de-Fonds  2028</t>
  </si>
  <si>
    <t>Neuchâtel  2028</t>
  </si>
  <si>
    <t>Altdorf  2028</t>
  </si>
  <si>
    <t>Vaduz  2028</t>
  </si>
  <si>
    <t>Wynau  2028</t>
  </si>
  <si>
    <t>Chur  2028</t>
  </si>
  <si>
    <t>Gr. St. Bernhard  2028</t>
  </si>
  <si>
    <t>Entech 380/1, Ver. 5.0</t>
  </si>
  <si>
    <t>geändert durch</t>
  </si>
  <si>
    <t>Blatt "Bau", Wand gegen Erde, U-Wert aus von Zelle K78 statt J78 nehmen</t>
  </si>
  <si>
    <t>AH</t>
  </si>
  <si>
    <t>Schiers</t>
  </si>
  <si>
    <t>exponiert</t>
  </si>
  <si>
    <t>Schuls</t>
  </si>
  <si>
    <t>frei</t>
  </si>
  <si>
    <t>geschützt</t>
  </si>
  <si>
    <t>Schwyz</t>
  </si>
  <si>
    <t>Wetterstationen nach SIA 380/1</t>
  </si>
  <si>
    <t>Sils-Maria</t>
  </si>
  <si>
    <t>Länge des Abschnittes L2</t>
  </si>
  <si>
    <t>Gebäude-Kategorie</t>
  </si>
  <si>
    <t>Temperaturkorrektur:</t>
  </si>
  <si>
    <t>Total</t>
  </si>
  <si>
    <t>MW</t>
  </si>
  <si>
    <t>SIA 380/1, Ver. 2007, Blatt "Bau". Neu Frostriegel nach EN ISO 13370</t>
  </si>
  <si>
    <t>SIA 380/1, Ver. 2007, Blatt "UWert". Fehler bei inhomogenen Bauteil behoben</t>
  </si>
  <si>
    <t>Funktion (1: leer,  2: Nachweis,  3:Optimierung,  4: Messwert,  5: MINERGIE-P)</t>
  </si>
  <si>
    <t>Höhe (m.ü.M.)</t>
  </si>
  <si>
    <r>
      <t>Verschattungsfaktor F</t>
    </r>
    <r>
      <rPr>
        <b/>
        <vertAlign val="subscript"/>
        <sz val="11"/>
        <rFont val="Arial"/>
        <family val="2"/>
      </rPr>
      <t>Sh</t>
    </r>
    <r>
      <rPr>
        <b/>
        <sz val="11"/>
        <rFont val="Arial"/>
        <family val="2"/>
      </rPr>
      <t>, F</t>
    </r>
    <r>
      <rPr>
        <b/>
        <vertAlign val="subscript"/>
        <sz val="11"/>
        <rFont val="Arial"/>
        <family val="2"/>
      </rPr>
      <t>SS</t>
    </r>
    <r>
      <rPr>
        <b/>
        <sz val="11"/>
        <rFont val="Arial"/>
        <family val="2"/>
      </rPr>
      <t>, F</t>
    </r>
    <r>
      <rPr>
        <b/>
        <vertAlign val="subscript"/>
        <sz val="11"/>
        <rFont val="Arial"/>
        <family val="2"/>
      </rPr>
      <t>SE</t>
    </r>
    <r>
      <rPr>
        <b/>
        <sz val="11"/>
        <rFont val="Arial"/>
        <family val="2"/>
      </rPr>
      <t>, F</t>
    </r>
    <r>
      <rPr>
        <b/>
        <vertAlign val="subscript"/>
        <sz val="11"/>
        <rFont val="Arial"/>
        <family val="2"/>
      </rPr>
      <t>SW</t>
    </r>
    <r>
      <rPr>
        <b/>
        <sz val="11"/>
        <rFont val="Arial"/>
        <family val="2"/>
      </rPr>
      <t>, F</t>
    </r>
    <r>
      <rPr>
        <b/>
        <vertAlign val="subscript"/>
        <sz val="11"/>
        <rFont val="Arial"/>
        <family val="2"/>
      </rPr>
      <t>SN</t>
    </r>
    <r>
      <rPr>
        <b/>
        <sz val="11"/>
        <rFont val="Arial"/>
        <family val="2"/>
      </rPr>
      <t xml:space="preserve"> (-)</t>
    </r>
  </si>
  <si>
    <r>
      <t>Y</t>
    </r>
    <r>
      <rPr>
        <sz val="10"/>
        <rFont val="Arial"/>
        <family val="2"/>
      </rPr>
      <t>-Wert</t>
    </r>
  </si>
  <si>
    <r>
      <t>C</t>
    </r>
    <r>
      <rPr>
        <sz val="10"/>
        <rFont val="Arial"/>
        <family val="2"/>
      </rPr>
      <t>-Wert</t>
    </r>
  </si>
  <si>
    <t>Gebäudesockel</t>
  </si>
  <si>
    <t>Stützen, Träger, Konsolen</t>
  </si>
  <si>
    <t>Glaswolle, Platten, Matten, Rollen (U)</t>
  </si>
  <si>
    <t>Glaswolle, Platten, Matten, Rollen (N)</t>
  </si>
  <si>
    <t>Innen-Volltüre 40mm</t>
  </si>
  <si>
    <t>T13</t>
  </si>
  <si>
    <t>Aluminiumblech beidseitig, Wärmedämmung 40 mm</t>
  </si>
  <si>
    <t>T8</t>
  </si>
  <si>
    <t>Furnier, Spanplatte 40mm, Aluminium beidseitig</t>
  </si>
  <si>
    <t>T9</t>
  </si>
  <si>
    <t>Furnier, Spanplatte 16mm, Wärmedämmung 18mm, Alu beidseitig</t>
  </si>
  <si>
    <t>T10</t>
  </si>
  <si>
    <t>Innentür gestemmt, 36mm  mit Holzfüllung</t>
  </si>
  <si>
    <t>T11</t>
  </si>
  <si>
    <t>Innen-Hohltüre 40mm</t>
  </si>
  <si>
    <t>T12</t>
  </si>
  <si>
    <t>Fehlercode Bauteil Nr. 37</t>
  </si>
  <si>
    <t>Fehlercode Bauteil Nr. 38</t>
  </si>
  <si>
    <t>Fehlercode Bauteil Nr. 39</t>
  </si>
  <si>
    <t>Fehlercode Bauteil Nr. 40</t>
  </si>
  <si>
    <t>Blatt "Helas": Neu Fehlercode eingefügt</t>
  </si>
  <si>
    <t>Blatt "U-Wert": b-Werte selbst eingebbar</t>
  </si>
  <si>
    <t>(Wetterstation für Kondensationsberechnung)</t>
  </si>
  <si>
    <t>Flumroc-Dämmplatte COMPACT</t>
  </si>
  <si>
    <t>Flumroc-Dämmplatte DUO</t>
  </si>
  <si>
    <t>Flumroc-Dämmplatte ECCO</t>
  </si>
  <si>
    <t>Flumroc-Dämmplatte IGLU</t>
  </si>
  <si>
    <t>Flumroc-Dämmplatte MEGA</t>
  </si>
  <si>
    <t>Flumroc-Dämmplatte PRIMA</t>
  </si>
  <si>
    <t>Flumroc-Dämmplatte SOLO</t>
  </si>
  <si>
    <r>
      <t>Anteil Q</t>
    </r>
    <r>
      <rPr>
        <vertAlign val="subscript"/>
        <sz val="9"/>
        <rFont val="Arial"/>
        <family val="2"/>
      </rPr>
      <t>ww</t>
    </r>
    <r>
      <rPr>
        <sz val="9"/>
        <rFont val="Arial"/>
        <family val="2"/>
      </rPr>
      <t xml:space="preserve">: Elektrodirektheizung </t>
    </r>
  </si>
  <si>
    <t>xx</t>
  </si>
  <si>
    <t>summierte Dicken:</t>
  </si>
  <si>
    <t>Temperatur Estrich Td :</t>
  </si>
  <si>
    <t>Temperatur Keller Tk :</t>
  </si>
  <si>
    <t>Temperatur  Erdreich (Boden) :</t>
  </si>
  <si>
    <r>
      <t>D</t>
    </r>
    <r>
      <rPr>
        <b/>
        <sz val="10"/>
        <rFont val="Arial"/>
        <family val="2"/>
      </rPr>
      <t xml:space="preserve">T = </t>
    </r>
  </si>
  <si>
    <t>Grenztemp</t>
  </si>
  <si>
    <t>Temp</t>
  </si>
  <si>
    <t>Bauteil Nr.6</t>
  </si>
  <si>
    <t>Bauteil Nr. 19a</t>
  </si>
  <si>
    <t>Bauteil Nr. 19b</t>
  </si>
  <si>
    <t>Blatt "Bauteile": Wärmedämmstoffe nach SIA 2001, Ausgabe 2003 ergänzt</t>
  </si>
  <si>
    <t>Temperatur  Erdreich (Wand) :</t>
  </si>
  <si>
    <t>Decke gegen aussen :</t>
  </si>
  <si>
    <t>MJ/m2a</t>
  </si>
  <si>
    <t>Decke gegen unbeheizt :</t>
  </si>
  <si>
    <t>Wand gegen aussen :</t>
  </si>
  <si>
    <t>Wand gegen unbeheizt :</t>
  </si>
  <si>
    <t>m</t>
  </si>
  <si>
    <t>Wand gegen Erdreich :</t>
  </si>
  <si>
    <t>Boden gegen aussen :</t>
  </si>
  <si>
    <t>Heizgrenze :</t>
  </si>
  <si>
    <t>Neues Blatt "Grafik2" mit der monatlichen Energiebilanz eingefügt</t>
  </si>
  <si>
    <t>Blatt "M1", "M2", "M3": Neu Grafik mit monatlicher Energiebilanz eingefügt</t>
  </si>
  <si>
    <t>Elektroanlagen, tiefer Installationsgrad</t>
  </si>
  <si>
    <t>Elektroanlagen, hoher Installationsgrad</t>
  </si>
  <si>
    <t>kWp</t>
  </si>
  <si>
    <t>Solarpanel</t>
  </si>
  <si>
    <t>Solarstromanlage</t>
  </si>
  <si>
    <t>Gebäudetechnik:</t>
  </si>
  <si>
    <t>Bezugsgrösse:</t>
  </si>
  <si>
    <t>D5.2</t>
  </si>
  <si>
    <t>Wärmeerzeuger, spez. Leistungsbedarf 10 W/m2</t>
  </si>
  <si>
    <t>Wärmeerzeuger, spez. Leistungsbedarf 30 W/m2</t>
  </si>
  <si>
    <t>Wärmeerzeuger, spez. Leistungsbedarf 50 W/m2</t>
  </si>
  <si>
    <t>Erdsonden, spez. Leistungsbedarf 10 W/m2</t>
  </si>
  <si>
    <t>Erdsonden, spez. Leistungsbedarf 30 W/m2</t>
  </si>
  <si>
    <t>Erdsonden, spez. Leistungsbedarf 50 W/m2</t>
  </si>
  <si>
    <t>Sonnenkollektoren,  Warmwasser, EFH</t>
  </si>
  <si>
    <t>Sonnenkollektoren,  Warmwasser, MFH</t>
  </si>
  <si>
    <t>Sonnenkollektoren, WW+Heizung, EFH</t>
  </si>
  <si>
    <t>Kollektoren</t>
  </si>
  <si>
    <t>Wärmeverteilung, Fussbodenheizung</t>
  </si>
  <si>
    <t>Wärmeverteilung, Luftheizung</t>
  </si>
  <si>
    <t>Wärmevert. Radiatoren, Leistungsbedarf 10 W/m2</t>
  </si>
  <si>
    <t>Wärmevert. Radiatoren, Leistungsbedarf 30 W/m2</t>
  </si>
  <si>
    <t>Wärmevert. Radiatoren, Leistungsbedarf 50 W/m2</t>
  </si>
  <si>
    <t>Blatt "UWert": Bauteil 20 und 21, Fehler in der U-Wert-Berechnung. Behoben.</t>
  </si>
  <si>
    <t>Oberflächenkondensation</t>
  </si>
  <si>
    <t>Schimmelpilz</t>
  </si>
  <si>
    <t>Oberflächentemperaturfaktor</t>
  </si>
  <si>
    <r>
      <t>f</t>
    </r>
    <r>
      <rPr>
        <vertAlign val="subscript"/>
        <sz val="11"/>
        <rFont val="Arial"/>
        <family val="2"/>
      </rPr>
      <t>Rsi,min</t>
    </r>
  </si>
  <si>
    <t>Kondensation im Bauteil</t>
  </si>
  <si>
    <t>Blatt "Klima": HGT 20/12 bei neuen Wetterstationen ergänzt</t>
  </si>
  <si>
    <t>Blatt "Klima": Jahresmitteltemperatur aus gedruckter Norm abgeschrieben</t>
  </si>
  <si>
    <t>Tel. 044 227 79 78</t>
  </si>
  <si>
    <t>Fax. 044 227 79 79</t>
  </si>
  <si>
    <t>mail@hetag.ch</t>
  </si>
  <si>
    <t>Variablennamen auf Excel Version 2007 angepasst</t>
  </si>
  <si>
    <t>Blatt "U-Wert": Alle Bauteilangaben neu in cm statt m</t>
  </si>
  <si>
    <t>SIA 380/1, Ver. 2007, Blatt "Tab.", Reduktionsfaktoren angepasst</t>
  </si>
  <si>
    <t>Tiefe [m]</t>
  </si>
  <si>
    <t>Blatt "Bau": b-Wert - Berechnung Wand geg. Erde (P62): Fehler korrigiert</t>
  </si>
  <si>
    <t>Neue Lizenznummer für Version 4.0</t>
  </si>
  <si>
    <t>Verkauf</t>
  </si>
  <si>
    <t>Restau-</t>
  </si>
  <si>
    <t>rants</t>
  </si>
  <si>
    <t>Versamm-</t>
  </si>
  <si>
    <t>lungs-</t>
  </si>
  <si>
    <t>lokale</t>
  </si>
  <si>
    <t>Sport-</t>
  </si>
  <si>
    <t>Blatt "Nachweis": Zelle G113: Falsche Anzeige zum Regelungszuschlag. Fehler behoben.</t>
  </si>
  <si>
    <t>SIA 380/1, Ver. 2007, Blatt "Tab.":Neue Werte für ao und tauo, abhängig von Nutzung</t>
  </si>
  <si>
    <t>Treppe / Lift gegen unbeheizt</t>
  </si>
  <si>
    <t>Fläche</t>
  </si>
  <si>
    <t>Pull-down</t>
  </si>
  <si>
    <t>Kontrollkasten (fix)</t>
  </si>
  <si>
    <t>Durchschnitt der Böden gegen aussen, beheizt, unbeheizt und Erde:</t>
  </si>
  <si>
    <t>Durchschnitt der Wände gegen aussen, beheizt, unbeheizt und Erde:</t>
  </si>
  <si>
    <t>Blatt "Bau": Fehler bei Berechnung des mittleren b-Wertes korrigiert</t>
  </si>
  <si>
    <t>SIA 380/1, Ver. 2007, Blatt "Bau":Neu Treppe / Lift gegen unbeheizt eingefügt (Zeile 87)</t>
  </si>
  <si>
    <t>Rolladenkasten</t>
  </si>
  <si>
    <t>Rolladenkasten:</t>
  </si>
  <si>
    <t xml:space="preserve"> Bauteilheizung</t>
  </si>
  <si>
    <t xml:space="preserve"> Heizung</t>
  </si>
  <si>
    <t xml:space="preserve"> : Bauteilheizung oder vorgelagerter Heizkörper (Fenster) vorhanden</t>
  </si>
  <si>
    <t>Sachbearbeiter:</t>
  </si>
  <si>
    <t>Verfasser des Wärmedämmprojekts:</t>
  </si>
  <si>
    <t>Verfasser des Nachweises:</t>
  </si>
  <si>
    <t>Nachweis gemachten Angaben:</t>
  </si>
  <si>
    <t>Fugendurchlässigkeit aF</t>
  </si>
  <si>
    <t>klasse</t>
  </si>
  <si>
    <t>Chur</t>
  </si>
  <si>
    <t>Typ 2: 2 Fensterfasaden</t>
  </si>
  <si>
    <t>Delémont</t>
  </si>
  <si>
    <t>Ebnat SG</t>
  </si>
  <si>
    <t>Elm</t>
  </si>
  <si>
    <t>Engelberg</t>
  </si>
  <si>
    <t>Frauenfeld</t>
  </si>
  <si>
    <t>Göschenen</t>
  </si>
  <si>
    <t>(Normwerte für den Innenraum: 20° / 50%)</t>
  </si>
  <si>
    <t>Grimsel</t>
  </si>
  <si>
    <t>Grindelwald</t>
  </si>
  <si>
    <t>Gurtnellen</t>
  </si>
  <si>
    <t>Guttannen</t>
  </si>
  <si>
    <t>Typ3/4: 3/4 Fensterfasaden, offene Treppe</t>
  </si>
  <si>
    <t>Hallau</t>
  </si>
  <si>
    <t>Interlaken</t>
  </si>
  <si>
    <t>Jungfraujoch</t>
  </si>
  <si>
    <t>P</t>
  </si>
  <si>
    <t>La Chaux-de-Fonds</t>
  </si>
  <si>
    <t>M</t>
  </si>
  <si>
    <t>Langnau i.E.</t>
  </si>
  <si>
    <t>Wetter A</t>
  </si>
  <si>
    <t>Wetter B</t>
  </si>
  <si>
    <t>Leukerbad</t>
  </si>
  <si>
    <t>Leysin</t>
  </si>
  <si>
    <t>Martigny</t>
  </si>
  <si>
    <t>Tabelle 11: Fugendurchlässigkeit</t>
  </si>
  <si>
    <t>Meiringen</t>
  </si>
  <si>
    <t>Konstruktion Fenster oder Tür</t>
  </si>
  <si>
    <t>aF</t>
  </si>
  <si>
    <t>Montreux</t>
  </si>
  <si>
    <t>Zulässiger Energiebedarf Neu- und Anbau</t>
  </si>
  <si>
    <t>Berechnung Aussenfläche und Grenzwert</t>
  </si>
  <si>
    <t>Kontrollkästchen Andere Wärmeerzeugung</t>
  </si>
  <si>
    <t>Nutzungskategorie: Pull-Downs und Hilfstabelle</t>
  </si>
  <si>
    <t>Thermisch wirksamer Aussenluftvolumenstrom</t>
  </si>
  <si>
    <t xml:space="preserve">Vth = </t>
  </si>
  <si>
    <t>m3/m2h</t>
  </si>
  <si>
    <t>Mechanische Lüftung</t>
  </si>
  <si>
    <t>Baujahr:</t>
  </si>
  <si>
    <t>26cm Beton, 2cm TS, 10cm EPS, 7cm Zementüberzug</t>
  </si>
  <si>
    <t>22cm Beton, 2cm TS, 16cm EPS, 7cm Zementüberzug</t>
  </si>
  <si>
    <t>26cm Beton, 2cm TS, 16cm EPS, 7cm Zementüberzug</t>
  </si>
  <si>
    <t>20cm Beton, 2cm TS, 20cm EPS, 7cm Zementüberzug</t>
  </si>
  <si>
    <t>22cm Beton, 2cm TS, 20cm EPS, 7cm Zementüberzug</t>
  </si>
  <si>
    <t>26cm Beton, 2cm TS, 20cm EPS, 7cm Zementüberzug</t>
  </si>
  <si>
    <t>Innenwand</t>
  </si>
  <si>
    <t>8cm Magerbeton, 25cm Beton, 16cm EPS, 7cm Zementüberzug</t>
  </si>
  <si>
    <t>8cm Magerbeton, 30cm Beton, 16cm EPS, 7cm Zementüberzug</t>
  </si>
  <si>
    <t>8cm Magerbeton, 25cm Beton, 7cm Zementüberzug</t>
  </si>
  <si>
    <t>8cm Magerbeton, 30cm Beton, 7cm Zementüberzug</t>
  </si>
  <si>
    <t>15 cm Betonwand, Kalkputz</t>
  </si>
  <si>
    <t>18 cm Betonwand, Kalkputz</t>
  </si>
  <si>
    <t>20 cm Betonwand, Kalkputz</t>
  </si>
  <si>
    <t>W04</t>
  </si>
  <si>
    <t>Beton</t>
  </si>
  <si>
    <t>25 cm Betonwand, Kalkputz</t>
  </si>
  <si>
    <t xml:space="preserve">Eingabe der grauen Energie?  </t>
  </si>
  <si>
    <t>U-Werte, Bauteil 13</t>
  </si>
  <si>
    <t>Bezeichnung Bauteil 13</t>
  </si>
  <si>
    <t>U-Wert Bauteil 13</t>
  </si>
  <si>
    <t>U-Werte, Bauteil 14</t>
  </si>
  <si>
    <t>Bezeichnung Bauteil 14</t>
  </si>
  <si>
    <t>U-Wert Fenster</t>
  </si>
  <si>
    <t>g-Wert Fenster</t>
  </si>
  <si>
    <t>FF-Wert Fenster</t>
  </si>
  <si>
    <t>Fenster-Typ</t>
  </si>
  <si>
    <t>Dichte Schicht 1</t>
  </si>
  <si>
    <t>Methode:</t>
  </si>
  <si>
    <t>SIA 380 / 1</t>
  </si>
  <si>
    <t>EN  ISO 13370</t>
  </si>
  <si>
    <t>Randstreifen wagrecht:</t>
  </si>
  <si>
    <t>(cf. Blatt UWert)</t>
  </si>
  <si>
    <t>Blatt "Bau": Pulldown ersetzt (Probleme bei Office 2010 und Office 2011)</t>
  </si>
  <si>
    <t>Blatt "Bauteile": Liste Wärmedämmstoffe EPS, XPS und Steinwolle aktuallisert (SIA 2001)</t>
  </si>
  <si>
    <r>
      <t>Reduktionsfaktor für Wärmeverluste von Wand bzw. Boden gegen Erdreich (b</t>
    </r>
    <r>
      <rPr>
        <b/>
        <vertAlign val="subscript"/>
        <sz val="11"/>
        <rFont val="Arial"/>
        <family val="2"/>
      </rPr>
      <t>GW</t>
    </r>
    <r>
      <rPr>
        <b/>
        <sz val="11"/>
        <rFont val="Arial"/>
        <family val="2"/>
      </rPr>
      <t>, b</t>
    </r>
    <r>
      <rPr>
        <b/>
        <vertAlign val="subscript"/>
        <sz val="11"/>
        <rFont val="Arial"/>
        <family val="2"/>
      </rPr>
      <t>GF</t>
    </r>
    <r>
      <rPr>
        <b/>
        <sz val="11"/>
        <rFont val="Arial"/>
        <family val="2"/>
      </rPr>
      <t>)</t>
    </r>
  </si>
  <si>
    <t>Blatt "M1", "M2" und "M3": Berechnung Zeitkonstante neu mit b=0 für Decke g. beheizt</t>
  </si>
  <si>
    <t>Die Unterzeichnenden bestätigen hiermit mit ihrer Unterschrift die Richtigkeit und Vollständigkeit der in diesem</t>
  </si>
  <si>
    <t>Datum:</t>
  </si>
  <si>
    <t>Wände mit Bauteilheizung</t>
  </si>
  <si>
    <t>SIA 380/1, Ver. 2007, Blatt "Projekt":Verzicht auf Höhenkorrektur der EBF</t>
  </si>
  <si>
    <t>SIA 380/1, Ver. 2007, Blatt "Tab.", neue Grenzwerte Hg</t>
  </si>
  <si>
    <t>Regelungszuschlag:</t>
  </si>
  <si>
    <t>Lüftungsanlagen</t>
  </si>
  <si>
    <t>Wirkungsgrad</t>
  </si>
  <si>
    <t>WRG</t>
  </si>
  <si>
    <t>Blatt "Leistung": Neu gestaltet</t>
  </si>
  <si>
    <t>H = 8 m, D = 0.05 m, l = 0.06</t>
  </si>
  <si>
    <t>A/EBF</t>
  </si>
  <si>
    <t>I</t>
  </si>
  <si>
    <t>II</t>
  </si>
  <si>
    <t>III</t>
  </si>
  <si>
    <t>IV</t>
  </si>
  <si>
    <t>V</t>
  </si>
  <si>
    <t>Erdreich</t>
  </si>
  <si>
    <t>Wand</t>
  </si>
  <si>
    <t>Boden</t>
  </si>
  <si>
    <t>Lager</t>
  </si>
  <si>
    <t>Spitäler</t>
  </si>
  <si>
    <t>Neubau</t>
  </si>
  <si>
    <t>Umbau</t>
  </si>
  <si>
    <t>Bauteilkatalog</t>
  </si>
  <si>
    <t>Füllung</t>
  </si>
  <si>
    <t>Verglasung</t>
  </si>
  <si>
    <t>Doppelfenster, Luftspalt &gt;7 cm</t>
  </si>
  <si>
    <t>Luft</t>
  </si>
  <si>
    <t>Doppelverglasung</t>
  </si>
  <si>
    <t>Argon</t>
  </si>
  <si>
    <t>Blatt "Leistung": Höhe der Klimastation stimmte nicht mit Klimastation überein</t>
  </si>
  <si>
    <t>Spezialfenster:</t>
  </si>
  <si>
    <t>Rahmen</t>
  </si>
  <si>
    <t>Türen</t>
  </si>
  <si>
    <t>T1</t>
  </si>
  <si>
    <t>Spanplatte 22mm, Wärmedämmung 30mm, Täferaufdop. 21 mm</t>
  </si>
  <si>
    <t>T2</t>
  </si>
  <si>
    <t>Spanplatte 22 mm, Wärmedämmung 10 mm, Täferaufdop. 21 mm</t>
  </si>
  <si>
    <t>Kontrollkästchen Fernwärme</t>
  </si>
  <si>
    <t>ARA / KVA</t>
  </si>
  <si>
    <t>Fossil</t>
  </si>
  <si>
    <t>andere erneuerbar</t>
  </si>
  <si>
    <t>Globalstrahlung Ost:</t>
  </si>
  <si>
    <t>Globalstrahlung West:</t>
  </si>
  <si>
    <t>r</t>
  </si>
  <si>
    <t>l</t>
  </si>
  <si>
    <t>F: Transmissionswärmeverlust:</t>
  </si>
  <si>
    <r>
      <t xml:space="preserve">B = 1 m, D = 0.05 m, </t>
    </r>
    <r>
      <rPr>
        <sz val="10"/>
        <rFont val="GreekC"/>
      </rPr>
      <t>l</t>
    </r>
    <r>
      <rPr>
        <sz val="10"/>
        <rFont val="Arial"/>
        <family val="2"/>
      </rPr>
      <t xml:space="preserve"> = 0.08</t>
    </r>
  </si>
  <si>
    <r>
      <t xml:space="preserve">B = 2 m, D = 0.05 m, </t>
    </r>
    <r>
      <rPr>
        <sz val="10"/>
        <rFont val="GreekC"/>
      </rPr>
      <t>l</t>
    </r>
    <r>
      <rPr>
        <sz val="10"/>
        <rFont val="Arial"/>
        <family val="2"/>
      </rPr>
      <t xml:space="preserve"> = 0.04</t>
    </r>
  </si>
  <si>
    <r>
      <t xml:space="preserve">B = 2 m, D = 0.05 m, </t>
    </r>
    <r>
      <rPr>
        <sz val="10"/>
        <rFont val="GreekC"/>
      </rPr>
      <t>l</t>
    </r>
    <r>
      <rPr>
        <sz val="10"/>
        <rFont val="Arial"/>
        <family val="2"/>
      </rPr>
      <t xml:space="preserve"> = 0.06</t>
    </r>
  </si>
  <si>
    <r>
      <t xml:space="preserve">B = 2 m, D = 0.05 m, </t>
    </r>
    <r>
      <rPr>
        <sz val="10"/>
        <rFont val="GreekC"/>
      </rPr>
      <t>l</t>
    </r>
    <r>
      <rPr>
        <sz val="10"/>
        <rFont val="Arial"/>
        <family val="2"/>
      </rPr>
      <t xml:space="preserve"> = 0.08</t>
    </r>
  </si>
  <si>
    <t>Bauteil Nr. 14:</t>
  </si>
  <si>
    <t>gg. beheizt</t>
  </si>
  <si>
    <t>gg. aussen</t>
  </si>
  <si>
    <t>gg. unbeheizt</t>
  </si>
  <si>
    <t>H = 1 m, D = 0.1 m, l = 0.035</t>
  </si>
  <si>
    <t>H = 1 m, D = 0.08 m, l = 0.06</t>
  </si>
  <si>
    <t>keine Randstreifendämmung</t>
  </si>
  <si>
    <r>
      <t>b</t>
    </r>
    <r>
      <rPr>
        <vertAlign val="subscript"/>
        <sz val="10"/>
        <rFont val="Arial"/>
        <family val="2"/>
      </rPr>
      <t>Boden, Randstr.</t>
    </r>
    <r>
      <rPr>
        <sz val="10"/>
        <rFont val="Arial"/>
        <family val="2"/>
      </rPr>
      <t xml:space="preserve"> =</t>
    </r>
  </si>
  <si>
    <t>Präsenzzeit pro Tag</t>
  </si>
  <si>
    <t>Blatt "UWert": Pascaltag-Methode: ergänzt mit 2 Isolationsschichten</t>
  </si>
  <si>
    <t>Blatt "Bau": N64-N72 und W64-W72 geändert: Wert wird auch ohne Lizenz eingesetzt</t>
  </si>
  <si>
    <t>http://www.hetag.ch</t>
  </si>
  <si>
    <t>(Luftmenge und WRG durch Eingabe von V'/EBFo auf Blatt "Projekt" definieren)</t>
  </si>
  <si>
    <t>Technische Angaben zur Wärmeerzeugung</t>
  </si>
  <si>
    <t>Nutzungsgrad:</t>
  </si>
  <si>
    <t>Deckungsgrad</t>
  </si>
  <si>
    <t>Typ:</t>
  </si>
  <si>
    <t>Jahresarbeitszahl:</t>
  </si>
  <si>
    <t>WKK</t>
  </si>
  <si>
    <t>Wirkungsgrad thermisch:</t>
  </si>
  <si>
    <t>Endenergie:</t>
  </si>
  <si>
    <t>Solarenergie thermisch</t>
  </si>
  <si>
    <t>Ertrag aus Photovoltaik</t>
  </si>
  <si>
    <t>Nennleistung:</t>
  </si>
  <si>
    <t>Wp</t>
  </si>
  <si>
    <t>kWh/Wp,a</t>
  </si>
  <si>
    <t>Netto-Jahresertrag pro Wp:</t>
  </si>
  <si>
    <r>
      <t>Netto-Jahresertrag pro m</t>
    </r>
    <r>
      <rPr>
        <vertAlign val="superscript"/>
        <sz val="10"/>
        <rFont val="Arial"/>
        <family val="2"/>
      </rPr>
      <t>2</t>
    </r>
    <r>
      <rPr>
        <sz val="10"/>
        <rFont val="Arial"/>
        <family val="2"/>
      </rPr>
      <t xml:space="preserve"> Absorberfläche:</t>
    </r>
  </si>
  <si>
    <t>Strombedarf:</t>
  </si>
  <si>
    <r>
      <t>Thermisch wirksamer Aussenluft-Volumenstrom V</t>
    </r>
    <r>
      <rPr>
        <vertAlign val="subscript"/>
        <sz val="10"/>
        <rFont val="Arial"/>
        <family val="2"/>
      </rPr>
      <t>th</t>
    </r>
  </si>
  <si>
    <r>
      <t>m</t>
    </r>
    <r>
      <rPr>
        <vertAlign val="superscript"/>
        <sz val="10"/>
        <rFont val="Arial"/>
        <family val="2"/>
      </rPr>
      <t>3</t>
    </r>
    <r>
      <rPr>
        <sz val="10"/>
        <rFont val="Arial"/>
        <family val="2"/>
      </rPr>
      <t>/h</t>
    </r>
  </si>
  <si>
    <r>
      <t>Q</t>
    </r>
    <r>
      <rPr>
        <vertAlign val="subscript"/>
        <sz val="9"/>
        <rFont val="Arial"/>
        <family val="2"/>
      </rPr>
      <t>h</t>
    </r>
  </si>
  <si>
    <t>Neues Blatt "GEAK": Schnittstelle zum GEAK (Gebäudeenergieausweis der Kantone)</t>
  </si>
  <si>
    <t>Korr. Aussentemp. Min-P:</t>
  </si>
  <si>
    <t>Blatt "Projekt": Zelle AV37: neue Variable Ta,korr (Korr. Ta bei Anforderung 1, MINERGIE-P)</t>
  </si>
  <si>
    <t>Wärmeleistungsbedarf MINERGIE-P  (Anforderung 1)</t>
  </si>
  <si>
    <t xml:space="preserve">Blatt "Leistung": Zellen J55+K55: neue Auslegungstemperatur MINERGIE-P mit Ta,korr </t>
  </si>
  <si>
    <t>Blatt "Leistung": Zellen C75+D75: spez. Leistungsbedarf MINERGIE-P neu ohne Lüftung.</t>
  </si>
  <si>
    <t>Flumroc-Dämmplatte PARA</t>
  </si>
  <si>
    <t>Klima spez</t>
  </si>
  <si>
    <t>Solothurn</t>
  </si>
  <si>
    <t>Zürich Stadt</t>
  </si>
  <si>
    <t>Thun</t>
  </si>
  <si>
    <t>Vättis</t>
  </si>
  <si>
    <t>Vicosoprano</t>
  </si>
  <si>
    <t>Walchwil</t>
  </si>
  <si>
    <t>Blatt "Leistung": Zelle K24: effektiver, thermisch aktiver Luftvolumenstrom einlesen von Blatt "Projekt", falls Eingabe</t>
  </si>
  <si>
    <t>Lizenznummer:</t>
  </si>
  <si>
    <r>
      <t>l</t>
    </r>
    <r>
      <rPr>
        <sz val="10"/>
        <rFont val="Arial"/>
        <family val="2"/>
      </rPr>
      <t xml:space="preserve"> </t>
    </r>
    <r>
      <rPr>
        <sz val="10"/>
        <rFont val="Arial"/>
        <family val="2"/>
      </rPr>
      <t>=</t>
    </r>
  </si>
  <si>
    <r>
      <t>R</t>
    </r>
    <r>
      <rPr>
        <vertAlign val="subscript"/>
        <sz val="10"/>
        <rFont val="Arial"/>
        <family val="2"/>
      </rPr>
      <t>se</t>
    </r>
    <r>
      <rPr>
        <sz val="10"/>
        <rFont val="Arial"/>
        <family val="2"/>
      </rPr>
      <t xml:space="preserve"> =</t>
    </r>
  </si>
  <si>
    <r>
      <t>U</t>
    </r>
    <r>
      <rPr>
        <vertAlign val="subscript"/>
        <sz val="10"/>
        <rFont val="Arial"/>
        <family val="2"/>
      </rPr>
      <t>bW</t>
    </r>
    <r>
      <rPr>
        <sz val="10"/>
        <rFont val="Arial"/>
        <family val="2"/>
      </rPr>
      <t xml:space="preserve"> =</t>
    </r>
  </si>
  <si>
    <t>Randstreifen waagrecht</t>
  </si>
  <si>
    <t>Randstreifen senkrecht</t>
  </si>
  <si>
    <t>Höhe m</t>
  </si>
  <si>
    <t>H = 1 m, D = 0.1 m, l = 0.04</t>
  </si>
  <si>
    <t>H = 1 m, D = 0.1 m, l = 0.06</t>
  </si>
  <si>
    <t>H = 1 m, D = 0.1 m, l = 0.08</t>
  </si>
  <si>
    <t>H = 1 m, D = 0.08 m, l = 0.03</t>
  </si>
  <si>
    <t>H = 1 m, D = 0.08 m, l = 0.04</t>
  </si>
  <si>
    <t>H = 1 m, D = 0.08 m, l = 0.08</t>
  </si>
  <si>
    <t>H = 1 m, D = 0.05 m, l = 0.03</t>
  </si>
  <si>
    <t>H = 1 m, D = 0.05 m, l = 0.04</t>
  </si>
  <si>
    <t>H = 1 m, D = 0.05 m, l = 0.06</t>
  </si>
  <si>
    <t>**** Polystyrol extrudiert (XPS) ****</t>
  </si>
  <si>
    <t>**** Polyurethan (PUR), Polyisocyanurat (PIR) ****</t>
  </si>
  <si>
    <t>**** Phenolharzschaum ****</t>
  </si>
  <si>
    <t>**** Holzwolle-Leichtbauplatten ****</t>
  </si>
  <si>
    <t>Bezeichnung Konstruktion 31</t>
  </si>
  <si>
    <r>
      <t>Q</t>
    </r>
    <r>
      <rPr>
        <vertAlign val="subscript"/>
        <sz val="9"/>
        <rFont val="Arial"/>
        <family val="2"/>
      </rPr>
      <t>ww</t>
    </r>
  </si>
  <si>
    <t>horizontale Luftschicht 5mm, Decke</t>
  </si>
  <si>
    <t xml:space="preserve">1/R = </t>
  </si>
  <si>
    <t>horizontale Luftschicht 10mm, Decke</t>
  </si>
  <si>
    <t>Eiche massiv, verleimt 40 mm</t>
  </si>
  <si>
    <t>T5</t>
  </si>
  <si>
    <t>Spanplatte 40 mm, beidseitig mit Aluminium beschichtet</t>
  </si>
  <si>
    <t>T6</t>
  </si>
  <si>
    <t>Aluminiumblech beidseitig, Wärmedämmung 20 mm</t>
  </si>
  <si>
    <t>T7</t>
  </si>
  <si>
    <t>horizontale Luftschicht 100mm, Boden</t>
  </si>
  <si>
    <t>Isolierbackstein, 15 cm</t>
  </si>
  <si>
    <t>Basel</t>
  </si>
  <si>
    <t>Innenputz, 2 cm</t>
  </si>
  <si>
    <t>Zementstein, 12 cm</t>
  </si>
  <si>
    <t>Zementstein, 15 cm</t>
  </si>
  <si>
    <t>Bellinzona</t>
  </si>
  <si>
    <t>Zementstein, 18 cm</t>
  </si>
  <si>
    <t>Zementmörtel (Überzug), 3 cm</t>
  </si>
  <si>
    <t>Bernina-Hospiz</t>
  </si>
  <si>
    <t>Zementmörtel (Überzug), 6 cm</t>
  </si>
  <si>
    <t>Bever</t>
  </si>
  <si>
    <t>Stahlbeton, 12 cm</t>
  </si>
  <si>
    <t>Biel</t>
  </si>
  <si>
    <t>Stahlbeton, 16 cm</t>
  </si>
  <si>
    <t>Stahlbeton, 20 cm</t>
  </si>
  <si>
    <t>Tabelle 12: Lüftungsverluste durch Fugen</t>
  </si>
  <si>
    <t>Château-d'OEx</t>
  </si>
  <si>
    <t>Chaumaont</t>
  </si>
  <si>
    <t>Wind-</t>
  </si>
  <si>
    <t>1. Decke gegen unbeheizt</t>
  </si>
  <si>
    <t>2. Decke gegen unbeheizt</t>
  </si>
  <si>
    <t>2. Wand gegen unbeheizt</t>
  </si>
  <si>
    <t>3. Wand gegen unbeheizt</t>
  </si>
  <si>
    <t>Türen gegen unbeheizt</t>
  </si>
  <si>
    <t>2. Wand gegen Erdreich</t>
  </si>
  <si>
    <t>Blatt "U-Wert": Bauteil 14: U-Wert gleich wie 13 bei Uebertrag von 14</t>
  </si>
  <si>
    <t>2. Boden gegen aussen</t>
  </si>
  <si>
    <t>1. Boden gegen aussen</t>
  </si>
  <si>
    <t>Elektrizitätsverbrauch pro Jahr</t>
  </si>
  <si>
    <t>Spezifizierte Produkte</t>
  </si>
  <si>
    <t>Qhtotal</t>
  </si>
  <si>
    <t>Kontrollkästchen Solar thermisch (gewünschter Deckungsgrad)</t>
  </si>
  <si>
    <t>Reduktionsfaktor Elektrizitätsverbrauch</t>
  </si>
  <si>
    <t>Aussenluft-Volumenstrom</t>
  </si>
  <si>
    <t>W/P</t>
  </si>
  <si>
    <t>h</t>
  </si>
  <si>
    <t>Blatt "Leistung": Leistung MINERGIE-P:  wenn keine Eingabe, wird Auslegungstemp TaMin</t>
  </si>
  <si>
    <t>Max. Vorlauftemperatur der Heizung:</t>
  </si>
  <si>
    <t xml:space="preserve">Tiefe im  </t>
  </si>
  <si>
    <t>Perimeter-</t>
  </si>
  <si>
    <t>länge</t>
  </si>
  <si>
    <t>Material Schicht 6</t>
  </si>
  <si>
    <t>Material Schicht 7</t>
  </si>
  <si>
    <t>U-Werte, Bauteil 1</t>
  </si>
  <si>
    <t>Wärmeübergang 1</t>
  </si>
  <si>
    <t>Wärmeübergang 2</t>
  </si>
  <si>
    <t>Auslegungstemperatur SIA 384/2</t>
  </si>
  <si>
    <t>Windklasse Klimastation SIA 384/2</t>
  </si>
  <si>
    <t>Luftschicht / Hinterlüftung</t>
  </si>
  <si>
    <t>lambda-Wert Schicht 1</t>
  </si>
  <si>
    <t>Zellulose, lose (N)</t>
  </si>
  <si>
    <t>(U=überwacht; N=nicht überwacht; S=spezifiziert)</t>
  </si>
  <si>
    <t>Luftmenge</t>
  </si>
  <si>
    <t>Strombedarf Lüftungsanlage</t>
  </si>
  <si>
    <t>Elektr. Leistungsaufnahme</t>
  </si>
  <si>
    <t>Wirkungsgrad WRG Lüftungsanlage</t>
  </si>
  <si>
    <r>
      <t>F</t>
    </r>
    <r>
      <rPr>
        <vertAlign val="subscript"/>
        <sz val="9"/>
        <rFont val="Arial"/>
        <family val="2"/>
      </rPr>
      <t xml:space="preserve">S </t>
    </r>
    <r>
      <rPr>
        <sz val="8"/>
        <rFont val="Arial"/>
        <family val="2"/>
      </rPr>
      <t xml:space="preserve"> ( = F</t>
    </r>
    <r>
      <rPr>
        <vertAlign val="subscript"/>
        <sz val="8"/>
        <rFont val="Arial"/>
        <family val="2"/>
      </rPr>
      <t xml:space="preserve">S1 </t>
    </r>
    <r>
      <rPr>
        <sz val="8"/>
        <rFont val="Arial"/>
        <family val="2"/>
      </rPr>
      <t>* F</t>
    </r>
    <r>
      <rPr>
        <vertAlign val="subscript"/>
        <sz val="8"/>
        <rFont val="Arial"/>
        <family val="2"/>
      </rPr>
      <t xml:space="preserve">S2 </t>
    </r>
    <r>
      <rPr>
        <sz val="8"/>
        <rFont val="Arial"/>
        <family val="2"/>
      </rPr>
      <t>* F</t>
    </r>
    <r>
      <rPr>
        <vertAlign val="subscript"/>
        <sz val="8"/>
        <rFont val="Arial"/>
        <family val="2"/>
      </rPr>
      <t xml:space="preserve">S3 </t>
    </r>
    <r>
      <rPr>
        <sz val="8"/>
        <rFont val="Arial"/>
        <family val="2"/>
      </rPr>
      <t>)</t>
    </r>
  </si>
  <si>
    <t xml:space="preserve">Flächengewichteter Mittelwert = </t>
  </si>
  <si>
    <t>SIA 380/1, Ver. 2007, Blatt "Nachweis" an Anforderungsprofil Ver 2.0a (23.4.2007) angepasst</t>
  </si>
  <si>
    <t>Randstreifen</t>
  </si>
  <si>
    <t>sehr leichte Bauweise (Industrie-Stahlbau)</t>
  </si>
  <si>
    <t>leichte Bauweise (Holz-Ständerbau)</t>
  </si>
  <si>
    <t xml:space="preserve">VIII: </t>
  </si>
  <si>
    <t xml:space="preserve">IX:   </t>
  </si>
  <si>
    <t xml:space="preserve">X:    </t>
  </si>
  <si>
    <t xml:space="preserve">XI:  </t>
  </si>
  <si>
    <t xml:space="preserve">XII: </t>
  </si>
  <si>
    <r>
      <t>m</t>
    </r>
    <r>
      <rPr>
        <vertAlign val="superscript"/>
        <sz val="10"/>
        <rFont val="Arial"/>
        <family val="2"/>
      </rPr>
      <t>2</t>
    </r>
    <r>
      <rPr>
        <sz val="10"/>
        <rFont val="Arial"/>
        <family val="2"/>
      </rPr>
      <t>/P</t>
    </r>
  </si>
  <si>
    <r>
      <t>MJ/m</t>
    </r>
    <r>
      <rPr>
        <vertAlign val="superscript"/>
        <sz val="10"/>
        <rFont val="Arial"/>
        <family val="2"/>
      </rPr>
      <t>2</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</si>
  <si>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</si>
  <si>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r>
      <t>H</t>
    </r>
    <r>
      <rPr>
        <vertAlign val="subscript"/>
        <sz val="10"/>
        <rFont val="Arial"/>
        <family val="2"/>
      </rPr>
      <t>g0</t>
    </r>
  </si>
  <si>
    <r>
      <t>D</t>
    </r>
    <r>
      <rPr>
        <sz val="10"/>
        <rFont val="Arial"/>
        <family val="2"/>
      </rPr>
      <t>H</t>
    </r>
    <r>
      <rPr>
        <vertAlign val="subscript"/>
        <sz val="10"/>
        <rFont val="Arial"/>
        <family val="2"/>
      </rPr>
      <t>g</t>
    </r>
  </si>
  <si>
    <r>
      <t>b</t>
    </r>
    <r>
      <rPr>
        <vertAlign val="subscript"/>
        <sz val="10"/>
        <rFont val="Arial"/>
        <family val="2"/>
      </rPr>
      <t>uR</t>
    </r>
    <r>
      <rPr>
        <sz val="10"/>
        <rFont val="Arial"/>
        <family val="2"/>
      </rPr>
      <t>, b</t>
    </r>
    <r>
      <rPr>
        <vertAlign val="subscript"/>
        <sz val="10"/>
        <rFont val="Arial"/>
        <family val="2"/>
      </rPr>
      <t>uW</t>
    </r>
    <r>
      <rPr>
        <sz val="10"/>
        <rFont val="Arial"/>
        <family val="2"/>
      </rPr>
      <t>, b</t>
    </r>
    <r>
      <rPr>
        <vertAlign val="subscript"/>
        <sz val="10"/>
        <rFont val="Arial"/>
        <family val="2"/>
      </rPr>
      <t>uF</t>
    </r>
  </si>
  <si>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</si>
  <si>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r>
      <t>m</t>
    </r>
    <r>
      <rPr>
        <vertAlign val="superscript"/>
        <sz val="10"/>
        <rFont val="Arial"/>
        <family val="2"/>
      </rPr>
      <t>2</t>
    </r>
    <r>
      <rPr>
        <sz val="10"/>
        <rFont val="Arial"/>
        <family val="2"/>
      </rPr>
      <t>/P</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</si>
  <si>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</si>
  <si>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t>1. Decke gegen beheizt</t>
  </si>
  <si>
    <t>2. Decke gegen beheizt</t>
  </si>
  <si>
    <t xml:space="preserve">1. Boden gegen beheizt </t>
  </si>
  <si>
    <r>
      <t>Wärmespeicherfähigkeit pro Energiebezugsfläche C/EBF</t>
    </r>
    <r>
      <rPr>
        <b/>
        <vertAlign val="subscript"/>
        <sz val="11"/>
        <rFont val="Arial"/>
        <family val="2"/>
      </rPr>
      <t>0</t>
    </r>
    <r>
      <rPr>
        <b/>
        <sz val="11"/>
        <rFont val="Arial"/>
        <family val="2"/>
      </rPr>
      <t xml:space="preserve"> (MJ/m</t>
    </r>
    <r>
      <rPr>
        <b/>
        <vertAlign val="superscript"/>
        <sz val="11"/>
        <rFont val="Arial"/>
        <family val="2"/>
      </rPr>
      <t>2</t>
    </r>
    <r>
      <rPr>
        <b/>
        <sz val="11"/>
        <rFont val="Arial"/>
        <family val="2"/>
      </rPr>
      <t>K)</t>
    </r>
  </si>
  <si>
    <t>Dämm-
stärke m</t>
  </si>
  <si>
    <t>Breite m</t>
  </si>
  <si>
    <t xml:space="preserve">Reduktionsfaktor für Wärmeverluste von Dach, Wand bzw.  </t>
  </si>
  <si>
    <t>Ausnutzungsgrad bei Verlusten &lt;=0: Blatt "M2" und "M3" neu wie bei "M1"</t>
  </si>
  <si>
    <r>
      <t>Boden gegen ungeheizte Räume b</t>
    </r>
    <r>
      <rPr>
        <b/>
        <vertAlign val="subscript"/>
        <sz val="11"/>
        <rFont val="Arial"/>
        <family val="2"/>
      </rPr>
      <t>uR</t>
    </r>
    <r>
      <rPr>
        <b/>
        <sz val="11"/>
        <rFont val="Arial"/>
        <family val="2"/>
      </rPr>
      <t>, b</t>
    </r>
    <r>
      <rPr>
        <b/>
        <vertAlign val="subscript"/>
        <sz val="11"/>
        <rFont val="Arial"/>
        <family val="2"/>
      </rPr>
      <t>uW</t>
    </r>
    <r>
      <rPr>
        <b/>
        <sz val="11"/>
        <rFont val="Arial"/>
        <family val="2"/>
      </rPr>
      <t>, b</t>
    </r>
    <r>
      <rPr>
        <b/>
        <vertAlign val="subscript"/>
        <sz val="11"/>
        <rFont val="Arial"/>
        <family val="2"/>
      </rPr>
      <t>uF</t>
    </r>
    <r>
      <rPr>
        <b/>
        <sz val="11"/>
        <rFont val="Arial"/>
        <family val="2"/>
      </rPr>
      <t xml:space="preserve"> (-)</t>
    </r>
  </si>
  <si>
    <t>(soll der zulässige Anteil erneuerbarer Energieen bei Anbauten anteilmässig reduziert werden?)</t>
  </si>
  <si>
    <t>PVC Filz</t>
  </si>
  <si>
    <t>Konstr. innen an Isolation</t>
  </si>
  <si>
    <t>Grundrisstyp Wohnung</t>
  </si>
  <si>
    <t>Tabelle 1: Massgebende Aussenklimata</t>
  </si>
  <si>
    <t>vorgelagerte H.k.</t>
  </si>
  <si>
    <t>W</t>
  </si>
  <si>
    <t>Nutzungen und Tabellen sia 380/1</t>
  </si>
  <si>
    <t>Tabellen für sia 384/2</t>
  </si>
  <si>
    <t>Kork, Platten, Matten (U)</t>
  </si>
  <si>
    <t>Kork, Platten, Matten (N)</t>
  </si>
  <si>
    <t>Aussentemperatur-Vorlauftemperaturregelung</t>
  </si>
  <si>
    <t>Informationen zur Ausgabe</t>
  </si>
  <si>
    <t>Kondensationstemperatur</t>
  </si>
  <si>
    <t>EBF</t>
  </si>
  <si>
    <t>W/mK</t>
  </si>
  <si>
    <t>Nr.</t>
  </si>
  <si>
    <t>Flächen</t>
  </si>
  <si>
    <t>Fenster</t>
  </si>
  <si>
    <t>Türe gegen aussen:</t>
  </si>
  <si>
    <t>Boden:</t>
  </si>
  <si>
    <t>Fehler1:</t>
  </si>
  <si>
    <t>doppelt</t>
  </si>
  <si>
    <t>No</t>
  </si>
  <si>
    <t>Blatt "U-Wert": Bauteil Nr. 14: Falscher Bezug in Zelle BD20: Fehler korrigiert</t>
  </si>
  <si>
    <t>Neues Blatt "Grafik"</t>
  </si>
  <si>
    <t>Wand Backstein, unterbr. Dämm, Wand/Dach je 0.35 W/m2K</t>
  </si>
  <si>
    <r>
      <t>DQ</t>
    </r>
    <r>
      <rPr>
        <vertAlign val="subscript"/>
        <sz val="10"/>
        <rFont val="Arial"/>
        <family val="2"/>
      </rPr>
      <t>i</t>
    </r>
  </si>
  <si>
    <t>Regel-Faktor Fg aus alter Version</t>
  </si>
  <si>
    <t>Ton oder Silt</t>
  </si>
  <si>
    <t>Sand oder Kies (feucht)</t>
  </si>
  <si>
    <t>l =</t>
  </si>
  <si>
    <t>20/12</t>
  </si>
  <si>
    <t>22/14</t>
  </si>
  <si>
    <t>Ta</t>
  </si>
  <si>
    <t>GH</t>
  </si>
  <si>
    <t>GS</t>
  </si>
  <si>
    <t>GE</t>
  </si>
  <si>
    <t>GW</t>
  </si>
  <si>
    <t>GN</t>
  </si>
  <si>
    <t>HT 10</t>
  </si>
  <si>
    <t>SIA 380/1, Ver. 2007, Blatt "Bauteile": Fenster-g-Werte angepasst</t>
  </si>
  <si>
    <r>
      <t xml:space="preserve">Regelungszuschlag zur Raumtemperatur </t>
    </r>
    <r>
      <rPr>
        <b/>
        <i/>
        <sz val="11"/>
        <rFont val="Symbol"/>
        <family val="1"/>
        <charset val="2"/>
      </rPr>
      <t>Dq</t>
    </r>
    <r>
      <rPr>
        <b/>
        <i/>
        <vertAlign val="subscript"/>
        <sz val="11"/>
        <rFont val="Times New Roman"/>
        <family val="1"/>
      </rPr>
      <t>i,g</t>
    </r>
  </si>
  <si>
    <t>Beton, Deckendämmeinlage, Wand/Dach je 0.25 W/m2K</t>
  </si>
  <si>
    <t>Beton, Deckendämmeinlage, Wand/Dach je 0.35 W/m2K</t>
  </si>
  <si>
    <t>SIA 380/1 und EN ISO 13370</t>
  </si>
  <si>
    <t>Zermatt  2028</t>
  </si>
  <si>
    <t>Schuls  2028</t>
  </si>
  <si>
    <t>Samedan  2028</t>
  </si>
  <si>
    <t>Robbia  2028</t>
  </si>
  <si>
    <t>Engelberg  2028</t>
  </si>
  <si>
    <t>keine Aenderung</t>
  </si>
  <si>
    <t>Optimierung</t>
  </si>
  <si>
    <t>Messwert</t>
  </si>
  <si>
    <t>Gebäudekategorien</t>
  </si>
  <si>
    <t xml:space="preserve">Blatt "Bau": Warnung: Fenster-Pull-Down ergänzt (auch wenn gelbes Feld leer) </t>
  </si>
  <si>
    <t>Boden gegen unbeheizt :</t>
  </si>
  <si>
    <t>Lucido / TWD:</t>
  </si>
  <si>
    <t>Süd</t>
  </si>
  <si>
    <t>Ost</t>
  </si>
  <si>
    <t>West</t>
  </si>
  <si>
    <t>Nord</t>
  </si>
  <si>
    <t>Gipskarton-Platten</t>
  </si>
  <si>
    <t>Gips-Bauplatten</t>
  </si>
  <si>
    <t>Beton (Stahlbeton, 1% Stahl)</t>
  </si>
  <si>
    <t>Ja</t>
  </si>
  <si>
    <t>Nein</t>
  </si>
  <si>
    <t>Vergleich Grundanforderung</t>
  </si>
  <si>
    <r>
      <t>Anforderung H</t>
    </r>
    <r>
      <rPr>
        <b/>
        <vertAlign val="subscript"/>
        <sz val="9"/>
        <rFont val="Arial"/>
        <family val="2"/>
      </rPr>
      <t>g</t>
    </r>
  </si>
  <si>
    <r>
      <t>Deckung Q</t>
    </r>
    <r>
      <rPr>
        <b/>
        <vertAlign val="subscript"/>
        <sz val="9"/>
        <rFont val="Arial"/>
        <family val="2"/>
      </rPr>
      <t>h</t>
    </r>
  </si>
  <si>
    <t>QW.Br</t>
  </si>
  <si>
    <t>Qh</t>
  </si>
  <si>
    <t>Qww</t>
  </si>
  <si>
    <t>2 Qe</t>
  </si>
  <si>
    <t>Blatt "erneuerbar": Neu Grundanforderung für verschiedene Nutzungszonen</t>
  </si>
  <si>
    <t>p:</t>
  </si>
  <si>
    <t>Genève</t>
  </si>
  <si>
    <t>Blatt "UWert", "Kondens", "Bauteile" und "Helas": Neu Bezüge für Bauteile bis Zeile 900</t>
  </si>
  <si>
    <t>Blatt "Helas": Neue, inhomogene Bauteile Nr. 20 und 21 in Schnittstelle ergänzt</t>
  </si>
  <si>
    <t>Blatt "Bauteile": Baustoffkennwerte aktuallisiert nach SIA, Stand 10.7.2008</t>
  </si>
  <si>
    <t>Projekt-Klassierung</t>
  </si>
  <si>
    <t>EBF0</t>
  </si>
  <si>
    <t>Bruttovolumen</t>
  </si>
  <si>
    <t>Nettovolumen</t>
  </si>
  <si>
    <t>Typ Wärmebrücke 1</t>
  </si>
  <si>
    <t>Typ Wärmebrücke 2</t>
  </si>
  <si>
    <t>Typ Wärmebrücke 3</t>
  </si>
  <si>
    <t>Typ Wärmebrücke 4</t>
  </si>
  <si>
    <t>Typ Wärmebrücke 5</t>
  </si>
  <si>
    <t>Typ Punkt-Wärmebrücke</t>
  </si>
  <si>
    <t>Länge Wärmebrücke 1</t>
  </si>
  <si>
    <t>Psi-Wert Wärmebrücke 1</t>
  </si>
  <si>
    <t>Länge Wärmebrücke 2</t>
  </si>
  <si>
    <t>Perimeter</t>
  </si>
  <si>
    <t>Innen-</t>
  </si>
  <si>
    <t>MJ/m2</t>
  </si>
  <si>
    <t>Graue</t>
  </si>
  <si>
    <t>Energie</t>
  </si>
  <si>
    <t>MJ/a</t>
  </si>
  <si>
    <t>Summe gesamt [MJ/a]</t>
  </si>
  <si>
    <r>
      <t>m</t>
    </r>
    <r>
      <rPr>
        <b/>
        <vertAlign val="superscript"/>
        <sz val="9"/>
        <rFont val="Arial"/>
        <family val="2"/>
      </rPr>
      <t>2</t>
    </r>
  </si>
  <si>
    <t>B6</t>
  </si>
  <si>
    <t>Elektroanlagen, mittlerer Installationsgrad</t>
  </si>
  <si>
    <t>Kennwert Graue Energie pro Fläche</t>
  </si>
  <si>
    <t>Berechnung der Grauen Energie für den MINERGIE-A - Nachweis</t>
  </si>
  <si>
    <t>Schnittstelle zum Programm Helas, Version 5.1</t>
  </si>
  <si>
    <t>Allgemeine Bauteile:</t>
  </si>
  <si>
    <t>Gasbetonsteine,  lambda 0.21</t>
  </si>
  <si>
    <t>Gipsputz,  lambda 0.58</t>
  </si>
  <si>
    <t>Gipsputz,  lambda 0.7</t>
  </si>
  <si>
    <t>Glas</t>
  </si>
  <si>
    <t>Modulbacksteine Einstein</t>
  </si>
  <si>
    <t>Modulbacksteine Verband</t>
  </si>
  <si>
    <t>Isolierbackstein</t>
  </si>
  <si>
    <t>Tonisolierbackstein</t>
  </si>
  <si>
    <t>Granit</t>
  </si>
  <si>
    <t>Sichtbackstein</t>
  </si>
  <si>
    <t>Gussasphalt</t>
  </si>
  <si>
    <t>Kaminstein</t>
  </si>
  <si>
    <t>Hohlblockstein (zementgeb. Holzspan)</t>
  </si>
  <si>
    <t>Holzboden (Kiefer)</t>
  </si>
  <si>
    <t>Holzfaserplatte, halbhart</t>
  </si>
  <si>
    <t>Klinkersteine</t>
  </si>
  <si>
    <t>Holzfaserplatte, hart</t>
  </si>
  <si>
    <t>Holzfaserplatte, porös</t>
  </si>
  <si>
    <t>Zementsteine</t>
  </si>
  <si>
    <t>Holzspan-Leichtbaustoffe (F=13%)</t>
  </si>
  <si>
    <t>Zementblocksteine</t>
  </si>
  <si>
    <t>Holzspanplatte,  lambda 0.11</t>
  </si>
  <si>
    <t>Holzspanplatte,  lambda 0.15</t>
  </si>
  <si>
    <t>Isolierbauplatte, zementgeb. Holzspan</t>
  </si>
  <si>
    <t>Kristaline Gesteine</t>
  </si>
  <si>
    <t>Kalkmörtel</t>
  </si>
  <si>
    <t>Marmor</t>
  </si>
  <si>
    <t>Sedimentgesteine</t>
  </si>
  <si>
    <t>Kalkzementmörtel</t>
  </si>
  <si>
    <t>Sandstein</t>
  </si>
  <si>
    <t>Muschelkalk</t>
  </si>
  <si>
    <t>Energiebedarf Neu- und Anbauten ohne Gewichtung</t>
  </si>
  <si>
    <t>Keramische Platten</t>
  </si>
  <si>
    <t>Nagelfluh</t>
  </si>
  <si>
    <t>Keramisches Mosaik</t>
  </si>
  <si>
    <t>Keller unbeheizt, Backsteinwand 0.2 W/m2K</t>
  </si>
  <si>
    <t>Keller unbeheizt, Backsteinwand 0.3 W/m2K</t>
  </si>
  <si>
    <t>Keller unbeheizt, Betonwand 0.2 W/m2K</t>
  </si>
  <si>
    <t>m **</t>
  </si>
  <si>
    <t>&gt; 0.5 m unter Erdreichniveau</t>
  </si>
  <si>
    <t>Blat "Bau": Warnungen: Wandheizung, Fenster-Pull-Down</t>
  </si>
  <si>
    <t>Balkon</t>
  </si>
  <si>
    <t>D5.4</t>
  </si>
  <si>
    <t>Lüftungsanlage Wohnen, Blechkanäle, inkl. Küchenabl.</t>
  </si>
  <si>
    <t>Lüftungsanlage Wohnen, PE-Kanäle, inkl. Küchenabl.</t>
  </si>
  <si>
    <t>Abluftanlage Küche und Bad</t>
  </si>
  <si>
    <t>Lüftungsanlage Büro, spez. Luftmenge 2 m3/hm</t>
  </si>
  <si>
    <t>Lüftungsanlage Büro, spez. Luftmenge 4 m3/hm</t>
  </si>
  <si>
    <t>Lüftungsanlage Büro, spez. Luftmenge 6 m3/hm</t>
  </si>
  <si>
    <t>Erdregister kurz, Büro (0.27m/m2 EBF)</t>
  </si>
  <si>
    <t>Erdregister lang, Büro (0.67m/m2 EBF)</t>
  </si>
  <si>
    <t>Sanitäranlagen Wohnen</t>
  </si>
  <si>
    <t>Sanitäranlagen Büro</t>
  </si>
  <si>
    <t>Aushub, inkl. Abtransport 30 km</t>
  </si>
  <si>
    <t>Aushub, inkl. Abtransport 30 km mit Grundwasser</t>
  </si>
  <si>
    <t>Baugrube:</t>
  </si>
  <si>
    <r>
      <t>m</t>
    </r>
    <r>
      <rPr>
        <vertAlign val="superscript"/>
        <sz val="10"/>
        <rFont val="Arial"/>
        <family val="2"/>
      </rPr>
      <t>3</t>
    </r>
  </si>
  <si>
    <t>Übertrag in MINERGIE-A - Nachweis:</t>
  </si>
  <si>
    <t>C2.2</t>
  </si>
  <si>
    <t>Beton tragend bis K32, roh 20cm, B 90kg/m3</t>
  </si>
  <si>
    <t>Beton tragend über K32, roh 20cm, B 105kg/m3</t>
  </si>
  <si>
    <t>Beton tragend über K32, roh 25cm, B 105kg/m3</t>
  </si>
  <si>
    <t>Mauerwerk tragend, zweischalig, BN15/SD4/BN15</t>
  </si>
  <si>
    <t>Mauerwerk tragend, zweischalig, KS15/SD4/KS15</t>
  </si>
  <si>
    <t>Mauerwerk tragend, BN15</t>
  </si>
  <si>
    <t>Mauerwerk tragend, KS15</t>
  </si>
  <si>
    <t>Balkon, Ortbeton auskragend 2.5m, d=24cm</t>
  </si>
  <si>
    <t>Balkon, Ortbeton auskragend 2.2m, d=20cm</t>
  </si>
  <si>
    <t>Balkon, Ortbeton auskragend 1.6m, d=16cm</t>
  </si>
  <si>
    <t>Balkon Stahlträger l=5m, b=2.5m, Beton d=18cm</t>
  </si>
  <si>
    <t>18cm Beton, 2cm TS, 2cm EPS, 7cm Zementüberzug</t>
  </si>
  <si>
    <t>20cm Beton, 2cm TS, 2cm EPS, 7cm Zementüberzug</t>
  </si>
  <si>
    <t>22cm Beton, 2cm TS, 2cm EPS, 7cm Zementüberzug</t>
  </si>
  <si>
    <t>26cm Beton, 2cm TS, 2cm EPS, 7cm Zementüberzug</t>
  </si>
  <si>
    <t>20cm Beton, 2cm TS, 10cm EPS, 7cm Zementüberzug</t>
  </si>
  <si>
    <t>22cm Beton, 2cm TS, 10cm EPS, 7cm Zementüberzug</t>
  </si>
  <si>
    <t>B09</t>
  </si>
  <si>
    <t>20cm Beton, 2cm TS, 16cm EPS, 7cm Zementüberzug</t>
  </si>
  <si>
    <t>Fensteranschlag</t>
  </si>
  <si>
    <t>Blatt "TAB": Neue Standardluftwechsel und El.-Verbrauch QE für MINERGIE-P</t>
  </si>
  <si>
    <t>Blatt "erneuerbar": Grenzwert Basel korrigiert</t>
  </si>
  <si>
    <t>Blatt "Bau": Zellen P46 / P65: neu minimaler b-Faktor 0.02 eingeführt. Formel angepasst.</t>
  </si>
  <si>
    <t>U-Werte, Bauteil 12</t>
  </si>
  <si>
    <t>Bezeichnung Bauteil 12</t>
  </si>
  <si>
    <t>U-Wert Bauteil 12</t>
  </si>
  <si>
    <t>Neues Blatt "GE" für die graue Energie für MINERGIE-A - Nachweis</t>
  </si>
  <si>
    <t xml:space="preserve">"UWert": Neue Eingabemöglichkeit für die graue Energie </t>
  </si>
  <si>
    <r>
      <t xml:space="preserve">B = 3 m, D = 0.05 m, </t>
    </r>
    <r>
      <rPr>
        <sz val="10"/>
        <rFont val="GreekC"/>
      </rPr>
      <t>l</t>
    </r>
    <r>
      <rPr>
        <sz val="10"/>
        <rFont val="Arial"/>
        <family val="2"/>
      </rPr>
      <t xml:space="preserve"> = 0.04</t>
    </r>
  </si>
  <si>
    <r>
      <t xml:space="preserve">B = 3 m, D = 0.05 m, </t>
    </r>
    <r>
      <rPr>
        <sz val="10"/>
        <rFont val="GreekC"/>
      </rPr>
      <t>l</t>
    </r>
    <r>
      <rPr>
        <sz val="10"/>
        <rFont val="Arial"/>
        <family val="2"/>
      </rPr>
      <t xml:space="preserve"> = 0.06</t>
    </r>
  </si>
  <si>
    <r>
      <t xml:space="preserve">B = 3 m, D = 0.05 m, </t>
    </r>
    <r>
      <rPr>
        <sz val="10"/>
        <rFont val="GreekC"/>
      </rPr>
      <t>l</t>
    </r>
    <r>
      <rPr>
        <sz val="10"/>
        <rFont val="Arial"/>
        <family val="2"/>
      </rPr>
      <t xml:space="preserve"> = 0.08</t>
    </r>
  </si>
  <si>
    <t>Ein- und Zweifamilienhäuser, Ein- und Zweifamilien-Ferienhäuser, Reihen-Einfamilienhäuser</t>
  </si>
  <si>
    <t>Verkaufsräume aller Art inkl. Einkaufszentren, Messegebäude</t>
  </si>
  <si>
    <t>Restaurants (inkl. Küchen), Cafeterias, Kantinen, Dancings, Diskotheken</t>
  </si>
  <si>
    <t>Um-/Altbau</t>
  </si>
  <si>
    <t>Auswahl</t>
  </si>
  <si>
    <t>gewählt</t>
  </si>
  <si>
    <t>ISO 13370</t>
  </si>
  <si>
    <t>Blatt "UWert": Kondensationswarnung nicht erschienen, da Reihenfolge Hinterlüftung neu</t>
  </si>
  <si>
    <t>Wärmespeicherfähigkeit</t>
  </si>
  <si>
    <t>Blatt "U-Wert": Pulldowns der Bauteile 3 und 13 sind  doppelt (sichtbar auf Ausdruck)</t>
  </si>
  <si>
    <t>Steinwolle, lose (N)</t>
  </si>
  <si>
    <t>Zellulose, Platten (N)</t>
  </si>
  <si>
    <t>Innenraumtemperatur</t>
  </si>
  <si>
    <t>Personenfläche (m2/P)</t>
  </si>
  <si>
    <t>Wärmeabgabe (W/P)</t>
  </si>
  <si>
    <t>Präsenzzeit pro Tag (h)</t>
  </si>
  <si>
    <t>Elektrizitätsverbrauch pro Jahr (MJ/m2)</t>
  </si>
  <si>
    <t>Boden gegen Erdreich :</t>
  </si>
  <si>
    <t>**** Putz ****:</t>
  </si>
  <si>
    <t>**** Steinwolle ****</t>
  </si>
  <si>
    <t>kondensation</t>
  </si>
  <si>
    <r>
      <t>f</t>
    </r>
    <r>
      <rPr>
        <b/>
        <vertAlign val="subscript"/>
        <sz val="10"/>
        <rFont val="Arial"/>
        <family val="2"/>
      </rPr>
      <t>Rsi,min</t>
    </r>
  </si>
  <si>
    <t>Schimmel-</t>
  </si>
  <si>
    <t>pilz</t>
  </si>
  <si>
    <t>Saas Fee</t>
  </si>
  <si>
    <t>San Bernardino</t>
  </si>
  <si>
    <t>Tabelle 15: Cheminee-Anlagen</t>
  </si>
  <si>
    <t>Grundrisstyp 1</t>
  </si>
  <si>
    <t>St. Moritz</t>
  </si>
  <si>
    <t>Grundrisstyp 2</t>
  </si>
  <si>
    <t>Santa Maria</t>
  </si>
  <si>
    <t>Grundrisstyp 3/4</t>
  </si>
  <si>
    <t>Sargans</t>
  </si>
  <si>
    <t>Oberflächen-</t>
  </si>
  <si>
    <t>SIA 380/1:2009, Kt. BS und BL: Neuer Grenzwert Qh,li 90% vom Grenzwert SIA</t>
  </si>
  <si>
    <t>Tabelle 14:  Rolladenkastenfaktor</t>
  </si>
  <si>
    <t>Rorschach</t>
  </si>
  <si>
    <t>Regelungszuschlag (K)</t>
  </si>
  <si>
    <t>Blatt "Helas": Neuer Regelungszuschlag (Zeile 72)</t>
  </si>
  <si>
    <t>Klimastation:</t>
  </si>
  <si>
    <t>Projekt:</t>
  </si>
  <si>
    <t>Projektadresse:</t>
  </si>
  <si>
    <t>Bauherrschaft:</t>
  </si>
  <si>
    <t>evtl. Vertreter:</t>
  </si>
  <si>
    <t>Wärmedämmprojekt:</t>
  </si>
  <si>
    <t>Nachweis:</t>
  </si>
  <si>
    <t>Innentemperatur</t>
  </si>
  <si>
    <t>Personenfläche</t>
  </si>
  <si>
    <t>Wärmeabgabe</t>
  </si>
  <si>
    <t>durchgehend betoniert, Wand Backstein 0.25 W/m2K</t>
  </si>
  <si>
    <t>Die monatsweisen U-Werte und g-Werte sind auf dem Blatt 'UWert' einzutragen.</t>
  </si>
  <si>
    <t>1. Boden:</t>
  </si>
  <si>
    <t>2. Boden:</t>
  </si>
  <si>
    <r>
      <t xml:space="preserve">B = 1 m, D = 0.1 m, </t>
    </r>
    <r>
      <rPr>
        <sz val="10"/>
        <rFont val="GreekC"/>
      </rPr>
      <t>l</t>
    </r>
    <r>
      <rPr>
        <sz val="10"/>
        <rFont val="Arial"/>
        <family val="2"/>
      </rPr>
      <t xml:space="preserve"> = 0.04</t>
    </r>
  </si>
  <si>
    <r>
      <t xml:space="preserve">B = 1 m, D = 0.1 m, </t>
    </r>
    <r>
      <rPr>
        <sz val="10"/>
        <rFont val="GreekC"/>
      </rPr>
      <t>l</t>
    </r>
    <r>
      <rPr>
        <sz val="10"/>
        <rFont val="Arial"/>
        <family val="2"/>
      </rPr>
      <t xml:space="preserve"> = 0.06</t>
    </r>
  </si>
  <si>
    <r>
      <t xml:space="preserve">B = 1 m, D = 0.1 m, </t>
    </r>
    <r>
      <rPr>
        <sz val="10"/>
        <rFont val="GreekC"/>
      </rPr>
      <t>l</t>
    </r>
    <r>
      <rPr>
        <sz val="10"/>
        <rFont val="Arial"/>
        <family val="2"/>
      </rPr>
      <t xml:space="preserve"> = 0.035</t>
    </r>
  </si>
  <si>
    <r>
      <t xml:space="preserve">B = 1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</si>
  <si>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0.04</t>
    </r>
  </si>
  <si>
    <r>
      <t xml:space="preserve">B = 1 m, D = 0.08 m, </t>
    </r>
    <r>
      <rPr>
        <sz val="10"/>
        <rFont val="GreekC"/>
      </rPr>
      <t>l</t>
    </r>
    <r>
      <rPr>
        <sz val="10"/>
        <rFont val="Arial"/>
        <family val="2"/>
      </rPr>
      <t xml:space="preserve"> = 0.06</t>
    </r>
  </si>
  <si>
    <r>
      <t xml:space="preserve">B = 1 m, D = 0.08 m, </t>
    </r>
    <r>
      <rPr>
        <sz val="10"/>
        <rFont val="GreekC"/>
      </rPr>
      <t>l</t>
    </r>
    <r>
      <rPr>
        <sz val="10"/>
        <rFont val="Arial"/>
        <family val="2"/>
      </rPr>
      <t xml:space="preserve"> = 0.08</t>
    </r>
  </si>
  <si>
    <r>
      <t xml:space="preserve">B = 2 m, D = 0.08 m, </t>
    </r>
    <r>
      <rPr>
        <sz val="10"/>
        <rFont val="GreekC"/>
      </rPr>
      <t>l</t>
    </r>
    <r>
      <rPr>
        <sz val="10"/>
        <rFont val="Arial"/>
        <family val="2"/>
      </rPr>
      <t xml:space="preserve"> = 0.04</t>
    </r>
  </si>
  <si>
    <r>
      <t xml:space="preserve">B = 2 m, D = 0.08 m, </t>
    </r>
    <r>
      <rPr>
        <sz val="10"/>
        <rFont val="GreekC"/>
      </rPr>
      <t>l</t>
    </r>
    <r>
      <rPr>
        <sz val="10"/>
        <rFont val="Arial"/>
        <family val="2"/>
      </rPr>
      <t xml:space="preserve"> = 0.06</t>
    </r>
  </si>
  <si>
    <t>HT 14</t>
  </si>
  <si>
    <t>HGT 22/14</t>
  </si>
  <si>
    <t>Zürich-Stadt</t>
  </si>
  <si>
    <t>U</t>
  </si>
  <si>
    <t>Genf</t>
  </si>
  <si>
    <t>A</t>
  </si>
  <si>
    <t>Davos</t>
  </si>
  <si>
    <t>Locarno-Monti</t>
  </si>
  <si>
    <t>St. Gallen</t>
  </si>
  <si>
    <t>T</t>
  </si>
  <si>
    <t>Blatt "Technik": Solarenergie thermisch (Division durch 0)</t>
  </si>
  <si>
    <t>b-Wert Bauteil 30</t>
  </si>
  <si>
    <t>b-Wert Bauteil 31</t>
  </si>
  <si>
    <t>1 =fehldnde Eingaben</t>
  </si>
  <si>
    <t>fg1</t>
  </si>
  <si>
    <t>fg2</t>
  </si>
  <si>
    <t>b'</t>
  </si>
  <si>
    <t>Neu: b-Wert Zuordnung zu Bauteilen für Schnittstelle zu Helas</t>
  </si>
  <si>
    <t>Wände</t>
  </si>
  <si>
    <t>Flachdach</t>
  </si>
  <si>
    <t>Transparente Wärmedämmung TWD / Lucido</t>
  </si>
  <si>
    <t>Monat</t>
  </si>
  <si>
    <t>Gebäudehüllenziffer</t>
  </si>
  <si>
    <t>Heizwärmebedarf</t>
  </si>
  <si>
    <t>0-100</t>
  </si>
  <si>
    <t>Basiswert für Grenzwert</t>
  </si>
  <si>
    <t>Warmwasserbedarf</t>
  </si>
  <si>
    <t>Zulässiger Energiebedarf</t>
  </si>
  <si>
    <t>Wärmebrückenzuschlag</t>
  </si>
  <si>
    <t>Strom Lüftung doppelt gewichtet</t>
  </si>
  <si>
    <t>Gewichteter Energiebedarf</t>
  </si>
  <si>
    <t>Erneuerbare Energie/Abwärme</t>
  </si>
  <si>
    <t>Ertrag:</t>
  </si>
  <si>
    <t>Wärme</t>
  </si>
  <si>
    <t>Strom</t>
  </si>
  <si>
    <t>Netto</t>
  </si>
  <si>
    <t>kWh/a</t>
  </si>
  <si>
    <t>(Negative</t>
  </si>
  <si>
    <t>Zahlen</t>
  </si>
  <si>
    <t>bedeuten</t>
  </si>
  <si>
    <t>Aufwand)</t>
  </si>
  <si>
    <t>Summe erneuerbare Energie</t>
  </si>
  <si>
    <t>Durch nichterneuerbare Energie gedeckt</t>
  </si>
  <si>
    <t>Vergleich</t>
  </si>
  <si>
    <t>Anforderung</t>
  </si>
  <si>
    <t>Deckung</t>
  </si>
  <si>
    <t xml:space="preserve">  &lt;-----&gt;</t>
  </si>
  <si>
    <t xml:space="preserve">VII: </t>
  </si>
  <si>
    <t xml:space="preserve">I:    </t>
  </si>
  <si>
    <t xml:space="preserve">II:  </t>
  </si>
  <si>
    <t xml:space="preserve">III:    </t>
  </si>
  <si>
    <t xml:space="preserve">IV:   </t>
  </si>
  <si>
    <t xml:space="preserve">V:    </t>
  </si>
  <si>
    <t xml:space="preserve">VI:   </t>
  </si>
  <si>
    <t>b-Wert Bauteil 21</t>
  </si>
  <si>
    <t>b-Wert Bauteil 22</t>
  </si>
  <si>
    <t>b-Wert Bauteil 23</t>
  </si>
  <si>
    <t>b-Wert Bauteil 24</t>
  </si>
  <si>
    <t>b-Wert Bauteil 25</t>
  </si>
  <si>
    <t>b-Wert Bauteil 26</t>
  </si>
  <si>
    <t>H = 3 m, D = 0.05 m, l = 0.08</t>
  </si>
  <si>
    <t>H = 5 m, D = 0.1 m, l = 0.035</t>
  </si>
  <si>
    <t>Ausrichtung (1: Nord-Ost;  2: Ost)</t>
  </si>
  <si>
    <t>Fenster, Bauteil Nr. 15</t>
  </si>
  <si>
    <t>Bezeichnung Fenster Nr. 15</t>
  </si>
  <si>
    <t>Fenster, Bauteil Nr. 16</t>
  </si>
  <si>
    <t>Bezeichnung Fenster Nr. 16</t>
  </si>
  <si>
    <t>Konstruktion Nr. 32</t>
  </si>
  <si>
    <t>Bezeichnung</t>
  </si>
  <si>
    <r>
      <t>%Q</t>
    </r>
    <r>
      <rPr>
        <vertAlign val="subscript"/>
        <sz val="9"/>
        <rFont val="Arial"/>
        <family val="2"/>
      </rPr>
      <t>h</t>
    </r>
  </si>
  <si>
    <r>
      <t>H</t>
    </r>
    <r>
      <rPr>
        <vertAlign val="subscript"/>
        <sz val="9"/>
        <rFont val="Arial"/>
        <family val="2"/>
      </rPr>
      <t>g0</t>
    </r>
  </si>
  <si>
    <t>Fabrikationsgebäude, Gewerbebauten, Werkstätten, Servicestationen, Werkhöfe, Bahnhöfe, Feuerwehrgebäude</t>
  </si>
  <si>
    <t>Lagerhallen, Verteilzentren</t>
  </si>
  <si>
    <t>Turn- und Sporthallen, Gymnastikräume, Tennishallen, Kegelbahnen, Fitnesszentren, Sportgarderobengebäude</t>
  </si>
  <si>
    <r>
      <t xml:space="preserve">B = 5 m, D = 0.05 m, </t>
    </r>
    <r>
      <rPr>
        <sz val="10"/>
        <rFont val="GreekC"/>
      </rPr>
      <t>l</t>
    </r>
    <r>
      <rPr>
        <sz val="10"/>
        <rFont val="Arial"/>
        <family val="2"/>
      </rPr>
      <t xml:space="preserve"> = 0.04</t>
    </r>
  </si>
  <si>
    <r>
      <t xml:space="preserve">B = 5 m, D = 0.05 m, </t>
    </r>
    <r>
      <rPr>
        <sz val="10"/>
        <rFont val="GreekC"/>
      </rPr>
      <t>l</t>
    </r>
    <r>
      <rPr>
        <sz val="10"/>
        <rFont val="Arial"/>
        <family val="2"/>
      </rPr>
      <t xml:space="preserve"> = 0.06</t>
    </r>
  </si>
  <si>
    <r>
      <t xml:space="preserve">B = 5 m, D = 0.05 m, </t>
    </r>
    <r>
      <rPr>
        <sz val="10"/>
        <rFont val="GreekC"/>
      </rPr>
      <t>l</t>
    </r>
    <r>
      <rPr>
        <sz val="10"/>
        <rFont val="Arial"/>
        <family val="2"/>
      </rPr>
      <t xml:space="preserve"> = 0.08</t>
    </r>
  </si>
  <si>
    <t>Neu: Default-Werte für Fs1, Fs2, Fs3, C/EBF, Gg, Thetah gemäss Liste CRDE</t>
  </si>
  <si>
    <t>Blatt "Klima": Wettersatz St.Gallen, Strahlungswerte angepasst</t>
  </si>
  <si>
    <t>durchgehend betoniert, Wand Backstein 0.15 W/m2K</t>
  </si>
  <si>
    <t>Blatt "Leistung": F10, Leichtbauzuschlag für Auslegungstemperatur neu nach Min-P</t>
  </si>
  <si>
    <r>
      <t xml:space="preserve">B = 2 m, D = 0.08 m, </t>
    </r>
    <r>
      <rPr>
        <sz val="10"/>
        <rFont val="GreekC"/>
      </rPr>
      <t>l</t>
    </r>
    <r>
      <rPr>
        <sz val="10"/>
        <rFont val="Arial"/>
        <family val="2"/>
      </rPr>
      <t xml:space="preserve"> = 0.08</t>
    </r>
  </si>
  <si>
    <r>
      <t xml:space="preserve">B = 3 m, D = 0.08 m, </t>
    </r>
    <r>
      <rPr>
        <sz val="10"/>
        <rFont val="GreekC"/>
      </rPr>
      <t>l</t>
    </r>
    <r>
      <rPr>
        <sz val="10"/>
        <rFont val="Arial"/>
        <family val="2"/>
      </rPr>
      <t xml:space="preserve"> = 0.04</t>
    </r>
  </si>
  <si>
    <r>
      <t xml:space="preserve">B = 3 m, D = 0.08 m, </t>
    </r>
    <r>
      <rPr>
        <sz val="10"/>
        <rFont val="GreekC"/>
      </rPr>
      <t>l</t>
    </r>
    <r>
      <rPr>
        <sz val="10"/>
        <rFont val="Arial"/>
        <family val="2"/>
      </rPr>
      <t xml:space="preserve"> = 0.06</t>
    </r>
  </si>
  <si>
    <r>
      <t xml:space="preserve">B = 3 m, D = 0.08 m, </t>
    </r>
    <r>
      <rPr>
        <sz val="10"/>
        <rFont val="GreekC"/>
      </rPr>
      <t>l</t>
    </r>
    <r>
      <rPr>
        <sz val="10"/>
        <rFont val="Arial"/>
        <family val="2"/>
      </rPr>
      <t xml:space="preserve"> = 0.08</t>
    </r>
  </si>
  <si>
    <r>
      <t xml:space="preserve">B = 5 m, D = 0.08 m, </t>
    </r>
    <r>
      <rPr>
        <sz val="10"/>
        <rFont val="GreekC"/>
      </rPr>
      <t>l</t>
    </r>
    <r>
      <rPr>
        <sz val="10"/>
        <rFont val="Arial"/>
        <family val="2"/>
      </rPr>
      <t xml:space="preserve"> = 0.04</t>
    </r>
  </si>
  <si>
    <r>
      <t xml:space="preserve">B = 5 m, D = 0.08 m, </t>
    </r>
    <r>
      <rPr>
        <sz val="10"/>
        <rFont val="GreekC"/>
      </rPr>
      <t>l</t>
    </r>
    <r>
      <rPr>
        <sz val="10"/>
        <rFont val="Arial"/>
        <family val="2"/>
      </rPr>
      <t xml:space="preserve"> = 0.06</t>
    </r>
  </si>
  <si>
    <r>
      <t xml:space="preserve">B = 5 m, D = 0.08 m, </t>
    </r>
    <r>
      <rPr>
        <sz val="10"/>
        <rFont val="GreekC"/>
      </rPr>
      <t>l</t>
    </r>
    <r>
      <rPr>
        <sz val="10"/>
        <rFont val="Arial"/>
        <family val="2"/>
      </rPr>
      <t xml:space="preserve"> = 0.08</t>
    </r>
  </si>
  <si>
    <r>
      <t xml:space="preserve">B = 8 m, D = 0.08 m, </t>
    </r>
    <r>
      <rPr>
        <sz val="10"/>
        <rFont val="GreekC"/>
      </rPr>
      <t>l</t>
    </r>
    <r>
      <rPr>
        <sz val="10"/>
        <rFont val="Arial"/>
        <family val="2"/>
      </rPr>
      <t xml:space="preserve"> = 0.04</t>
    </r>
  </si>
  <si>
    <r>
      <t xml:space="preserve">B = 8 m, D = 0.08 m, </t>
    </r>
    <r>
      <rPr>
        <sz val="10"/>
        <rFont val="GreekC"/>
      </rPr>
      <t>l</t>
    </r>
    <r>
      <rPr>
        <sz val="10"/>
        <rFont val="Arial"/>
        <family val="2"/>
      </rPr>
      <t xml:space="preserve"> = 0.06</t>
    </r>
  </si>
  <si>
    <r>
      <t xml:space="preserve">B = 8 m, D = 0.08 m, </t>
    </r>
    <r>
      <rPr>
        <sz val="10"/>
        <rFont val="GreekC"/>
      </rPr>
      <t>l</t>
    </r>
    <r>
      <rPr>
        <sz val="10"/>
        <rFont val="Arial"/>
        <family val="2"/>
      </rPr>
      <t xml:space="preserve"> = 0.08</t>
    </r>
  </si>
  <si>
    <r>
      <t xml:space="preserve">B = 2 m, D = 0.1 m, </t>
    </r>
    <r>
      <rPr>
        <sz val="10"/>
        <rFont val="GreekC"/>
      </rPr>
      <t>l</t>
    </r>
    <r>
      <rPr>
        <sz val="10"/>
        <rFont val="Arial"/>
        <family val="2"/>
      </rPr>
      <t xml:space="preserve"> = 0.04</t>
    </r>
  </si>
  <si>
    <r>
      <t xml:space="preserve">B = 2 m, D = 0.1 m, </t>
    </r>
    <r>
      <rPr>
        <sz val="10"/>
        <rFont val="GreekC"/>
      </rPr>
      <t>l</t>
    </r>
    <r>
      <rPr>
        <sz val="10"/>
        <rFont val="Arial"/>
        <family val="2"/>
      </rPr>
      <t xml:space="preserve"> = 0.06</t>
    </r>
  </si>
  <si>
    <r>
      <t xml:space="preserve">B = 2 m, D = 0.1 m, </t>
    </r>
    <r>
      <rPr>
        <sz val="10"/>
        <rFont val="GreekC"/>
      </rPr>
      <t>l</t>
    </r>
    <r>
      <rPr>
        <sz val="10"/>
        <rFont val="Arial"/>
        <family val="2"/>
      </rPr>
      <t xml:space="preserve"> = 0.08</t>
    </r>
  </si>
  <si>
    <r>
      <t xml:space="preserve">B = 3 m, D = 0.1 m, </t>
    </r>
    <r>
      <rPr>
        <sz val="10"/>
        <rFont val="GreekC"/>
      </rPr>
      <t>l</t>
    </r>
    <r>
      <rPr>
        <sz val="10"/>
        <rFont val="Arial"/>
        <family val="2"/>
      </rPr>
      <t xml:space="preserve"> = 0.04</t>
    </r>
  </si>
  <si>
    <r>
      <t xml:space="preserve">B = 3 m, D = 0.1 m, </t>
    </r>
    <r>
      <rPr>
        <sz val="10"/>
        <rFont val="GreekC"/>
      </rPr>
      <t>l</t>
    </r>
    <r>
      <rPr>
        <sz val="10"/>
        <rFont val="Arial"/>
        <family val="2"/>
      </rPr>
      <t xml:space="preserve"> = 0.06</t>
    </r>
  </si>
  <si>
    <r>
      <t xml:space="preserve">B = 3 m, D = 0.1 m, </t>
    </r>
    <r>
      <rPr>
        <sz val="10"/>
        <rFont val="GreekC"/>
      </rPr>
      <t>l</t>
    </r>
    <r>
      <rPr>
        <sz val="10"/>
        <rFont val="Arial"/>
        <family val="2"/>
      </rPr>
      <t xml:space="preserve"> = 0.08</t>
    </r>
  </si>
  <si>
    <r>
      <t xml:space="preserve">B = 5 m, D = 0.1 m, </t>
    </r>
    <r>
      <rPr>
        <sz val="10"/>
        <rFont val="GreekC"/>
      </rPr>
      <t>l</t>
    </r>
    <r>
      <rPr>
        <sz val="10"/>
        <rFont val="Arial"/>
        <family val="2"/>
      </rPr>
      <t xml:space="preserve"> = 0.04</t>
    </r>
  </si>
  <si>
    <r>
      <t xml:space="preserve">B = 5 m, D = 0.1 m, </t>
    </r>
    <r>
      <rPr>
        <sz val="10"/>
        <rFont val="GreekC"/>
      </rPr>
      <t>l</t>
    </r>
    <r>
      <rPr>
        <sz val="10"/>
        <rFont val="Arial"/>
        <family val="2"/>
      </rPr>
      <t xml:space="preserve"> = 0.06</t>
    </r>
  </si>
  <si>
    <r>
      <t xml:space="preserve">B = 5 m, D = 0.1 m, </t>
    </r>
    <r>
      <rPr>
        <sz val="10"/>
        <rFont val="GreekC"/>
      </rPr>
      <t>l</t>
    </r>
    <r>
      <rPr>
        <sz val="10"/>
        <rFont val="Arial"/>
        <family val="2"/>
      </rPr>
      <t xml:space="preserve"> = 0.08</t>
    </r>
  </si>
  <si>
    <r>
      <t xml:space="preserve">B = 8 m, D = 0.1 m, </t>
    </r>
    <r>
      <rPr>
        <sz val="10"/>
        <rFont val="GreekC"/>
      </rPr>
      <t>l</t>
    </r>
    <r>
      <rPr>
        <sz val="10"/>
        <rFont val="Arial"/>
        <family val="2"/>
      </rPr>
      <t xml:space="preserve"> = 0.04</t>
    </r>
  </si>
  <si>
    <t>Blatt "GEAK": Fehler in Schnittstelle, Fläche Westfenster falsch. Fehler behoben.</t>
  </si>
  <si>
    <t>Holz/Metall-Rahmen, mit Dichtung</t>
  </si>
  <si>
    <t>Rahmen mit besonderer Dichtung</t>
  </si>
  <si>
    <t>Muri AG</t>
  </si>
  <si>
    <t>Mürren</t>
  </si>
  <si>
    <t>Grundrisstyp</t>
  </si>
  <si>
    <t>Typ 1: 1 Fensterfasade</t>
  </si>
  <si>
    <t>Oberiberg</t>
  </si>
  <si>
    <t>Oeschenberg</t>
  </si>
  <si>
    <t>Tabelle 13: Rolladenkästen</t>
  </si>
  <si>
    <t>T innen =</t>
  </si>
  <si>
    <t>innenliegender RK, keine Abdichtung</t>
  </si>
  <si>
    <t>Rapperswil</t>
  </si>
  <si>
    <t>innenliegender RK, gute Abdichtung</t>
  </si>
  <si>
    <t>Rheinfelden</t>
  </si>
  <si>
    <t>aussenliegender RK, dichter innen-RK</t>
  </si>
  <si>
    <t>Rigi-Kulm</t>
  </si>
  <si>
    <t>G</t>
  </si>
  <si>
    <t>Blatt "Projekt": Fehler in Volumenberechnung behoben</t>
  </si>
  <si>
    <t>Holzrahmen ohne Dichtung</t>
  </si>
  <si>
    <t>Mont-Soleil</t>
  </si>
  <si>
    <t>September</t>
  </si>
  <si>
    <t>Oktober</t>
  </si>
  <si>
    <t>November</t>
  </si>
  <si>
    <t>Blatt "UWert" und "Kondens": Neue, inhomogene Bauteile 20 und 21</t>
  </si>
  <si>
    <t xml:space="preserve">2. Boden gegen unbeheizt </t>
  </si>
  <si>
    <t>Kontrollkästchen</t>
  </si>
  <si>
    <t xml:space="preserve">  : Eingabe der Fenster mit externem Fenster - Tool</t>
  </si>
  <si>
    <t>SIA 380/1, Ver. 2007, Nachträge 2009</t>
  </si>
  <si>
    <t>H = 2 m, D = 0.08 m, l = 0.06</t>
  </si>
  <si>
    <t>H = 2 m, D = 0.08 m, l = 0.08</t>
  </si>
  <si>
    <t>H = 2 m, D = 0.05 m, l = 0.03</t>
  </si>
  <si>
    <t>H = 2 m, D = 0.05 m, l = 0.04</t>
  </si>
  <si>
    <t>H = 2 m, D = 0.05 m, l = 0.06</t>
  </si>
  <si>
    <t>H = 2 m, D = 0.05 m, l = 0.08</t>
  </si>
  <si>
    <t>H = 3 m, D = 0.1 m, l = 0.035</t>
  </si>
  <si>
    <t>Langenbruck</t>
  </si>
  <si>
    <t>Einsiedeln</t>
  </si>
  <si>
    <t>Fribourg</t>
  </si>
  <si>
    <t>Sion</t>
  </si>
  <si>
    <t>Fey-Nendaz</t>
  </si>
  <si>
    <t>N</t>
  </si>
  <si>
    <t>Montana</t>
  </si>
  <si>
    <t>Delsberg</t>
  </si>
  <si>
    <t>H</t>
  </si>
  <si>
    <t>Neuchâtel</t>
  </si>
  <si>
    <t>Kreuzlingen</t>
  </si>
  <si>
    <t>Schaffhausen</t>
  </si>
  <si>
    <t>E</t>
  </si>
  <si>
    <t>Beznau</t>
  </si>
  <si>
    <t>F</t>
  </si>
  <si>
    <t>Bern</t>
  </si>
  <si>
    <t>Beatenberg</t>
  </si>
  <si>
    <t>Bitumen V60</t>
  </si>
  <si>
    <t>Bitumen F3 + J2 + V60</t>
  </si>
  <si>
    <t>Bitumen F3 + J2 +J2</t>
  </si>
  <si>
    <t>Material Schicht 1</t>
  </si>
  <si>
    <t>Material Schicht 2</t>
  </si>
  <si>
    <t>Material Schicht 3</t>
  </si>
  <si>
    <t>Material Schicht 4</t>
  </si>
  <si>
    <t>Material Schicht 5</t>
  </si>
  <si>
    <t>Keller unbeheizt, Beton, Isolation 50cm UK Decke</t>
  </si>
  <si>
    <t>Keller beheizt, Backsteinw, Isolation 50cm UK Decke</t>
  </si>
  <si>
    <t>Keller beheizt, Backsteinw, Isolation 80cm UK Decke</t>
  </si>
  <si>
    <t>Stützen, Träger:</t>
  </si>
  <si>
    <t>Sandiger Boden, feucht</t>
  </si>
  <si>
    <t>Kies</t>
  </si>
  <si>
    <t>Klinkerplatten</t>
  </si>
  <si>
    <t>Lehm, massiv</t>
  </si>
  <si>
    <t>Sand</t>
  </si>
  <si>
    <t>Marmorplatten</t>
  </si>
  <si>
    <t>Zementmörtel</t>
  </si>
  <si>
    <t>PVC Bahnen</t>
  </si>
  <si>
    <t>Heizwärmebedarf, gewichtet</t>
  </si>
  <si>
    <t>Fernwärme / andere erneuerbare</t>
  </si>
  <si>
    <t>Anteil =</t>
  </si>
  <si>
    <t>2-IV-IR, Glas U-Wert 1.3 W/m2K</t>
  </si>
  <si>
    <t>Januar</t>
  </si>
  <si>
    <t>Februar</t>
  </si>
  <si>
    <t>Bezeichnung Bauteil 10</t>
  </si>
  <si>
    <t>U-Wert Bauteil 10</t>
  </si>
  <si>
    <t>U-Werte, Bauteil 11</t>
  </si>
  <si>
    <t>Bezeichnung Bauteil 11</t>
  </si>
  <si>
    <t>kWh/m2a</t>
  </si>
  <si>
    <t>Deckungsgrad Solar thermisch</t>
  </si>
  <si>
    <t>ZH10a</t>
  </si>
  <si>
    <t>Blatt "erneuerbar": Zelle E12: EBF0 statt EBF. WW bei passiv beheizter EBF falsch. korrigiert</t>
  </si>
  <si>
    <t>thermisch wirksamer Aussenluft-Volumenstrom V'/EBFo</t>
  </si>
  <si>
    <t>Grenzwert Basel-Land / Basel-Stadt (80% SIA Grenzwert)</t>
  </si>
  <si>
    <t>Fensterblatt neu (zusätzliche Fenstereingabemöglichkeit)</t>
  </si>
  <si>
    <t>Wärmeleistungsbedarf ganzes Gebäude</t>
  </si>
  <si>
    <t>Meereshöhe Bau:</t>
  </si>
  <si>
    <t>m.ü.M.</t>
  </si>
  <si>
    <t>Meereshöhe Wetterstation:</t>
  </si>
  <si>
    <t>Höhenkorrketur:</t>
  </si>
  <si>
    <t>Leichtbauzuschlag:</t>
  </si>
  <si>
    <t>Massgebende Aussenlufttemperatur:</t>
  </si>
  <si>
    <t>Installiert</t>
  </si>
  <si>
    <t>Mittelwert</t>
  </si>
  <si>
    <t>Richtwert</t>
  </si>
  <si>
    <t>über 24 h</t>
  </si>
  <si>
    <t>Alle Bäder</t>
  </si>
  <si>
    <t>Alle WC</t>
  </si>
  <si>
    <t>Alle Küchen</t>
  </si>
  <si>
    <t>Kochnischen</t>
  </si>
  <si>
    <t>Lüftungsverluste</t>
  </si>
  <si>
    <t>Lüftungsverlust:</t>
  </si>
  <si>
    <t>Aufteilung der Transmission:</t>
  </si>
  <si>
    <t>Mittlere Raumhöhe:</t>
  </si>
  <si>
    <r>
      <t>1/</t>
    </r>
    <r>
      <rPr>
        <sz val="10"/>
        <rFont val="Arial"/>
        <family val="2"/>
      </rPr>
      <t>h</t>
    </r>
  </si>
  <si>
    <r>
      <t>Volumenstrom mechanische Lüftung V</t>
    </r>
    <r>
      <rPr>
        <vertAlign val="subscript"/>
        <sz val="10"/>
        <rFont val="Arial"/>
        <family val="2"/>
      </rPr>
      <t>sup</t>
    </r>
  </si>
  <si>
    <r>
      <t xml:space="preserve">Zuschlagswert </t>
    </r>
    <r>
      <rPr>
        <sz val="9"/>
        <rFont val="Symbol"/>
        <family val="1"/>
        <charset val="2"/>
      </rPr>
      <t>D</t>
    </r>
    <r>
      <rPr>
        <sz val="9"/>
        <rFont val="Arial"/>
        <family val="2"/>
      </rPr>
      <t>H</t>
    </r>
    <r>
      <rPr>
        <vertAlign val="subscript"/>
        <sz val="9"/>
        <rFont val="Arial"/>
        <family val="2"/>
      </rPr>
      <t>g</t>
    </r>
  </si>
  <si>
    <t>Nachweis des erneuerbaren Energieanteils und Optimierungen von mechanischen Lüftungsanlagen</t>
  </si>
  <si>
    <t>Decke gegen aussen+unbeheizt :</t>
  </si>
  <si>
    <t>Wand gegen aussen+unbeheizt :</t>
  </si>
  <si>
    <t>Wand gegen beheizt :</t>
  </si>
  <si>
    <t>Boden gegen aussen+unbeheizt :</t>
  </si>
  <si>
    <t xml:space="preserve">Sperrzeit: </t>
  </si>
  <si>
    <t>h / d</t>
  </si>
  <si>
    <t xml:space="preserve">Temperatur beheizter Nachbarraum: </t>
  </si>
  <si>
    <t xml:space="preserve">Temperatur beheizter Estrich: </t>
  </si>
  <si>
    <t xml:space="preserve">Temperatur beheizter Keller: </t>
  </si>
  <si>
    <t xml:space="preserve">Leistungsreserve Sperrzeit  </t>
  </si>
  <si>
    <t>Mittlere Aussentemperatur:</t>
  </si>
  <si>
    <t>kW</t>
  </si>
  <si>
    <t xml:space="preserve">Minimale Aussentemperatur: </t>
  </si>
  <si>
    <t xml:space="preserve">Raumtemperatur: </t>
  </si>
  <si>
    <t xml:space="preserve">Transmission  </t>
  </si>
  <si>
    <t xml:space="preserve">Lüftung  </t>
  </si>
  <si>
    <t xml:space="preserve">Wärmeleistungsbedarf  </t>
  </si>
  <si>
    <t>Fenster Süd :</t>
  </si>
  <si>
    <t>Kondensationsblatt neu</t>
  </si>
  <si>
    <t>CR</t>
  </si>
  <si>
    <t>Blatt "Fenster": Fehler in letztem Bauteil bei U-Wert und g-Wert behoben</t>
  </si>
  <si>
    <t>&lt; 2 cm Wärmedämmung</t>
  </si>
  <si>
    <t>T aussen =</t>
  </si>
  <si>
    <t>Feuchtigkeit innen =</t>
  </si>
  <si>
    <t>Feuchtigkeit aussen =</t>
  </si>
  <si>
    <t>Gebäudekategorie:</t>
  </si>
  <si>
    <t>VI</t>
  </si>
  <si>
    <t>VII</t>
  </si>
  <si>
    <t>VIII</t>
  </si>
  <si>
    <t>IX</t>
  </si>
  <si>
    <t>X</t>
  </si>
  <si>
    <t>XI</t>
  </si>
  <si>
    <t>XII</t>
  </si>
  <si>
    <t>Funktion:</t>
  </si>
  <si>
    <t>Mitteltemp. Heizperiode Thetae :</t>
  </si>
  <si>
    <t>Globalstrahlung Süd:</t>
  </si>
  <si>
    <t>Wand gegen beheizt:</t>
  </si>
  <si>
    <t>Temp Nachb:</t>
  </si>
  <si>
    <r>
      <t>b</t>
    </r>
    <r>
      <rPr>
        <vertAlign val="subscript"/>
        <sz val="10"/>
        <rFont val="Arial"/>
        <family val="2"/>
      </rPr>
      <t>Wand</t>
    </r>
    <r>
      <rPr>
        <sz val="10"/>
        <rFont val="Arial"/>
        <family val="2"/>
      </rPr>
      <t>=</t>
    </r>
  </si>
  <si>
    <t>senkrecht</t>
  </si>
  <si>
    <t>waagrecht</t>
  </si>
  <si>
    <r>
      <t>U</t>
    </r>
    <r>
      <rPr>
        <vertAlign val="subscript"/>
        <sz val="10"/>
        <rFont val="Arial"/>
        <family val="2"/>
      </rPr>
      <t>f</t>
    </r>
    <r>
      <rPr>
        <sz val="10"/>
        <rFont val="Arial"/>
        <family val="2"/>
      </rPr>
      <t xml:space="preserve"> =</t>
    </r>
  </si>
  <si>
    <r>
      <t>U</t>
    </r>
    <r>
      <rPr>
        <vertAlign val="subscript"/>
        <sz val="10"/>
        <rFont val="Arial"/>
        <family val="2"/>
      </rPr>
      <t>bF</t>
    </r>
    <r>
      <rPr>
        <sz val="10"/>
        <rFont val="Arial"/>
        <family val="2"/>
      </rPr>
      <t xml:space="preserve"> =</t>
    </r>
  </si>
  <si>
    <t>ohne Randst.</t>
  </si>
  <si>
    <t>mit Randstr.</t>
  </si>
  <si>
    <r>
      <t>R</t>
    </r>
    <r>
      <rPr>
        <vertAlign val="subscript"/>
        <sz val="10"/>
        <rFont val="Arial"/>
        <family val="2"/>
      </rPr>
      <t>n</t>
    </r>
    <r>
      <rPr>
        <sz val="10"/>
        <rFont val="Arial"/>
        <family val="2"/>
      </rPr>
      <t xml:space="preserve"> =</t>
    </r>
  </si>
  <si>
    <r>
      <t>m</t>
    </r>
    <r>
      <rPr>
        <vertAlign val="superscript"/>
        <sz val="10"/>
        <rFont val="Arial"/>
        <family val="2"/>
      </rPr>
      <t>2</t>
    </r>
    <r>
      <rPr>
        <sz val="10"/>
        <rFont val="Arial"/>
        <family val="2"/>
      </rPr>
      <t>K/W</t>
    </r>
  </si>
  <si>
    <r>
      <t>d</t>
    </r>
    <r>
      <rPr>
        <vertAlign val="subscript"/>
        <sz val="10"/>
        <rFont val="Arial"/>
        <family val="2"/>
      </rPr>
      <t>n</t>
    </r>
    <r>
      <rPr>
        <sz val="10"/>
        <rFont val="Arial"/>
        <family val="2"/>
      </rPr>
      <t xml:space="preserve"> =</t>
    </r>
  </si>
  <si>
    <t>H = 3 m, D = 0.1 m, l = 0.04</t>
  </si>
  <si>
    <t>H = 3 m, D = 0.1 m, l = 0.06</t>
  </si>
  <si>
    <t>H = 3 m, D = 0.1 m, l = 0.08</t>
  </si>
  <si>
    <r>
      <t>%Q</t>
    </r>
    <r>
      <rPr>
        <vertAlign val="subscript"/>
        <sz val="9"/>
        <rFont val="Arial"/>
        <family val="2"/>
      </rPr>
      <t>ww</t>
    </r>
  </si>
  <si>
    <t>Warmwasserbedarf, gewichtet</t>
  </si>
  <si>
    <t>Blatt "erneuerbar": Neue Gewichtungsfaktor Elektrodirektheizung WW = 2</t>
  </si>
  <si>
    <t>priv. und öff. Bürobauten, Schalterhallen, Arztpraxen, Bibliotheken, Ateliers, Ausstellungsbauten, Kulturzentren, Fernsehgebäude, Filmstudios</t>
  </si>
  <si>
    <t>Blatt "Nachweis": Neu Grenzwert nach MINERGIE-P eingefügt</t>
  </si>
  <si>
    <t>% der genutzen Abwärme</t>
  </si>
  <si>
    <t>% der benötigten Endenergie</t>
  </si>
  <si>
    <t>Kontrollkästchen WKK</t>
  </si>
  <si>
    <t>Wand an isol. Kellerdecke, Bodenheizung, 0.3 W/m2K</t>
  </si>
  <si>
    <t>Wand an isol. Kellerdecke, ohne Bodenheizung, 0.2 W/m2K</t>
  </si>
  <si>
    <t>Wand an isol. Kellerdecke, ohne Bodenheizung, 0.3W/m2K</t>
  </si>
  <si>
    <t>Wärmebrücken auf Blatt Bauteil selbst ergänzbar</t>
  </si>
  <si>
    <t>Schulen aller Stufen, Kindergärten, Ausbildungszentren, Kongressgebäude, Labors, Forschungsinstitute, Gemeinschaftsräume, Freizeitanlagen</t>
  </si>
  <si>
    <t>Winkel</t>
  </si>
  <si>
    <t>Holzwolle - Platten (U), lambda 0.089</t>
  </si>
  <si>
    <t>Holzwolle-Deckschichten 7.5mm (N), l. 0.125</t>
  </si>
  <si>
    <t>Holzwolle-Deckschichten 10mm (N), l. 0.10</t>
  </si>
  <si>
    <t>Holzwolle-Deckschichten 5mm (N), l. 0.15</t>
  </si>
  <si>
    <t>Holzfaserdämmplatte (U), lambda 0.065</t>
  </si>
  <si>
    <t>Blatt "U-Wert": Inhomogene Bauteile: Neu Luftspalt in einem Bauteil möglich</t>
  </si>
  <si>
    <t>Holzfaserdämmplatte (N), lambda 0.080</t>
  </si>
  <si>
    <t>Holzfaserdämmplatte (N), lambda 0.110</t>
  </si>
  <si>
    <t>Flachsfaserplatte (N)</t>
  </si>
  <si>
    <t>Schilfrohrplatten (N)</t>
  </si>
  <si>
    <t>Kokosfasermatten (N)</t>
  </si>
  <si>
    <t>Baumwolle (N)</t>
  </si>
  <si>
    <t>Schafwolle (N)</t>
  </si>
  <si>
    <t xml:space="preserve">Klimastationen </t>
  </si>
  <si>
    <t>nach Kantonen und alphabetisch geordnet</t>
  </si>
  <si>
    <t>Klimastation</t>
  </si>
  <si>
    <t>Nummer</t>
  </si>
  <si>
    <t>Klimastationen: Pull-Downs und Auswahlfeld</t>
  </si>
  <si>
    <t>Keller unbeheizt, Betonwand 0.3 W/m2K</t>
  </si>
  <si>
    <t>Liechtenstein:</t>
  </si>
  <si>
    <t>Volumen Baueingabe:</t>
  </si>
  <si>
    <t>Volumen</t>
  </si>
  <si>
    <t>m3</t>
  </si>
  <si>
    <t>Kanton (1:leer, 2:alle, 3:AG, 4:AI,  5:AA, 6:BE, 7:BL, 8:BS, 9:FR, 10:GE, 11:GL, 12:GR, 13:JU, 14:LU, 15:NE, 16:NW, 17:OW, 18:SG, 19:SH, 20:SO, 21:SZ, 22:TG, 23:TI, 24:UR, 25:VD, 26:VS, 27:ZG, 28:ZH, 29:FL)</t>
  </si>
  <si>
    <t>Nummer der Klimastation für Nachweis</t>
  </si>
  <si>
    <t>Name der Klimastation für Nachweis</t>
  </si>
  <si>
    <t>Nummer der Klimastation für Bauphysik / SIA 384/2</t>
  </si>
  <si>
    <t>Name der Klimastation für Bauphysik / SIA 384/2</t>
  </si>
  <si>
    <t>maximaler U-Wert</t>
  </si>
  <si>
    <t>minimaler g-Wert</t>
  </si>
  <si>
    <t>Konstruktion Nr. 33</t>
  </si>
  <si>
    <t>Konstruktion Nr. 34</t>
  </si>
  <si>
    <t>Konstruktion Nr. 35</t>
  </si>
  <si>
    <t>Konstruktionen 20-31</t>
  </si>
  <si>
    <t>Neues Blatt "Helas": Schnittstelle zum Programm Helas</t>
  </si>
  <si>
    <t>T3</t>
  </si>
  <si>
    <t>Fichte massiv, verleimt 40 mm</t>
  </si>
  <si>
    <t>T4</t>
  </si>
  <si>
    <t>Flächenanteil Fenster + Türen an EBF:</t>
  </si>
  <si>
    <r>
      <t>l</t>
    </r>
    <r>
      <rPr>
        <sz val="10"/>
        <rFont val="Arial"/>
        <family val="2"/>
      </rPr>
      <t xml:space="preserve"> - Wert Dämmstoff</t>
    </r>
  </si>
  <si>
    <r>
      <t>l</t>
    </r>
    <r>
      <rPr>
        <sz val="10"/>
        <rFont val="Arial"/>
        <family val="2"/>
      </rPr>
      <t xml:space="preserve"> - Wert Erdreich</t>
    </r>
  </si>
  <si>
    <t>In Dämmschicht, ohne Flankendämmung, Stahl</t>
  </si>
  <si>
    <t>In Dämmschicht, ohne Flankendämmung, Beton</t>
  </si>
  <si>
    <t>Massive metallische Einzelkonsolen in Dämmschicht</t>
  </si>
  <si>
    <t>1. Abschnitt</t>
  </si>
  <si>
    <t>2. Abschnitt</t>
  </si>
  <si>
    <r>
      <t>J</t>
    </r>
    <r>
      <rPr>
        <b/>
        <vertAlign val="subscript"/>
        <sz val="12"/>
        <rFont val="Arial"/>
        <family val="2"/>
      </rPr>
      <t>oi</t>
    </r>
  </si>
  <si>
    <t>%</t>
  </si>
  <si>
    <t>Inhomogene Bauteile:</t>
  </si>
  <si>
    <t>Rj</t>
  </si>
  <si>
    <t>Ro</t>
  </si>
  <si>
    <t>Ru</t>
  </si>
  <si>
    <t>Rtot</t>
  </si>
  <si>
    <t>Länge des Abschnittes L1</t>
  </si>
  <si>
    <r>
      <t>m</t>
    </r>
    <r>
      <rPr>
        <vertAlign val="superscript"/>
        <sz val="9"/>
        <rFont val="Arial"/>
        <family val="2"/>
      </rPr>
      <t>3</t>
    </r>
    <r>
      <rPr>
        <sz val="9"/>
        <rFont val="Arial"/>
        <family val="2"/>
      </rPr>
      <t>/m</t>
    </r>
    <r>
      <rPr>
        <vertAlign val="superscript"/>
        <sz val="9"/>
        <rFont val="Arial"/>
        <family val="2"/>
      </rPr>
      <t>2</t>
    </r>
    <r>
      <rPr>
        <sz val="9"/>
        <rFont val="Arial"/>
        <family val="2"/>
      </rPr>
      <t>h</t>
    </r>
  </si>
  <si>
    <r>
      <t xml:space="preserve">B = 8 m, D = 0.05 m, </t>
    </r>
    <r>
      <rPr>
        <sz val="10"/>
        <rFont val="GreekC"/>
      </rPr>
      <t>l</t>
    </r>
    <r>
      <rPr>
        <sz val="10"/>
        <rFont val="Arial"/>
        <family val="2"/>
      </rPr>
      <t xml:space="preserve"> = 0.04</t>
    </r>
  </si>
  <si>
    <r>
      <t xml:space="preserve">B = 8 m, D = 0.05 m, </t>
    </r>
    <r>
      <rPr>
        <sz val="10"/>
        <rFont val="GreekC"/>
      </rPr>
      <t>l</t>
    </r>
    <r>
      <rPr>
        <sz val="10"/>
        <rFont val="Arial"/>
        <family val="2"/>
      </rPr>
      <t xml:space="preserve"> = 0.06</t>
    </r>
  </si>
  <si>
    <t>Hallenbäder, Lehrschwimmbecken, Saunagebäude, Heilbäder</t>
  </si>
  <si>
    <t>Blatt "M3": Elektrizitätsverbrauch MINERGIE wie Standarnachweis "M1"</t>
  </si>
  <si>
    <t>Balkonplatte:</t>
  </si>
  <si>
    <t>Gebäudekanten mit unterbrochener Dämmschicht</t>
  </si>
  <si>
    <t>Blatt "M2" und "M3": Zeile 49, Wärmegewinne TWD/Lucido falsch. Nur dt-Version. Korrigiert</t>
  </si>
  <si>
    <r>
      <t>Luftdurchlässigkeit Gebäudehülle bei stillstehender Anlage V</t>
    </r>
    <r>
      <rPr>
        <vertAlign val="subscript"/>
        <sz val="10"/>
        <rFont val="Arial"/>
        <family val="2"/>
      </rPr>
      <t>0</t>
    </r>
  </si>
  <si>
    <t>HS</t>
  </si>
  <si>
    <t>Marsens</t>
  </si>
  <si>
    <t>Bauteile</t>
  </si>
  <si>
    <t xml:space="preserve">Aufheizreserve + Verteilverluste  </t>
  </si>
  <si>
    <t>Berechnung der Reduktiondfaktoren gegen das Erdreich</t>
  </si>
  <si>
    <t>nach Norm SN EN ISO 13370</t>
  </si>
  <si>
    <t>homogener Felsen</t>
  </si>
  <si>
    <t>Charakteristisches Bodenplattenmass 1</t>
  </si>
  <si>
    <t>Blatt "Klima": Wettersatz Bern, Strahlung Horizontal angepasst</t>
  </si>
  <si>
    <t>Charakteristisches Bodenplattenmass 2</t>
  </si>
  <si>
    <t>Ubf1 dt1+z1/2&lt;&gt;B'1</t>
  </si>
  <si>
    <t>Ubf2 dt2+z2/2&lt;&gt;B'2</t>
  </si>
  <si>
    <t>Ubw1  dw1&lt;&gt;dt1</t>
  </si>
  <si>
    <t>Baujahr Projekt</t>
  </si>
  <si>
    <t>Bauherrschaft</t>
  </si>
  <si>
    <t>Blatt "Fenster": Fensterflächen werden nur noch mit einer Dezimalstelle angegeben</t>
  </si>
  <si>
    <t>Mehrfamilienhäuser, Alterssiedlungen und -wohnungen, Hotels, Mehrfamilien-Ferienhäuser, Heime, Drogenstationen, Kasernen, Strafanstalten</t>
  </si>
  <si>
    <t>H: Gesamtwärmeverlust:</t>
  </si>
  <si>
    <t>I: Wärmegewinn:</t>
  </si>
  <si>
    <t>Solarer Wärmegewinn horizontal:</t>
  </si>
  <si>
    <t>Wärmegewinn-/Verlust-Verhältnis:</t>
  </si>
  <si>
    <t>Zeitkonstante:</t>
  </si>
  <si>
    <t>a:</t>
  </si>
  <si>
    <t>K: Heizwärmebedarf:</t>
  </si>
  <si>
    <t>a / l</t>
  </si>
  <si>
    <t>R</t>
  </si>
  <si>
    <t>Verglasung oder Spezialfenster:</t>
  </si>
  <si>
    <t>Rahmenmaterialgruppe:</t>
  </si>
  <si>
    <t>Türen:</t>
  </si>
  <si>
    <t>Konstruktionen:</t>
  </si>
  <si>
    <t>Gebäudekategorie</t>
  </si>
  <si>
    <t>Klimadaten</t>
  </si>
  <si>
    <t>d/a</t>
  </si>
  <si>
    <t>HGT 18/10</t>
  </si>
  <si>
    <t>Kd/a</t>
  </si>
  <si>
    <t>durchgehend betoniert, Wand Beton 0.25 W/m2K</t>
  </si>
  <si>
    <t>durchgehend betoniert, Wand Beton 0.35 W/m2K</t>
  </si>
  <si>
    <t>durchgehend betoniert, Wand Beton 0.15 W/m2K</t>
  </si>
  <si>
    <t>Boden/Keller-Innenwand</t>
  </si>
  <si>
    <t>Dach/Wand</t>
  </si>
  <si>
    <t>Stk.</t>
  </si>
  <si>
    <t>Beton, Deckendämmeinlage, Wand/Dach je 0.15 W/m2K</t>
  </si>
  <si>
    <t>Blatt "Bauteile": Zellen J28-K33: FF-Wert-Eingabe entfernt (neu über Blatt "Fenster")</t>
  </si>
  <si>
    <t>mit gedämmten Baustahlkorbeinlagen</t>
  </si>
  <si>
    <t>mit gedämmten Edelstahlkorb, Wand 0.15 W/m2K</t>
  </si>
  <si>
    <t>mit gedämmten Edelstahlkorb, Wand 0.25 W/m2K</t>
  </si>
  <si>
    <t>mit gedämmten Edelstahlkorb, Wand 0.35 W/m2K</t>
  </si>
  <si>
    <t>Höhe H</t>
  </si>
  <si>
    <t>Breite B</t>
  </si>
  <si>
    <t>Seitenblende</t>
  </si>
  <si>
    <r>
      <t xml:space="preserve"> </t>
    </r>
    <r>
      <rPr>
        <b/>
        <sz val="10"/>
        <rFont val="Symbol"/>
        <family val="1"/>
        <charset val="2"/>
      </rPr>
      <t>a</t>
    </r>
  </si>
  <si>
    <t>(bezüglich Fassadenmitte)</t>
  </si>
  <si>
    <t>Seite 7 von 8 Seiten</t>
  </si>
  <si>
    <t>Seite 8 von 8 Seiten</t>
  </si>
  <si>
    <t>beidseitig?</t>
  </si>
  <si>
    <t>beidseitig</t>
  </si>
  <si>
    <r>
      <t>F</t>
    </r>
    <r>
      <rPr>
        <b/>
        <vertAlign val="subscript"/>
        <sz val="8"/>
        <rFont val="Arial"/>
        <family val="2"/>
      </rPr>
      <t>S4</t>
    </r>
  </si>
  <si>
    <t>Total / Gemittelte Werte:</t>
  </si>
  <si>
    <r>
      <t xml:space="preserve">B = 8 m, D = 0.05 m, </t>
    </r>
    <r>
      <rPr>
        <sz val="10"/>
        <rFont val="GreekC"/>
      </rPr>
      <t>l</t>
    </r>
    <r>
      <rPr>
        <sz val="10"/>
        <rFont val="Arial"/>
        <family val="2"/>
      </rPr>
      <t xml:space="preserve"> = 0.08</t>
    </r>
  </si>
  <si>
    <t>A =</t>
  </si>
  <si>
    <t>P =</t>
  </si>
  <si>
    <r>
      <t>m</t>
    </r>
    <r>
      <rPr>
        <vertAlign val="superscript"/>
        <sz val="10"/>
        <rFont val="Arial"/>
        <family val="2"/>
      </rPr>
      <t>2</t>
    </r>
    <r>
      <rPr>
        <sz val="10"/>
        <rFont val="Arial"/>
        <family val="2"/>
      </rPr>
      <t>K/W</t>
    </r>
  </si>
  <si>
    <t>w =</t>
  </si>
  <si>
    <t>D =</t>
  </si>
  <si>
    <t>Wärmebrücken:</t>
  </si>
  <si>
    <t>m2</t>
  </si>
  <si>
    <t>Energiebezugsfläche EBF :</t>
  </si>
  <si>
    <t>W/m2K</t>
  </si>
  <si>
    <t>Temperatur unbeheizter Raum :</t>
  </si>
  <si>
    <t>Standard Freie Wärme/Verluste:</t>
  </si>
  <si>
    <t>Standard-Gewinnfaktor fg:</t>
  </si>
  <si>
    <t>Standard-Wärmegewinn Qg :</t>
  </si>
  <si>
    <t>Fenster:</t>
  </si>
  <si>
    <t>(Ja / Nein)</t>
  </si>
  <si>
    <t>G: Lüftungswärmeverlust:</t>
  </si>
  <si>
    <t>Aluminium-Legierungen</t>
  </si>
  <si>
    <t>Asphalt</t>
  </si>
  <si>
    <t>Beton (Dichte 1800)</t>
  </si>
  <si>
    <t>Beton (Dichte 2000)</t>
  </si>
  <si>
    <t>Beton (Dichte 2200)</t>
  </si>
  <si>
    <t>Beton (Dichte 2400)</t>
  </si>
  <si>
    <t>Beton mit Leichtzuschlägen (Dichte 1000)</t>
  </si>
  <si>
    <t>Beton mit Leichtzuschlägen (Dichte 1250)</t>
  </si>
  <si>
    <t>Beton mit Leichtzuschlägen (Dichte 1500)</t>
  </si>
  <si>
    <t>Beton mit Leichtzuschlägen (Dichte 1700)</t>
  </si>
  <si>
    <t>Blei</t>
  </si>
  <si>
    <t>Bronze</t>
  </si>
  <si>
    <t>****Fussbodenbelag****</t>
  </si>
  <si>
    <t>Gummi</t>
  </si>
  <si>
    <t>Kunststoff</t>
  </si>
  <si>
    <t>poröser Gummi od Kunststoff</t>
  </si>
  <si>
    <t>Filzunterlage</t>
  </si>
  <si>
    <t>Wollunterlage</t>
  </si>
  <si>
    <t>Korkunterlage</t>
  </si>
  <si>
    <t>Korkfliesen</t>
  </si>
  <si>
    <t>Linoleum</t>
  </si>
  <si>
    <t>Gips (Dichte 600)</t>
  </si>
  <si>
    <t>Gips (Dichte 900)</t>
  </si>
  <si>
    <t>Verschattungsfaktoren  Seitenblende (Fs3)</t>
  </si>
  <si>
    <t>° Seitenblende</t>
  </si>
  <si>
    <r>
      <t>F</t>
    </r>
    <r>
      <rPr>
        <b/>
        <vertAlign val="subscript"/>
        <sz val="10"/>
        <color indexed="9"/>
        <rFont val="Arial"/>
        <family val="2"/>
      </rPr>
      <t>s3</t>
    </r>
  </si>
  <si>
    <t>Verschattungsfaktoren  Horizont (Fs1)</t>
  </si>
  <si>
    <t>° Horizont</t>
  </si>
  <si>
    <r>
      <t>F</t>
    </r>
    <r>
      <rPr>
        <b/>
        <vertAlign val="subscript"/>
        <sz val="10"/>
        <color indexed="9"/>
        <rFont val="Arial"/>
        <family val="2"/>
      </rPr>
      <t>s1</t>
    </r>
  </si>
  <si>
    <t>°</t>
  </si>
  <si>
    <r>
      <t>F</t>
    </r>
    <r>
      <rPr>
        <b/>
        <vertAlign val="subscript"/>
        <sz val="8"/>
        <rFont val="Arial"/>
        <family val="2"/>
      </rPr>
      <t>F</t>
    </r>
    <r>
      <rPr>
        <b/>
        <sz val="8"/>
        <rFont val="Arial"/>
        <family val="2"/>
      </rPr>
      <t>-Wert:</t>
    </r>
  </si>
  <si>
    <r>
      <t>m</t>
    </r>
    <r>
      <rPr>
        <vertAlign val="superscript"/>
        <sz val="8"/>
        <rFont val="Arial"/>
        <family val="2"/>
      </rPr>
      <t>2</t>
    </r>
  </si>
  <si>
    <r>
      <t>g</t>
    </r>
    <r>
      <rPr>
        <b/>
        <sz val="8"/>
        <rFont val="Arial"/>
        <family val="2"/>
      </rPr>
      <t>-Wert:</t>
    </r>
  </si>
  <si>
    <t>Fläche:</t>
  </si>
  <si>
    <t>Anzahl:</t>
  </si>
  <si>
    <t>HT 12</t>
  </si>
  <si>
    <t>HGT 20/12</t>
  </si>
  <si>
    <t>U-Wert Bauteil 1</t>
  </si>
  <si>
    <t>I:   Wohnen MFH</t>
  </si>
  <si>
    <t>II:  Wohnen EFH</t>
  </si>
  <si>
    <t>V:  Verkauf</t>
  </si>
  <si>
    <t>IV:  Schulen</t>
  </si>
  <si>
    <t>VI:  Restaurants</t>
  </si>
  <si>
    <r>
      <t>IsH</t>
    </r>
    <r>
      <rPr>
        <sz val="10"/>
        <color indexed="8"/>
        <rFont val="Arial"/>
        <family val="2"/>
      </rPr>
      <t/>
    </r>
  </si>
  <si>
    <t>Klimatdaten: Neu Meiringen</t>
  </si>
  <si>
    <t>Blatt "Leistung": Neue Berechnung Auslegungsleistung nach MINERGIE-P</t>
  </si>
  <si>
    <t>Ingenieur- und Planungsbüro</t>
  </si>
  <si>
    <t>IX:   Industrie</t>
  </si>
  <si>
    <t>X:    Lager</t>
  </si>
  <si>
    <t>XI:   Sportbauten</t>
  </si>
  <si>
    <t>XII:  Hallenbäder</t>
  </si>
  <si>
    <t>Projektart "Umnutzung" gelöscht, da gleich wie Umbau</t>
  </si>
  <si>
    <t>Nutzungsart mit römischer Nummer ergänzt</t>
  </si>
  <si>
    <t>Nachweisblatt unter "Energiebezugsfläche und Grenzwert" Hg auf 80% für BS und BL</t>
  </si>
  <si>
    <t>Bezeichnung Konstruktion 27</t>
  </si>
  <si>
    <t>U-Wert Konstruktion 27</t>
  </si>
  <si>
    <t>Bezeichnung Konstruktion 28</t>
  </si>
  <si>
    <t>U-Wert Konstruktion 28</t>
  </si>
  <si>
    <t>Bezeichnung Konstruktion 29</t>
  </si>
  <si>
    <t>Bezeichnung Bauteil 7</t>
  </si>
  <si>
    <t>U-Wert Bauteil 7</t>
  </si>
  <si>
    <t>U-Werte, Bauteil 8</t>
  </si>
  <si>
    <t>Bezeichnung Bauteil 8</t>
  </si>
  <si>
    <t>U-Wert Bauteil 8</t>
  </si>
  <si>
    <t>U-Werte, Bauteil 9</t>
  </si>
  <si>
    <t>Bezeichnung Bauteil 9</t>
  </si>
  <si>
    <r>
      <t>Boden gegen Erdreich:</t>
    </r>
    <r>
      <rPr>
        <sz val="10"/>
        <rFont val="Arial"/>
        <family val="2"/>
      </rPr>
      <t xml:space="preserve"> b-Wert SIA 380/1</t>
    </r>
  </si>
  <si>
    <t>d [cm]</t>
  </si>
  <si>
    <t>Windklassen:</t>
  </si>
  <si>
    <t>Windklasse für freie Lage</t>
  </si>
  <si>
    <r>
      <t xml:space="preserve">Aussenputz </t>
    </r>
    <r>
      <rPr>
        <sz val="9"/>
        <rFont val="Symbol"/>
        <family val="1"/>
        <charset val="2"/>
      </rPr>
      <t>m</t>
    </r>
    <r>
      <rPr>
        <sz val="9"/>
        <rFont val="Arial"/>
        <family val="2"/>
      </rPr>
      <t>=25</t>
    </r>
  </si>
  <si>
    <t>Ein- und Ausgabeblätter anonym bei Wettbewerben:</t>
  </si>
  <si>
    <t>Wettbewerb</t>
  </si>
  <si>
    <t>Anonymer Nachweis, falls Projektname mit "Wettbewerb" beginnt</t>
  </si>
  <si>
    <r>
      <t xml:space="preserve">Anhydrit-Putzmörtel </t>
    </r>
    <r>
      <rPr>
        <sz val="9"/>
        <rFont val="Symbol"/>
        <family val="1"/>
        <charset val="2"/>
      </rPr>
      <t>m</t>
    </r>
    <r>
      <rPr>
        <sz val="9"/>
        <rFont val="Arial"/>
        <family val="2"/>
      </rPr>
      <t>=10</t>
    </r>
  </si>
  <si>
    <r>
      <t xml:space="preserve">Gipsgrundputz </t>
    </r>
    <r>
      <rPr>
        <sz val="9"/>
        <rFont val="Symbol"/>
        <family val="1"/>
        <charset val="2"/>
      </rPr>
      <t>m</t>
    </r>
    <r>
      <rPr>
        <sz val="9"/>
        <rFont val="Arial"/>
        <family val="2"/>
      </rPr>
      <t>=10</t>
    </r>
  </si>
  <si>
    <r>
      <t xml:space="preserve">Gipsputzmörtel </t>
    </r>
    <r>
      <rPr>
        <sz val="9"/>
        <rFont val="Symbol"/>
        <family val="1"/>
        <charset val="2"/>
      </rPr>
      <t>m</t>
    </r>
    <r>
      <rPr>
        <sz val="9"/>
        <rFont val="Arial"/>
        <family val="2"/>
      </rPr>
      <t>=10</t>
    </r>
  </si>
  <si>
    <r>
      <t xml:space="preserve">Grundputz LZ </t>
    </r>
    <r>
      <rPr>
        <sz val="9"/>
        <rFont val="Symbol"/>
        <family val="1"/>
        <charset val="2"/>
      </rPr>
      <t>m</t>
    </r>
    <r>
      <rPr>
        <sz val="9"/>
        <rFont val="Arial"/>
        <family val="2"/>
      </rPr>
      <t>=12</t>
    </r>
  </si>
  <si>
    <r>
      <t xml:space="preserve">Innenputz </t>
    </r>
    <r>
      <rPr>
        <sz val="9"/>
        <rFont val="Symbol"/>
        <family val="1"/>
        <charset val="2"/>
      </rPr>
      <t>m</t>
    </r>
    <r>
      <rPr>
        <sz val="9"/>
        <rFont val="Arial"/>
        <family val="2"/>
      </rPr>
      <t>=8</t>
    </r>
  </si>
  <si>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</si>
  <si>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</si>
  <si>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r>
      <t xml:space="preserve">Kalkgrundputz LKG </t>
    </r>
    <r>
      <rPr>
        <sz val="9"/>
        <rFont val="Symbol"/>
        <family val="1"/>
        <charset val="2"/>
      </rPr>
      <t>m</t>
    </r>
    <r>
      <rPr>
        <sz val="9"/>
        <rFont val="Arial"/>
        <family val="2"/>
      </rPr>
      <t>=10</t>
    </r>
  </si>
  <si>
    <r>
      <t xml:space="preserve">Kalkputzmörtel </t>
    </r>
    <r>
      <rPr>
        <sz val="9"/>
        <rFont val="Symbol"/>
        <family val="1"/>
        <charset val="2"/>
      </rPr>
      <t>m</t>
    </r>
    <r>
      <rPr>
        <sz val="9"/>
        <rFont val="Arial"/>
        <family val="2"/>
      </rPr>
      <t>=15</t>
    </r>
  </si>
  <si>
    <r>
      <t xml:space="preserve">Kalkputzmörtel </t>
    </r>
    <r>
      <rPr>
        <sz val="9"/>
        <rFont val="Symbol"/>
        <family val="1"/>
        <charset val="2"/>
      </rPr>
      <t>m</t>
    </r>
    <r>
      <rPr>
        <sz val="9"/>
        <rFont val="Arial"/>
        <family val="2"/>
      </rPr>
      <t>=35</t>
    </r>
  </si>
  <si>
    <r>
      <t xml:space="preserve">Kalkzement-Putzmörtel </t>
    </r>
    <r>
      <rPr>
        <sz val="9"/>
        <rFont val="Symbol"/>
        <family val="1"/>
        <charset val="2"/>
      </rPr>
      <t>m</t>
    </r>
    <r>
      <rPr>
        <sz val="9"/>
        <rFont val="Arial"/>
        <family val="2"/>
      </rPr>
      <t>=15</t>
    </r>
  </si>
  <si>
    <r>
      <t xml:space="preserve">Kalkzement-Putzmörtel </t>
    </r>
    <r>
      <rPr>
        <sz val="9"/>
        <rFont val="Symbol"/>
        <family val="1"/>
        <charset val="2"/>
      </rPr>
      <t>m</t>
    </r>
    <r>
      <rPr>
        <sz val="9"/>
        <rFont val="Arial"/>
        <family val="2"/>
      </rPr>
      <t>=35</t>
    </r>
  </si>
  <si>
    <r>
      <t xml:space="preserve">Gipsputz </t>
    </r>
    <r>
      <rPr>
        <sz val="9"/>
        <rFont val="Symbol"/>
        <family val="1"/>
        <charset val="2"/>
      </rPr>
      <t>m</t>
    </r>
    <r>
      <rPr>
        <sz val="9"/>
        <rFont val="Arial"/>
        <family val="2"/>
      </rPr>
      <t>=10</t>
    </r>
  </si>
  <si>
    <r>
      <t xml:space="preserve">Kunstharzputz </t>
    </r>
    <r>
      <rPr>
        <sz val="9"/>
        <rFont val="Symbol"/>
        <family val="1"/>
        <charset val="2"/>
      </rPr>
      <t>m</t>
    </r>
    <r>
      <rPr>
        <sz val="9"/>
        <rFont val="Arial"/>
        <family val="2"/>
      </rPr>
      <t>=50</t>
    </r>
  </si>
  <si>
    <r>
      <t xml:space="preserve">Kunstharzputz </t>
    </r>
    <r>
      <rPr>
        <sz val="9"/>
        <rFont val="Symbol"/>
        <family val="1"/>
        <charset val="2"/>
      </rPr>
      <t>m</t>
    </r>
    <r>
      <rPr>
        <sz val="9"/>
        <rFont val="Arial"/>
        <family val="2"/>
      </rPr>
      <t>=140</t>
    </r>
  </si>
  <si>
    <r>
      <t xml:space="preserve">Kunstharzputz </t>
    </r>
    <r>
      <rPr>
        <sz val="9"/>
        <rFont val="Symbol"/>
        <family val="1"/>
        <charset val="2"/>
      </rPr>
      <t>m</t>
    </r>
    <r>
      <rPr>
        <sz val="9"/>
        <rFont val="Arial"/>
        <family val="2"/>
      </rPr>
      <t>=200</t>
    </r>
  </si>
  <si>
    <r>
      <t xml:space="preserve">Leichtputz </t>
    </r>
    <r>
      <rPr>
        <sz val="9"/>
        <rFont val="Symbol"/>
        <family val="1"/>
        <charset val="2"/>
      </rPr>
      <t>m</t>
    </r>
    <r>
      <rPr>
        <sz val="9"/>
        <rFont val="Arial"/>
        <family val="2"/>
      </rPr>
      <t>=15</t>
    </r>
  </si>
  <si>
    <r>
      <t xml:space="preserve">Leichtputz </t>
    </r>
    <r>
      <rPr>
        <sz val="9"/>
        <rFont val="Symbol"/>
        <family val="1"/>
        <charset val="2"/>
      </rPr>
      <t>m</t>
    </r>
    <r>
      <rPr>
        <sz val="9"/>
        <rFont val="Arial"/>
        <family val="2"/>
      </rPr>
      <t>=20</t>
    </r>
  </si>
  <si>
    <r>
      <t xml:space="preserve">Putzmörtel </t>
    </r>
    <r>
      <rPr>
        <sz val="9"/>
        <rFont val="Symbol"/>
        <family val="1"/>
        <charset val="2"/>
      </rPr>
      <t>m</t>
    </r>
    <r>
      <rPr>
        <sz val="9"/>
        <rFont val="Arial"/>
        <family val="2"/>
      </rPr>
      <t>=10</t>
    </r>
  </si>
  <si>
    <r>
      <t xml:space="preserve">Putzmörtel </t>
    </r>
    <r>
      <rPr>
        <sz val="9"/>
        <rFont val="Symbol"/>
        <family val="1"/>
        <charset val="2"/>
      </rPr>
      <t>m</t>
    </r>
    <r>
      <rPr>
        <sz val="9"/>
        <rFont val="Arial"/>
        <family val="2"/>
      </rPr>
      <t>=15</t>
    </r>
  </si>
  <si>
    <r>
      <t xml:space="preserve">Putzmörtel </t>
    </r>
    <r>
      <rPr>
        <sz val="9"/>
        <rFont val="Symbol"/>
        <family val="1"/>
        <charset val="2"/>
      </rPr>
      <t>m</t>
    </r>
    <r>
      <rPr>
        <sz val="9"/>
        <rFont val="Arial"/>
        <family val="2"/>
      </rPr>
      <t>=35</t>
    </r>
  </si>
  <si>
    <r>
      <t xml:space="preserve">Wärmedämmputz </t>
    </r>
    <r>
      <rPr>
        <sz val="9"/>
        <rFont val="Symbol"/>
        <family val="1"/>
        <charset val="2"/>
      </rPr>
      <t>m</t>
    </r>
    <r>
      <rPr>
        <sz val="9"/>
        <rFont val="Arial"/>
        <family val="2"/>
      </rPr>
      <t>=5</t>
    </r>
  </si>
  <si>
    <r>
      <t xml:space="preserve">Wärmedämmputz </t>
    </r>
    <r>
      <rPr>
        <sz val="9"/>
        <rFont val="Symbol"/>
        <family val="1"/>
        <charset val="2"/>
      </rPr>
      <t>m</t>
    </r>
    <r>
      <rPr>
        <sz val="9"/>
        <rFont val="Arial"/>
        <family val="2"/>
      </rPr>
      <t>=8</t>
    </r>
  </si>
  <si>
    <r>
      <t xml:space="preserve">Wärmedämmputz </t>
    </r>
    <r>
      <rPr>
        <sz val="9"/>
        <rFont val="Symbol"/>
        <family val="1"/>
        <charset val="2"/>
      </rPr>
      <t>m</t>
    </r>
    <r>
      <rPr>
        <sz val="9"/>
        <rFont val="Arial"/>
        <family val="2"/>
      </rPr>
      <t>=20</t>
    </r>
  </si>
  <si>
    <r>
      <t xml:space="preserve">Silikatputz </t>
    </r>
    <r>
      <rPr>
        <sz val="9"/>
        <rFont val="Symbol"/>
        <family val="1"/>
        <charset val="2"/>
      </rPr>
      <t>m</t>
    </r>
    <r>
      <rPr>
        <sz val="9"/>
        <rFont val="Arial"/>
        <family val="2"/>
      </rPr>
      <t>=30</t>
    </r>
  </si>
  <si>
    <r>
      <t xml:space="preserve">Silikonharzputz </t>
    </r>
    <r>
      <rPr>
        <sz val="9"/>
        <rFont val="Symbol"/>
        <family val="1"/>
        <charset val="2"/>
      </rPr>
      <t>m</t>
    </r>
    <r>
      <rPr>
        <sz val="9"/>
        <rFont val="Arial"/>
        <family val="2"/>
      </rPr>
      <t>=55</t>
    </r>
  </si>
  <si>
    <r>
      <t xml:space="preserve">Sperrputz </t>
    </r>
    <r>
      <rPr>
        <sz val="9"/>
        <rFont val="Symbol"/>
        <family val="1"/>
        <charset val="2"/>
      </rPr>
      <t>m</t>
    </r>
    <r>
      <rPr>
        <sz val="9"/>
        <rFont val="Arial"/>
        <family val="2"/>
      </rPr>
      <t>=15</t>
    </r>
  </si>
  <si>
    <t>Anpassungen am Programm ENTECH 380/1</t>
  </si>
  <si>
    <t>Beschreibung</t>
  </si>
  <si>
    <t>Datum</t>
  </si>
  <si>
    <t>Version</t>
  </si>
  <si>
    <t>Gr. St. Bernhard</t>
  </si>
  <si>
    <r>
      <t>D</t>
    </r>
    <r>
      <rPr>
        <sz val="10"/>
        <color indexed="43"/>
        <rFont val="Arial"/>
        <family val="2"/>
      </rPr>
      <t>p</t>
    </r>
  </si>
  <si>
    <r>
      <t>D</t>
    </r>
    <r>
      <rPr>
        <sz val="10"/>
        <color indexed="43"/>
        <rFont val="Arial"/>
        <family val="2"/>
      </rPr>
      <t>T</t>
    </r>
  </si>
  <si>
    <r>
      <t>R</t>
    </r>
    <r>
      <rPr>
        <sz val="10"/>
        <color indexed="43"/>
        <rFont val="Arial"/>
        <family val="2"/>
      </rPr>
      <t>T</t>
    </r>
    <r>
      <rPr>
        <sz val="10"/>
        <color indexed="43"/>
        <rFont val="Arial"/>
        <family val="2"/>
      </rPr>
      <t xml:space="preserve"> relativ:</t>
    </r>
  </si>
  <si>
    <t>H = 8 m, D = 0.1 m, l = 0.06</t>
  </si>
  <si>
    <t>H = 8 m, D = 0.1 m, l = 0.08</t>
  </si>
  <si>
    <t>Wände ohne Bauteilheizung</t>
  </si>
  <si>
    <t>Graubünden</t>
  </si>
  <si>
    <t>Tessin</t>
  </si>
  <si>
    <t>Jura</t>
  </si>
  <si>
    <t>Neuenburg</t>
  </si>
  <si>
    <t>ausgedruckt:</t>
  </si>
  <si>
    <t>vorgelagerte Heizkörper</t>
  </si>
  <si>
    <t>Süd:</t>
  </si>
  <si>
    <t>Ost:</t>
  </si>
  <si>
    <t>West:</t>
  </si>
  <si>
    <t>Nord:</t>
  </si>
  <si>
    <t>Fassaden:</t>
  </si>
  <si>
    <t>Drehung:</t>
  </si>
  <si>
    <t>Heizkörper</t>
  </si>
  <si>
    <t>SIA 380/1, Ver. 2007, Blatt "Projekt" und "Tab.":Neue Wärmespeicherfähigkeiten</t>
  </si>
  <si>
    <t>b-Wert ISO 13370</t>
  </si>
  <si>
    <t>SIA 380/1</t>
  </si>
  <si>
    <t>ISO13370</t>
  </si>
  <si>
    <t>Bitumenanstrich</t>
  </si>
  <si>
    <t xml:space="preserve">Bitumen Alu 10 B </t>
  </si>
  <si>
    <t>c)  Lüftungsanlagen:</t>
  </si>
  <si>
    <t>Blatt "UWert": Berechnung Kondensation mit Pascaltag-Methode überarbeitet</t>
  </si>
  <si>
    <t>Blatt "Bau": Berechnung Randdämmstreifen nach ISO 13370 ergänzt</t>
  </si>
  <si>
    <t>Heizwärmebedarf Qh,korr:</t>
  </si>
  <si>
    <t>Blatt "M3": Neue Zeile 69 mit Qh,korr, falls Raumhöhe &gt; 3m</t>
  </si>
  <si>
    <r>
      <t>f</t>
    </r>
    <r>
      <rPr>
        <b/>
        <vertAlign val="subscript"/>
        <sz val="11"/>
        <color indexed="10"/>
        <rFont val="Arial"/>
        <family val="2"/>
      </rPr>
      <t>R</t>
    </r>
  </si>
  <si>
    <r>
      <t>f</t>
    </r>
    <r>
      <rPr>
        <b/>
        <vertAlign val="subscript"/>
        <sz val="11"/>
        <color indexed="10"/>
        <rFont val="Arial"/>
        <family val="2"/>
      </rPr>
      <t>K</t>
    </r>
  </si>
  <si>
    <r>
      <t>f</t>
    </r>
    <r>
      <rPr>
        <b/>
        <vertAlign val="subscript"/>
        <sz val="11"/>
        <color indexed="10"/>
        <rFont val="Arial"/>
        <family val="2"/>
      </rPr>
      <t>S</t>
    </r>
  </si>
  <si>
    <t>H = 1 m, D = 0.05 m, l = 0.08</t>
  </si>
  <si>
    <t>H = 2 m, D = 0.1 m, l = 0.035</t>
  </si>
  <si>
    <t>H = 2 m, D = 0.1 m, l = 0.04</t>
  </si>
  <si>
    <t>H = 2 m, D = 0.1 m, l = 0.06</t>
  </si>
  <si>
    <t>H = 2 m, D = 0.1 m, l = 0.08</t>
  </si>
  <si>
    <t>H = 2 m, D = 0.08 m, l = 0.03</t>
  </si>
  <si>
    <t>H = 2 m, D = 0.08 m, l = 0.04</t>
  </si>
  <si>
    <t>kein Frostriegel</t>
  </si>
  <si>
    <t>Code für Drehung:</t>
  </si>
  <si>
    <t>Blatt "Klima": Neue Kantonsliste</t>
  </si>
  <si>
    <t>Flumroc-Estrichbodenelement ESTRA</t>
  </si>
  <si>
    <t>Weggis</t>
  </si>
  <si>
    <t>Weissfluhjoch</t>
  </si>
  <si>
    <t>Winterthur</t>
  </si>
  <si>
    <t>Zermatt</t>
  </si>
  <si>
    <t>Zug</t>
  </si>
  <si>
    <t>Zürich-SMA</t>
  </si>
  <si>
    <t>Dach</t>
  </si>
  <si>
    <t>Wand gegen aussen:</t>
  </si>
  <si>
    <t>ohne Fenster</t>
  </si>
  <si>
    <t>b-Wert</t>
  </si>
  <si>
    <t>Dach/Wand:</t>
  </si>
  <si>
    <t>Gebäudesockel:</t>
  </si>
  <si>
    <t>Fensteranschlag:</t>
  </si>
  <si>
    <t>Boden/Kellerwand:</t>
  </si>
  <si>
    <t xml:space="preserve">U-Wert </t>
  </si>
  <si>
    <t>U-Wert-Berechnung der Bauteile</t>
  </si>
  <si>
    <t>U-Wert total:</t>
  </si>
  <si>
    <t>U-Wert:</t>
  </si>
  <si>
    <t>Huber Energietechnik AG</t>
  </si>
  <si>
    <t>Tel.:</t>
  </si>
  <si>
    <t>Fax.:</t>
  </si>
  <si>
    <t>e-mail:</t>
  </si>
  <si>
    <t>Projektangaben</t>
  </si>
  <si>
    <t>Flumroc-Bodenplatte</t>
  </si>
  <si>
    <t>Flumroc-Dämmplatte 1</t>
  </si>
  <si>
    <t>Flumroc-Dämmplatte 3</t>
  </si>
  <si>
    <t>Flumroc-Dämmplatte 341</t>
  </si>
  <si>
    <t>Volumen:</t>
  </si>
  <si>
    <t>brutto</t>
  </si>
  <si>
    <t>netto</t>
  </si>
  <si>
    <t>Pull-Downs:</t>
  </si>
  <si>
    <t>Wärmesp. pro EBF:</t>
  </si>
  <si>
    <t>Red.faktor Regelung:</t>
  </si>
  <si>
    <t>Wärmebrücke</t>
  </si>
  <si>
    <t>thermisch wirksamer Aussenluftvolumenstrom (m3/m2h)</t>
  </si>
  <si>
    <t>Wärmebedarf Warmwasser</t>
  </si>
  <si>
    <t>Wärmespeicherfähigkeit pro EBF  (MJ/m2K)</t>
  </si>
  <si>
    <t>Bauteilheizung?  (1: vorhanden;  2: nicht vorhanden)</t>
  </si>
  <si>
    <t>max. Vorlauftemperatur Bauteilheizung</t>
  </si>
  <si>
    <t>Temperaturzuschlag Bauteilheizung</t>
  </si>
  <si>
    <t>vorgelagerte Heizkörper vor Fenstern (1: vorhanden;  2: nicht vorhanden)</t>
  </si>
  <si>
    <t>max. Vorlauftemperatur der vorgelagerten Heizkörper</t>
  </si>
  <si>
    <t>Temperaturzuschlag der vorgelagerten Heizkörper</t>
  </si>
  <si>
    <t>Kat. I</t>
  </si>
  <si>
    <t>Kat. II</t>
  </si>
  <si>
    <t>Kat. III</t>
  </si>
  <si>
    <t>Kat. IV</t>
  </si>
  <si>
    <t>Kat. V</t>
  </si>
  <si>
    <t>2-IV-IR, Glas U-Wert 1.7 W/m2K</t>
  </si>
  <si>
    <t>Kategorie I,  Spezialrahmen, U-F-Wert 1.0 W/m2K</t>
  </si>
  <si>
    <t>H = 5 m, D = 0.1 m, l = 0.06</t>
  </si>
  <si>
    <t>H = 5 m, D = 0.1 m, l = 0.08</t>
  </si>
  <si>
    <t>H = 5 m, D = 0.08 m, l = 0.03</t>
  </si>
  <si>
    <t>H = 5 m, D = 0.08 m, l = 0.04</t>
  </si>
  <si>
    <t>H = 5 m, D = 0.08 m, l = 0.06</t>
  </si>
  <si>
    <t>H = 5 m, D = 0.08 m, l = 0.08</t>
  </si>
  <si>
    <t>H = 5 m, D = 0.05 m, l = 0.03</t>
  </si>
  <si>
    <t>H = 5 m, D = 0.05 m, l = 0.04</t>
  </si>
  <si>
    <t>H = 5 m, D = 0.05 m, l = 0.06</t>
  </si>
  <si>
    <t>H = 5 m, D = 0.05 m, l = 0.08</t>
  </si>
  <si>
    <t>Neue Lizenznummer für Version 5.0</t>
  </si>
  <si>
    <r>
      <t>Wand gegen aussen:</t>
    </r>
    <r>
      <rPr>
        <sz val="10"/>
        <rFont val="Arial"/>
        <family val="2"/>
      </rPr>
      <t xml:space="preserve"> Fläche und U-Wert für Heizwärmeberechnung:</t>
    </r>
  </si>
  <si>
    <t>b-Wert Bauteil 6</t>
  </si>
  <si>
    <t>b-Wert Bauteil 7</t>
  </si>
  <si>
    <t>b-Wert Bauteil 8</t>
  </si>
  <si>
    <t>b-Wert Bauteil 9</t>
  </si>
  <si>
    <t>b-Wert Bauteil 10</t>
  </si>
  <si>
    <t>b-Wert Bauteil 11</t>
  </si>
  <si>
    <t>Blatt "Kondens": Oberflächenkondensation und Schimmelpilz</t>
  </si>
  <si>
    <t>Bodendicke</t>
  </si>
  <si>
    <r>
      <t>p</t>
    </r>
    <r>
      <rPr>
        <sz val="10"/>
        <rFont val="Arial"/>
        <family val="2"/>
      </rPr>
      <t>i</t>
    </r>
    <r>
      <rPr>
        <b/>
        <sz val="10"/>
        <rFont val="Arial"/>
        <family val="2"/>
      </rPr>
      <t xml:space="preserve"> =1168Pa (20°C/50%)</t>
    </r>
  </si>
  <si>
    <r>
      <t>A</t>
    </r>
    <r>
      <rPr>
        <sz val="10"/>
        <rFont val="Arial"/>
        <family val="2"/>
      </rPr>
      <t>k</t>
    </r>
  </si>
  <si>
    <r>
      <t>B</t>
    </r>
    <r>
      <rPr>
        <sz val="10"/>
        <rFont val="Arial"/>
        <family val="2"/>
      </rPr>
      <t>k</t>
    </r>
  </si>
  <si>
    <r>
      <t>m</t>
    </r>
    <r>
      <rPr>
        <sz val="10"/>
        <rFont val="Arial"/>
        <family val="2"/>
      </rPr>
      <t>j</t>
    </r>
  </si>
  <si>
    <r>
      <t>W / m</t>
    </r>
    <r>
      <rPr>
        <vertAlign val="superscript"/>
        <sz val="10"/>
        <color indexed="8"/>
        <rFont val="Arial"/>
        <family val="2"/>
      </rPr>
      <t xml:space="preserve">2 </t>
    </r>
  </si>
  <si>
    <r>
      <t>W / m</t>
    </r>
    <r>
      <rPr>
        <vertAlign val="superscript"/>
        <sz val="10"/>
        <color indexed="8"/>
        <rFont val="Arial"/>
        <family val="2"/>
      </rPr>
      <t>2</t>
    </r>
    <r>
      <rPr>
        <sz val="10"/>
        <color indexed="8"/>
        <rFont val="Arial"/>
        <family val="2"/>
      </rPr>
      <t xml:space="preserve"> </t>
    </r>
  </si>
  <si>
    <t>Fehler - Meldungen:  1: kein Fehler / 2: Fehler beim b-Wert</t>
  </si>
  <si>
    <t>Error</t>
  </si>
  <si>
    <t>Fehlercode Bauteil Nr. 1</t>
  </si>
  <si>
    <t>Fehlercode Bauteil Nr. 2</t>
  </si>
  <si>
    <t>Fehlercode Bauteil Nr. 3</t>
  </si>
  <si>
    <t>Fehlercode Bauteil Nr. 4</t>
  </si>
  <si>
    <t>Fehlercode Bauteil Nr. 5</t>
  </si>
  <si>
    <t>Fehlercode Bauteil Nr. 6</t>
  </si>
  <si>
    <t>Fehlercode Bauteil Nr. 7</t>
  </si>
  <si>
    <t>Fehlercode Bauteil Nr. 8</t>
  </si>
  <si>
    <t>Fehlercode Bauteil Nr. 9</t>
  </si>
  <si>
    <t>Fehlercode Bauteil Nr. 10</t>
  </si>
  <si>
    <t>Fehlercode Bauteil Nr. 11</t>
  </si>
  <si>
    <t>Fehlercode Bauteil Nr. 12</t>
  </si>
  <si>
    <t>Fehlercode Bauteil Nr. 13</t>
  </si>
  <si>
    <t>Fehlercode Bauteil Nr. 14</t>
  </si>
  <si>
    <t>Fehlercode Bauteil Nr. 15</t>
  </si>
  <si>
    <t>Fehlercode Bauteil Nr. 16</t>
  </si>
  <si>
    <t>Fehlercode Bauteil Nr. 17</t>
  </si>
  <si>
    <t>Fehlercode Bauteil Nr. 18</t>
  </si>
  <si>
    <t>Fehlercode Bauteil Nr. 19</t>
  </si>
  <si>
    <t>Fehlercode Bauteil Nr. 20</t>
  </si>
  <si>
    <t>Fehlercode Bauteil Nr. 21</t>
  </si>
  <si>
    <t>Fehlercode Bauteil Nr. 22</t>
  </si>
  <si>
    <t>Fehlercode Bauteil Nr. 23</t>
  </si>
  <si>
    <t>Fehlercode Bauteil Nr. 24</t>
  </si>
  <si>
    <t>Fehlercode Bauteil Nr. 25</t>
  </si>
  <si>
    <t>Blatt "UWert": Bauteil 14: Fehler in U-Wert-Berechnung korrigiert / Neu: Übertrag in Nr. 13</t>
  </si>
  <si>
    <t>Theater, Konzertsäle, Kinos, Kirchen, Abdankungshallen, Aulas, Sporthallen mit viel Publikum</t>
  </si>
  <si>
    <t>Blatt "MINERGIE": Qh,min mit Raumhöhenkorrektur auf 3m eingeführt</t>
  </si>
  <si>
    <t>Bauteil Nr. 20a</t>
  </si>
  <si>
    <t>Bauteil Nr. 21a</t>
  </si>
  <si>
    <t>Bauteil Nr. 21b</t>
  </si>
  <si>
    <t>Blatt "Nachweis": Zelle O49: Falscher Verweis auf Fs-Wert der Fassade mit grösster Verglasung. Behoben</t>
  </si>
  <si>
    <t>Beton, unterbr. Dämmschicht, Wand/Dach je 0.15 W/m2K</t>
  </si>
  <si>
    <t>Gebäudekategorie (1: leer,  2: Kat. I,  3: Kat. II, .. , 13: Kat. XII)</t>
  </si>
  <si>
    <t>° Horizont Süd</t>
  </si>
  <si>
    <t>° Horizont Ost</t>
  </si>
  <si>
    <t>° Horizont West</t>
  </si>
  <si>
    <t>° Horizont Nord</t>
  </si>
  <si>
    <t>**** Schaumglas ****</t>
  </si>
  <si>
    <t>**** Glaswolle ****</t>
  </si>
  <si>
    <t>**** Polystyrol expandiert (EPS) ****</t>
  </si>
  <si>
    <t>März</t>
  </si>
  <si>
    <t>April</t>
  </si>
  <si>
    <t>Juni</t>
  </si>
  <si>
    <t>Juli</t>
  </si>
  <si>
    <t>August</t>
  </si>
  <si>
    <t>Stahl</t>
  </si>
  <si>
    <t>Tanne</t>
  </si>
  <si>
    <t>Wasser 10°</t>
  </si>
  <si>
    <t>Holz</t>
  </si>
  <si>
    <t>Wärmeübergang alpha</t>
  </si>
  <si>
    <t>Wärmeübergang innen</t>
  </si>
  <si>
    <t>Wärmeübergang aussen</t>
  </si>
  <si>
    <t>Fassade, hinterlüftet</t>
  </si>
  <si>
    <t>Blatt "Nachweis": Zelle O49: FS-Wert der Nordfassade nicht richtig. Formel korrigiert</t>
  </si>
  <si>
    <t>Blatt "Nachweis": Zellen C101-K104: FS-Wert bei Verwendung Fenstertool falsch. korrigiert</t>
  </si>
  <si>
    <t>PIR Pentan, diff.dicht (U), lambda 0.026</t>
  </si>
  <si>
    <t>PIR Pentan, diff.offen (U), lambda 0.032</t>
  </si>
  <si>
    <t>Kellerraum ganz im Erdreich</t>
  </si>
  <si>
    <r>
      <t>m</t>
    </r>
    <r>
      <rPr>
        <vertAlign val="superscript"/>
        <sz val="10"/>
        <color indexed="8"/>
        <rFont val="Arial"/>
        <family val="2"/>
      </rPr>
      <t>3</t>
    </r>
    <r>
      <rPr>
        <sz val="10"/>
        <color indexed="8"/>
        <rFont val="Arial"/>
        <family val="2"/>
      </rPr>
      <t>/h</t>
    </r>
  </si>
  <si>
    <r>
      <t>Ma [kg/m</t>
    </r>
    <r>
      <rPr>
        <b/>
        <vertAlign val="superscript"/>
        <sz val="10"/>
        <rFont val="Arial"/>
        <family val="2"/>
      </rPr>
      <t>2</t>
    </r>
    <r>
      <rPr>
        <b/>
        <sz val="10"/>
        <rFont val="Arial"/>
        <family val="2"/>
      </rPr>
      <t>]</t>
    </r>
  </si>
  <si>
    <t>Blatt "erneuerbar": nicht erneuerbarer Anteil auch bei Anbauten immer 80%</t>
  </si>
  <si>
    <t>Fassade</t>
  </si>
  <si>
    <t>Blatt "Nachweis": Zelle Q80: Klimakorrektur an SIA 380/1, Ver. 2009 angepasst</t>
  </si>
  <si>
    <t>Blatt "Nachweis": Zellen M86-89: Summe Flächen neu mit Flächen gegen beheizt</t>
  </si>
  <si>
    <t>Blatt "Nachweis": Zellen C95-96: Flächen neu ohne Reduktionsfaktoren</t>
  </si>
  <si>
    <t>Blatt "Nachweis": Zellen M93-98: Neu Flächen gegen Erde / beheizt / unbeheizt</t>
  </si>
  <si>
    <t>Blatt "Projekt": Zeitlich begrenzte Schulungslizenz</t>
  </si>
  <si>
    <t>Adresse Verfasser Wärmedämmprojekt</t>
  </si>
  <si>
    <t>Telefon Verfasser Wärmedämmprojekt</t>
  </si>
  <si>
    <t>Fax Verfasser Wärmedämmprojekt</t>
  </si>
  <si>
    <t>Email Verfasser Wärmedämmprojekt</t>
  </si>
  <si>
    <t>Verfasser Wärmedämmnachweis</t>
  </si>
  <si>
    <t>Informationen Programminhaber / Nachweisverfasser</t>
  </si>
  <si>
    <t>Neubau / Umbau  (1: leer, 2: Neubau, 3: Anbau, 4: Umbau)</t>
  </si>
  <si>
    <t>Blatt "Bau","M1","M2","M3": Verluste gegen unbeheizt und Erdreich neue berechnet</t>
  </si>
  <si>
    <t>Beton, unterbr. Dämmschicht, Wand/Dach je 0.25 W/m2K</t>
  </si>
  <si>
    <t>Beton, unterbr. Dämmschicht, Wand/Dach je 0.35 W/m2K</t>
  </si>
  <si>
    <t>Wand Backstein, unterbr. Dämm, Wand/Dach je 0.15 W/m2K</t>
  </si>
  <si>
    <t>Wand Backstein, unterbr. Dämm, Wand/Dach je 0.25 W/m2K</t>
  </si>
  <si>
    <r>
      <t xml:space="preserve">B = 8 m, D = 0.1 m, </t>
    </r>
    <r>
      <rPr>
        <sz val="10"/>
        <rFont val="GreekC"/>
      </rPr>
      <t>l</t>
    </r>
    <r>
      <rPr>
        <sz val="10"/>
        <rFont val="Arial"/>
        <family val="2"/>
      </rPr>
      <t xml:space="preserve"> = 0.06</t>
    </r>
  </si>
  <si>
    <r>
      <t xml:space="preserve">B = 8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</si>
  <si>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0.03</t>
    </r>
  </si>
  <si>
    <r>
      <t xml:space="preserve">B = 1 m, D = 0.05 m, </t>
    </r>
    <r>
      <rPr>
        <sz val="10"/>
        <rFont val="GreekC"/>
      </rPr>
      <t>l</t>
    </r>
    <r>
      <rPr>
        <sz val="10"/>
        <rFont val="Arial"/>
        <family val="2"/>
      </rPr>
      <t xml:space="preserve"> = 0.03</t>
    </r>
  </si>
  <si>
    <r>
      <t xml:space="preserve">B = 2 m, D = 0.1 m, </t>
    </r>
    <r>
      <rPr>
        <sz val="10"/>
        <rFont val="GreekC"/>
      </rPr>
      <t>l</t>
    </r>
    <r>
      <rPr>
        <sz val="10"/>
        <rFont val="Arial"/>
        <family val="2"/>
      </rPr>
      <t xml:space="preserve"> = 0.035</t>
    </r>
  </si>
  <si>
    <r>
      <t xml:space="preserve">B = 2 m, D = 0.08 m, </t>
    </r>
    <r>
      <rPr>
        <sz val="10"/>
        <rFont val="GreekC"/>
      </rPr>
      <t>l</t>
    </r>
    <r>
      <rPr>
        <sz val="10"/>
        <rFont val="Arial"/>
        <family val="2"/>
      </rPr>
      <t xml:space="preserve"> = 0.03</t>
    </r>
  </si>
  <si>
    <r>
      <t xml:space="preserve">B = 2 m, D = 0.05 m, </t>
    </r>
    <r>
      <rPr>
        <sz val="10"/>
        <rFont val="GreekC"/>
      </rPr>
      <t>l</t>
    </r>
    <r>
      <rPr>
        <sz val="10"/>
        <rFont val="Arial"/>
        <family val="2"/>
      </rPr>
      <t xml:space="preserve"> = 0.03</t>
    </r>
  </si>
  <si>
    <r>
      <t xml:space="preserve">B = 3 m, D = 0.1 m, </t>
    </r>
    <r>
      <rPr>
        <sz val="10"/>
        <rFont val="GreekC"/>
      </rPr>
      <t>l</t>
    </r>
    <r>
      <rPr>
        <sz val="10"/>
        <rFont val="Arial"/>
        <family val="2"/>
      </rPr>
      <t xml:space="preserve"> = 0.035</t>
    </r>
  </si>
  <si>
    <r>
      <t xml:space="preserve">B = 3 m, D = 0.08 m, </t>
    </r>
    <r>
      <rPr>
        <sz val="10"/>
        <rFont val="GreekC"/>
      </rPr>
      <t>l</t>
    </r>
    <r>
      <rPr>
        <sz val="10"/>
        <rFont val="Arial"/>
        <family val="2"/>
      </rPr>
      <t xml:space="preserve"> = 0.03</t>
    </r>
  </si>
  <si>
    <r>
      <t xml:space="preserve">B = 3 m, D = 0.05 m, </t>
    </r>
    <r>
      <rPr>
        <sz val="10"/>
        <rFont val="GreekC"/>
      </rPr>
      <t>l</t>
    </r>
    <r>
      <rPr>
        <sz val="10"/>
        <rFont val="Arial"/>
        <family val="2"/>
      </rPr>
      <t xml:space="preserve"> = 0.03</t>
    </r>
  </si>
  <si>
    <r>
      <t xml:space="preserve">B = 5 m, D = 0.1 m, </t>
    </r>
    <r>
      <rPr>
        <sz val="10"/>
        <rFont val="GreekC"/>
      </rPr>
      <t>l</t>
    </r>
    <r>
      <rPr>
        <sz val="10"/>
        <rFont val="Arial"/>
        <family val="2"/>
      </rPr>
      <t xml:space="preserve"> = 0.035</t>
    </r>
  </si>
  <si>
    <r>
      <t xml:space="preserve">B = 5 m, D = 0.08 m, </t>
    </r>
    <r>
      <rPr>
        <sz val="10"/>
        <rFont val="GreekC"/>
      </rPr>
      <t>l</t>
    </r>
    <r>
      <rPr>
        <sz val="10"/>
        <rFont val="Arial"/>
        <family val="2"/>
      </rPr>
      <t xml:space="preserve"> = 0.03</t>
    </r>
  </si>
  <si>
    <r>
      <t xml:space="preserve">B = 5 m, D = 0.05 m, </t>
    </r>
    <r>
      <rPr>
        <sz val="10"/>
        <rFont val="GreekC"/>
      </rPr>
      <t>l</t>
    </r>
    <r>
      <rPr>
        <sz val="10"/>
        <rFont val="Arial"/>
        <family val="2"/>
      </rPr>
      <t xml:space="preserve"> = 0.03</t>
    </r>
  </si>
  <si>
    <t>H = 3 m, D = 0.08 m, l = 0.03</t>
  </si>
  <si>
    <t>H = 3 m, D = 0.08 m, l = 0.04</t>
  </si>
  <si>
    <t>H = 3 m, D = 0.08 m, l = 0.06</t>
  </si>
  <si>
    <t>H = 3 m, D = 0.08 m, l = 0.08</t>
  </si>
  <si>
    <t>H = 3 m, D = 0.05 m, l = 0.03</t>
  </si>
  <si>
    <t>H = 3 m, D = 0.05 m, l = 0.04</t>
  </si>
  <si>
    <t>H = 3 m, D = 0.05 m, l = 0.06</t>
  </si>
  <si>
    <t>Informationen Projekt</t>
  </si>
  <si>
    <t>Projekt - Name</t>
  </si>
  <si>
    <t>Aktennummer Projekt</t>
  </si>
  <si>
    <t>Projekt - Adresse</t>
  </si>
  <si>
    <t>b-Wert Bauteil 27</t>
  </si>
  <si>
    <t>b-Wert Bauteil 28</t>
  </si>
  <si>
    <t>b-Wert Bauteil 29</t>
  </si>
  <si>
    <t>b-Wert Bauteil 4</t>
  </si>
  <si>
    <t>Zulässiger Anteil nichterneuerbare Energien</t>
  </si>
  <si>
    <t>für Warmwasser</t>
  </si>
  <si>
    <t>für Heizung</t>
  </si>
  <si>
    <t>EBFtotal</t>
  </si>
  <si>
    <t>EBFalt</t>
  </si>
  <si>
    <t>EBFneu</t>
  </si>
  <si>
    <t>Neu?</t>
  </si>
  <si>
    <t>Zonenverteilung</t>
  </si>
  <si>
    <t>Pulldowns</t>
  </si>
  <si>
    <t>Neubau / Anbau / Umbau</t>
  </si>
  <si>
    <t>Solarer Gwinn</t>
  </si>
  <si>
    <t>Solarer Gewinn total</t>
  </si>
  <si>
    <r>
      <t>I</t>
    </r>
    <r>
      <rPr>
        <vertAlign val="subscript"/>
        <sz val="11"/>
        <color indexed="8"/>
        <rFont val="Arial"/>
        <family val="2"/>
      </rPr>
      <t>sH</t>
    </r>
    <r>
      <rPr>
        <sz val="10"/>
        <color indexed="8"/>
        <rFont val="Arial"/>
        <family val="2"/>
      </rPr>
      <t/>
    </r>
  </si>
  <si>
    <r>
      <t>I</t>
    </r>
    <r>
      <rPr>
        <vertAlign val="subscript"/>
        <sz val="11"/>
        <color indexed="8"/>
        <rFont val="Arial"/>
        <family val="2"/>
      </rPr>
      <t>sS</t>
    </r>
    <r>
      <rPr>
        <sz val="10"/>
        <color indexed="8"/>
        <rFont val="Arial"/>
        <family val="2"/>
      </rPr>
      <t/>
    </r>
  </si>
  <si>
    <t>RD :</t>
  </si>
  <si>
    <t>U-Werte, Inhomogener Bauteil 21, Abschnitt 1</t>
  </si>
  <si>
    <t>U-Werte, Inhomogener Bauteil 21, Abschnitt 2</t>
  </si>
  <si>
    <t>Blatt "Fenster": Formatierungsproblem bei Eingabe mit Fenstertool. Schrift verkleinert.</t>
  </si>
  <si>
    <t>Blatt "Leistung": C75 / D75: Spez. Heizleistungsbedarf Min-P neu ohne Regelungszuschlag</t>
  </si>
  <si>
    <t>kalt</t>
  </si>
  <si>
    <t>trüb</t>
  </si>
  <si>
    <t>1 Stunde</t>
  </si>
  <si>
    <t>Temperatur</t>
  </si>
  <si>
    <t>Mittelwert Globalstrahlung W/m2</t>
  </si>
  <si>
    <t>Windrichtg.</t>
  </si>
  <si>
    <t>Station</t>
  </si>
  <si>
    <t xml:space="preserve"> °C</t>
  </si>
  <si>
    <t>Horizontal</t>
  </si>
  <si>
    <t>geschw. m/s</t>
  </si>
  <si>
    <t xml:space="preserve"> 30°-Sektor</t>
  </si>
  <si>
    <t>61-90</t>
  </si>
  <si>
    <t>181-210</t>
  </si>
  <si>
    <t>Aigle</t>
  </si>
  <si>
    <t>NA</t>
  </si>
  <si>
    <t>151-180</t>
  </si>
  <si>
    <t>331-360</t>
  </si>
  <si>
    <t>121-150</t>
  </si>
  <si>
    <t>91-120</t>
  </si>
  <si>
    <t>301-330</t>
  </si>
  <si>
    <t>Bern-Liebefeld</t>
  </si>
  <si>
    <t>31-60</t>
  </si>
  <si>
    <t>Buchs-Aarau</t>
  </si>
  <si>
    <t>Genève-Cointrin</t>
  </si>
  <si>
    <t>271-300</t>
  </si>
  <si>
    <t>Grand-St-Bernard</t>
  </si>
  <si>
    <t>Güttingen</t>
  </si>
  <si>
    <t>211-240</t>
  </si>
  <si>
    <t>La Frétaz</t>
  </si>
  <si>
    <t>Magadino</t>
  </si>
  <si>
    <t>241-270</t>
  </si>
  <si>
    <t>Payerne</t>
  </si>
  <si>
    <t>Piotta</t>
  </si>
  <si>
    <t>Pully</t>
  </si>
  <si>
    <t>Rünenberg</t>
  </si>
  <si>
    <t>Samedan</t>
  </si>
  <si>
    <t>Scuol</t>
  </si>
  <si>
    <t>Ulrichen</t>
  </si>
  <si>
    <t>Vaduz</t>
  </si>
  <si>
    <t>Wynau</t>
  </si>
  <si>
    <t>Zürich-Kloten</t>
  </si>
  <si>
    <t>Zürich-MeteoSchweiz</t>
  </si>
  <si>
    <t>Tabellen für sia 2028</t>
  </si>
  <si>
    <t xml:space="preserve">Station = </t>
  </si>
  <si>
    <t>Blatt "Tab": Tabelle "Auslegungswerte" nach SIA 2028 für MINERGIE-P ergänzt.</t>
  </si>
  <si>
    <t>Blatt "Leistung": Leistung MINERGIE-P gemäss Anforderungsprofil 1.2 vom 30.3.2011</t>
  </si>
  <si>
    <t>Blähtonbeton, Gips, 10 cm</t>
  </si>
  <si>
    <t>Altdorf</t>
  </si>
  <si>
    <t>Blähtonbeton, Gips, 15 cm</t>
  </si>
  <si>
    <t>Altstätten SG</t>
  </si>
  <si>
    <t>Tonisolierplatte, 6 cm</t>
  </si>
  <si>
    <t>Andermatt</t>
  </si>
  <si>
    <t>Tonisolierplatte, 8 cm</t>
  </si>
  <si>
    <t>Tonisolierplatte, 10 cm</t>
  </si>
  <si>
    <t>Arosa</t>
  </si>
  <si>
    <t>Isolierbackstein, 10 cm</t>
  </si>
  <si>
    <t>Isolierbackstein, 12 cm</t>
  </si>
  <si>
    <t>Verw.</t>
  </si>
  <si>
    <t>Rest.</t>
  </si>
  <si>
    <t>Vers.</t>
  </si>
  <si>
    <t>Sportbau</t>
  </si>
  <si>
    <t>Hallenb.</t>
  </si>
  <si>
    <r>
      <t>m</t>
    </r>
    <r>
      <rPr>
        <vertAlign val="superscript"/>
        <sz val="9"/>
        <rFont val="Arial"/>
        <family val="2"/>
      </rPr>
      <t>2</t>
    </r>
  </si>
  <si>
    <r>
      <t>MJ/m</t>
    </r>
    <r>
      <rPr>
        <vertAlign val="superscript"/>
        <sz val="9"/>
        <rFont val="Arial"/>
        <family val="2"/>
      </rPr>
      <t>2</t>
    </r>
    <r>
      <rPr>
        <sz val="9"/>
        <rFont val="Arial"/>
        <family val="2"/>
      </rPr>
      <t>a</t>
    </r>
  </si>
  <si>
    <r>
      <t>Anteil Q</t>
    </r>
    <r>
      <rPr>
        <vertAlign val="subscript"/>
        <sz val="9"/>
        <rFont val="Arial"/>
        <family val="2"/>
      </rPr>
      <t>h</t>
    </r>
    <r>
      <rPr>
        <sz val="9"/>
        <rFont val="Arial"/>
        <family val="2"/>
      </rPr>
      <t xml:space="preserve">: Elektrodirektheizung </t>
    </r>
  </si>
  <si>
    <t>horizontal:</t>
  </si>
  <si>
    <t>(zusätzlich)</t>
  </si>
  <si>
    <t>Fenster Ost :</t>
  </si>
  <si>
    <t>Fenster West :</t>
  </si>
  <si>
    <t>Fenster Nord :</t>
  </si>
  <si>
    <t xml:space="preserve">Heizleistungsbedarf  </t>
  </si>
  <si>
    <t>Wärmebrücken :</t>
  </si>
  <si>
    <t>Tabelle 3: Massgebende Masse M</t>
  </si>
  <si>
    <t>Fenster Aussenwänd.</t>
  </si>
  <si>
    <t>Mi</t>
  </si>
  <si>
    <t>Ort</t>
  </si>
  <si>
    <t>Höhe</t>
  </si>
  <si>
    <t>Stat.-</t>
  </si>
  <si>
    <t>ta</t>
  </si>
  <si>
    <t>Dichte</t>
  </si>
  <si>
    <t>Dicke</t>
  </si>
  <si>
    <t>Projektart:</t>
  </si>
  <si>
    <t>Kantone</t>
  </si>
  <si>
    <t>Click-Box:</t>
  </si>
  <si>
    <t>Balkonplatte</t>
  </si>
  <si>
    <t>Boden/Kellerrand</t>
  </si>
  <si>
    <t>Rolladen</t>
  </si>
  <si>
    <t>Stützen</t>
  </si>
  <si>
    <t>massive Bauweise (Boden oder Decke und Wände massiv)</t>
  </si>
  <si>
    <t>mittlere Bauweise (Boden oder Decke oder Wände massiv)</t>
  </si>
  <si>
    <t>Blatt "Bau" und "Fenster": Check-Boxen ersetzt (Probleme bei Office 2010 und Office 2011)</t>
  </si>
  <si>
    <t>Blatt "Projekt", "Nachweis", "MINERGIE" und "erneuerbar": Pulldowns und Check-Boxen ersetzt</t>
  </si>
  <si>
    <t>Spezifische Produkte gemäss SIA 2001</t>
  </si>
  <si>
    <t>[W/mK]</t>
  </si>
  <si>
    <t>Kopieren der Bauteile aus Liste mit &lt;Ctr&gt;&lt;C&gt; und &lt;Ctr&gt;&lt;V&gt; möglich.</t>
  </si>
  <si>
    <r>
      <t>kg/m</t>
    </r>
    <r>
      <rPr>
        <b/>
        <vertAlign val="superscript"/>
        <sz val="9"/>
        <rFont val="Arial"/>
        <family val="2"/>
      </rPr>
      <t>3</t>
    </r>
  </si>
  <si>
    <t>Blatt "UWert": Neu Bauteil-Liste zum Kopieren mit Ctr C / Ctr V</t>
  </si>
  <si>
    <r>
      <t>q</t>
    </r>
    <r>
      <rPr>
        <vertAlign val="subscript"/>
        <sz val="11"/>
        <color indexed="8"/>
        <rFont val="Arial"/>
        <family val="2"/>
      </rPr>
      <t>sE</t>
    </r>
    <r>
      <rPr>
        <sz val="10"/>
        <color indexed="8"/>
        <rFont val="Arial"/>
        <family val="2"/>
      </rPr>
      <t/>
    </r>
  </si>
  <si>
    <r>
      <t>q</t>
    </r>
    <r>
      <rPr>
        <vertAlign val="subscript"/>
        <sz val="11"/>
        <color indexed="8"/>
        <rFont val="Arial"/>
        <family val="2"/>
      </rPr>
      <t>sW</t>
    </r>
    <r>
      <rPr>
        <sz val="10"/>
        <color indexed="8"/>
        <rFont val="Arial"/>
        <family val="2"/>
      </rPr>
      <t/>
    </r>
  </si>
  <si>
    <r>
      <t>q</t>
    </r>
    <r>
      <rPr>
        <vertAlign val="subscript"/>
        <sz val="11"/>
        <color indexed="8"/>
        <rFont val="Arial"/>
        <family val="2"/>
      </rPr>
      <t>sN</t>
    </r>
    <r>
      <rPr>
        <sz val="10"/>
        <color indexed="8"/>
        <rFont val="Arial"/>
        <family val="2"/>
      </rPr>
      <t/>
    </r>
  </si>
  <si>
    <r>
      <t>q</t>
    </r>
    <r>
      <rPr>
        <vertAlign val="subscript"/>
        <sz val="11"/>
        <color indexed="8"/>
        <rFont val="Arial"/>
        <family val="2"/>
      </rPr>
      <t>s</t>
    </r>
    <r>
      <rPr>
        <vertAlign val="superscript"/>
        <sz val="11"/>
        <color indexed="8"/>
        <rFont val="Arial"/>
        <family val="2"/>
      </rPr>
      <t xml:space="preserve"> </t>
    </r>
  </si>
  <si>
    <r>
      <t>q</t>
    </r>
    <r>
      <rPr>
        <vertAlign val="subscript"/>
        <sz val="11"/>
        <color indexed="8"/>
        <rFont val="Arial"/>
        <family val="2"/>
      </rPr>
      <t>ug</t>
    </r>
    <r>
      <rPr>
        <sz val="10"/>
        <color indexed="8"/>
        <rFont val="Arial"/>
        <family val="2"/>
      </rPr>
      <t/>
    </r>
  </si>
  <si>
    <r>
      <t>q</t>
    </r>
    <r>
      <rPr>
        <vertAlign val="subscript"/>
        <sz val="11"/>
        <color indexed="8"/>
        <rFont val="Arial"/>
        <family val="2"/>
      </rPr>
      <t>h-MP</t>
    </r>
    <r>
      <rPr>
        <sz val="10"/>
        <color indexed="8"/>
        <rFont val="Arial"/>
        <family val="2"/>
      </rPr>
      <t/>
    </r>
  </si>
  <si>
    <t>2-IV-IR, Glas U-Wert 1.4 W/m2K</t>
  </si>
  <si>
    <t>Stützen:</t>
  </si>
  <si>
    <t>Kontrollkästchen:</t>
  </si>
  <si>
    <t>Auswahltabellen:</t>
  </si>
  <si>
    <t>Standardwerte:</t>
  </si>
  <si>
    <t>Fs</t>
  </si>
  <si>
    <t>Verschattungsfaktor der Fassade mit der grössten, verglasten Fläche:</t>
  </si>
  <si>
    <t>Stufe 3</t>
  </si>
  <si>
    <t>Angaben über mechanische Lüftung und Art der Energiebereitstellung</t>
  </si>
  <si>
    <t>Flächen und Wärmedurchgangswerte:</t>
  </si>
  <si>
    <t>ENTECH 380/1:</t>
  </si>
  <si>
    <t>m ü.M.:</t>
  </si>
  <si>
    <t>Adresse:</t>
  </si>
  <si>
    <t>A:</t>
  </si>
  <si>
    <t>Raumtemperatur Ti :</t>
  </si>
  <si>
    <t>°C</t>
  </si>
  <si>
    <t>-</t>
  </si>
  <si>
    <t>Dicke:</t>
  </si>
  <si>
    <t>Temperatur:</t>
  </si>
  <si>
    <t>xxx nachfolgend Luftschichten in Konstruktion xxx</t>
  </si>
  <si>
    <r>
      <t xml:space="preserve">B = 8 m, D = 0.1 m, </t>
    </r>
    <r>
      <rPr>
        <sz val="10"/>
        <rFont val="GreekC"/>
      </rPr>
      <t>l</t>
    </r>
    <r>
      <rPr>
        <sz val="10"/>
        <rFont val="Arial"/>
        <family val="2"/>
      </rPr>
      <t xml:space="preserve"> = 0.035</t>
    </r>
  </si>
  <si>
    <r>
      <t xml:space="preserve">B = 8 m, D = 0.08 m, </t>
    </r>
    <r>
      <rPr>
        <sz val="10"/>
        <rFont val="GreekC"/>
      </rPr>
      <t>l</t>
    </r>
    <r>
      <rPr>
        <sz val="10"/>
        <rFont val="Arial"/>
        <family val="2"/>
      </rPr>
      <t xml:space="preserve"> = 0.03</t>
    </r>
  </si>
  <si>
    <r>
      <t xml:space="preserve">B = 8 m, D = 0.05 m, </t>
    </r>
    <r>
      <rPr>
        <sz val="10"/>
        <rFont val="GreekC"/>
      </rPr>
      <t>l</t>
    </r>
    <r>
      <rPr>
        <sz val="10"/>
        <rFont val="Arial"/>
        <family val="2"/>
      </rPr>
      <t xml:space="preserve"> = 0.03</t>
    </r>
  </si>
  <si>
    <t>Dämmung Sturz 4cm, gedämmte Rahmenverbreiterung</t>
  </si>
  <si>
    <t>Dämmung Sturz und Rahmen 2cm</t>
  </si>
  <si>
    <t xml:space="preserve">Dämmung Sturz und Rahmen 4cm </t>
  </si>
  <si>
    <t>Kanton</t>
  </si>
  <si>
    <t>Klimastationen</t>
  </si>
  <si>
    <t>Zürich</t>
  </si>
  <si>
    <t>Wärmebedarf für Warmwasser pro Jahr und EBF</t>
  </si>
  <si>
    <t>Bauteil-Nr.</t>
  </si>
  <si>
    <t>Gesamtfläche</t>
  </si>
  <si>
    <t>ben. Raum</t>
  </si>
  <si>
    <t>Temp.</t>
  </si>
  <si>
    <t>Bauteilheizung</t>
  </si>
  <si>
    <t>vorhanden</t>
  </si>
  <si>
    <t>Anbau</t>
  </si>
  <si>
    <t>Umnutzung</t>
  </si>
  <si>
    <t>g-Wert</t>
  </si>
  <si>
    <t>Bezeichnung:</t>
  </si>
  <si>
    <t>lambda-Wert Schicht 2</t>
  </si>
  <si>
    <t>lambda-Wert Schicht 3</t>
  </si>
  <si>
    <t>lambda-Wert Schicht 4</t>
  </si>
  <si>
    <t>lambda-Wert Schicht 5</t>
  </si>
  <si>
    <t>lambda-Wert Schicht 6</t>
  </si>
  <si>
    <t>lambda-Wert Schicht 7</t>
  </si>
  <si>
    <t>U-Werte, Bauteil 2</t>
  </si>
  <si>
    <t>Bauteil</t>
  </si>
  <si>
    <t>horizontal</t>
  </si>
  <si>
    <t>gn. Erde</t>
  </si>
  <si>
    <t>innen</t>
  </si>
  <si>
    <t>aussen</t>
  </si>
  <si>
    <t>Wand-</t>
  </si>
  <si>
    <t>dicke</t>
  </si>
  <si>
    <t>Wirksame Gesamtdicke der Bodenplatte dt1</t>
  </si>
  <si>
    <t>Blatt "Klima": Zellen AI32, AJ32, AI24: Uri: Neu nur Altdorf;  Nidwalden: Neu nur Luzern</t>
  </si>
  <si>
    <t>Eingabefelder weiss nach Eingabe: Besser Lesbarkeit auf Ausdruck</t>
  </si>
  <si>
    <r>
      <t>[kg/m</t>
    </r>
    <r>
      <rPr>
        <b/>
        <vertAlign val="superscript"/>
        <sz val="10"/>
        <rFont val="Arial"/>
        <family val="2"/>
      </rPr>
      <t>2</t>
    </r>
    <r>
      <rPr>
        <b/>
        <sz val="10"/>
        <rFont val="Arial"/>
        <family val="2"/>
      </rPr>
      <t>]</t>
    </r>
  </si>
  <si>
    <r>
      <t>kg/m</t>
    </r>
    <r>
      <rPr>
        <b/>
        <vertAlign val="superscript"/>
        <sz val="10"/>
        <rFont val="Arial"/>
        <family val="2"/>
      </rPr>
      <t>3</t>
    </r>
  </si>
  <si>
    <r>
      <t>a</t>
    </r>
    <r>
      <rPr>
        <b/>
        <vertAlign val="subscript"/>
        <sz val="10"/>
        <rFont val="Arial"/>
        <family val="2"/>
      </rPr>
      <t>RK</t>
    </r>
  </si>
  <si>
    <r>
      <t>Fugendurchlässigkeit a</t>
    </r>
    <r>
      <rPr>
        <vertAlign val="subscript"/>
        <sz val="10"/>
        <rFont val="Arial"/>
        <family val="2"/>
      </rPr>
      <t>F</t>
    </r>
  </si>
  <si>
    <r>
      <t>a</t>
    </r>
    <r>
      <rPr>
        <vertAlign val="subscript"/>
        <sz val="10"/>
        <rFont val="Arial"/>
        <family val="2"/>
      </rPr>
      <t>RK</t>
    </r>
  </si>
  <si>
    <t>Nr. Wärmebrückenkatalog</t>
  </si>
  <si>
    <r>
      <t>f</t>
    </r>
    <r>
      <rPr>
        <b/>
        <vertAlign val="subscript"/>
        <sz val="10"/>
        <rFont val="Arial"/>
        <family val="2"/>
      </rPr>
      <t>Ch</t>
    </r>
  </si>
  <si>
    <t>SIA 380/1, Ver. 2007, Blatt "Projekt": EBFo neu für aktiv beheizte Flächen</t>
  </si>
  <si>
    <t>Estrichraum, Schrägdach ungedämmt</t>
  </si>
  <si>
    <t>Q_V</t>
  </si>
  <si>
    <t>Q_h</t>
  </si>
  <si>
    <t>Q_g</t>
  </si>
  <si>
    <t>genutzte Wärmegewinne:</t>
  </si>
  <si>
    <t>Q_ug</t>
  </si>
  <si>
    <t>ungenutzte Wärmegewinne:</t>
  </si>
  <si>
    <t>Q_ng</t>
  </si>
  <si>
    <r>
      <t>Q_</t>
    </r>
    <r>
      <rPr>
        <sz val="10"/>
        <color indexed="9"/>
        <rFont val="Arial"/>
        <family val="2"/>
      </rPr>
      <t>T</t>
    </r>
  </si>
  <si>
    <r>
      <t>Q_</t>
    </r>
    <r>
      <rPr>
        <vertAlign val="subscript"/>
        <sz val="8"/>
        <color indexed="9"/>
        <rFont val="Arial"/>
        <family val="2"/>
      </rPr>
      <t>T</t>
    </r>
  </si>
  <si>
    <t>b-Wert Bauteil 13</t>
  </si>
  <si>
    <t>b-Wert Bauteil 14</t>
  </si>
  <si>
    <t>z =</t>
  </si>
  <si>
    <r>
      <t>d</t>
    </r>
    <r>
      <rPr>
        <vertAlign val="subscript"/>
        <sz val="10"/>
        <rFont val="Arial"/>
        <family val="2"/>
      </rPr>
      <t>w</t>
    </r>
    <r>
      <rPr>
        <sz val="10"/>
        <rFont val="Arial"/>
        <family val="2"/>
      </rPr>
      <t xml:space="preserve"> =</t>
    </r>
  </si>
  <si>
    <t>erforderliche Angaben:</t>
  </si>
  <si>
    <t>Resultate:</t>
  </si>
  <si>
    <t>EN ISO 13370:1998 Bodenplatte mit Randdämmung</t>
  </si>
  <si>
    <t>b-Wert Bauteil 15</t>
  </si>
  <si>
    <t>b-Wert Bauteil 16</t>
  </si>
  <si>
    <t>b-Wert Bauteil 17</t>
  </si>
  <si>
    <t>b-Wert Bauteil 18</t>
  </si>
  <si>
    <t>b-Wert Bauteil 36</t>
  </si>
  <si>
    <t>b-Wert Bauteil 37</t>
  </si>
  <si>
    <t>b-Wert Bauteil 38</t>
  </si>
  <si>
    <t>b-Wert Bauteil 39</t>
  </si>
  <si>
    <t>b-Wert Bauteil 40</t>
  </si>
  <si>
    <t>b-Wert Bauteil 19</t>
  </si>
  <si>
    <t>b-Wert Bauteil 32</t>
  </si>
  <si>
    <t>b-Wert Bauteil 33</t>
  </si>
  <si>
    <t>b-Wert Bauteil 34</t>
  </si>
  <si>
    <t>b-Wert Bauteil 35</t>
  </si>
  <si>
    <t>b-Wert Bauteil 20</t>
  </si>
  <si>
    <t>Glaswolle, lose (N)</t>
  </si>
  <si>
    <t>swissporEPS 15 100% rezykliert</t>
  </si>
  <si>
    <t>swissporEPS 30 100% rezykliert</t>
  </si>
  <si>
    <t>swissporEPS 15</t>
  </si>
  <si>
    <t>swissporEPS 20</t>
  </si>
  <si>
    <t>swissporEPS 30</t>
  </si>
  <si>
    <t>swissporEPS-T (Trittschalldämmplatte)</t>
  </si>
  <si>
    <t>swissporLAMBDA Vento</t>
  </si>
  <si>
    <t>swissporLAMBDA Roof</t>
  </si>
  <si>
    <t>swissporLAMBDA Vento Premium</t>
  </si>
  <si>
    <t>0.036</t>
  </si>
  <si>
    <t>Berner Norm 2016</t>
  </si>
  <si>
    <t>Muken 2014</t>
  </si>
  <si>
    <r>
      <t xml:space="preserve">  MUKEN 2014: H</t>
    </r>
    <r>
      <rPr>
        <vertAlign val="subscript"/>
        <sz val="10"/>
        <rFont val="Arial"/>
        <family val="2"/>
      </rPr>
      <t>g0</t>
    </r>
  </si>
  <si>
    <r>
      <t xml:space="preserve"> </t>
    </r>
    <r>
      <rPr>
        <sz val="10"/>
        <rFont val="Arial"/>
        <family val="2"/>
      </rPr>
      <t xml:space="preserve"> MUKEN 2014: </t>
    </r>
    <r>
      <rPr>
        <sz val="10"/>
        <rFont val="Symbol"/>
        <family val="1"/>
        <charset val="2"/>
      </rPr>
      <t>D</t>
    </r>
    <r>
      <rPr>
        <sz val="10"/>
        <rFont val="Arial"/>
        <family val="2"/>
      </rPr>
      <t>H</t>
    </r>
    <r>
      <rPr>
        <vertAlign val="subscript"/>
        <sz val="10"/>
        <rFont val="Arial"/>
        <family val="2"/>
      </rPr>
      <t>g</t>
    </r>
  </si>
  <si>
    <t>Blatt "Projekt", F37 und  AY37: Neue Auswahl "Berner Norm 2016" eingefügt.</t>
  </si>
  <si>
    <t>Blatt "Projekt", AV39: Neue Variable muken14, wahr bei Auswahl "Berner Norm 2016".</t>
  </si>
  <si>
    <t>Blatt "Tab",E22, E23: Grenzwerte nach "Berner Norm 2016", wenn muken14=wahr.</t>
  </si>
  <si>
    <t>Blatt "Tab",B24 - S25: Neue Grenzwerte für "Berner Norm 2016".</t>
  </si>
  <si>
    <t>Blatt "Nachweis": V63: Altbaufaktor neu 1.5 wenn muken14 = wahr.</t>
  </si>
  <si>
    <t>Blatt "Nachweis": V65: Baselfaktor auch für muken14 auf 0.9 gesetzt.</t>
  </si>
  <si>
    <t>Blatt "Nachweis": W57-X57: Neu Bezug auf Tab E22-23 bei Berner Norm 2016</t>
  </si>
  <si>
    <t>Blatt "MINERGIE": B45: Text ohne Option MINERGIE-P</t>
  </si>
  <si>
    <t>Blatt "Projekt", O38 - O46, L38, : Auswahl "Berner Norm 2016" wie "Nachweis 2009"</t>
  </si>
  <si>
    <t>Sprache:</t>
  </si>
  <si>
    <t>deutsch</t>
  </si>
  <si>
    <t>Uebersetzungsliste</t>
  </si>
  <si>
    <t>Minergie-Nachweis: Jahresversion und Jahr</t>
  </si>
  <si>
    <t>Blatt</t>
  </si>
  <si>
    <t>Zelle</t>
  </si>
  <si>
    <t>französisch</t>
  </si>
  <si>
    <t>italienisch</t>
  </si>
  <si>
    <t>B1</t>
  </si>
  <si>
    <t>G2</t>
  </si>
  <si>
    <t>B7</t>
  </si>
  <si>
    <t>B8</t>
  </si>
  <si>
    <t>B13</t>
  </si>
  <si>
    <t>E13</t>
  </si>
  <si>
    <t>G13</t>
  </si>
  <si>
    <t>B14</t>
  </si>
  <si>
    <t>E14</t>
  </si>
  <si>
    <t>MINERGIE</t>
  </si>
  <si>
    <t>oui</t>
  </si>
  <si>
    <t>non</t>
  </si>
  <si>
    <t>N11</t>
  </si>
  <si>
    <t>B16</t>
  </si>
  <si>
    <t>B17</t>
  </si>
  <si>
    <t>B19</t>
  </si>
  <si>
    <t>B21</t>
  </si>
  <si>
    <t>Nouvelle construction</t>
  </si>
  <si>
    <t>B24</t>
  </si>
  <si>
    <t>B27</t>
  </si>
  <si>
    <t>B28</t>
  </si>
  <si>
    <t>B29</t>
  </si>
  <si>
    <t>B31</t>
  </si>
  <si>
    <t>B32</t>
  </si>
  <si>
    <t>B34</t>
  </si>
  <si>
    <t>B37</t>
  </si>
  <si>
    <t>B35</t>
  </si>
  <si>
    <t>B30</t>
  </si>
  <si>
    <t>B40</t>
  </si>
  <si>
    <t>B41</t>
  </si>
  <si>
    <t>B42</t>
  </si>
  <si>
    <t>B43</t>
  </si>
  <si>
    <t>B38</t>
  </si>
  <si>
    <t>B39</t>
  </si>
  <si>
    <t>B44</t>
  </si>
  <si>
    <t>B45</t>
  </si>
  <si>
    <t>B46</t>
  </si>
  <si>
    <t>N56</t>
  </si>
  <si>
    <t>B48</t>
  </si>
  <si>
    <t>C48</t>
  </si>
  <si>
    <t>B51</t>
  </si>
  <si>
    <t>B52</t>
  </si>
  <si>
    <t>B55</t>
  </si>
  <si>
    <t>B57</t>
  </si>
  <si>
    <t>B60</t>
  </si>
  <si>
    <t>Nachweis</t>
  </si>
  <si>
    <t>B15</t>
  </si>
  <si>
    <t>Chauffage</t>
  </si>
  <si>
    <t>B23</t>
  </si>
  <si>
    <t>B25</t>
  </si>
  <si>
    <t>I27</t>
  </si>
  <si>
    <t>L29</t>
  </si>
  <si>
    <t>E46</t>
  </si>
  <si>
    <t>I45</t>
  </si>
  <si>
    <t>J46</t>
  </si>
  <si>
    <t>B53</t>
  </si>
  <si>
    <t>B54</t>
  </si>
  <si>
    <t>B56</t>
  </si>
  <si>
    <t>G56</t>
  </si>
  <si>
    <t>B58</t>
  </si>
  <si>
    <t>B61</t>
  </si>
  <si>
    <t>C63</t>
  </si>
  <si>
    <t>C64</t>
  </si>
  <si>
    <t>B59</t>
  </si>
  <si>
    <t>B2</t>
  </si>
  <si>
    <t>B18</t>
  </si>
  <si>
    <t>B20</t>
  </si>
  <si>
    <t>B26</t>
  </si>
  <si>
    <t>B33</t>
  </si>
  <si>
    <t>C35</t>
  </si>
  <si>
    <t>B47</t>
  </si>
  <si>
    <t>B36</t>
  </si>
  <si>
    <t>B62</t>
  </si>
  <si>
    <t>I62</t>
  </si>
  <si>
    <t>K62</t>
  </si>
  <si>
    <t>B49</t>
  </si>
  <si>
    <t>B50</t>
  </si>
  <si>
    <t>Projekt</t>
  </si>
  <si>
    <t>Für den Energienachweis nach sia 380/1 werden folgende Ausdrucke benötigt:</t>
  </si>
  <si>
    <t>Für den MINERGIE-Nachweis ist zusätzlich das Blatt 'Minergie' auszudrucken.</t>
  </si>
  <si>
    <t>Info</t>
  </si>
  <si>
    <t>'Thermische Energie im Hochbau', Ausgabe 2016 und 2009 und der Berner Norm 2016</t>
  </si>
  <si>
    <t>Programm zur Berechnung des Heizwärmebedarfes von Gebäuden nach der SIA-Norm 380/1</t>
  </si>
  <si>
    <t>B3</t>
  </si>
  <si>
    <t>B4</t>
  </si>
  <si>
    <t>Logiciel pour le calcul des besoins de chaleur pour le chauffage dans bâtiments selon la norme sia 380/1</t>
  </si>
  <si>
    <t>'L'énergie thermique dans le bâtiment', édition 2016 et 2009 et la norme bernoise 2016</t>
  </si>
  <si>
    <t>No. de licence:</t>
  </si>
  <si>
    <t>Entreprise:</t>
  </si>
  <si>
    <t>Tél.:</t>
  </si>
  <si>
    <t>Documents pour les justifications</t>
  </si>
  <si>
    <t>Pour la justification globale selon la norme sia 380/1 if faut imprimer les feuilles suivantes:</t>
  </si>
  <si>
    <t>'Justification',  'Projet',  'Surfaces',  'Fenêtre',  'ValeurU',  'M1'</t>
  </si>
  <si>
    <t>Additionellement, pour le justificatif MINERGIE, on l'imprime avec la feuille 'Minergie'.</t>
  </si>
  <si>
    <t>Q2</t>
  </si>
  <si>
    <t>imprimé le:</t>
  </si>
  <si>
    <t>Adresse</t>
  </si>
  <si>
    <t>C5</t>
  </si>
  <si>
    <t>C7</t>
  </si>
  <si>
    <t>Ort:</t>
  </si>
  <si>
    <t>M5</t>
  </si>
  <si>
    <t>K7</t>
  </si>
  <si>
    <t>M7</t>
  </si>
  <si>
    <t>PLZ:</t>
  </si>
  <si>
    <t>Kataster:</t>
  </si>
  <si>
    <t>K5</t>
  </si>
  <si>
    <t>C15,C22,C29</t>
  </si>
  <si>
    <t>C11</t>
  </si>
  <si>
    <t>M11,M18,M25</t>
  </si>
  <si>
    <t>M13,M20,M29</t>
  </si>
  <si>
    <t>Email:</t>
  </si>
  <si>
    <t>C13</t>
  </si>
  <si>
    <t>C17</t>
  </si>
  <si>
    <t>C18,C25</t>
  </si>
  <si>
    <t>C20,C27</t>
  </si>
  <si>
    <t>C24</t>
  </si>
  <si>
    <t>Aktennr.</t>
  </si>
  <si>
    <t>O5</t>
  </si>
  <si>
    <t>C33</t>
  </si>
  <si>
    <t>Systemnachweis</t>
  </si>
  <si>
    <t>Anforderungen gemäss:</t>
  </si>
  <si>
    <t>F4</t>
  </si>
  <si>
    <t>für</t>
  </si>
  <si>
    <t xml:space="preserve"> **** anonymer Programmbenutzer ****</t>
  </si>
  <si>
    <t>F5</t>
  </si>
  <si>
    <t>R4</t>
  </si>
  <si>
    <t>© Huber Energietechnik AG, Jupiterstrasse 26, 8032 Zürich, Tel. 044 227 79 78, Fax. 044 227 79 79, Email: mail@hetag.ch</t>
  </si>
  <si>
    <t>SIA 380/1 (Ausgabe 2016)</t>
  </si>
  <si>
    <t>SIA 380/1 (Ausgabe 2009)</t>
  </si>
  <si>
    <t>J48</t>
  </si>
  <si>
    <t>J52</t>
  </si>
  <si>
    <t>AY35</t>
  </si>
  <si>
    <t>AY36</t>
  </si>
  <si>
    <t>AX34</t>
  </si>
  <si>
    <t>AX35</t>
  </si>
  <si>
    <t>AX36</t>
  </si>
  <si>
    <t>AX37</t>
  </si>
  <si>
    <t>AX40,O38</t>
  </si>
  <si>
    <t>K33</t>
  </si>
  <si>
    <t>K35</t>
  </si>
  <si>
    <t>C37</t>
  </si>
  <si>
    <t>K37</t>
  </si>
  <si>
    <t>Für Nachweis Standardwerte verwenden!</t>
  </si>
  <si>
    <t>K38</t>
  </si>
  <si>
    <t>C39</t>
  </si>
  <si>
    <r>
      <rPr>
        <sz val="10"/>
        <rFont val="Symbol"/>
        <family val="1"/>
        <charset val="2"/>
      </rPr>
      <t>Q</t>
    </r>
    <r>
      <rPr>
        <vertAlign val="subscript"/>
        <sz val="10"/>
        <rFont val="Arial"/>
        <family val="2"/>
      </rPr>
      <t xml:space="preserve">i  </t>
    </r>
    <r>
      <rPr>
        <sz val="10"/>
        <rFont val="Arial"/>
        <family val="2"/>
      </rPr>
      <t xml:space="preserve">+ </t>
    </r>
    <r>
      <rPr>
        <sz val="10"/>
        <rFont val="Symbol"/>
        <family val="1"/>
        <charset val="2"/>
      </rPr>
      <t>DQ</t>
    </r>
    <r>
      <rPr>
        <sz val="10"/>
        <rFont val="Arial"/>
        <family val="2"/>
      </rPr>
      <t xml:space="preserve">i </t>
    </r>
  </si>
  <si>
    <t>E39</t>
  </si>
  <si>
    <t>Raumtemperatur + Regelungszuschlag</t>
  </si>
  <si>
    <t>E40</t>
  </si>
  <si>
    <t>E41</t>
  </si>
  <si>
    <t>E42</t>
  </si>
  <si>
    <t>E43</t>
  </si>
  <si>
    <t>E44</t>
  </si>
  <si>
    <t>E45</t>
  </si>
  <si>
    <t>Wärmespeicherfähigkeit pro EBF:</t>
  </si>
  <si>
    <t>K48</t>
  </si>
  <si>
    <t>C51</t>
  </si>
  <si>
    <t>G52</t>
  </si>
  <si>
    <t>C53, C57</t>
  </si>
  <si>
    <t>C55</t>
  </si>
  <si>
    <t>G53,G57</t>
  </si>
  <si>
    <t>Energiebezugsfläche EBF (AE, beheizte Bruttogeschossfläche)</t>
  </si>
  <si>
    <t>C61</t>
  </si>
  <si>
    <t>Total EBF ( AE ):</t>
  </si>
  <si>
    <t>M62</t>
  </si>
  <si>
    <t>Brutto Raumhöhe [m]</t>
  </si>
  <si>
    <t>N61</t>
  </si>
  <si>
    <t>C68</t>
  </si>
  <si>
    <t>D68</t>
  </si>
  <si>
    <t>D69</t>
  </si>
  <si>
    <t>C73</t>
  </si>
  <si>
    <t>F74</t>
  </si>
  <si>
    <t>Länge l</t>
  </si>
  <si>
    <t>L74</t>
  </si>
  <si>
    <r>
      <t>Y</t>
    </r>
    <r>
      <rPr>
        <b/>
        <sz val="9.5"/>
        <rFont val="Arial"/>
        <family val="2"/>
      </rPr>
      <t xml:space="preserve">- / </t>
    </r>
    <r>
      <rPr>
        <b/>
        <sz val="9.5"/>
        <rFont val="Symbol"/>
        <family val="1"/>
        <charset val="2"/>
      </rPr>
      <t>C</t>
    </r>
    <r>
      <rPr>
        <b/>
        <sz val="9.5"/>
        <rFont val="Arial"/>
        <family val="2"/>
      </rPr>
      <t>-</t>
    </r>
  </si>
  <si>
    <t>Wert</t>
  </si>
  <si>
    <t>N74, P74</t>
  </si>
  <si>
    <t>C75</t>
  </si>
  <si>
    <t>C77</t>
  </si>
  <si>
    <t>C79</t>
  </si>
  <si>
    <t>C81</t>
  </si>
  <si>
    <t>C83</t>
  </si>
  <si>
    <t>C85</t>
  </si>
  <si>
    <t>C87</t>
  </si>
  <si>
    <t>**  Länge für Fensteranschlag:  3m pro m2 Fensterfläche</t>
  </si>
  <si>
    <t>L88</t>
  </si>
  <si>
    <r>
      <t>V'/A</t>
    </r>
    <r>
      <rPr>
        <vertAlign val="subscript"/>
        <sz val="10"/>
        <color theme="1"/>
        <rFont val="Arial"/>
        <family val="2"/>
      </rPr>
      <t>E</t>
    </r>
  </si>
  <si>
    <t>thermisch wirksamer Aussenluft-Volumenstrom</t>
  </si>
  <si>
    <t>Tab</t>
  </si>
  <si>
    <t>B63</t>
  </si>
  <si>
    <t>B64</t>
  </si>
  <si>
    <t>B68</t>
  </si>
  <si>
    <t>B70</t>
  </si>
  <si>
    <t>B69</t>
  </si>
  <si>
    <t>Projet:</t>
  </si>
  <si>
    <t>Maître de l'ouvrage:</t>
  </si>
  <si>
    <t>Représentant:</t>
  </si>
  <si>
    <t>Auteur du projet:</t>
  </si>
  <si>
    <t>Collaborateur:</t>
  </si>
  <si>
    <t>Dossier:</t>
  </si>
  <si>
    <t>SRE</t>
  </si>
  <si>
    <t>Lieu:</t>
  </si>
  <si>
    <t>Justification:</t>
  </si>
  <si>
    <t>Nature des travaux:</t>
  </si>
  <si>
    <t>Justification globale</t>
  </si>
  <si>
    <t>Exigences d'après:</t>
  </si>
  <si>
    <t>pour</t>
  </si>
  <si>
    <t xml:space="preserve">  **** anonyme ****</t>
  </si>
  <si>
    <t>SIA 380/1 (Edition 2009)</t>
  </si>
  <si>
    <t>SIA 380/1 (Edition 2016)</t>
  </si>
  <si>
    <t>Norme bernoise 2016</t>
  </si>
  <si>
    <t>Optimisation</t>
  </si>
  <si>
    <t>Comparaison</t>
  </si>
  <si>
    <t>Extension</t>
  </si>
  <si>
    <t>Transformation</t>
  </si>
  <si>
    <t>Valeurs d'utilisation normale</t>
  </si>
  <si>
    <t>Catégorie d'ouvrage:</t>
  </si>
  <si>
    <t>Canton (justification):</t>
  </si>
  <si>
    <t>Station météorologique:</t>
  </si>
  <si>
    <t>Fonction:</t>
  </si>
  <si>
    <t>Altitude:</t>
  </si>
  <si>
    <t>Employez les valeurs d'utilisation normale pour la justification!</t>
  </si>
  <si>
    <t>Température ambiante + supplément de régulation</t>
  </si>
  <si>
    <t>Surface par personne</t>
  </si>
  <si>
    <t>Chaleur moyenne dégagée par une personne</t>
  </si>
  <si>
    <t>Durée de présence des personnes</t>
  </si>
  <si>
    <t>Consommation d'électricité</t>
  </si>
  <si>
    <t>Facteur de réduction des apports de chaleur des installations électr.</t>
  </si>
  <si>
    <t>Besoins de chaleur pour l'eau chaude san. par année et par SRE</t>
  </si>
  <si>
    <t>Capacité thermique / SRE:</t>
  </si>
  <si>
    <t>Supplément de régulation</t>
  </si>
  <si>
    <t>Valeurs d'utilisation</t>
  </si>
  <si>
    <t>Systèmes de chauffage intégrés aux éléments d'enveloppe</t>
  </si>
  <si>
    <t>Température de départ maximale</t>
  </si>
  <si>
    <t>Majoration de la température</t>
  </si>
  <si>
    <t>existant</t>
  </si>
  <si>
    <t>Corps de chauffe placés devant des éléments translucides</t>
  </si>
  <si>
    <t>Surface de référence énergétique SRE  ( AE ):</t>
  </si>
  <si>
    <t>Total SRE (AE):</t>
  </si>
  <si>
    <t>Description:</t>
  </si>
  <si>
    <t>brut</t>
  </si>
  <si>
    <t>net</t>
  </si>
  <si>
    <t>Volume:</t>
  </si>
  <si>
    <t>Ponts thermiques:</t>
  </si>
  <si>
    <t>No. du catalogue</t>
  </si>
  <si>
    <t>Longeur l</t>
  </si>
  <si>
    <t>Valeur</t>
  </si>
  <si>
    <t>Pied de façade:</t>
  </si>
  <si>
    <t>Appui fenêtre / mur:</t>
  </si>
  <si>
    <t>Sol / mur de cave:</t>
  </si>
  <si>
    <t>Piliers, supports:</t>
  </si>
  <si>
    <t>Dalle de balcon:</t>
  </si>
  <si>
    <t>Toiture / façade:</t>
  </si>
  <si>
    <t>caisson de volet roulant:</t>
  </si>
  <si>
    <t>**  Longeur des appuis fenêtre / mur: 3m/m2</t>
  </si>
  <si>
    <t xml:space="preserve">construction massive </t>
  </si>
  <si>
    <t xml:space="preserve">construction moyenne </t>
  </si>
  <si>
    <t>construction légère</t>
  </si>
  <si>
    <t>construction très légère: ossature bois</t>
  </si>
  <si>
    <t>régulation par pièce</t>
  </si>
  <si>
    <t>régulation à partir d' une pièce de référence</t>
  </si>
  <si>
    <t>commande par la température extérieure</t>
  </si>
  <si>
    <t>Débit d'air neuf thermiquement significatif</t>
  </si>
  <si>
    <t>an de con-struction</t>
  </si>
  <si>
    <t>I: habitat collectif</t>
  </si>
  <si>
    <t>II: habitat individuel</t>
  </si>
  <si>
    <t>III: administration</t>
  </si>
  <si>
    <t>IV: écoles</t>
  </si>
  <si>
    <t>V: commerce</t>
  </si>
  <si>
    <t>VI: restauration</t>
  </si>
  <si>
    <t>VII: lieux de rassemblement</t>
  </si>
  <si>
    <t>VIII: hôpitaux</t>
  </si>
  <si>
    <t>IX: industrie</t>
  </si>
  <si>
    <t>X: dépôts</t>
  </si>
  <si>
    <t>XI: installations sportives</t>
  </si>
  <si>
    <t>XII: piscines couvertes</t>
  </si>
  <si>
    <t>C31</t>
  </si>
  <si>
    <t>C32</t>
  </si>
  <si>
    <t>C34</t>
  </si>
  <si>
    <t>C36</t>
  </si>
  <si>
    <t>C38</t>
  </si>
  <si>
    <t>C40</t>
  </si>
  <si>
    <t>C41</t>
  </si>
  <si>
    <t>C42</t>
  </si>
  <si>
    <t xml:space="preserve">N°  </t>
  </si>
  <si>
    <t xml:space="preserve">NP:  </t>
  </si>
  <si>
    <t>Hauteur
brute [m]</t>
  </si>
  <si>
    <t>SRE avec chauffage actif</t>
  </si>
  <si>
    <t>Bau</t>
  </si>
  <si>
    <t>AA2</t>
  </si>
  <si>
    <t>Surfaces et coefficients de transmission thermique (éléments d'enveloppe)</t>
  </si>
  <si>
    <t>E6</t>
  </si>
  <si>
    <t>(Oui / Non)</t>
  </si>
  <si>
    <t>M6</t>
  </si>
  <si>
    <t>Oui</t>
  </si>
  <si>
    <t>Non</t>
  </si>
  <si>
    <t>AC13</t>
  </si>
  <si>
    <t>AC14</t>
  </si>
  <si>
    <t>AC15</t>
  </si>
  <si>
    <t>AC16</t>
  </si>
  <si>
    <t xml:space="preserve"> : Systémes de chauffage intégrés aux éléments d'enveloppe ou </t>
  </si>
  <si>
    <t>Q6</t>
  </si>
  <si>
    <t xml:space="preserve">  corps de chauffe placés devant des éléments translucides</t>
  </si>
  <si>
    <t>R7</t>
  </si>
  <si>
    <t>Façades</t>
  </si>
  <si>
    <t>E9</t>
  </si>
  <si>
    <t>Chauffage intégré</t>
  </si>
  <si>
    <t>C9</t>
  </si>
  <si>
    <t>C26</t>
  </si>
  <si>
    <t>C43</t>
  </si>
  <si>
    <t>I11</t>
  </si>
  <si>
    <t>Nord-Est</t>
  </si>
  <si>
    <t>Sud-Est</t>
  </si>
  <si>
    <t>Est</t>
  </si>
  <si>
    <t>Nord-Ouest</t>
  </si>
  <si>
    <t>Ouest</t>
  </si>
  <si>
    <t>Sud-Ouest</t>
  </si>
  <si>
    <t>Sud</t>
  </si>
  <si>
    <t>V11</t>
  </si>
  <si>
    <t>V27</t>
  </si>
  <si>
    <t>E12</t>
  </si>
  <si>
    <t>Paroi exposée à l'air extérieur:</t>
  </si>
  <si>
    <t>Paroi avec</t>
  </si>
  <si>
    <t>fenêtre</t>
  </si>
  <si>
    <t>Fenêtre</t>
  </si>
  <si>
    <t>Paroi sans</t>
  </si>
  <si>
    <t>I13</t>
  </si>
  <si>
    <t xml:space="preserve"> I14</t>
  </si>
  <si>
    <t>K13</t>
  </si>
  <si>
    <t>Valeur U</t>
  </si>
  <si>
    <t>L13</t>
  </si>
  <si>
    <t>Porte à l'extérieur:</t>
  </si>
  <si>
    <t>E22</t>
  </si>
  <si>
    <t>Total Nordfassade:</t>
  </si>
  <si>
    <t>Total façade au nord:</t>
  </si>
  <si>
    <t>E24</t>
  </si>
  <si>
    <t>Total façade à l'est:</t>
  </si>
  <si>
    <t>Total Ostfassade:</t>
  </si>
  <si>
    <t>R24</t>
  </si>
  <si>
    <t>Total NE-Fassade:</t>
  </si>
  <si>
    <t>Total façade au NE:</t>
  </si>
  <si>
    <t>Total SE-Fassade:</t>
  </si>
  <si>
    <t>Total façade au SE:</t>
  </si>
  <si>
    <t>Total NW-Fassade:</t>
  </si>
  <si>
    <t>Total Westfassade:</t>
  </si>
  <si>
    <t>Total façade à l'ouest:</t>
  </si>
  <si>
    <t>Total façade au NO:</t>
  </si>
  <si>
    <t>R40</t>
  </si>
  <si>
    <t>Total SW-Fassade:</t>
  </si>
  <si>
    <t>Total Südfassade:</t>
  </si>
  <si>
    <t>Total façade au sud:</t>
  </si>
  <si>
    <t>Total façade au SO:</t>
  </si>
  <si>
    <t>Surfaces</t>
  </si>
  <si>
    <t>Falsche Eingabe!</t>
  </si>
  <si>
    <t>Entrée fausse!</t>
  </si>
  <si>
    <t>JA</t>
  </si>
  <si>
    <t>NEIN</t>
  </si>
  <si>
    <t>OUI</t>
  </si>
  <si>
    <t>NON</t>
  </si>
  <si>
    <t>AG6</t>
  </si>
  <si>
    <t>en contact avec le terrain</t>
  </si>
  <si>
    <t>2ème paroi</t>
  </si>
  <si>
    <t>contre un local chauffé</t>
  </si>
  <si>
    <t>contre un local non chauffé</t>
  </si>
  <si>
    <t>3ème paroi</t>
  </si>
  <si>
    <t>Porte c. un local non chauffé</t>
  </si>
  <si>
    <t>E47</t>
  </si>
  <si>
    <t>E49</t>
  </si>
  <si>
    <t>E50</t>
  </si>
  <si>
    <t>E52</t>
  </si>
  <si>
    <t>E53</t>
  </si>
  <si>
    <t>E54</t>
  </si>
  <si>
    <t>E56</t>
  </si>
  <si>
    <t>Plancher:</t>
  </si>
  <si>
    <t>E60</t>
  </si>
  <si>
    <t>exposé à l'air extérieur</t>
  </si>
  <si>
    <t>2ème plancher</t>
  </si>
  <si>
    <t>E62</t>
  </si>
  <si>
    <t>E63</t>
  </si>
  <si>
    <t>E65</t>
  </si>
  <si>
    <t>E66</t>
  </si>
  <si>
    <t>E68</t>
  </si>
  <si>
    <t>E69</t>
  </si>
  <si>
    <t>E71</t>
  </si>
  <si>
    <t>E73</t>
  </si>
  <si>
    <t>E74</t>
  </si>
  <si>
    <t>Profondeur</t>
  </si>
  <si>
    <t>N60</t>
  </si>
  <si>
    <t>Longeur</t>
  </si>
  <si>
    <t>des côtés</t>
  </si>
  <si>
    <t>R60</t>
  </si>
  <si>
    <t>R61</t>
  </si>
  <si>
    <t>Valeur b</t>
  </si>
  <si>
    <t>T61</t>
  </si>
  <si>
    <t>Grosseur de</t>
  </si>
  <si>
    <t>la parois</t>
  </si>
  <si>
    <t>R44</t>
  </si>
  <si>
    <t>R45</t>
  </si>
  <si>
    <t>Espace non chauffé</t>
  </si>
  <si>
    <t>V44</t>
  </si>
  <si>
    <t>Méthode</t>
  </si>
  <si>
    <t>Bande de rive: *</t>
  </si>
  <si>
    <t>Mat. de terrain</t>
  </si>
  <si>
    <t>Frostriegel: *</t>
  </si>
  <si>
    <t>V45</t>
  </si>
  <si>
    <t>V46</t>
  </si>
  <si>
    <t>V47</t>
  </si>
  <si>
    <t>Temp. loc. ch.</t>
  </si>
  <si>
    <t>N49</t>
  </si>
  <si>
    <t>* H=Höhe, D=Dämmstärke, l=lambda-Wert Dämmst.</t>
  </si>
  <si>
    <t>* B=Breite, D=Dämmstärke, l=lambda-Wert Dämmst.</t>
  </si>
  <si>
    <t xml:space="preserve">* B = Largeur, D = Grosseur, l = Valeur lambda     </t>
  </si>
  <si>
    <t xml:space="preserve">* H = Hauteur, D = Grosseur, l = Valeur lambda     </t>
  </si>
  <si>
    <t>V80</t>
  </si>
  <si>
    <t>Local non chauffé</t>
  </si>
  <si>
    <t>AA49</t>
  </si>
  <si>
    <t>AA63</t>
  </si>
  <si>
    <t>Temp. du</t>
  </si>
  <si>
    <t>local chauff.</t>
  </si>
  <si>
    <t>R79</t>
  </si>
  <si>
    <t>R80</t>
  </si>
  <si>
    <t>N69</t>
  </si>
  <si>
    <t>Unbeheizter Raum ist -&gt;</t>
  </si>
  <si>
    <t>Local non chauffé -&gt;</t>
  </si>
  <si>
    <t>N52</t>
  </si>
  <si>
    <t>(inkl. Regelungszuschlag des Nachbarraums)</t>
  </si>
  <si>
    <t>T73</t>
  </si>
  <si>
    <t>Nur zulässig, wenn luftdicht</t>
  </si>
  <si>
    <t>N71</t>
  </si>
  <si>
    <t>cage d'escalier</t>
  </si>
  <si>
    <t>si hermétiquement fermé</t>
  </si>
  <si>
    <t>(Supplément de régulation y inclu)</t>
  </si>
  <si>
    <t>N63</t>
  </si>
  <si>
    <t>Tiefe stimmt nicht!</t>
  </si>
  <si>
    <t>erreur à la profondeur!</t>
  </si>
  <si>
    <t>Raum  -&gt;</t>
  </si>
  <si>
    <t>R86</t>
  </si>
  <si>
    <t>Local  -&gt;</t>
  </si>
  <si>
    <t>*1: b-Wert manuell eingegeben</t>
  </si>
  <si>
    <t>V84</t>
  </si>
  <si>
    <t>*1: Valeur b est remplie manuelle</t>
  </si>
  <si>
    <t>Vitrage zénithal</t>
  </si>
  <si>
    <t>Toit en terrasse</t>
  </si>
  <si>
    <t>2ème toit en terrasse</t>
  </si>
  <si>
    <t>Toit incliné</t>
  </si>
  <si>
    <t>2ème toit</t>
  </si>
  <si>
    <t>E81</t>
  </si>
  <si>
    <t>E82</t>
  </si>
  <si>
    <t>E83</t>
  </si>
  <si>
    <t>E84</t>
  </si>
  <si>
    <t>E86</t>
  </si>
  <si>
    <t>E87</t>
  </si>
  <si>
    <t>E89</t>
  </si>
  <si>
    <t>E90</t>
  </si>
  <si>
    <t>T89,T90</t>
  </si>
  <si>
    <t>( Supplément de régulation et température chauffage sol inclu)</t>
  </si>
  <si>
    <t>I94</t>
  </si>
  <si>
    <t>Les valeurs mensuelles sont à remplir sur la feuille 'ValeurU'.</t>
  </si>
  <si>
    <t>combles, toit non isolé</t>
  </si>
  <si>
    <t>sous-sol entièrement enterré</t>
  </si>
  <si>
    <t>pièce annexe</t>
  </si>
  <si>
    <t>jardin d' hiver, véranda</t>
  </si>
  <si>
    <t>L64</t>
  </si>
  <si>
    <t>L65</t>
  </si>
  <si>
    <t>L66</t>
  </si>
  <si>
    <t>L67</t>
  </si>
  <si>
    <t>L68</t>
  </si>
  <si>
    <t>L69</t>
  </si>
  <si>
    <t>Argile ou Silt</t>
  </si>
  <si>
    <t>Sable ou gravier (humide)</t>
  </si>
  <si>
    <t>Roc homogène</t>
  </si>
  <si>
    <t>L82</t>
  </si>
  <si>
    <t>L83</t>
  </si>
  <si>
    <t>L84</t>
  </si>
  <si>
    <t>Pas de bandes de rive horizontale</t>
  </si>
  <si>
    <t>K186</t>
  </si>
  <si>
    <t>Pas de bandes de rive verticale</t>
  </si>
  <si>
    <t>K303</t>
  </si>
  <si>
    <t>Surface de référence énergétique:</t>
  </si>
  <si>
    <t>Facteur d'ombrage de la façade ayant la plus grande surface vitrée:</t>
  </si>
  <si>
    <t>Longueur totale des ponts thermiques linéaires:</t>
  </si>
  <si>
    <t>Bâtiment avec chauffage par sol</t>
  </si>
  <si>
    <t>Supplément pour régulation non performante</t>
  </si>
  <si>
    <t>Facteur d'envelope Ath/SRE</t>
  </si>
  <si>
    <t xml:space="preserve">Temp. de dimensionnement </t>
  </si>
  <si>
    <t>L51</t>
  </si>
  <si>
    <t>Système:</t>
  </si>
  <si>
    <t>Grenzwert nach MINERGIE-P</t>
  </si>
  <si>
    <t>Valeur-limite MINERGIE-P</t>
  </si>
  <si>
    <t>Exigence globale</t>
  </si>
  <si>
    <t>x   nicht erfüllt</t>
  </si>
  <si>
    <t>x   non respectée</t>
  </si>
  <si>
    <t>Q56</t>
  </si>
  <si>
    <t>Grenzwert der Kantone Basel-Land und Basel-Stadt: 90% des SIA Grenzwertes</t>
  </si>
  <si>
    <t>(Valeur-limite des cantons Basel-Land et Basel-Stadt: 90% de valeur-limite de l'SIA)</t>
  </si>
  <si>
    <t>(Valeur-limite des cantons Basel-Land et Basel-Stadt: 80% de valeur-limite de l'SIA)</t>
  </si>
  <si>
    <t>(Grenzwert der Kantone Basel-Land und Basel-Stadt: 80% des SIA Grenzwertes)</t>
  </si>
  <si>
    <t>(Valeur-limite Fürstentum Liechtenstein: 90% de valeur-limite de l'SIA)</t>
  </si>
  <si>
    <t>(Valeur-limite Fürstentum Liechtenstein: 80% de valeur-limite de l'SIA)</t>
  </si>
  <si>
    <t>(Grenzwert Fürstentum Liechtenstein: 90% des SIA Grenzwertes)</t>
  </si>
  <si>
    <t>(Grenzwert Fürstentum Liechtenstein: 80% des SIA Grenzwertes)</t>
  </si>
  <si>
    <t>Les soussignés confirment par leur signature que les indications figurant ci-dessus et celles utilisées pour</t>
  </si>
  <si>
    <t>établir la justification d'une isolation thermique suffisante sont exactes et complètes.</t>
  </si>
  <si>
    <t>L'auteur du projet:</t>
  </si>
  <si>
    <t>L'auteur du justificatif:</t>
  </si>
  <si>
    <t>B67</t>
  </si>
  <si>
    <t>Date:</t>
  </si>
  <si>
    <t>M63</t>
  </si>
  <si>
    <t>B73</t>
  </si>
  <si>
    <t>R74</t>
  </si>
  <si>
    <t>Heizlast</t>
  </si>
  <si>
    <t>Puissance de chauffage spécifique</t>
  </si>
  <si>
    <t>K53</t>
  </si>
  <si>
    <r>
      <t>W/m</t>
    </r>
    <r>
      <rPr>
        <b/>
        <vertAlign val="superscript"/>
        <sz val="9"/>
        <rFont val="Arial"/>
        <family val="2"/>
      </rPr>
      <t>2</t>
    </r>
  </si>
  <si>
    <r>
      <t>Q</t>
    </r>
    <r>
      <rPr>
        <b/>
        <vertAlign val="subscript"/>
        <sz val="9"/>
        <rFont val="Arial"/>
        <family val="2"/>
      </rPr>
      <t>H</t>
    </r>
  </si>
  <si>
    <r>
      <t>p</t>
    </r>
    <r>
      <rPr>
        <b/>
        <vertAlign val="subscript"/>
        <sz val="9"/>
        <rFont val="Arial"/>
        <family val="2"/>
      </rPr>
      <t>h</t>
    </r>
  </si>
  <si>
    <t>Heizwärmebedarf, Projektwert</t>
  </si>
  <si>
    <t>Besoins de chaleur pour le chauffage</t>
  </si>
  <si>
    <r>
      <t>Q</t>
    </r>
    <r>
      <rPr>
        <b/>
        <vertAlign val="subscript"/>
        <sz val="9"/>
        <rFont val="Arial"/>
        <family val="2"/>
      </rPr>
      <t>H,li</t>
    </r>
  </si>
  <si>
    <t>Valeur-limite</t>
  </si>
  <si>
    <r>
      <t>p</t>
    </r>
    <r>
      <rPr>
        <b/>
        <vertAlign val="subscript"/>
        <sz val="9"/>
        <rFont val="Arial"/>
        <family val="2"/>
      </rPr>
      <t>h,li</t>
    </r>
  </si>
  <si>
    <t>und</t>
  </si>
  <si>
    <t>et</t>
  </si>
  <si>
    <t>D56</t>
  </si>
  <si>
    <t>1. Energiebezugsfläche EBF (AE) und Grenzwert (Qh,li)</t>
  </si>
  <si>
    <t>1. Surface de référence énergétique SRE (AE) et valeur-limite (Qh,li)</t>
  </si>
  <si>
    <t>B77</t>
  </si>
  <si>
    <t>zone thermique</t>
  </si>
  <si>
    <t>B78</t>
  </si>
  <si>
    <t>B79</t>
  </si>
  <si>
    <t>Correction de Qh,li en fonction de la température extérieure moyenne annuelle</t>
  </si>
  <si>
    <r>
      <t>q</t>
    </r>
    <r>
      <rPr>
        <vertAlign val="subscript"/>
        <sz val="11"/>
        <rFont val="Arial"/>
        <family val="2"/>
      </rPr>
      <t>ea</t>
    </r>
    <r>
      <rPr>
        <sz val="11"/>
        <rFont val="Arial"/>
        <family val="2"/>
      </rPr>
      <t xml:space="preserve"> =</t>
    </r>
  </si>
  <si>
    <t>Decke</t>
  </si>
  <si>
    <t>2. Aufteilung der Fenster/Türen-Flächen auf Fassaden/Dach/Boden</t>
  </si>
  <si>
    <t>2. Distribution des éléments d'enveloppe et facteur de réduction dû à l'effet des ombres permanentes</t>
  </si>
  <si>
    <t>B82</t>
  </si>
  <si>
    <t>NE</t>
  </si>
  <si>
    <t>SW</t>
  </si>
  <si>
    <t>SO</t>
  </si>
  <si>
    <t>NO</t>
  </si>
  <si>
    <t>G84</t>
  </si>
  <si>
    <t>I84</t>
  </si>
  <si>
    <t>K84</t>
  </si>
  <si>
    <t>façades</t>
  </si>
  <si>
    <t>toit, plafond</t>
  </si>
  <si>
    <t>plancher</t>
  </si>
  <si>
    <t>M83</t>
  </si>
  <si>
    <t>total</t>
  </si>
  <si>
    <t>surface des éléments en m2</t>
  </si>
  <si>
    <t>Fläche in m2</t>
  </si>
  <si>
    <t>Q83</t>
  </si>
  <si>
    <t>B84</t>
  </si>
  <si>
    <t>Opake Teile gegen aussen</t>
  </si>
  <si>
    <t>opaques contre l’extérieur</t>
  </si>
  <si>
    <t>B85</t>
  </si>
  <si>
    <t>translucides et portes contre l’extérieur</t>
  </si>
  <si>
    <t>Fenster/Türen gegen aussen</t>
  </si>
  <si>
    <t>B86</t>
  </si>
  <si>
    <t>Bauteile gegen unbeheizt</t>
  </si>
  <si>
    <t>Bauteile gegen Erdreich</t>
  </si>
  <si>
    <t>Bauteile gegen beheizt</t>
  </si>
  <si>
    <t>élements contre local non chauffé</t>
  </si>
  <si>
    <t>élements contre le terrain</t>
  </si>
  <si>
    <t>élements contre mitoyens</t>
  </si>
  <si>
    <t>B87</t>
  </si>
  <si>
    <t>B88</t>
  </si>
  <si>
    <t>B89</t>
  </si>
  <si>
    <t>Anteil Fenster + Türen an Hüll-fläche gegen aussen</t>
  </si>
  <si>
    <t>rapport él. trans-lucides + portes/ surface enveloppe contre l’extérieur</t>
  </si>
  <si>
    <t>Verschattungsfaktor FS (flächengewichteter Mittelwert der Fenster gegen Aussen)</t>
  </si>
  <si>
    <t>B91</t>
  </si>
  <si>
    <t>B92</t>
  </si>
  <si>
    <t>(Horizont)</t>
  </si>
  <si>
    <t>(horizon)</t>
  </si>
  <si>
    <t>(surplomb)</t>
  </si>
  <si>
    <t>(écran latéral)</t>
  </si>
  <si>
    <t>(Überhang)</t>
  </si>
  <si>
    <t>(Seitenblende)</t>
  </si>
  <si>
    <t>C93</t>
  </si>
  <si>
    <t>C94</t>
  </si>
  <si>
    <t>C95</t>
  </si>
  <si>
    <r>
      <t>F</t>
    </r>
    <r>
      <rPr>
        <vertAlign val="subscript"/>
        <sz val="9"/>
        <rFont val="Arial"/>
        <family val="2"/>
      </rPr>
      <t xml:space="preserve">S1 </t>
    </r>
  </si>
  <si>
    <r>
      <t>F</t>
    </r>
    <r>
      <rPr>
        <vertAlign val="subscript"/>
        <sz val="9"/>
        <rFont val="Arial"/>
        <family val="2"/>
      </rPr>
      <t xml:space="preserve">S2 </t>
    </r>
  </si>
  <si>
    <r>
      <t>F</t>
    </r>
    <r>
      <rPr>
        <vertAlign val="subscript"/>
        <sz val="9"/>
        <rFont val="Arial"/>
        <family val="2"/>
      </rPr>
      <t>S3</t>
    </r>
  </si>
  <si>
    <t>Des déperditions vers le terrain et des déperditions vers des locaux non chauffés (valeur moyenne)</t>
  </si>
  <si>
    <t>facteur de réduction Fs dû à l'effet des ombres permanentes (contre l’extérieur)</t>
  </si>
  <si>
    <t>Bauteile gegen Erdreich und unbeheizt (flächengewichteter Mittelwert)</t>
  </si>
  <si>
    <t>Mittlerer b-Wert</t>
  </si>
  <si>
    <t>facteur de réduction b</t>
  </si>
  <si>
    <t>B97</t>
  </si>
  <si>
    <t>B98</t>
  </si>
  <si>
    <t>B99</t>
  </si>
  <si>
    <t>Facteur d’enveloppe</t>
  </si>
  <si>
    <t>B100</t>
  </si>
  <si>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</si>
  <si>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Rapport des éléments translucides et des portes / SRE:</t>
  </si>
  <si>
    <r>
      <t>[W/m</t>
    </r>
    <r>
      <rPr>
        <vertAlign val="superscript"/>
        <sz val="10"/>
        <color indexed="8"/>
        <rFont val="Arial"/>
        <family val="2"/>
      </rPr>
      <t>2</t>
    </r>
    <r>
      <rPr>
        <sz val="10"/>
        <color indexed="8"/>
        <rFont val="Arial"/>
        <family val="2"/>
      </rPr>
      <t>K]</t>
    </r>
  </si>
  <si>
    <t>Rechen-</t>
  </si>
  <si>
    <t>AG12</t>
  </si>
  <si>
    <t>double</t>
  </si>
  <si>
    <t>unbeheiz-</t>
  </si>
  <si>
    <t>ter Raum</t>
  </si>
  <si>
    <t>-&gt; Eingabe Nr. des unbeheizten Raums</t>
  </si>
  <si>
    <t>Fläche stimmt nicht mit Blatt 'Fenster' überein!</t>
  </si>
  <si>
    <t>La surface n'est pas concordante avec la surface du page 'Fenster'!</t>
  </si>
  <si>
    <t>G9</t>
  </si>
  <si>
    <t>-&gt; No du local non chauffé manquant!</t>
  </si>
  <si>
    <t>C25,C42</t>
  </si>
  <si>
    <t>Wand gegen Erdreich</t>
  </si>
  <si>
    <t>Wand gegen unbeheizt</t>
  </si>
  <si>
    <t xml:space="preserve"> 1.</t>
  </si>
  <si>
    <t xml:space="preserve"> 2.</t>
  </si>
  <si>
    <t xml:space="preserve"> 3.</t>
  </si>
  <si>
    <t xml:space="preserve"> 4.</t>
  </si>
  <si>
    <t>sous-sol partiellement enterré ou hors terre</t>
  </si>
  <si>
    <t>Alle roten Felder ausfüllen!</t>
  </si>
  <si>
    <t>remplir les cellules rouges!</t>
  </si>
  <si>
    <t>C20</t>
  </si>
  <si>
    <t>Wand gegen das Erdreich</t>
  </si>
  <si>
    <t>Methode? (eine Wahl treffen)</t>
  </si>
  <si>
    <t>Méthode? (Faites un choix)</t>
  </si>
  <si>
    <t>2 bandes de rive pas possible</t>
  </si>
  <si>
    <t>Randstreifen + Frostriegel gewählt! (nicht erlaubt)</t>
  </si>
  <si>
    <t>Bodenmaterial nicht identisch!</t>
  </si>
  <si>
    <t>Mat. de terrain pas identique</t>
  </si>
  <si>
    <t>Parois contre le terrain</t>
  </si>
  <si>
    <t>E48</t>
  </si>
  <si>
    <t>Wand3</t>
  </si>
  <si>
    <t>Wand4</t>
  </si>
  <si>
    <t>Wand5</t>
  </si>
  <si>
    <t>Wand6</t>
  </si>
  <si>
    <t>Wand7</t>
  </si>
  <si>
    <t>Wand8</t>
  </si>
  <si>
    <t>Wand gn. Erde 2:</t>
  </si>
  <si>
    <t xml:space="preserve">UWand = </t>
  </si>
  <si>
    <t xml:space="preserve">Tiefe = </t>
  </si>
  <si>
    <t>_Ver09</t>
  </si>
  <si>
    <t>MUKEN 2014</t>
  </si>
  <si>
    <t>C66</t>
  </si>
  <si>
    <t>Volume (Liechtenstein)</t>
  </si>
  <si>
    <t>Estrichraum, Schrägdach gedämmt Uue&lt;0.4W/m2K</t>
  </si>
  <si>
    <t>Kellerraum ganz im Erdreich, gedämmt Uue&lt;0.4 W/m2K</t>
  </si>
  <si>
    <t>combles, toit isolé Uue&lt;0.4W/m2K</t>
  </si>
  <si>
    <t>sous-sol entièrement enterré, isolé Uue&lt;0.4W/m2K</t>
  </si>
  <si>
    <t>Kellerraum teilweise über Erdreich, gedämmt Uue&lt;0.4W/m2K</t>
  </si>
  <si>
    <t>sous-sol partiellement enterré, isolé Uue&lt;0.4W/m2K</t>
  </si>
  <si>
    <t>angebauter Raum ungedämmt</t>
  </si>
  <si>
    <t>angebauter Raum, gedämmt Uue&lt;0.4 W/m2K</t>
  </si>
  <si>
    <t>pièce annexe, isolé Uue&lt;0.4W/m2K</t>
  </si>
  <si>
    <t>L70</t>
  </si>
  <si>
    <t>L71</t>
  </si>
  <si>
    <t>L72</t>
  </si>
  <si>
    <t xml:space="preserve">UDecke = </t>
  </si>
  <si>
    <t>Erdreich:</t>
  </si>
  <si>
    <t>dans terrain:</t>
  </si>
  <si>
    <t>unbeheizt+Erde</t>
  </si>
  <si>
    <t>S52-S55</t>
  </si>
  <si>
    <t>local non chauffé</t>
  </si>
  <si>
    <t>Unbeheizter Raum ist --&gt;</t>
  </si>
  <si>
    <t>Local non chauffé --&gt;</t>
  </si>
  <si>
    <t>mittlerer</t>
  </si>
  <si>
    <t>E26,V62</t>
  </si>
  <si>
    <t>Nachbarraum</t>
  </si>
  <si>
    <t>Température</t>
  </si>
  <si>
    <t>voisine</t>
  </si>
  <si>
    <t>unbeheizter Raum</t>
  </si>
  <si>
    <t>E46-49</t>
  </si>
  <si>
    <t>Wände gegen Erdreich:</t>
  </si>
  <si>
    <t>Parois en contact avec le terrain:</t>
  </si>
  <si>
    <t>Wand gegen unbeheizt oder Erde:</t>
  </si>
  <si>
    <t>parois contre local non chauffé ou la terre:</t>
  </si>
  <si>
    <t>E21</t>
  </si>
  <si>
    <t>1. Wand</t>
  </si>
  <si>
    <t>2. Wand</t>
  </si>
  <si>
    <t>Première paroi</t>
  </si>
  <si>
    <t>paroi contre contre local chauffé</t>
  </si>
  <si>
    <t>R48</t>
  </si>
  <si>
    <t>T50</t>
  </si>
  <si>
    <t>T49</t>
  </si>
  <si>
    <t>Fläche stimmt nicht mit Blatt 'Bau' überein!</t>
  </si>
  <si>
    <t>La surface n'est pas concordante avec la surface du page 'Bau'!</t>
  </si>
  <si>
    <t>D31</t>
  </si>
  <si>
    <t>AK2</t>
  </si>
  <si>
    <t>D4</t>
  </si>
  <si>
    <t>Fenêtre:</t>
  </si>
  <si>
    <t>( Horizontwinkel )</t>
  </si>
  <si>
    <r>
      <t xml:space="preserve">     </t>
    </r>
    <r>
      <rPr>
        <b/>
        <sz val="9"/>
        <rFont val="Symbol"/>
        <family val="1"/>
        <charset val="2"/>
      </rPr>
      <t>a:</t>
    </r>
  </si>
  <si>
    <t>( angle d'hoizont )</t>
  </si>
  <si>
    <t>L6</t>
  </si>
  <si>
    <t>U-Wert
[W/m2K]</t>
  </si>
  <si>
    <t>Valeur U
[W/m2K]</t>
  </si>
  <si>
    <t>K32</t>
  </si>
  <si>
    <t>T30</t>
  </si>
  <si>
    <t>Surplomb</t>
  </si>
  <si>
    <t>Ecran latéral</t>
  </si>
  <si>
    <t>AD30</t>
  </si>
  <si>
    <t>(auf Südseite)</t>
  </si>
  <si>
    <t>(côté sud)</t>
  </si>
  <si>
    <t>AD54,AD77</t>
  </si>
  <si>
    <t>(auf Westseite)</t>
  </si>
  <si>
    <t>(côté ouest)</t>
  </si>
  <si>
    <t>AD77</t>
  </si>
  <si>
    <t>corps de chauffe</t>
  </si>
  <si>
    <t>Valeur g</t>
  </si>
  <si>
    <t>M9</t>
  </si>
  <si>
    <t xml:space="preserve"> g-Wert:</t>
  </si>
  <si>
    <t>nombre</t>
  </si>
  <si>
    <t>F9</t>
  </si>
  <si>
    <t>H9</t>
  </si>
  <si>
    <t>M31</t>
  </si>
  <si>
    <t>(au centre de la façade)</t>
  </si>
  <si>
    <t>Glasanteil
(FF-Wert):</t>
  </si>
  <si>
    <t>O9</t>
  </si>
  <si>
    <t>part vitrée
(Val. FF):</t>
  </si>
  <si>
    <t>R32</t>
  </si>
  <si>
    <t>V32</t>
  </si>
  <si>
    <t>angle</t>
  </si>
  <si>
    <t>b</t>
  </si>
  <si>
    <t>FS-Wert:</t>
  </si>
  <si>
    <t>AK7</t>
  </si>
  <si>
    <t>Valeur  FS</t>
  </si>
  <si>
    <t>deux côtés?</t>
  </si>
  <si>
    <t>Z52</t>
  </si>
  <si>
    <t>(auf Ostseite)</t>
  </si>
  <si>
    <t>(côté est)</t>
  </si>
  <si>
    <t>AD100</t>
  </si>
  <si>
    <t xml:space="preserve">    B</t>
  </si>
  <si>
    <t>AB32</t>
  </si>
  <si>
    <t>écran</t>
  </si>
  <si>
    <t>AD32</t>
  </si>
  <si>
    <t xml:space="preserve">  :  Calculer les données avec un outil exterieur pour les fenêtres</t>
  </si>
  <si>
    <t>total / valeur du milieu:</t>
  </si>
  <si>
    <t>D27</t>
  </si>
  <si>
    <t xml:space="preserve">Eingabe aus externem Fenster - Tool:  Fs  =  Fs1  = </t>
  </si>
  <si>
    <t xml:space="preserve">g (total) = </t>
  </si>
  <si>
    <t xml:space="preserve">  Fs  =  Fs1  = </t>
  </si>
  <si>
    <t>AF27</t>
  </si>
  <si>
    <t>AF28</t>
  </si>
  <si>
    <t xml:space="preserve">Eingabe aus externem Fenster - Tool:  Fs = ( Fs1 * Fs2 * Fs3 ) = </t>
  </si>
  <si>
    <t>AF50</t>
  </si>
  <si>
    <t xml:space="preserve"> Fs = ( Fs1 * Fs2 * Fs3 ) = </t>
  </si>
  <si>
    <t>Page 8 de 8</t>
  </si>
  <si>
    <t>M1</t>
  </si>
  <si>
    <t>P2</t>
  </si>
  <si>
    <t>Calcul des besoins de chaleur pour le chauffage dans bâtiments, SIA 380/1</t>
  </si>
  <si>
    <t>P3</t>
  </si>
  <si>
    <t>Mit Standard-Aussenluft-Volumenstrom V/EBF0 gem. Minergie-P</t>
  </si>
  <si>
    <t>Mit Standard-Aussenluft-Volumenstrom V/EBF0 gem. SIA 380/1</t>
  </si>
  <si>
    <t>B5</t>
  </si>
  <si>
    <t>Débit d'air neuf V/EBF0 selon Minergie-P</t>
  </si>
  <si>
    <t>Débit d'air neuf V/EBF0 selon la norme SIA 380/1</t>
  </si>
  <si>
    <t>Für Nachweise gem. Minergie-P</t>
  </si>
  <si>
    <t>Für Nachweise gem. SIA-Norm 380/1</t>
  </si>
  <si>
    <t>Pour les justifications globales selon Minergie-P</t>
  </si>
  <si>
    <t>Pour les justifications globales selon la norme SIA 380/1</t>
  </si>
  <si>
    <t>A:  Objet</t>
  </si>
  <si>
    <t>Fev</t>
  </si>
  <si>
    <t>Mar</t>
  </si>
  <si>
    <t>Avr</t>
  </si>
  <si>
    <t>Juin</t>
  </si>
  <si>
    <t>Juil</t>
  </si>
  <si>
    <t>Août</t>
  </si>
  <si>
    <t>Oct</t>
  </si>
  <si>
    <t>Déc</t>
  </si>
  <si>
    <t>D11</t>
  </si>
  <si>
    <t>E11</t>
  </si>
  <si>
    <t>F11</t>
  </si>
  <si>
    <t>G11</t>
  </si>
  <si>
    <t>H11</t>
  </si>
  <si>
    <t>J11</t>
  </si>
  <si>
    <t>K11</t>
  </si>
  <si>
    <t>L11</t>
  </si>
  <si>
    <t>M11</t>
  </si>
  <si>
    <t>B:  Données climatiques</t>
  </si>
  <si>
    <t>Länge der Heizperiode tc :</t>
  </si>
  <si>
    <t>Jours par mois:</t>
  </si>
  <si>
    <t>Température extérieure Thetae :</t>
  </si>
  <si>
    <t>Durée de la période de calcul tc :</t>
  </si>
  <si>
    <t>Rayonnement solaire glob. horizontale:</t>
  </si>
  <si>
    <t>Rayonnement solaire global Sud:</t>
  </si>
  <si>
    <t>Rayonnement solaire global Est:</t>
  </si>
  <si>
    <t>Rayonnement solaire global Ouest:</t>
  </si>
  <si>
    <t>Rayonnement solaire global Nord:</t>
  </si>
  <si>
    <t>Fenster SW :</t>
  </si>
  <si>
    <t>Fenster SE :</t>
  </si>
  <si>
    <t>Fenster NW :</t>
  </si>
  <si>
    <t>Fenster NE :</t>
  </si>
  <si>
    <t>Transmissionswärmeverlust QT:</t>
  </si>
  <si>
    <t>F: Déperditions par transmission</t>
  </si>
  <si>
    <t>Toit exposé à l'air extérieur:</t>
  </si>
  <si>
    <t>Plafond contre des loc. non chauffés:</t>
  </si>
  <si>
    <t>Plafond contre des locaux chauffés:</t>
  </si>
  <si>
    <t>Mur exposé à l'air extérieur:</t>
  </si>
  <si>
    <t>Mur contre des locaux non chauffés:</t>
  </si>
  <si>
    <t>Mur contre le terrain:</t>
  </si>
  <si>
    <t>Mur contre des locaux chauffés:</t>
  </si>
  <si>
    <t>Plancher exposé à l'air extérieur:</t>
  </si>
  <si>
    <t>Plancher contre des loc. non chauffés:</t>
  </si>
  <si>
    <t>Plancher contre le terrain:</t>
  </si>
  <si>
    <t>Plancher contre des locaux chauffés:</t>
  </si>
  <si>
    <t>Fenêtre zénithale:</t>
  </si>
  <si>
    <t>Fenêtre SW :</t>
  </si>
  <si>
    <t>Fenêtre SE :</t>
  </si>
  <si>
    <t>Fenêtre NW :</t>
  </si>
  <si>
    <t>Fenêtre NE :</t>
  </si>
  <si>
    <t>Déperditions par transmission QT:</t>
  </si>
  <si>
    <t>Fenêtre orientée au sud:</t>
  </si>
  <si>
    <t>Fenêtre orientée à l'est:</t>
  </si>
  <si>
    <t>Fenêtre orientée à l'ouest:</t>
  </si>
  <si>
    <t>Fenêtre orientée au nord:</t>
  </si>
  <si>
    <t>Lüftungswärmeverlust QV:</t>
  </si>
  <si>
    <t>G: Déperditions par renouvellement d'air:</t>
  </si>
  <si>
    <t>Gesamtwärmeverlust Qt:</t>
  </si>
  <si>
    <t>H: Déperditions totales:</t>
  </si>
  <si>
    <t>Déperditions totales Qt:</t>
  </si>
  <si>
    <t>Wärmegewinn Elektrizität QiE:</t>
  </si>
  <si>
    <t>Wärmegewinn Personen QiP:</t>
  </si>
  <si>
    <t>Interne Wärmegewinne Qi:</t>
  </si>
  <si>
    <t>I: Apports de chaleur:</t>
  </si>
  <si>
    <t>Apports solaires Lucido / TWD:</t>
  </si>
  <si>
    <t>interne dus aux personnes QiP:</t>
  </si>
  <si>
    <t>Apports de chaleur internes Qi:</t>
  </si>
  <si>
    <t>Apports solaires zénithaux:</t>
  </si>
  <si>
    <t>Solarer Wärmegewinn Süd:</t>
  </si>
  <si>
    <t>Solarer Wärmegewinn SW:</t>
  </si>
  <si>
    <t>Solarer Wärmegewinn Ost:</t>
  </si>
  <si>
    <t>Solarer Wärmegewinn SE:</t>
  </si>
  <si>
    <t>Solarer Wärmegewinn Nord:</t>
  </si>
  <si>
    <t>Solarer Wärmegewinn West:</t>
  </si>
  <si>
    <t>Solarer Wärmegewinn NW:</t>
  </si>
  <si>
    <t>Solarer Wärmegewinn NE:</t>
  </si>
  <si>
    <t>Apports solaires sud:</t>
  </si>
  <si>
    <t>Apports solaires SW:</t>
  </si>
  <si>
    <t>Apports solaires est:</t>
  </si>
  <si>
    <t>Apports solaires SE:</t>
  </si>
  <si>
    <t>Apports solaires ouest:</t>
  </si>
  <si>
    <t>Apports solaires NW:</t>
  </si>
  <si>
    <t>Apports solaires nord:</t>
  </si>
  <si>
    <t>Apports solaires NE:</t>
  </si>
  <si>
    <t>Solarer Wärmegewinn total Qs:</t>
  </si>
  <si>
    <t>Apports solaires totaux Qs:</t>
  </si>
  <si>
    <t>Wärmegewinne total Qg:</t>
  </si>
  <si>
    <t>Apports totaux de chaleur Qg:</t>
  </si>
  <si>
    <t>Apports totaux / déperditions totales:</t>
  </si>
  <si>
    <t>Constante de temps du bâtiment:</t>
  </si>
  <si>
    <t>Paramètre numérique a:</t>
  </si>
  <si>
    <t>Genutzte Wärmegewinne Qug:</t>
  </si>
  <si>
    <t>Ausnutzungsgrad f. Wärmegewinne:</t>
  </si>
  <si>
    <t>Taux d'utilisation des apports:</t>
  </si>
  <si>
    <t>Apports utiles de chaleur Qug:</t>
  </si>
  <si>
    <t>Heizwärmebedarf Qh:</t>
  </si>
  <si>
    <t>K: Besoins de chaleur pour le chauffage:</t>
  </si>
  <si>
    <t>Besoins de chaleur  Qh:</t>
  </si>
  <si>
    <t>Année</t>
  </si>
  <si>
    <t>O11</t>
  </si>
  <si>
    <t>M2</t>
  </si>
  <si>
    <t>Mit mechanischer Lüftungsanlage (thermisch wirksamer Aussenluft-Volumenstrom Vth)</t>
  </si>
  <si>
    <t>Avec aération mécanique (avec débit d'air neuf thermiquement significatif  V'/AE)</t>
  </si>
  <si>
    <t>Optimisation selon la norm SIA 380/1</t>
  </si>
  <si>
    <t>thermisch wirksamer Luftwechsel:</t>
  </si>
  <si>
    <t>Débit d'air neuf therm. significativ Vth:</t>
  </si>
  <si>
    <t>Mit Wärmegewinn Elektrizität gemäss MINERGIE-P und mechanischer Lüftungsanlage.</t>
  </si>
  <si>
    <t>Mit Wärmegewinn Elektrizität gemäss MINERGIE und mechanischer Lüftungsanlage.</t>
  </si>
  <si>
    <t>Avec facteur de réduction des apports de chaleur des installations électriques selon MINERGIE-P et avec aération mécanique</t>
  </si>
  <si>
    <t>Avec facteur de réduction des apports de chaleur des installations électriques selon MINERGIE et avec aération mécanique</t>
  </si>
  <si>
    <t>M3</t>
  </si>
  <si>
    <t>Für MINERGIE-P-Nachweis.</t>
  </si>
  <si>
    <t>Pour le justificatif MINERGIE-P</t>
  </si>
  <si>
    <t>Pour le justificatif MINERGIE</t>
  </si>
  <si>
    <t>Condensation dans la construction</t>
  </si>
  <si>
    <t>Kondens</t>
  </si>
  <si>
    <t>T intérieur =</t>
  </si>
  <si>
    <t>T extérieur =</t>
  </si>
  <si>
    <t>D6</t>
  </si>
  <si>
    <t>(ne fonçtionne qu'avec la version complète)</t>
  </si>
  <si>
    <t>(Funktioniert nur in der Vollversion)</t>
  </si>
  <si>
    <t>C4</t>
  </si>
  <si>
    <t>M4</t>
  </si>
  <si>
    <t>Pas de condens sur la surface:</t>
  </si>
  <si>
    <t>U7</t>
  </si>
  <si>
    <t>S4</t>
  </si>
  <si>
    <t>Facteurs de la température sur les surfaces</t>
  </si>
  <si>
    <t>Pas de penicillium:</t>
  </si>
  <si>
    <t>U8</t>
  </si>
  <si>
    <t>mit alpha,i=6W/Km2 gerechnet nach SIA 180</t>
  </si>
  <si>
    <t>avec alpha,i=6W/Km2 selon la norme sia 380/1</t>
  </si>
  <si>
    <t>valeur qui est</t>
  </si>
  <si>
    <t>valeur limite</t>
  </si>
  <si>
    <t>condens.</t>
  </si>
  <si>
    <t>penicillium</t>
  </si>
  <si>
    <t>X14</t>
  </si>
  <si>
    <t>X13</t>
  </si>
  <si>
    <t>V13</t>
  </si>
  <si>
    <t>1ère partie</t>
  </si>
  <si>
    <t>2ème partie</t>
  </si>
  <si>
    <t>T149</t>
  </si>
  <si>
    <t>T143</t>
  </si>
  <si>
    <t>(Valeur normative pour les endroits intérieurs: 20° / 50%)</t>
  </si>
  <si>
    <t>C8</t>
  </si>
  <si>
    <t>Développement de température effective</t>
  </si>
  <si>
    <t>Température de la condensation</t>
  </si>
  <si>
    <t>C10</t>
  </si>
  <si>
    <t>(Station météorologique pour calculer la condensation)</t>
  </si>
  <si>
    <t xml:space="preserve">Station:  </t>
  </si>
  <si>
    <t>J10</t>
  </si>
  <si>
    <t>J9</t>
  </si>
  <si>
    <t>Humidité intérieur =</t>
  </si>
  <si>
    <t>Humidité extérieur =</t>
  </si>
  <si>
    <t>N6</t>
  </si>
  <si>
    <t>N7</t>
  </si>
  <si>
    <t>UWert</t>
  </si>
  <si>
    <t>Calcul du coefficient de transmission thermique des élements:</t>
  </si>
  <si>
    <t xml:space="preserve"> (Station météorologique)</t>
  </si>
  <si>
    <t>(Wetterstation)</t>
  </si>
  <si>
    <t>N5</t>
  </si>
  <si>
    <t>(U=survéillé; N=pas survéillé; S=specifié)</t>
  </si>
  <si>
    <t>Désignation:</t>
  </si>
  <si>
    <t>C6</t>
  </si>
  <si>
    <t>Valeur U total:</t>
  </si>
  <si>
    <t>F6</t>
  </si>
  <si>
    <t>F113</t>
  </si>
  <si>
    <t>H113</t>
  </si>
  <si>
    <t>Valeur U W/m2K</t>
  </si>
  <si>
    <t>F182</t>
  </si>
  <si>
    <t>Valeur b:</t>
  </si>
  <si>
    <t>H182</t>
  </si>
  <si>
    <t>B111</t>
  </si>
  <si>
    <t>Fenêtres:</t>
  </si>
  <si>
    <t>C115</t>
  </si>
  <si>
    <t>Vitrification ou fenêtre spécial:</t>
  </si>
  <si>
    <t>Châssis:</t>
  </si>
  <si>
    <t>C117</t>
  </si>
  <si>
    <t>Portes:</t>
  </si>
  <si>
    <t>B120</t>
  </si>
  <si>
    <t>Eléments inhomogènes:</t>
  </si>
  <si>
    <t>B126</t>
  </si>
  <si>
    <t xml:space="preserve">Oberer Grenzwert Ro = </t>
  </si>
  <si>
    <t xml:space="preserve">Unterer Grenzwert Ru = </t>
  </si>
  <si>
    <t xml:space="preserve">Wärmedurchgangswiderstrand Rtot = </t>
  </si>
  <si>
    <t xml:space="preserve">Valeur-limite supérieur Ro = </t>
  </si>
  <si>
    <t xml:space="preserve">Valeur-limite inférieur Ru = </t>
  </si>
  <si>
    <t xml:space="preserve">Résistance thermique Rtot = </t>
  </si>
  <si>
    <t>C129</t>
  </si>
  <si>
    <t>C130</t>
  </si>
  <si>
    <t>C131</t>
  </si>
  <si>
    <t>J133</t>
  </si>
  <si>
    <t>B133</t>
  </si>
  <si>
    <t>J134</t>
  </si>
  <si>
    <t>B134</t>
  </si>
  <si>
    <t>Longueur de la 1ère section L1</t>
  </si>
  <si>
    <t>Longueur de la section L2</t>
  </si>
  <si>
    <t>B182</t>
  </si>
  <si>
    <t>Constructions:</t>
  </si>
  <si>
    <t>Eléments variables par mois:</t>
  </si>
  <si>
    <t>D192</t>
  </si>
  <si>
    <t xml:space="preserve">Bauteil-Ausrichtung Süd-West </t>
  </si>
  <si>
    <t xml:space="preserve">Bauteil-Ausrichtung Süd-Ost </t>
  </si>
  <si>
    <t xml:space="preserve">Bauteil-Ausrichtung Nord-West </t>
  </si>
  <si>
    <t xml:space="preserve">Bauteil-Ausrichtung Nord-Ost </t>
  </si>
  <si>
    <t xml:space="preserve">Exposition Sud-Ouest </t>
  </si>
  <si>
    <t xml:space="preserve">Exposition Sud-Est </t>
  </si>
  <si>
    <t xml:space="preserve">Exposition Nord-Ouest </t>
  </si>
  <si>
    <t xml:space="preserve">Exposition Nord-Est </t>
  </si>
  <si>
    <t xml:space="preserve">Bauteil-Ausrichtung Süd  </t>
  </si>
  <si>
    <t xml:space="preserve">Exposition Sud  </t>
  </si>
  <si>
    <t xml:space="preserve">Exposition Est  </t>
  </si>
  <si>
    <t xml:space="preserve">Bauteil-Ausrichtung Ost  </t>
  </si>
  <si>
    <t xml:space="preserve">Exposition Ouest  </t>
  </si>
  <si>
    <t xml:space="preserve">Bauteil-Ausrichtung West  </t>
  </si>
  <si>
    <t xml:space="preserve">Exposition Nord  </t>
  </si>
  <si>
    <t xml:space="preserve">Bauteil-Ausrichtung Nord  </t>
  </si>
  <si>
    <t>C193</t>
  </si>
  <si>
    <t>K193</t>
  </si>
  <si>
    <t>C207</t>
  </si>
  <si>
    <t>K207</t>
  </si>
  <si>
    <t>Janvier</t>
  </si>
  <si>
    <t>Mars</t>
  </si>
  <si>
    <t>Septembre</t>
  </si>
  <si>
    <t>Avril</t>
  </si>
  <si>
    <t>Juillet</t>
  </si>
  <si>
    <t>Février</t>
  </si>
  <si>
    <t>Novembre</t>
  </si>
  <si>
    <t>Décembre</t>
  </si>
  <si>
    <t>Octobre</t>
  </si>
  <si>
    <t>C195</t>
  </si>
  <si>
    <t>C196</t>
  </si>
  <si>
    <t>C197</t>
  </si>
  <si>
    <t>C198</t>
  </si>
  <si>
    <t>C199</t>
  </si>
  <si>
    <t>C200</t>
  </si>
  <si>
    <t>C201</t>
  </si>
  <si>
    <t>C202</t>
  </si>
  <si>
    <t>C203</t>
  </si>
  <si>
    <t>C204</t>
  </si>
  <si>
    <t>C205</t>
  </si>
  <si>
    <t>C206</t>
  </si>
  <si>
    <t>WF</t>
  </si>
  <si>
    <t>DF</t>
  </si>
  <si>
    <t>2-IV, fente pour l'air</t>
  </si>
  <si>
    <t>2-IV, argon</t>
  </si>
  <si>
    <t>3-IV, fente pour l'air</t>
  </si>
  <si>
    <t>3-IV, argon</t>
  </si>
  <si>
    <t>2-IV-IR, valeur U (verre) 1.8 W/m2K</t>
  </si>
  <si>
    <t>2-IV-IR, valeur U (verre) 1.7 W/m2K</t>
  </si>
  <si>
    <t>2-IV-IR, valeur U (verre) 1.6 W/m2K</t>
  </si>
  <si>
    <t>2-IV-IR, valeur U (verre) 1.5 W/m2K</t>
  </si>
  <si>
    <t>2-IV-IR, valeur U (verre) 1.4 W/m2K</t>
  </si>
  <si>
    <t>2-IV-IR, valeur U (verre) 1.3 W/m2K</t>
  </si>
  <si>
    <t>2-IV-IR, valeur U (verre) 1.2 W/m2K</t>
  </si>
  <si>
    <t>2-IV-IR, valeur U (verre) 1.1 W/m2K</t>
  </si>
  <si>
    <t>3-IV-IR-IR, valeur U (verre) 1.2 W/m2K</t>
  </si>
  <si>
    <t>3-IV-IR-IR, valeur U (verre) 1.1 W/m2K</t>
  </si>
  <si>
    <t>3-IV-IR-IR, valeur U (verre) 0.9 W/m2K</t>
  </si>
  <si>
    <t>3-IV-IR-IR, valeur U (verre) 0.8 W/m2K</t>
  </si>
  <si>
    <t>3-IV-IR-IR, valeur U (verre) 0.5 W/m2K</t>
  </si>
  <si>
    <t>C12</t>
  </si>
  <si>
    <t>C14</t>
  </si>
  <si>
    <t>C15</t>
  </si>
  <si>
    <t>C16</t>
  </si>
  <si>
    <t>C18</t>
  </si>
  <si>
    <t>C19</t>
  </si>
  <si>
    <t>C21</t>
  </si>
  <si>
    <t>C22</t>
  </si>
  <si>
    <t>C23</t>
  </si>
  <si>
    <t>C25</t>
  </si>
  <si>
    <t>Catalogue des éléments</t>
  </si>
  <si>
    <t>Fenêtres</t>
  </si>
  <si>
    <t>Vitrtification</t>
  </si>
  <si>
    <t>Fenêtres spécials:</t>
  </si>
  <si>
    <t>Châssis</t>
  </si>
  <si>
    <t>L27</t>
  </si>
  <si>
    <t>Catégorie I,  Châssis spécial, valeur U 1.0 W/m2K</t>
  </si>
  <si>
    <t>Catégorie II,  Châssis spécial, valeur U 1.4 W/m2K</t>
  </si>
  <si>
    <t>Catégorie III,  Châssis bois-métal, valeur U 1.8 W/m2K</t>
  </si>
  <si>
    <t>Catégorie IV,  Châssis plastique, valeur U 2.2 W/m2K</t>
  </si>
  <si>
    <t>Catégorie V,  Profiles collés isolés, valeur U 2.8 W/m2K</t>
  </si>
  <si>
    <t>L30</t>
  </si>
  <si>
    <t>L31</t>
  </si>
  <si>
    <t>L32</t>
  </si>
  <si>
    <t>L33</t>
  </si>
  <si>
    <t>Châssis 20% de la fenêtre</t>
  </si>
  <si>
    <t>K4</t>
  </si>
  <si>
    <t>Portes</t>
  </si>
  <si>
    <t>Plaque d'aggloméré 22mm, Isolation thermique 30mm, Täferaufdop. 21 mm</t>
  </si>
  <si>
    <t>Plaque d'aggloméré 22 mm, Isolation thermique 10 mm, Täferaufdop. 21 mm</t>
  </si>
  <si>
    <t>Epicéa massive, collé 40 mm</t>
  </si>
  <si>
    <t>Chêne massive, collé 40 mm</t>
  </si>
  <si>
    <t>Plaque d'aggloméré 40 mm, avec couche d'aluminium 2 faces</t>
  </si>
  <si>
    <t>Tôle d'aluminium 2 faces, isolation thermique 20 mm</t>
  </si>
  <si>
    <t>Tôle d'aluminium 2 faces, isolation thermique 40 mm</t>
  </si>
  <si>
    <t>Feuille de placage, plaque d'aggloméré 40mm, aluminium 2 faces</t>
  </si>
  <si>
    <t>Feuille de placage, plaque d'aggloméré 16mm, isolation th. 18mm, alu 2 faces</t>
  </si>
  <si>
    <t>Porte intérieure appuyée, 36mm  avec remplissage de bois</t>
  </si>
  <si>
    <t>Porte creuse intérieure 40mm</t>
  </si>
  <si>
    <t>Porte pleine intérieure 40mm</t>
  </si>
  <si>
    <t>C44</t>
  </si>
  <si>
    <t>C45</t>
  </si>
  <si>
    <t>C46</t>
  </si>
  <si>
    <t>C47</t>
  </si>
  <si>
    <t>Eléments</t>
  </si>
  <si>
    <t>Ponts thermiques</t>
  </si>
  <si>
    <t>Toit / mur extérieur:</t>
  </si>
  <si>
    <t>Béton, dalle continue, façade/toiture 0.15 W/m2K</t>
  </si>
  <si>
    <t>Béton, dalle continue, façade/toiture 0.25 W/m2K</t>
  </si>
  <si>
    <t>Béton, dalle continue, façade/toiture 0.35 W/m2K</t>
  </si>
  <si>
    <t>Béton, isolation sous bord de dalle, façade/toit. 0.15 W/m2K</t>
  </si>
  <si>
    <t>Béton, isolation sous bord de dalle, façade/toit. 0.25 W/m2K</t>
  </si>
  <si>
    <t>Béton, isolation sous bord de dalle, façade/toit. 0.35 W/m2K</t>
  </si>
  <si>
    <t>façade en brique, dalle continue, façade/toit. 0.15 W/m2K</t>
  </si>
  <si>
    <t>façade en brique, dalle continue, façade/toit. 0.25 W/m2K</t>
  </si>
  <si>
    <t>façade en brique, dalle continue, façade/toit. 0.35 W/m2K</t>
  </si>
  <si>
    <t>K57</t>
  </si>
  <si>
    <t>K58</t>
  </si>
  <si>
    <t>K59</t>
  </si>
  <si>
    <t>K60</t>
  </si>
  <si>
    <t>K61</t>
  </si>
  <si>
    <t>K63</t>
  </si>
  <si>
    <t>K64</t>
  </si>
  <si>
    <t>K65</t>
  </si>
  <si>
    <t>Pied de façade</t>
  </si>
  <si>
    <t>N72</t>
  </si>
  <si>
    <t>Sous-sol non chauffé, façade en brique 0.2 W/m2K</t>
  </si>
  <si>
    <t>Sous-sol non chauffé, façade en brique 0.3 W/m2K</t>
  </si>
  <si>
    <t>Sous-sol non chauffé, façade en béton, 0.2 W/m2K</t>
  </si>
  <si>
    <t>Sous-sol non chauffé, façade en béton, 0.3 W/m2K</t>
  </si>
  <si>
    <t>Sous-sol non chauffé, brique, isol. 50cm sous nu inf.dalle</t>
  </si>
  <si>
    <t>Sous-sol non chauffé, béton, isol. 50cm sous nu inf.dalle</t>
  </si>
  <si>
    <t>Sous-sol chauffé, façade en brique, chauffage par sol</t>
  </si>
  <si>
    <t>Sous-sol chauffé, Betonwand, chauffage par le sol</t>
  </si>
  <si>
    <t>Sous-sol chauffé, brique,  50cm isol. sous bord de dalle</t>
  </si>
  <si>
    <t>Sous-sol chauffé, brique, isol. 50cm sous nu inf. dalle</t>
  </si>
  <si>
    <t>Sous-sol chauffé, brique, isol. 80cm sous nu inf. dalle</t>
  </si>
  <si>
    <t>dalle &gt;0.5 m sous le sol</t>
  </si>
  <si>
    <t>K73</t>
  </si>
  <si>
    <t>K74</t>
  </si>
  <si>
    <t>K75</t>
  </si>
  <si>
    <t>K76</t>
  </si>
  <si>
    <t>K77</t>
  </si>
  <si>
    <t>K78</t>
  </si>
  <si>
    <t>K79</t>
  </si>
  <si>
    <t>K80</t>
  </si>
  <si>
    <t>K81</t>
  </si>
  <si>
    <t>K82</t>
  </si>
  <si>
    <t>K83</t>
  </si>
  <si>
    <t>Balcon:</t>
  </si>
  <si>
    <t>M88</t>
  </si>
  <si>
    <t>dalle continue, mur en brique 0.15 W/m2K</t>
  </si>
  <si>
    <t>dalle continue, mur en brique 0.25 W/m2K</t>
  </si>
  <si>
    <t>dalle continue, mur en brique 0.35 W/m2K</t>
  </si>
  <si>
    <t>dalle continue, mur en béton 0.15 W/m2K</t>
  </si>
  <si>
    <t>dalle continue, mur en béton 0.25 W/m2K</t>
  </si>
  <si>
    <t>dalle continue, mur en béton 0.35 W/m2K</t>
  </si>
  <si>
    <t>avec consoles de dalle isolante d'acier</t>
  </si>
  <si>
    <t>consoles de dalle isolante d'acier fin, paroi 0.15 W/m2K</t>
  </si>
  <si>
    <t>consoles de dalle isolante d'acier fin, paroi 0.25 W/m2K</t>
  </si>
  <si>
    <t>consoles de dalle isolante d'acier fin, paroi 0.35 W/m2K</t>
  </si>
  <si>
    <t>K89</t>
  </si>
  <si>
    <t>K90</t>
  </si>
  <si>
    <t>K91</t>
  </si>
  <si>
    <t>K92</t>
  </si>
  <si>
    <t>K93</t>
  </si>
  <si>
    <t>K94</t>
  </si>
  <si>
    <t>K95</t>
  </si>
  <si>
    <t>K96</t>
  </si>
  <si>
    <t>K97</t>
  </si>
  <si>
    <t>K98</t>
  </si>
  <si>
    <t>N104</t>
  </si>
  <si>
    <t>&lt; 2 cm isolation thermique</t>
  </si>
  <si>
    <t>2-4 cm isolation thermique</t>
  </si>
  <si>
    <t>K105</t>
  </si>
  <si>
    <t>K106</t>
  </si>
  <si>
    <t>N120</t>
  </si>
  <si>
    <t>isolation thermique suspendu, &lt; 2 cm isolation thermique</t>
  </si>
  <si>
    <t>isolation thermique suspendu, 2-4 cm isolation thermique</t>
  </si>
  <si>
    <t>bords de bâtiment avec isolation thermique</t>
  </si>
  <si>
    <t>paroi sous la dalle sur sous-sol, chauf. par sol, 0.2 W/m2K</t>
  </si>
  <si>
    <t>paroi sous la dalle sur sous-sol, chauf. par sol, 0.3 W/m2K</t>
  </si>
  <si>
    <t>paroi sous la dalle, sans chauffage par le sol, 0.2 W/m2K</t>
  </si>
  <si>
    <t>paroi sous la dalle, sans chauffage par le sol, 0.3 W/m2K</t>
  </si>
  <si>
    <t>K127</t>
  </si>
  <si>
    <t>K121</t>
  </si>
  <si>
    <t>K122</t>
  </si>
  <si>
    <t>K123</t>
  </si>
  <si>
    <t>K124</t>
  </si>
  <si>
    <t>K125</t>
  </si>
  <si>
    <t>K126</t>
  </si>
  <si>
    <t>M136</t>
  </si>
  <si>
    <t>Piliers, supports, consoles:</t>
  </si>
  <si>
    <t>en aluminium, sans isolation sur les flancs</t>
  </si>
  <si>
    <t>en acier, sans isolation sur les flancs</t>
  </si>
  <si>
    <t>en béton, sans isolation sur les flancs</t>
  </si>
  <si>
    <t>consoles métalliques massive</t>
  </si>
  <si>
    <t>K137</t>
  </si>
  <si>
    <t>K138</t>
  </si>
  <si>
    <t>K139</t>
  </si>
  <si>
    <t>K140</t>
  </si>
  <si>
    <t>N152</t>
  </si>
  <si>
    <t>Volet roulant</t>
  </si>
  <si>
    <t>isolation du linteau de fenêtre et du cadre 2cm</t>
  </si>
  <si>
    <t>isolation du linteau de fenêtre et du cadre 4cm</t>
  </si>
  <si>
    <t>isolation du linteau de fenêtre 4cm et cadre isolant</t>
  </si>
  <si>
    <t>K153</t>
  </si>
  <si>
    <t>K154</t>
  </si>
  <si>
    <t>K155</t>
  </si>
  <si>
    <t>Band de rive horizontale</t>
  </si>
  <si>
    <t>K185</t>
  </si>
  <si>
    <t>Largeur m</t>
  </si>
  <si>
    <t>P185</t>
  </si>
  <si>
    <t>Grosseur 
m</t>
  </si>
  <si>
    <t>Q185</t>
  </si>
  <si>
    <t>l
W/mK</t>
  </si>
  <si>
    <t>Wärmeleit-
fähigkeit W/mK</t>
  </si>
  <si>
    <t>R185</t>
  </si>
  <si>
    <t>Transmission thermique alpha</t>
  </si>
  <si>
    <t>K279</t>
  </si>
  <si>
    <t>Transmission thermique à l'intérieur</t>
  </si>
  <si>
    <t>Transmission thermique à l'extérieur</t>
  </si>
  <si>
    <t>M280</t>
  </si>
  <si>
    <t>M281</t>
  </si>
  <si>
    <t>Übertrag von Nr. 14</t>
  </si>
  <si>
    <t>M283</t>
  </si>
  <si>
    <t>transcrit de No 14</t>
  </si>
  <si>
    <t>K284</t>
  </si>
  <si>
    <t>Façade, ventilée</t>
  </si>
  <si>
    <t>xxx suivant les région d'air dans la construction xxx</t>
  </si>
  <si>
    <t>Région d'air horizontale 5mm, plafond</t>
  </si>
  <si>
    <t>Région d'air horizontale 10mm, plafond</t>
  </si>
  <si>
    <t>Région d'air horizontale &gt;15mm, plafond</t>
  </si>
  <si>
    <t>Région d'air verticale 5mm</t>
  </si>
  <si>
    <t>Région d'air verticale 10mm</t>
  </si>
  <si>
    <t>Région d'air verticale &gt;25mm</t>
  </si>
  <si>
    <t>Région d'air horizontale 5mm, plancher</t>
  </si>
  <si>
    <t>Région d'air horizontale 10mm, plancher</t>
  </si>
  <si>
    <t>Région d'air horizontale 25mm, plancher</t>
  </si>
  <si>
    <t>Région d'air horizontale 100mm, plancher</t>
  </si>
  <si>
    <t>L285</t>
  </si>
  <si>
    <t>L286</t>
  </si>
  <si>
    <t>L287</t>
  </si>
  <si>
    <t>L288</t>
  </si>
  <si>
    <t>L289</t>
  </si>
  <si>
    <t>L290</t>
  </si>
  <si>
    <t>L291</t>
  </si>
  <si>
    <t>L292</t>
  </si>
  <si>
    <t>L293</t>
  </si>
  <si>
    <t>L294</t>
  </si>
  <si>
    <t>L295</t>
  </si>
  <si>
    <t>L296</t>
  </si>
  <si>
    <t>K302</t>
  </si>
  <si>
    <t>Bande de rive verticale</t>
  </si>
  <si>
    <t>Hauteur m</t>
  </si>
  <si>
    <t>P302</t>
  </si>
  <si>
    <t>Q302</t>
  </si>
  <si>
    <t>R302</t>
  </si>
  <si>
    <t>Acier</t>
  </si>
  <si>
    <t>Acier inoxydable</t>
  </si>
  <si>
    <t>Agglomérés creux bois-ciment</t>
  </si>
  <si>
    <t>Agglomérés creux en ciment</t>
  </si>
  <si>
    <t>Agglomérés pleins en ciment</t>
  </si>
  <si>
    <t>Alliages d'aluminium</t>
  </si>
  <si>
    <t>Argile expansée, lambda 0.11</t>
  </si>
  <si>
    <t>Argile expansée, lambda 0.13</t>
  </si>
  <si>
    <t>Argile expansée, lambda 0.15</t>
  </si>
  <si>
    <t xml:space="preserve">Asphalte </t>
  </si>
  <si>
    <t>Asphalte coulé</t>
  </si>
  <si>
    <t>Barrière de vapeur feuille de PVC</t>
  </si>
  <si>
    <t>Basalte</t>
  </si>
  <si>
    <t>Béton armé (1% d'acier)</t>
  </si>
  <si>
    <t>Béton armé (2% d'acier)</t>
  </si>
  <si>
    <t>Béton (densité 1800)</t>
  </si>
  <si>
    <t>Béton (densité 2000)</t>
  </si>
  <si>
    <t>Béton (densité 2200)</t>
  </si>
  <si>
    <t>Béton (densité 2400)</t>
  </si>
  <si>
    <t>Béton d'argile expansée, lambda 0.3</t>
  </si>
  <si>
    <t>Béton d'argile expansée, lambda 0.5</t>
  </si>
  <si>
    <t>Béton d'argile expansée, lambda 0.7</t>
  </si>
  <si>
    <t>Béton d'argile expansée, lambda 1.0</t>
  </si>
  <si>
    <t>-Bitume</t>
  </si>
  <si>
    <t>Bitume V60</t>
  </si>
  <si>
    <t>Bitume F3+J2+V60</t>
  </si>
  <si>
    <t>Bitume F3+J2+J2</t>
  </si>
  <si>
    <t>Couches de bitume</t>
  </si>
  <si>
    <t>Bitume d'aluminium 10 B</t>
  </si>
  <si>
    <t>Boue de chaux</t>
  </si>
  <si>
    <t>Brique klinker</t>
  </si>
  <si>
    <t>Brique silico-calcaire, lambda 0.8</t>
  </si>
  <si>
    <t>Brique silico-calcaire, lambda 1.0</t>
  </si>
  <si>
    <t>Brique silico-calcaire, lambda 1.1</t>
  </si>
  <si>
    <t>Briques de terre cuite, modulaires parpaing</t>
  </si>
  <si>
    <t>Briques en béton cellulaire, lambda 0.16</t>
  </si>
  <si>
    <t>Briques en béton cellulaire, lambda 0.18</t>
  </si>
  <si>
    <t>Briques en béton cellulaire, lambda 0.21</t>
  </si>
  <si>
    <t>BTC de parement</t>
  </si>
  <si>
    <t>BTC isolante</t>
  </si>
  <si>
    <t>BTC normale 25</t>
  </si>
  <si>
    <t>BTC pleine de cheminée</t>
  </si>
  <si>
    <t>BTC, mod. en boutisses et panneresses</t>
  </si>
  <si>
    <t>Caoutchouc naturel</t>
  </si>
  <si>
    <t>Cellulose, en vrac (N)</t>
  </si>
  <si>
    <t>Cellulose, en vrac (U)</t>
  </si>
  <si>
    <t>Cellulose, panneaux (N)</t>
  </si>
  <si>
    <t>Cellulose, panneaux (U)</t>
  </si>
  <si>
    <t>Chêne</t>
  </si>
  <si>
    <t>Conchylient poudingue</t>
  </si>
  <si>
    <t>Contre-plaqué (densité 300)</t>
  </si>
  <si>
    <t>Contre-plaqué (densité 500)</t>
  </si>
  <si>
    <t>Contre-plaqué (densité 700)</t>
  </si>
  <si>
    <t>Contre-plaqué (densité 1000)</t>
  </si>
  <si>
    <t>Coton (N)</t>
  </si>
  <si>
    <t>Cuivre</t>
  </si>
  <si>
    <t>Eau 10 °C</t>
  </si>
  <si>
    <t>-Enduits</t>
  </si>
  <si>
    <r>
      <t xml:space="preserve">Enduit à la fausse résine </t>
    </r>
    <r>
      <rPr>
        <sz val="9"/>
        <rFont val="Symbol"/>
        <family val="1"/>
        <charset val="2"/>
      </rPr>
      <t>m</t>
    </r>
    <r>
      <rPr>
        <sz val="9"/>
        <rFont val="Arial"/>
        <family val="2"/>
      </rPr>
      <t>=50</t>
    </r>
  </si>
  <si>
    <r>
      <t xml:space="preserve">Enduit à la fausse résine </t>
    </r>
    <r>
      <rPr>
        <sz val="9"/>
        <rFont val="Symbol"/>
        <family val="1"/>
        <charset val="2"/>
      </rPr>
      <t>m</t>
    </r>
    <r>
      <rPr>
        <sz val="9"/>
        <rFont val="Arial"/>
        <family val="2"/>
      </rPr>
      <t>=140</t>
    </r>
  </si>
  <si>
    <r>
      <t xml:space="preserve">Enduit à la fausse résine </t>
    </r>
    <r>
      <rPr>
        <sz val="9"/>
        <rFont val="Symbol"/>
        <family val="1"/>
        <charset val="2"/>
      </rPr>
      <t>m</t>
    </r>
    <r>
      <rPr>
        <sz val="9"/>
        <rFont val="Arial"/>
        <family val="2"/>
      </rPr>
      <t>=200</t>
    </r>
  </si>
  <si>
    <r>
      <t xml:space="preserve">Enduit à la silicone </t>
    </r>
    <r>
      <rPr>
        <sz val="9"/>
        <rFont val="Symbol"/>
        <family val="1"/>
        <charset val="2"/>
      </rPr>
      <t>m</t>
    </r>
    <r>
      <rPr>
        <sz val="9"/>
        <rFont val="Arial"/>
        <family val="2"/>
      </rPr>
      <t>=30</t>
    </r>
  </si>
  <si>
    <r>
      <t xml:space="preserve">Enduit au mortier </t>
    </r>
    <r>
      <rPr>
        <sz val="9"/>
        <rFont val="Symbol"/>
        <family val="1"/>
        <charset val="2"/>
      </rPr>
      <t>m</t>
    </r>
    <r>
      <rPr>
        <sz val="9"/>
        <rFont val="Arial"/>
        <family val="2"/>
      </rPr>
      <t>=10</t>
    </r>
  </si>
  <si>
    <r>
      <t xml:space="preserve">Enduit au mortier </t>
    </r>
    <r>
      <rPr>
        <sz val="9"/>
        <rFont val="Symbol"/>
        <family val="1"/>
        <charset val="2"/>
      </rPr>
      <t>m</t>
    </r>
    <r>
      <rPr>
        <sz val="9"/>
        <rFont val="Arial"/>
        <family val="2"/>
      </rPr>
      <t>=15</t>
    </r>
  </si>
  <si>
    <r>
      <t xml:space="preserve">Enduit au mortier </t>
    </r>
    <r>
      <rPr>
        <sz val="9"/>
        <rFont val="Symbol"/>
        <family val="1"/>
        <charset val="2"/>
      </rPr>
      <t>m</t>
    </r>
    <r>
      <rPr>
        <sz val="9"/>
        <rFont val="Arial"/>
        <family val="2"/>
      </rPr>
      <t>=35</t>
    </r>
  </si>
  <si>
    <r>
      <t xml:space="preserve">Enduit au mortier de chaux </t>
    </r>
    <r>
      <rPr>
        <sz val="9"/>
        <rFont val="Symbol"/>
        <family val="1"/>
        <charset val="2"/>
      </rPr>
      <t>m</t>
    </r>
    <r>
      <rPr>
        <sz val="9"/>
        <rFont val="Arial"/>
        <family val="2"/>
      </rPr>
      <t>=15</t>
    </r>
  </si>
  <si>
    <r>
      <t xml:space="preserve">Enduit au mortier de chaux </t>
    </r>
    <r>
      <rPr>
        <sz val="9"/>
        <rFont val="Symbol"/>
        <family val="1"/>
        <charset val="2"/>
      </rPr>
      <t>m</t>
    </r>
    <r>
      <rPr>
        <sz val="9"/>
        <rFont val="Arial"/>
        <family val="2"/>
      </rPr>
      <t>=35</t>
    </r>
  </si>
  <si>
    <r>
      <t xml:space="preserve">Enduit au mortier de plâtre </t>
    </r>
    <r>
      <rPr>
        <sz val="9"/>
        <rFont val="Symbol"/>
        <family val="1"/>
        <charset val="2"/>
      </rPr>
      <t>m</t>
    </r>
    <r>
      <rPr>
        <sz val="9"/>
        <rFont val="Arial"/>
        <family val="2"/>
      </rPr>
      <t>=10</t>
    </r>
  </si>
  <si>
    <r>
      <t xml:space="preserve">Enduit au plâtre </t>
    </r>
    <r>
      <rPr>
        <sz val="9"/>
        <rFont val="Symbol"/>
        <family val="1"/>
        <charset val="2"/>
      </rPr>
      <t>m</t>
    </r>
    <r>
      <rPr>
        <sz val="9"/>
        <rFont val="Arial"/>
        <family val="2"/>
      </rPr>
      <t>=10</t>
    </r>
  </si>
  <si>
    <r>
      <t xml:space="preserve">Enduit de barrière </t>
    </r>
    <r>
      <rPr>
        <sz val="9"/>
        <rFont val="Symbol"/>
        <family val="1"/>
        <charset val="2"/>
      </rPr>
      <t>m</t>
    </r>
    <r>
      <rPr>
        <sz val="9"/>
        <rFont val="Arial"/>
        <family val="2"/>
      </rPr>
      <t>=15</t>
    </r>
  </si>
  <si>
    <r>
      <t xml:space="preserve">Enduit de barrière thermique </t>
    </r>
    <r>
      <rPr>
        <sz val="9"/>
        <rFont val="Symbol"/>
        <family val="1"/>
        <charset val="2"/>
      </rPr>
      <t>m</t>
    </r>
    <r>
      <rPr>
        <sz val="9"/>
        <rFont val="Arial"/>
        <family val="2"/>
      </rPr>
      <t>=5</t>
    </r>
  </si>
  <si>
    <r>
      <t xml:space="preserve">Enduit de barrière thermique </t>
    </r>
    <r>
      <rPr>
        <sz val="9"/>
        <rFont val="Symbol"/>
        <family val="1"/>
        <charset val="2"/>
      </rPr>
      <t>m</t>
    </r>
    <r>
      <rPr>
        <sz val="9"/>
        <rFont val="Arial"/>
        <family val="2"/>
      </rPr>
      <t>=8</t>
    </r>
  </si>
  <si>
    <r>
      <t xml:space="preserve">Enduit de barrière thermique </t>
    </r>
    <r>
      <rPr>
        <sz val="9"/>
        <rFont val="Symbol"/>
        <family val="1"/>
        <charset val="2"/>
      </rPr>
      <t>m</t>
    </r>
    <r>
      <rPr>
        <sz val="9"/>
        <rFont val="Arial"/>
        <family val="2"/>
      </rPr>
      <t>=20</t>
    </r>
  </si>
  <si>
    <r>
      <t xml:space="preserve">Enduit de base au plâtre </t>
    </r>
    <r>
      <rPr>
        <sz val="9"/>
        <rFont val="Symbol"/>
        <family val="1"/>
        <charset val="2"/>
      </rPr>
      <t>m</t>
    </r>
    <r>
      <rPr>
        <sz val="9"/>
        <rFont val="Arial"/>
        <family val="2"/>
      </rPr>
      <t>=10</t>
    </r>
  </si>
  <si>
    <r>
      <t xml:space="preserve">Enduit de base au chaux LKG </t>
    </r>
    <r>
      <rPr>
        <sz val="9"/>
        <rFont val="Symbol"/>
        <family val="1"/>
        <charset val="2"/>
      </rPr>
      <t>m</t>
    </r>
    <r>
      <rPr>
        <sz val="9"/>
        <rFont val="Arial"/>
        <family val="2"/>
      </rPr>
      <t>=10</t>
    </r>
  </si>
  <si>
    <r>
      <t xml:space="preserve">Enduit de base LZ </t>
    </r>
    <r>
      <rPr>
        <sz val="9"/>
        <rFont val="Symbol"/>
        <family val="1"/>
        <charset val="2"/>
      </rPr>
      <t>m</t>
    </r>
    <r>
      <rPr>
        <sz val="9"/>
        <rFont val="Arial"/>
        <family val="2"/>
      </rPr>
      <t>=12</t>
    </r>
  </si>
  <si>
    <r>
      <t xml:space="preserve">Enduits extérieur </t>
    </r>
    <r>
      <rPr>
        <sz val="9"/>
        <rFont val="Symbol"/>
        <family val="1"/>
        <charset val="2"/>
      </rPr>
      <t>m</t>
    </r>
    <r>
      <rPr>
        <sz val="9"/>
        <rFont val="Arial"/>
        <family val="2"/>
      </rPr>
      <t>=25</t>
    </r>
  </si>
  <si>
    <r>
      <t xml:space="preserve">Enduits intérieur </t>
    </r>
    <r>
      <rPr>
        <sz val="9"/>
        <rFont val="Symbol"/>
        <family val="1"/>
        <charset val="2"/>
      </rPr>
      <t>m</t>
    </r>
    <r>
      <rPr>
        <sz val="9"/>
        <rFont val="Arial"/>
        <family val="2"/>
      </rPr>
      <t>=8</t>
    </r>
  </si>
  <si>
    <r>
      <t xml:space="preserve">Enduit légère </t>
    </r>
    <r>
      <rPr>
        <sz val="9"/>
        <rFont val="Symbol"/>
        <family val="1"/>
        <charset val="2"/>
      </rPr>
      <t>m</t>
    </r>
    <r>
      <rPr>
        <sz val="9"/>
        <rFont val="Arial"/>
        <family val="2"/>
      </rPr>
      <t>=15</t>
    </r>
  </si>
  <si>
    <r>
      <t xml:space="preserve">Enduit légère </t>
    </r>
    <r>
      <rPr>
        <sz val="9"/>
        <rFont val="Symbol"/>
        <family val="1"/>
        <charset val="2"/>
      </rPr>
      <t>m</t>
    </r>
    <r>
      <rPr>
        <sz val="9"/>
        <rFont val="Arial"/>
        <family val="2"/>
      </rPr>
      <t>=20</t>
    </r>
  </si>
  <si>
    <t>Epicéa</t>
  </si>
  <si>
    <t>Fer, fonte</t>
  </si>
  <si>
    <t>Feuille d'aluminium</t>
  </si>
  <si>
    <t>Feuille de polyaethylen</t>
  </si>
  <si>
    <t>Feuille de polyisobuthylen</t>
  </si>
  <si>
    <t>Feuille de PVC</t>
  </si>
  <si>
    <t>Feutre PVC</t>
  </si>
  <si>
    <t>Gravier</t>
  </si>
  <si>
    <t>Grès</t>
  </si>
  <si>
    <t>Hêtre</t>
  </si>
  <si>
    <t>Joint en lés pour des toits en terrasses</t>
  </si>
  <si>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</si>
  <si>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</si>
  <si>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t>Laine de bois, couverture 10mm (N), l. 0.10</t>
  </si>
  <si>
    <t>Laine de bois, couverture 5mm (N), l. 0.15</t>
  </si>
  <si>
    <t>Laine de bois, couverture 7.5mm (N), l. 0.125</t>
  </si>
  <si>
    <t>Laine de brebis (N)</t>
  </si>
  <si>
    <t>Laine de pierre, en vrac (N)</t>
  </si>
  <si>
    <t>Laine de pierre, panneaux, matelas (N)</t>
  </si>
  <si>
    <t>Laine de pierre, panneaux, matelas (U)</t>
  </si>
  <si>
    <t>Laine de roche, en vrac (N)</t>
  </si>
  <si>
    <t>Laine de roche, panneaux, matelas, rouleaux (N)</t>
  </si>
  <si>
    <t>Laine de roche, panneaux, matelas, rouleaux (U)</t>
  </si>
  <si>
    <t>Laine de verre, en vrac (N)</t>
  </si>
  <si>
    <t>Laine de verre, panneaux, matelas (N)</t>
  </si>
  <si>
    <t>Laine de verre, panneaux, matelas (U)</t>
  </si>
  <si>
    <t>Laiton</t>
  </si>
  <si>
    <t>Lambris en pin</t>
  </si>
  <si>
    <t>Liège, panneaux, matelas (N)</t>
  </si>
  <si>
    <t>Liège, panneaux, matelas (U)</t>
  </si>
  <si>
    <t>Marbre</t>
  </si>
  <si>
    <t>Matelas en fibres de chanvre (N)</t>
  </si>
  <si>
    <t>Matelas en fibres de cocos (N)</t>
  </si>
  <si>
    <t>Matériaux légers en laine de bois (h.=13%)</t>
  </si>
  <si>
    <t>Mortier bâtard</t>
  </si>
  <si>
    <r>
      <t xml:space="preserve">Mortier d'anhydrit </t>
    </r>
    <r>
      <rPr>
        <sz val="9"/>
        <rFont val="Symbol"/>
        <family val="1"/>
        <charset val="2"/>
      </rPr>
      <t>m</t>
    </r>
    <r>
      <rPr>
        <sz val="9"/>
        <rFont val="Arial"/>
        <family val="2"/>
      </rPr>
      <t>=10</t>
    </r>
  </si>
  <si>
    <t>Mortier de chaux</t>
  </si>
  <si>
    <t>Mortier de ciment</t>
  </si>
  <si>
    <t>Mosaïque céramique</t>
  </si>
  <si>
    <t>Panneau à fibres orientées (OSB)</t>
  </si>
  <si>
    <t>Panneau de bois croisé</t>
  </si>
  <si>
    <t>Panneau de constr., amiante-ciment, f. lisse</t>
  </si>
  <si>
    <t>Panneau de construction en plâtre</t>
  </si>
  <si>
    <t>Panneau de construction en plâtre cartonné</t>
  </si>
  <si>
    <t>Panneau de copeaux de bois, minéralisés</t>
  </si>
  <si>
    <t>Panneau de fibres de bois (N)</t>
  </si>
  <si>
    <t>Panneau de fibres de bois (U)</t>
  </si>
  <si>
    <t>Panneau de fibres de bois, mi-durs</t>
  </si>
  <si>
    <t>Panneau de fibres de bois, poreux</t>
  </si>
  <si>
    <t>Panneau de fibres de lin (N)</t>
  </si>
  <si>
    <t>Panneau en laine de bois (U), lambda 0.089</t>
  </si>
  <si>
    <t>Panneau de particules (densité 300)</t>
  </si>
  <si>
    <t>Panneau de particules (densité 600)</t>
  </si>
  <si>
    <t>Panneau de particules (densité 900)</t>
  </si>
  <si>
    <t>Panneau de particules lié au ciment</t>
  </si>
  <si>
    <t>Panneau dur en fibres de bois</t>
  </si>
  <si>
    <t>Panneau en bois aggloméré, lambda 0.11</t>
  </si>
  <si>
    <t>Panneau en bois aggloméré, lambda 0.15</t>
  </si>
  <si>
    <t>Panneau isolant, copeaux de bois aggl. cim.</t>
  </si>
  <si>
    <t>Pâte de plâtre, lambda 0.58</t>
  </si>
  <si>
    <t>Pâte de plâtre, lambda 0.7</t>
  </si>
  <si>
    <t>Perlite, vermiculite, en vrac (N)</t>
  </si>
  <si>
    <t>Planches de roseaux (N)</t>
  </si>
  <si>
    <t>Planelles céramiques</t>
  </si>
  <si>
    <t>Planelles de klinker</t>
  </si>
  <si>
    <t>Planelles isolantes</t>
  </si>
  <si>
    <t>Plaques de béton</t>
  </si>
  <si>
    <t>Plaques de marbre</t>
  </si>
  <si>
    <t>Plâtre (densité 600)</t>
  </si>
  <si>
    <t>Plâtre (densité 900)</t>
  </si>
  <si>
    <t>Plâtre (densité 1200)</t>
  </si>
  <si>
    <t>Plâtre (densité 1500)</t>
  </si>
  <si>
    <t>Placoplâtre</t>
  </si>
  <si>
    <t>Panneau en Plâtre</t>
  </si>
  <si>
    <t>Plomb</t>
  </si>
  <si>
    <t>****Polyisocyanate (PIR)****</t>
  </si>
  <si>
    <t>PIR, Pentan, étanché (U), lambda 0.027</t>
  </si>
  <si>
    <t>PIR, Pentan, ouvert (U), lambda 0.032</t>
  </si>
  <si>
    <t>****Polystyrène (EPS) expansé****</t>
  </si>
  <si>
    <t>Polystyrène (EPS) expansé, densité 15-40 (N)</t>
  </si>
  <si>
    <t>Polystyrène (EPS) expansé, densité 15-40 (U)</t>
  </si>
  <si>
    <t>Polystyrène (EPS) expansé, densité &lt;15 (N)</t>
  </si>
  <si>
    <t>Polystyrène (EPS) expansé, densité &lt;15 (U)</t>
  </si>
  <si>
    <t>****Polystyrène (XPS) extrudé****</t>
  </si>
  <si>
    <t>****Polyuréthane (PUR)****</t>
  </si>
  <si>
    <t>PUR, Pentan, étanché (U), lambda 0.026</t>
  </si>
  <si>
    <t>PUR, Pentan, ouvert (U), lambda 0.032</t>
  </si>
  <si>
    <t>PVC en lés</t>
  </si>
  <si>
    <t>Roches cristallines et métamorphiques</t>
  </si>
  <si>
    <t>Roches sédimentaires</t>
  </si>
  <si>
    <t>****Revêtements de sol****</t>
  </si>
  <si>
    <t>Caoutchouc</t>
  </si>
  <si>
    <t>Plastique</t>
  </si>
  <si>
    <t>Caoutchouc-mousse ou plastique cellulaire</t>
  </si>
  <si>
    <t>Feutre</t>
  </si>
  <si>
    <t>Laine</t>
  </si>
  <si>
    <t>Liège</t>
  </si>
  <si>
    <t>Plaques de liège</t>
  </si>
  <si>
    <t>Linoléum</t>
  </si>
  <si>
    <t>Sable</t>
  </si>
  <si>
    <t>Sable calcaire coquiller</t>
  </si>
  <si>
    <t xml:space="preserve">Spatule de plâtre </t>
  </si>
  <si>
    <t>Terre compacte, humidité naturelle</t>
  </si>
  <si>
    <t>Terre glaise, compacte</t>
  </si>
  <si>
    <t>Terre sableuse, humidité naturelle</t>
  </si>
  <si>
    <t>Verre</t>
  </si>
  <si>
    <t>Verre cellulaire, en vrac (N)</t>
  </si>
  <si>
    <t>Verre cellulaire, panneaux (N)</t>
  </si>
  <si>
    <t>Verre cellulaire, panneaux (U)</t>
  </si>
  <si>
    <t>Zinc</t>
  </si>
  <si>
    <t>Produits spécifiés</t>
  </si>
  <si>
    <t>**** Laine de roche ****</t>
  </si>
  <si>
    <t>Panneau de sol Flumroc</t>
  </si>
  <si>
    <t>Panneau isolant Flumroc 1</t>
  </si>
  <si>
    <t>Panneau isolant Flumroc 3</t>
  </si>
  <si>
    <t>Panneau isolant Flumroc 341</t>
  </si>
  <si>
    <t>Panneau isolant Flumroc COMPACT</t>
  </si>
  <si>
    <t>Panneau isolant Flumroc DECO</t>
  </si>
  <si>
    <t>Panneau isolant Flumroc DUO</t>
  </si>
  <si>
    <t>Panneau isolant Flumroc DUO C</t>
  </si>
  <si>
    <t>Panneau isolant Flumroc DUO D 20</t>
  </si>
  <si>
    <t>Panneau isolant Flumroc ECCO</t>
  </si>
  <si>
    <t>Panneau isolant Flumroc FHW 80</t>
  </si>
  <si>
    <t>Panneau isolant Flumroc IGLOO</t>
  </si>
  <si>
    <t>Panneau isolant Flumroc MEGA</t>
  </si>
  <si>
    <t>Panneau isolant Flumroc PARA</t>
  </si>
  <si>
    <t>Panneau isolant Flumroc PRIMA</t>
  </si>
  <si>
    <t>Panneau isolant Flumroc SOLO</t>
  </si>
  <si>
    <t>Panneau isolant Flumroc TOPA ACOUSTIQUE</t>
  </si>
  <si>
    <t>Panneau isolant Flumroc TRIA</t>
  </si>
  <si>
    <t>Élément pour sol de combles Flumroc ESTRA</t>
  </si>
  <si>
    <t>**** Verre cellulaire ****</t>
  </si>
  <si>
    <t>**** Laine de verre ****</t>
  </si>
  <si>
    <t>**** Polystyrène expansé (EPS) ****</t>
  </si>
  <si>
    <t>**** Polystyrène extrudé (XPS) ****</t>
  </si>
  <si>
    <t>**** Mousse phénolique ****</t>
  </si>
  <si>
    <t>**** Panneaux en laine de bois ****</t>
  </si>
  <si>
    <t>**** Panneaux de fibres de bois ****</t>
  </si>
  <si>
    <t>**** Cellulose (en vrac) ****</t>
  </si>
  <si>
    <t>**** Panneaux composites (multicouches) ****</t>
  </si>
  <si>
    <t>**** Panneaux isolants sous vide (VIP)****</t>
  </si>
  <si>
    <t>**** Systèmes d'isolation thermique extérieure ****</t>
  </si>
  <si>
    <t>B301</t>
  </si>
  <si>
    <t>B303</t>
  </si>
  <si>
    <t>B304</t>
  </si>
  <si>
    <t>B305</t>
  </si>
  <si>
    <t>B306</t>
  </si>
  <si>
    <t>B307</t>
  </si>
  <si>
    <t>B308</t>
  </si>
  <si>
    <t>B309</t>
  </si>
  <si>
    <t>B310</t>
  </si>
  <si>
    <t>B311</t>
  </si>
  <si>
    <t>B312</t>
  </si>
  <si>
    <t>B313</t>
  </si>
  <si>
    <t>B314</t>
  </si>
  <si>
    <t>B315</t>
  </si>
  <si>
    <t>B316</t>
  </si>
  <si>
    <t>B317</t>
  </si>
  <si>
    <t>B318</t>
  </si>
  <si>
    <t>B319</t>
  </si>
  <si>
    <t>B320</t>
  </si>
  <si>
    <t>B321</t>
  </si>
  <si>
    <t>B322</t>
  </si>
  <si>
    <t>B353</t>
  </si>
  <si>
    <t>B373</t>
  </si>
  <si>
    <t>B474</t>
  </si>
  <si>
    <t>B578</t>
  </si>
  <si>
    <t>B642</t>
  </si>
  <si>
    <t>B666</t>
  </si>
  <si>
    <t>B677</t>
  </si>
  <si>
    <t>B681</t>
  </si>
  <si>
    <t>B698</t>
  </si>
  <si>
    <t>B703</t>
  </si>
  <si>
    <t>B717</t>
  </si>
  <si>
    <t>B725</t>
  </si>
  <si>
    <t>Minergie (mit Raumhöhenkorrektur)</t>
  </si>
  <si>
    <t>Minergie</t>
  </si>
  <si>
    <t>Minergie (avec facteur de correction pour la hauteur des locaux)</t>
  </si>
  <si>
    <t xml:space="preserve">Débit d'air neuf thermiquement significatif </t>
  </si>
  <si>
    <t>Surface de référence énergétique SRE:</t>
  </si>
  <si>
    <t>Kategorie</t>
  </si>
  <si>
    <t>Catégorie</t>
  </si>
  <si>
    <t xml:space="preserve">Klimastation: </t>
  </si>
  <si>
    <t>H47</t>
  </si>
  <si>
    <t>Ver. 2009</t>
  </si>
  <si>
    <t>Ver. 2016</t>
  </si>
  <si>
    <t>Besoins de chaleur  Qh,korr:</t>
  </si>
  <si>
    <t xml:space="preserve">                     Graue Energie [MJ/m2]  = </t>
  </si>
  <si>
    <t xml:space="preserve">                     Energie grise [MJ/m2]  = </t>
  </si>
  <si>
    <t>contrôlez condensation GK=</t>
  </si>
  <si>
    <t>Kondensation prüfen, Gk=</t>
  </si>
  <si>
    <t>Expos.</t>
  </si>
  <si>
    <t>AA50</t>
  </si>
  <si>
    <t>Interne Wärmegewinne SIA 384/3</t>
  </si>
  <si>
    <t>W/m2</t>
  </si>
  <si>
    <t>3. Einzelbauteile</t>
  </si>
  <si>
    <t>4. Spezielle Eingabedaten</t>
  </si>
  <si>
    <t>5. Energiebilanz mit dem Standard - Aussenluftvolumenstrom</t>
  </si>
  <si>
    <t>Remplissage</t>
  </si>
  <si>
    <t>H5</t>
  </si>
  <si>
    <t>G5</t>
  </si>
  <si>
    <t>6. Energiebilanz mit dem eff. thermisch wirksamen Aussenluft-Volumenstrom</t>
  </si>
  <si>
    <r>
      <t>Q</t>
    </r>
    <r>
      <rPr>
        <vertAlign val="subscript"/>
        <sz val="9"/>
        <rFont val="Arial"/>
        <family val="2"/>
      </rPr>
      <t>V,eff</t>
    </r>
  </si>
  <si>
    <r>
      <t>Q</t>
    </r>
    <r>
      <rPr>
        <vertAlign val="subscript"/>
        <sz val="9"/>
        <rFont val="Arial"/>
        <family val="2"/>
      </rPr>
      <t>H</t>
    </r>
  </si>
  <si>
    <r>
      <t>Q</t>
    </r>
    <r>
      <rPr>
        <vertAlign val="subscript"/>
        <sz val="9"/>
        <rFont val="Arial"/>
        <family val="2"/>
      </rPr>
      <t>H,eff</t>
    </r>
  </si>
  <si>
    <t>Wärmespeicher-
fähigkeit pro EBF</t>
  </si>
  <si>
    <t>thermisch wirk-samer Aussenluft-Volumenstrom</t>
  </si>
  <si>
    <t>Regelungs-
zuschlag</t>
  </si>
  <si>
    <t>Vorlauftemperatur für Flächen-
heizung</t>
  </si>
  <si>
    <r>
      <t>[m</t>
    </r>
    <r>
      <rPr>
        <vertAlign val="superscript"/>
        <sz val="9"/>
        <rFont val="Arial"/>
        <family val="2"/>
      </rPr>
      <t>3</t>
    </r>
    <r>
      <rPr>
        <sz val="9"/>
        <rFont val="Arial"/>
        <family val="2"/>
      </rPr>
      <t>/m</t>
    </r>
    <r>
      <rPr>
        <vertAlign val="superscript"/>
        <sz val="9"/>
        <rFont val="Arial"/>
        <family val="2"/>
      </rPr>
      <t>2</t>
    </r>
    <r>
      <rPr>
        <sz val="9"/>
        <rFont val="Arial"/>
        <family val="2"/>
      </rPr>
      <t>h], q</t>
    </r>
    <r>
      <rPr>
        <vertAlign val="subscript"/>
        <sz val="9"/>
        <rFont val="Arial"/>
        <family val="2"/>
      </rPr>
      <t>th,Stand.</t>
    </r>
  </si>
  <si>
    <r>
      <t>q</t>
    </r>
    <r>
      <rPr>
        <vertAlign val="subscript"/>
        <sz val="9"/>
        <rFont val="Arial"/>
        <family val="2"/>
      </rPr>
      <t>th</t>
    </r>
    <r>
      <rPr>
        <sz val="9"/>
        <rFont val="Arial"/>
        <family val="2"/>
      </rPr>
      <t xml:space="preserve"> [m</t>
    </r>
    <r>
      <rPr>
        <vertAlign val="superscript"/>
        <sz val="9"/>
        <rFont val="Arial"/>
        <family val="2"/>
      </rPr>
      <t>3</t>
    </r>
    <r>
      <rPr>
        <sz val="9"/>
        <rFont val="Arial"/>
        <family val="2"/>
      </rPr>
      <t>/m</t>
    </r>
    <r>
      <rPr>
        <vertAlign val="superscript"/>
        <sz val="9"/>
        <rFont val="Arial"/>
        <family val="2"/>
      </rPr>
      <t>2</t>
    </r>
    <r>
      <rPr>
        <sz val="9"/>
        <rFont val="Arial"/>
        <family val="2"/>
      </rPr>
      <t>h]</t>
    </r>
  </si>
  <si>
    <t>7. Spezifische Leistung (mit dem eff. thermisch wirksamen Aussenluft-Volumenstrom)</t>
  </si>
  <si>
    <r>
      <t>p</t>
    </r>
    <r>
      <rPr>
        <vertAlign val="subscript"/>
        <sz val="9"/>
        <rFont val="Arial"/>
        <family val="2"/>
      </rPr>
      <t>h,li korr</t>
    </r>
  </si>
  <si>
    <t>3. Eléments d'enveloppe</t>
  </si>
  <si>
    <t>B102</t>
  </si>
  <si>
    <t>B103</t>
  </si>
  <si>
    <t>siehe Blätter 'Projekt', 'Bau', 'UWert'</t>
  </si>
  <si>
    <t>voir pages 'Projekt', 'Bau', 'UWert'</t>
  </si>
  <si>
    <t>B105</t>
  </si>
  <si>
    <t>4. Données d'entrée spéciales</t>
  </si>
  <si>
    <t>B106</t>
  </si>
  <si>
    <t>D106</t>
  </si>
  <si>
    <t>capacité ther-
mique rapportée à la SRE</t>
  </si>
  <si>
    <t>Δθi,g  [K]</t>
  </si>
  <si>
    <t xml:space="preserve">supplément pour régulation </t>
  </si>
  <si>
    <t>G106</t>
  </si>
  <si>
    <t>J106</t>
  </si>
  <si>
    <t>température de départ max pour le chauffage intégré</t>
  </si>
  <si>
    <r>
      <rPr>
        <sz val="9"/>
        <rFont val="Symbol"/>
        <family val="1"/>
        <charset val="2"/>
      </rPr>
      <t>Q</t>
    </r>
    <r>
      <rPr>
        <vertAlign val="subscript"/>
        <sz val="9"/>
        <rFont val="Arial"/>
        <family val="2"/>
      </rPr>
      <t>h, max</t>
    </r>
    <r>
      <rPr>
        <sz val="9"/>
        <rFont val="Arial"/>
        <family val="2"/>
      </rPr>
      <t xml:space="preserve"> [°C]</t>
    </r>
  </si>
  <si>
    <t>M106</t>
  </si>
  <si>
    <t>Vorlauftemperatur
für Heizkörper
vor Fenstern</t>
  </si>
  <si>
    <t>temp. max pour corps de chauffe devant fenêtres</t>
  </si>
  <si>
    <t>débit d’air neuf thermiquement actif</t>
  </si>
  <si>
    <t>P106</t>
  </si>
  <si>
    <t>5. Bilan thermique</t>
  </si>
  <si>
    <t>B112</t>
  </si>
  <si>
    <t>6. Bilan thermique avec débit d’air neuf thermiquement actif</t>
  </si>
  <si>
    <t>B118</t>
  </si>
  <si>
    <t>7. Puissance de chauffage spécifique</t>
  </si>
  <si>
    <t>B124</t>
  </si>
  <si>
    <r>
      <rPr>
        <sz val="9"/>
        <rFont val="Symbol"/>
        <family val="1"/>
        <charset val="2"/>
      </rPr>
      <t>Q</t>
    </r>
    <r>
      <rPr>
        <vertAlign val="subscript"/>
        <sz val="9"/>
        <rFont val="Arial"/>
        <family val="2"/>
      </rPr>
      <t>e</t>
    </r>
    <r>
      <rPr>
        <sz val="9"/>
        <rFont val="Arial"/>
        <family val="2"/>
      </rPr>
      <t xml:space="preserve">  [°C]</t>
    </r>
  </si>
  <si>
    <r>
      <t>H</t>
    </r>
    <r>
      <rPr>
        <vertAlign val="subscript"/>
        <sz val="9"/>
        <rFont val="Arial"/>
        <family val="2"/>
      </rPr>
      <t>eff</t>
    </r>
    <r>
      <rPr>
        <sz val="9"/>
        <rFont val="Arial"/>
        <family val="2"/>
      </rPr>
      <t xml:space="preserve">   [W/K]</t>
    </r>
  </si>
  <si>
    <r>
      <t>q</t>
    </r>
    <r>
      <rPr>
        <vertAlign val="subscript"/>
        <sz val="9"/>
        <rFont val="Arial"/>
        <family val="2"/>
      </rPr>
      <t xml:space="preserve">El </t>
    </r>
    <r>
      <rPr>
        <sz val="9"/>
        <rFont val="Arial"/>
        <family val="2"/>
      </rPr>
      <t xml:space="preserve">  [W/m2]</t>
    </r>
  </si>
  <si>
    <r>
      <t>p</t>
    </r>
    <r>
      <rPr>
        <vertAlign val="subscript"/>
        <sz val="9"/>
        <rFont val="Arial"/>
        <family val="2"/>
      </rPr>
      <t>h</t>
    </r>
    <r>
      <rPr>
        <sz val="9"/>
        <rFont val="Arial"/>
        <family val="2"/>
      </rPr>
      <t xml:space="preserve">  [W/m2]</t>
    </r>
  </si>
  <si>
    <r>
      <t>Grenzwerte spez. Heizleistung bei Neubauten P</t>
    </r>
    <r>
      <rPr>
        <vertAlign val="subscript"/>
        <sz val="10"/>
        <rFont val="Arial"/>
        <family val="2"/>
      </rPr>
      <t>h,li</t>
    </r>
    <r>
      <rPr>
        <sz val="10"/>
        <rFont val="Arial"/>
        <family val="2"/>
      </rPr>
      <t xml:space="preserve"> [W/m2]</t>
    </r>
  </si>
  <si>
    <t>Cadastre</t>
  </si>
  <si>
    <t>System</t>
  </si>
  <si>
    <t>Ph</t>
  </si>
  <si>
    <t>Ph prüfen</t>
  </si>
  <si>
    <t>Berechnung Grenzwert ph,li</t>
  </si>
  <si>
    <r>
      <t>p</t>
    </r>
    <r>
      <rPr>
        <vertAlign val="subscript"/>
        <sz val="9"/>
        <rFont val="Arial"/>
        <family val="2"/>
      </rPr>
      <t>h,li</t>
    </r>
    <r>
      <rPr>
        <sz val="9"/>
        <rFont val="Arial"/>
        <family val="2"/>
      </rPr>
      <t xml:space="preserve"> = </t>
    </r>
  </si>
  <si>
    <t>Temp A=</t>
  </si>
  <si>
    <r>
      <t>p</t>
    </r>
    <r>
      <rPr>
        <vertAlign val="subscript"/>
        <sz val="9"/>
        <rFont val="Arial"/>
        <family val="2"/>
      </rPr>
      <t>h,li,korr</t>
    </r>
    <r>
      <rPr>
        <sz val="9"/>
        <rFont val="Arial"/>
        <family val="2"/>
      </rPr>
      <t xml:space="preserve"> = </t>
    </r>
  </si>
  <si>
    <t>interne des installations élec. QiE:</t>
  </si>
  <si>
    <t>Dép. par renouvellement de l'air QV:</t>
  </si>
  <si>
    <t>Lüftungswärmeverlust QVeff:</t>
  </si>
  <si>
    <t>Renouvellement de l'air QVeff:</t>
  </si>
  <si>
    <t>'Nachweis',  'Projekt',  'Bau',  'Fenster',  'UWert',  'M'</t>
  </si>
  <si>
    <t>Für MINERGIE-Nachweis oder MUKEN 2014</t>
  </si>
  <si>
    <t>Nutzungs-
werte:</t>
  </si>
  <si>
    <t>Decke gegen Erdreich</t>
  </si>
  <si>
    <t>toit contre la terre</t>
  </si>
  <si>
    <t>E94</t>
  </si>
  <si>
    <t>Leistung  [kW]</t>
  </si>
  <si>
    <t>Nachw.</t>
  </si>
  <si>
    <t>eff.</t>
  </si>
  <si>
    <t>Puissance [kW]</t>
  </si>
  <si>
    <t>Q22</t>
  </si>
  <si>
    <t>Raumtemp.</t>
  </si>
  <si>
    <t>Ti</t>
  </si>
  <si>
    <t>Q16</t>
  </si>
  <si>
    <t>Justif.</t>
  </si>
  <si>
    <t>Q23</t>
  </si>
  <si>
    <t>0°</t>
  </si>
  <si>
    <t>22.5°</t>
  </si>
  <si>
    <t>45°</t>
  </si>
  <si>
    <t>-22.5°</t>
  </si>
  <si>
    <t>SSE</t>
  </si>
  <si>
    <t>SSW</t>
  </si>
  <si>
    <t>NNE</t>
  </si>
  <si>
    <t>NNW</t>
  </si>
  <si>
    <t>ESE</t>
  </si>
  <si>
    <t>WSW</t>
  </si>
  <si>
    <t>WNW</t>
  </si>
  <si>
    <t>ENE</t>
  </si>
  <si>
    <t>SSO</t>
  </si>
  <si>
    <t>NNO</t>
  </si>
  <si>
    <t>OSO</t>
  </si>
  <si>
    <t>ONO</t>
  </si>
  <si>
    <t>Gebäude Gedreht?</t>
  </si>
  <si>
    <t>Bâtiment tourné ?</t>
  </si>
  <si>
    <t>V10</t>
  </si>
  <si>
    <t>I10</t>
  </si>
  <si>
    <t>I29</t>
  </si>
  <si>
    <t>V29</t>
  </si>
  <si>
    <t>B54-57</t>
  </si>
  <si>
    <t xml:space="preserve">Solarer Wärmegewinn </t>
  </si>
  <si>
    <t xml:space="preserve">Apports solaires </t>
  </si>
  <si>
    <t>Zone 1</t>
  </si>
  <si>
    <t>Zone 2</t>
  </si>
  <si>
    <t>Zone 3</t>
  </si>
  <si>
    <t>Zone 4</t>
  </si>
  <si>
    <t>Neubau / Altbau</t>
  </si>
  <si>
    <t>Name der Zone</t>
  </si>
  <si>
    <t>Summe/Mittel</t>
  </si>
  <si>
    <r>
      <t>W/m</t>
    </r>
    <r>
      <rPr>
        <vertAlign val="superscript"/>
        <sz val="10"/>
        <rFont val="Arial"/>
        <family val="2"/>
      </rPr>
      <t>2</t>
    </r>
  </si>
  <si>
    <t>Zone1</t>
  </si>
  <si>
    <t>Zone2</t>
  </si>
  <si>
    <t>Zone3</t>
  </si>
  <si>
    <t>Zone4</t>
  </si>
  <si>
    <t>EBF für ph</t>
  </si>
  <si>
    <t>Sum / Mittel</t>
  </si>
  <si>
    <t>Eingehalten</t>
  </si>
  <si>
    <r>
      <t>Q</t>
    </r>
    <r>
      <rPr>
        <vertAlign val="subscript"/>
        <sz val="10"/>
        <rFont val="Arial"/>
        <family val="2"/>
      </rPr>
      <t>T</t>
    </r>
  </si>
  <si>
    <r>
      <t>Q</t>
    </r>
    <r>
      <rPr>
        <vertAlign val="subscript"/>
        <sz val="10"/>
        <rFont val="Arial"/>
        <family val="2"/>
      </rPr>
      <t>V</t>
    </r>
  </si>
  <si>
    <r>
      <t>Q</t>
    </r>
    <r>
      <rPr>
        <vertAlign val="subscript"/>
        <sz val="10"/>
        <rFont val="Arial"/>
        <family val="2"/>
      </rPr>
      <t>I</t>
    </r>
  </si>
  <si>
    <r>
      <t>Q</t>
    </r>
    <r>
      <rPr>
        <vertAlign val="subscript"/>
        <sz val="10"/>
        <rFont val="Arial"/>
        <family val="2"/>
      </rPr>
      <t>S</t>
    </r>
  </si>
  <si>
    <r>
      <rPr>
        <sz val="10"/>
        <rFont val="Symbol"/>
        <family val="1"/>
        <charset val="2"/>
      </rPr>
      <t>h</t>
    </r>
    <r>
      <rPr>
        <vertAlign val="subscript"/>
        <sz val="10"/>
        <rFont val="Arial"/>
        <family val="2"/>
      </rPr>
      <t>g</t>
    </r>
  </si>
  <si>
    <r>
      <t>Q</t>
    </r>
    <r>
      <rPr>
        <vertAlign val="subscript"/>
        <sz val="10"/>
        <rFont val="Arial"/>
        <family val="2"/>
      </rPr>
      <t>V,eff</t>
    </r>
  </si>
  <si>
    <r>
      <rPr>
        <sz val="10"/>
        <rFont val="Symbol"/>
        <family val="1"/>
        <charset val="2"/>
      </rPr>
      <t>h</t>
    </r>
    <r>
      <rPr>
        <vertAlign val="subscript"/>
        <sz val="10"/>
        <rFont val="Arial"/>
        <family val="2"/>
      </rPr>
      <t>g,eff</t>
    </r>
  </si>
  <si>
    <r>
      <t>Q</t>
    </r>
    <r>
      <rPr>
        <vertAlign val="subscript"/>
        <sz val="10"/>
        <rFont val="Arial"/>
        <family val="2"/>
      </rPr>
      <t>H,eff</t>
    </r>
  </si>
  <si>
    <r>
      <t>q</t>
    </r>
    <r>
      <rPr>
        <vertAlign val="subscript"/>
        <sz val="10"/>
        <rFont val="Arial"/>
        <family val="2"/>
      </rPr>
      <t>th</t>
    </r>
  </si>
  <si>
    <t>Total:</t>
  </si>
  <si>
    <r>
      <t>h</t>
    </r>
    <r>
      <rPr>
        <vertAlign val="subscript"/>
        <sz val="9"/>
        <rFont val="Arial"/>
        <family val="2"/>
      </rPr>
      <t>g,eff</t>
    </r>
  </si>
  <si>
    <t>Nur Zone 1:</t>
  </si>
  <si>
    <t>page 10 de 10</t>
  </si>
  <si>
    <t>page 7 de 10</t>
  </si>
  <si>
    <t>page 8 de 10</t>
  </si>
  <si>
    <t>Seite 7 von 10</t>
  </si>
  <si>
    <t>Seite 8 von 10</t>
  </si>
  <si>
    <t>Seite 9 von 10</t>
  </si>
  <si>
    <t>Seite 10 von 10</t>
  </si>
  <si>
    <t>Zonen</t>
  </si>
  <si>
    <t>N2</t>
  </si>
  <si>
    <t>page 9 de 10</t>
  </si>
  <si>
    <t>page 6 de 10</t>
  </si>
  <si>
    <t>Seite 5 von 10</t>
  </si>
  <si>
    <t>page 5 de 10</t>
  </si>
  <si>
    <t>Seite 6 von 10</t>
  </si>
  <si>
    <t>Seite 4 von 10</t>
  </si>
  <si>
    <t>page 4 de 10</t>
  </si>
  <si>
    <t>Seite 3 von 10</t>
  </si>
  <si>
    <t>page 3 de 10</t>
  </si>
  <si>
    <t>Seite 2 von 10</t>
  </si>
  <si>
    <t>Page 2 de 10</t>
  </si>
  <si>
    <t>Seite 1 von 10</t>
  </si>
  <si>
    <t>page 1 de 10</t>
  </si>
  <si>
    <r>
      <t>q</t>
    </r>
    <r>
      <rPr>
        <vertAlign val="subscript"/>
        <sz val="10"/>
        <rFont val="Arial"/>
        <family val="2"/>
      </rPr>
      <t>th,Standard</t>
    </r>
  </si>
  <si>
    <r>
      <t>H</t>
    </r>
    <r>
      <rPr>
        <vertAlign val="subscript"/>
        <sz val="10"/>
        <rFont val="Arial"/>
        <family val="2"/>
      </rPr>
      <t>eff</t>
    </r>
  </si>
  <si>
    <r>
      <t>q</t>
    </r>
    <r>
      <rPr>
        <vertAlign val="subscript"/>
        <sz val="10"/>
        <rFont val="Arial"/>
        <family val="2"/>
      </rPr>
      <t>EL</t>
    </r>
  </si>
  <si>
    <t>Capacité thermique</t>
  </si>
  <si>
    <t>K</t>
  </si>
  <si>
    <t>Flächenheizung, max.</t>
  </si>
  <si>
    <t>Chauffage intégré, max.</t>
  </si>
  <si>
    <t>Heizkörper vor Fenstern</t>
  </si>
  <si>
    <t>corps de chauffe devant fenêtres</t>
  </si>
  <si>
    <t>Nouvelle construction / Transformation</t>
  </si>
  <si>
    <t>B12</t>
  </si>
  <si>
    <t>WB:</t>
  </si>
  <si>
    <t>Bodenh.</t>
  </si>
  <si>
    <t>Regel:</t>
  </si>
  <si>
    <t>Neu:</t>
  </si>
  <si>
    <t>Neubau / Umbau</t>
  </si>
  <si>
    <t>Neubau:</t>
  </si>
  <si>
    <t>Altbau:</t>
  </si>
  <si>
    <t>Regelungsart</t>
  </si>
  <si>
    <t>O45</t>
  </si>
  <si>
    <t>Régulation</t>
  </si>
  <si>
    <t>Zonenweise verschieden</t>
  </si>
  <si>
    <t>Différent par zone</t>
  </si>
  <si>
    <t>L52</t>
  </si>
  <si>
    <r>
      <t>FS</t>
    </r>
    <r>
      <rPr>
        <vertAlign val="subscript"/>
        <sz val="9"/>
        <rFont val="Arial"/>
        <family val="2"/>
      </rPr>
      <t>max</t>
    </r>
  </si>
  <si>
    <t>Eingabe der Resultate der einzelnen Zonen</t>
  </si>
  <si>
    <t>Entrée pour les différantes zones</t>
  </si>
  <si>
    <t>N3</t>
  </si>
  <si>
    <t>total:</t>
  </si>
  <si>
    <t>Datenstand / État des dates 2017-03-07</t>
  </si>
  <si>
    <t>Stoffgruppe Nr. 
Groupe de matériaux no</t>
  </si>
  <si>
    <t>ID</t>
  </si>
  <si>
    <t>Stoffgruppe</t>
  </si>
  <si>
    <t>Groupe de matériaux</t>
  </si>
  <si>
    <t>Stoffgruppe, Anwendung</t>
  </si>
  <si>
    <t>Groupe de matériaux, application</t>
  </si>
  <si>
    <t>Firmen Nr.</t>
  </si>
  <si>
    <t>Lieferant, Hersteller / Fournisseur</t>
  </si>
  <si>
    <t>Rohdichte / Masse volumique</t>
  </si>
  <si>
    <t>Wärme-leitfähigkeit / Conductivité thermique
für Produkte nach SIA 2001 /
 pour produits selon SIA 2001: lD</t>
  </si>
  <si>
    <t>Lieferdicke / Épaisseur</t>
  </si>
  <si>
    <t>spezif. Wärme-kapazität masse-bezogen/ Capacité thermique massique</t>
  </si>
  <si>
    <t>spezif. Wärme-kapazität masse-bezogen / Capacité thermique massique</t>
  </si>
  <si>
    <t>Wasserdampf-Diffusions-widerstandszahl gemäss Normen / Facteur de résistance à la vapeur d'eau selon normes  //
Einzelwerte können abweichen / Valeurs individuelles peuvent varier</t>
  </si>
  <si>
    <t>EN ISO 10456 Tab. 3..</t>
  </si>
  <si>
    <t>EN ISO 10456 Tab. 4..</t>
  </si>
  <si>
    <t>SN EN 1745..</t>
  </si>
  <si>
    <t>SIA 279:2011 Tab. 1</t>
  </si>
  <si>
    <t>Baustoffkennwerte SIA 2001:2015</t>
  </si>
  <si>
    <t>gültig bis / valable jusqu'au</t>
  </si>
  <si>
    <t>Bemerkungen</t>
  </si>
  <si>
    <t>Remarques</t>
  </si>
  <si>
    <t>cp</t>
  </si>
  <si>
    <t>kg/m3</t>
  </si>
  <si>
    <t>mm</t>
  </si>
  <si>
    <t>Wh/kgK</t>
  </si>
  <si>
    <t>J/kgK</t>
  </si>
  <si>
    <t>–</t>
  </si>
  <si>
    <t>Bereich (informativ)</t>
  </si>
  <si>
    <t>Rechenwert</t>
  </si>
  <si>
    <t>trocken / sec</t>
  </si>
  <si>
    <t>feucht / humide</t>
  </si>
  <si>
    <t>in Bearbeitung</t>
  </si>
  <si>
    <t>Steinwolle</t>
  </si>
  <si>
    <t>Laine de roche</t>
  </si>
  <si>
    <t>Steinwolle: Platten, Matten, Rollen; nicht überwacht</t>
  </si>
  <si>
    <t>Laine de roche: panneaux, matelas, rouleaux; non contrôlée</t>
  </si>
  <si>
    <t>15-200</t>
  </si>
  <si>
    <t>Steinwolle: lose; nicht überwacht</t>
  </si>
  <si>
    <t>Laine de roche: en vrac; non contrôlée</t>
  </si>
  <si>
    <t>30-100</t>
  </si>
  <si>
    <t xml:space="preserve">an der Verwendungsstelle hergestellte Wärmedämmstoffe </t>
  </si>
  <si>
    <t>isolation thermique exécutée in situ</t>
  </si>
  <si>
    <t>FIBRANgeo B-040</t>
  </si>
  <si>
    <t>FIBRAN S.A.</t>
  </si>
  <si>
    <t>40</t>
  </si>
  <si>
    <t>30-160</t>
  </si>
  <si>
    <t>0.29</t>
  </si>
  <si>
    <t>Flumroc AG</t>
  </si>
  <si>
    <t>15-25</t>
  </si>
  <si>
    <t>130</t>
  </si>
  <si>
    <t>30-40</t>
  </si>
  <si>
    <t>60-400</t>
  </si>
  <si>
    <t>10-220</t>
  </si>
  <si>
    <t>Flumroc-Dämmplatte DUO / DUO C / DUO D20</t>
  </si>
  <si>
    <t>Panneau isolant Flumroc DUO / DUO C / DUO D20</t>
  </si>
  <si>
    <t>50-400</t>
  </si>
  <si>
    <t>30-220</t>
  </si>
  <si>
    <t>20-400</t>
  </si>
  <si>
    <t>Flumroc-Dämmplatte MONO</t>
  </si>
  <si>
    <t>Panneau isolant Flumroc MONO</t>
  </si>
  <si>
    <t>40-400</t>
  </si>
  <si>
    <t>Flumroc-Dämmplatte SIGMA</t>
  </si>
  <si>
    <t>Panneau isolant Flumroc SIGMA</t>
  </si>
  <si>
    <t>60-220</t>
  </si>
  <si>
    <t>30-400</t>
  </si>
  <si>
    <t>100-400</t>
  </si>
  <si>
    <t>15-220</t>
  </si>
  <si>
    <t>Flumroc-Dämmplatte COMPACT PRO</t>
  </si>
  <si>
    <t>Panneau isolant Flumroc COMPACT PRO</t>
  </si>
  <si>
    <t>10-400</t>
  </si>
  <si>
    <t>76-176</t>
  </si>
  <si>
    <t>einseitig Spanplatte 16 mm</t>
  </si>
  <si>
    <t>sur une face panneau aggloméré 16 mm</t>
  </si>
  <si>
    <t>Flumroc-Dämmplatte FUTURO 1</t>
  </si>
  <si>
    <t>Panneau isolant Flumroc FUTURO 1</t>
  </si>
  <si>
    <t>Bindemittel ohne Formaldehyd</t>
  </si>
  <si>
    <t>Flumroc-Dämmplatte ROCA</t>
  </si>
  <si>
    <t>Panneau isolant Flumroc ROCA</t>
  </si>
  <si>
    <t>Protect BSP 30</t>
  </si>
  <si>
    <t>Hornbach Baumarkt AG</t>
  </si>
  <si>
    <t>60-200</t>
  </si>
  <si>
    <t>Protect BSP 50</t>
  </si>
  <si>
    <t>40-80</t>
  </si>
  <si>
    <t>COVERROCK II</t>
  </si>
  <si>
    <t>HOSPA GmbH</t>
  </si>
  <si>
    <t>130-110</t>
  </si>
  <si>
    <t>80-200</t>
  </si>
  <si>
    <t>Putzträgerplatte</t>
  </si>
  <si>
    <t>panneau à crépir</t>
  </si>
  <si>
    <t>COVERROCK 036</t>
  </si>
  <si>
    <t>110-95</t>
  </si>
  <si>
    <t>SONOROCK</t>
  </si>
  <si>
    <t>35-28</t>
  </si>
  <si>
    <t>40-240</t>
  </si>
  <si>
    <t>Trennwandplatte</t>
  </si>
  <si>
    <t>Deutsche Rockwool Mineralwoll GmbH &amp; Co. OHG</t>
  </si>
  <si>
    <t>SPEEDROCK II</t>
  </si>
  <si>
    <t>Deutsche Rockwool OHG</t>
  </si>
  <si>
    <t>Putzträgerlamelle</t>
  </si>
  <si>
    <t>RP-PL</t>
  </si>
  <si>
    <t>Deutsche Rockwool  OHG</t>
  </si>
  <si>
    <t>40-350</t>
  </si>
  <si>
    <t>ISOPANEL-AT</t>
  </si>
  <si>
    <t>INSUNDLATION Gmbh</t>
  </si>
  <si>
    <t>50-240</t>
  </si>
  <si>
    <t>DDP-RT</t>
  </si>
  <si>
    <t>Knauf Insulation GmbH</t>
  </si>
  <si>
    <t>40-100</t>
  </si>
  <si>
    <t>Flachdach-Dämmplatte</t>
  </si>
  <si>
    <t>panneau d‘isolation pour toiture-terrasse</t>
  </si>
  <si>
    <t>DPF 40</t>
  </si>
  <si>
    <t>Feuerschutzplatte</t>
  </si>
  <si>
    <t>panneau d’isolation ignifuge</t>
  </si>
  <si>
    <t>FKD-S, FKD-S C1, FKD-S C2</t>
  </si>
  <si>
    <t>panneau de support</t>
  </si>
  <si>
    <t>FKD-T C2, FKD-T FB C2</t>
  </si>
  <si>
    <t>100-300</t>
  </si>
  <si>
    <t>Putzträgerplatte, Putzträgerbrandriegel</t>
  </si>
  <si>
    <t>panneau de support, coupe-feu</t>
  </si>
  <si>
    <t>FKD-U C2</t>
  </si>
  <si>
    <t>FPS</t>
  </si>
  <si>
    <t>30-240</t>
  </si>
  <si>
    <t>Fassaden-Dämmplatte</t>
  </si>
  <si>
    <t>panneau d’isolation pour façades</t>
  </si>
  <si>
    <t>KP-035/HB</t>
  </si>
  <si>
    <t>Klemmplatte</t>
  </si>
  <si>
    <t>panneau d’isolation à encastrer</t>
  </si>
  <si>
    <t>KP-036/HB</t>
  </si>
  <si>
    <t>30-200</t>
  </si>
  <si>
    <t>Quick White</t>
  </si>
  <si>
    <t>50-180</t>
  </si>
  <si>
    <t>Deckendämmplatte</t>
  </si>
  <si>
    <t>panneau d’isolation pour plafonds</t>
  </si>
  <si>
    <t>SDP-035</t>
  </si>
  <si>
    <t>80-240</t>
  </si>
  <si>
    <t>Schrägdach-Dämmplatte</t>
  </si>
  <si>
    <t>panneau d’isolation pour toitures en pente</t>
  </si>
  <si>
    <t>SKP-035</t>
  </si>
  <si>
    <t>80-160</t>
  </si>
  <si>
    <t>Stahlkassetten-Dämmplatte</t>
  </si>
  <si>
    <t>TPD</t>
  </si>
  <si>
    <t>20-200</t>
  </si>
  <si>
    <t>Boden-Dämmplatte</t>
  </si>
  <si>
    <t>panneau d’isolation pour planchers</t>
  </si>
  <si>
    <t>TPE</t>
  </si>
  <si>
    <t>Trittschall-Dämmplatte</t>
  </si>
  <si>
    <t>panneau d’isolation contre les bruits d‘impact</t>
  </si>
  <si>
    <t>TPS</t>
  </si>
  <si>
    <t>15-50</t>
  </si>
  <si>
    <t>TW</t>
  </si>
  <si>
    <t>40-200</t>
  </si>
  <si>
    <t>Trennwand-Dämmplatte</t>
  </si>
  <si>
    <t>panneau d’isolation pour cloisons</t>
  </si>
  <si>
    <t>DDP2-U</t>
  </si>
  <si>
    <t>60-240</t>
  </si>
  <si>
    <t>basic plus</t>
  </si>
  <si>
    <t>60-160</t>
  </si>
  <si>
    <t>DDP-X</t>
  </si>
  <si>
    <t>150-165</t>
  </si>
  <si>
    <t>PAROC FAS 2, FAS 2cc (LINIO 10, LINIO 10cc)</t>
  </si>
  <si>
    <t>PAROC GmbH</t>
  </si>
  <si>
    <t>90-100</t>
  </si>
  <si>
    <t>Sillatherm WVP 1-035</t>
  </si>
  <si>
    <t>Saint-Gobain Isover G+H AG</t>
  </si>
  <si>
    <t>für verputzte Aussenwanddämmsysteme</t>
  </si>
  <si>
    <t>swissporROC Type 1</t>
  </si>
  <si>
    <t>swisspor AG</t>
  </si>
  <si>
    <t>swissporROC Type 3</t>
  </si>
  <si>
    <t>swissporROC Type 150</t>
  </si>
  <si>
    <t>swissporROC Panneau à crépir</t>
  </si>
  <si>
    <t>swissporROC Panneau de sol TS</t>
  </si>
  <si>
    <t>15-40</t>
  </si>
  <si>
    <t>swissporROC Brandriegel</t>
  </si>
  <si>
    <t>swissporROC Élément coupe-feu</t>
  </si>
  <si>
    <t>swissporROC Lamellen WVL</t>
  </si>
  <si>
    <t>swissporROC Trennwandplatte</t>
  </si>
  <si>
    <t>swissporROC Panneau de cloison</t>
  </si>
  <si>
    <t>swissporROC Putzträgerplatte 034</t>
  </si>
  <si>
    <t>swissporROC panneau à crépir 034</t>
  </si>
  <si>
    <t>swissporTETTO ROC</t>
  </si>
  <si>
    <t>Steinwolle lose</t>
  </si>
  <si>
    <t>Laine de roche en vrac</t>
  </si>
  <si>
    <t>ISOLOOSE</t>
  </si>
  <si>
    <t>60-70</t>
  </si>
  <si>
    <t>variabel</t>
  </si>
  <si>
    <t>ProtectFill</t>
  </si>
  <si>
    <t>60-140</t>
  </si>
  <si>
    <t xml:space="preserve">Einblasdämmstoff </t>
  </si>
  <si>
    <t xml:space="preserve">isolant thermique soufflé in situ </t>
  </si>
  <si>
    <t>steinwool-Mineralwolle-Flocken</t>
  </si>
  <si>
    <t>Steinbacher Dämmstoff GmbH</t>
  </si>
  <si>
    <t>80-120</t>
  </si>
  <si>
    <t>lose Steinwolleflocken bzw. Granulat</t>
  </si>
  <si>
    <t>Mineralwolle-Flocken</t>
  </si>
  <si>
    <t>Austroflex Rohr-Isoliersysteme GmbH</t>
  </si>
  <si>
    <t>60-135</t>
  </si>
  <si>
    <t>In-situ-Wärmedämmung für Zweischalenmauerwerk, Installationsschacht, Decken</t>
  </si>
  <si>
    <t>Glaswolle</t>
  </si>
  <si>
    <t>Laine de verre</t>
  </si>
  <si>
    <t>Glaswolle: Platten, Matten, Rollen; nicht überwacht</t>
  </si>
  <si>
    <t>Laine de verre: panneaux, matelas, rouleaux; non contrôlée</t>
  </si>
  <si>
    <t>10-120</t>
  </si>
  <si>
    <t>Glaswolle: lose; nicht überwacht</t>
  </si>
  <si>
    <t>Laine de verre: en vrac; non contrôlée</t>
  </si>
  <si>
    <t>climowool DF1, DF1-H, DF1/V, HRF1</t>
  </si>
  <si>
    <t>50-300</t>
  </si>
  <si>
    <t>unkaschiert und Glasvlies-kaschiert</t>
  </si>
  <si>
    <t>climowool SSP1/V, TW1, TWR1, WKP1, WKP1/V</t>
  </si>
  <si>
    <t>14-17</t>
  </si>
  <si>
    <t>climowool FD1/V, KD1/V, KF1</t>
  </si>
  <si>
    <t>climowool TW2, WKP2, WKP2/V</t>
  </si>
  <si>
    <t>19-22</t>
  </si>
  <si>
    <t>30-300</t>
  </si>
  <si>
    <t>climowool KD2/V, KF2, KF2/V, KF2-H</t>
  </si>
  <si>
    <t>climowool DF2, DF2-H, DF2/V, HRF2, FD2/V</t>
  </si>
  <si>
    <t>climowool KD3/V, KF3, KF3/V, TFP, TW3, UF3/V, WKP3</t>
  </si>
  <si>
    <t>30-74</t>
  </si>
  <si>
    <t>15-260</t>
  </si>
  <si>
    <t>climowool DF3, DF3-H, DF3/V, EP, FD3/V</t>
  </si>
  <si>
    <t>15-340</t>
  </si>
  <si>
    <t>TI 432 U</t>
  </si>
  <si>
    <t>20-260</t>
  </si>
  <si>
    <t>Glasvlies-kaschiert</t>
  </si>
  <si>
    <t>revêtu de voile de verre</t>
  </si>
  <si>
    <t>MW 35</t>
  </si>
  <si>
    <t>20-370</t>
  </si>
  <si>
    <t>unkaschiert</t>
  </si>
  <si>
    <t>sans revêtement</t>
  </si>
  <si>
    <t>TI 132 U</t>
  </si>
  <si>
    <t>Rollen, unkaschiert</t>
  </si>
  <si>
    <t>rouleaux, sans revêtement</t>
  </si>
  <si>
    <t>TP KD 432, TP 432 B</t>
  </si>
  <si>
    <t>Platten, Glasvlies-Beschichtung</t>
  </si>
  <si>
    <t>panneaux, revêtu de voile de verre</t>
  </si>
  <si>
    <t>TP KD 430, TP 120 A</t>
  </si>
  <si>
    <t>Platten, Glasvlies-Beschichtung oder unkaschiert</t>
  </si>
  <si>
    <t>panneaux, revêtu de voile de verre ou sans revêtement</t>
  </si>
  <si>
    <t>TI 135 U, Naturoll 035</t>
  </si>
  <si>
    <t>TI 140 W, TP 115</t>
  </si>
  <si>
    <t>SAGLAN (030) FA 50 Carbolane</t>
  </si>
  <si>
    <t>Sager AG</t>
  </si>
  <si>
    <t>45-50</t>
  </si>
  <si>
    <t>SAGLAN (033) TW 33 / TWR 33</t>
  </si>
  <si>
    <t>50-250</t>
  </si>
  <si>
    <t>SAGLAN (038) DF 100</t>
  </si>
  <si>
    <t>SAGLAN (032) ST 100</t>
  </si>
  <si>
    <t>90-110</t>
  </si>
  <si>
    <t>10-80</t>
  </si>
  <si>
    <t>Trittschalldämmplatte</t>
  </si>
  <si>
    <t>panneau bruit d'impact</t>
  </si>
  <si>
    <t>SAGLAN (034) SBR / SBR Sparren / SAGLAN T-P HT 400 KA</t>
  </si>
  <si>
    <t>SAGLAN (034) SBR / SBR chevrons / SAGLAN T-P HT 400 KA</t>
  </si>
  <si>
    <t>19-21</t>
  </si>
  <si>
    <t>60-260</t>
  </si>
  <si>
    <t>SAGLAN (034) SB 22</t>
  </si>
  <si>
    <t>18-20</t>
  </si>
  <si>
    <t>SAGLAN (035) SR 22 / TC 22</t>
  </si>
  <si>
    <t>SAGLAN (031) ST</t>
  </si>
  <si>
    <t>10-30</t>
  </si>
  <si>
    <t>SAGLAN (031) SB 55 / SB 55 K / SA 55 Vs</t>
  </si>
  <si>
    <t>52-55</t>
  </si>
  <si>
    <t>K = Deckenplatte weisses Glasgewebe, Vs = schwarzes Glasvlies</t>
  </si>
  <si>
    <t>K = panneau pour plafonds avec toile en tissu de verre blanc, Vs = voile de verre noir</t>
  </si>
  <si>
    <t>SAGLAN (032) SB 40 / SR 40 / SA 40 A / SK 40 Vs</t>
  </si>
  <si>
    <t>20-300</t>
  </si>
  <si>
    <t>Akustikdämmplatte; Vs = schwarzes Glasvlies, A Reinalu-gitterarmiert</t>
  </si>
  <si>
    <t>panneau acoustique; Vs = voile de verre noir, A = grille alu-kraft renforcé</t>
  </si>
  <si>
    <t>SAGLAN (032) SR 30 / SI 30 / SK 32 / SKN 32</t>
  </si>
  <si>
    <t>SKN 32 = Kassettenplatte mit Nut</t>
  </si>
  <si>
    <t>SKN 32 = panneau pour cassettes avec rainure</t>
  </si>
  <si>
    <t>SAGLAN (032) FA 40 / FA 40 Vg / FA 40 Vs</t>
  </si>
  <si>
    <t>30-260</t>
  </si>
  <si>
    <t>Fassadendämmplatte durchgehend hydrophobiert; Vg = Sichtseite Glasvlies gelb; Vs = Sichtseite Glasvlies schwarz</t>
  </si>
  <si>
    <t>panneau façade hydrophobe en permanence; Vg = façe apparente avec voile de verre jaune; Vs = façe apparente avec voile de verre noir</t>
  </si>
  <si>
    <t>SAGLAN (032) FA Light / FA Light Vg / FA Light Vs / SR Light</t>
  </si>
  <si>
    <t>28-32</t>
  </si>
  <si>
    <t>100-260</t>
  </si>
  <si>
    <t>SAGLAN (032) SBR plus Vgl / SBR plus Vgl Sparren</t>
  </si>
  <si>
    <t>Selbstklemmrolle; Vgl = Sichtseite Glasvlies gelb mit Querstrichmarkierung</t>
  </si>
  <si>
    <t>feutre chevron; Vgl = voile de verre jaune avec marquage transversal</t>
  </si>
  <si>
    <t>SAGLAN (035) SA 25 / SA 25 Vs / Si 25 / Si 25 A</t>
  </si>
  <si>
    <t>20-185</t>
  </si>
  <si>
    <t>SAGLAN (035) DF70</t>
  </si>
  <si>
    <t>druckfeste Dämmplatte</t>
  </si>
  <si>
    <t>panneau résistant à la pression</t>
  </si>
  <si>
    <t>SAGLAN (038) R 300 / (038) 300</t>
  </si>
  <si>
    <t>Dämmrolle / Dämmplatte</t>
  </si>
  <si>
    <t>rouleau / panneau</t>
  </si>
  <si>
    <t>THERMO-PLUS / THERMO-PLUS COLOR</t>
  </si>
  <si>
    <t>Saint-Gobain Isover AG</t>
  </si>
  <si>
    <t>steife Platten</t>
  </si>
  <si>
    <t>panneaux rigides</t>
  </si>
  <si>
    <t>ISOVER PBS 50</t>
  </si>
  <si>
    <t>ISOVER PB A 031</t>
  </si>
  <si>
    <t>30-120</t>
  </si>
  <si>
    <t>steife Platten, Schallabsorption</t>
  </si>
  <si>
    <t>panneaux rigides, absorption phonique</t>
  </si>
  <si>
    <t>ISOVER PB F 032</t>
  </si>
  <si>
    <t>ISOVER FM</t>
  </si>
  <si>
    <t>Rollen</t>
  </si>
  <si>
    <t>rouleaux</t>
  </si>
  <si>
    <t>ISOVER PB M 035</t>
  </si>
  <si>
    <t>halbsteife Platten</t>
  </si>
  <si>
    <t>panneaux semi-rigides</t>
  </si>
  <si>
    <t>ISOVER PB M KRAFT 035</t>
  </si>
  <si>
    <t>100-160</t>
  </si>
  <si>
    <t>ISOVER ISOVOX</t>
  </si>
  <si>
    <t>45-80</t>
  </si>
  <si>
    <t>halbsteife Platten, Schalldämmung</t>
  </si>
  <si>
    <t>panneaux semi-rigides, isolation phonique</t>
  </si>
  <si>
    <t>RIS GREEN</t>
  </si>
  <si>
    <t>ISOVER UNIROLL 035 / UNIROLL 035 PR</t>
  </si>
  <si>
    <t>50-260</t>
  </si>
  <si>
    <t>ISOVER ISOFIX 035</t>
  </si>
  <si>
    <t>ISOVER PB M R 035</t>
  </si>
  <si>
    <t>ISOVER DP-BASWA</t>
  </si>
  <si>
    <t>20-100</t>
  </si>
  <si>
    <t>steife Platten aus gekreppter Glaswolle</t>
  </si>
  <si>
    <t>panneaux rigides en laine de verre crêpée</t>
  </si>
  <si>
    <t>ISOVER ISOCALOR</t>
  </si>
  <si>
    <t>22-43</t>
  </si>
  <si>
    <t>ISOVER PS C</t>
  </si>
  <si>
    <t>ISOVER ISOTHERM 035</t>
  </si>
  <si>
    <t>Platten aus gekreppter Glaswolle mit hoher Druckfestigkeit</t>
  </si>
  <si>
    <t>panneaux en laine de verre crêpée avec forte résistance à la compression</t>
  </si>
  <si>
    <t>ISOVER LURO 814</t>
  </si>
  <si>
    <t>30-80</t>
  </si>
  <si>
    <t>ISOVER HDF 814</t>
  </si>
  <si>
    <t>RIS GREEN CONFORT</t>
  </si>
  <si>
    <t>Rollen, Vliesbeschichtung</t>
  </si>
  <si>
    <t>rouleaux, revêtu d'un voile doux</t>
  </si>
  <si>
    <t>ISOVER ISOVOX R CONFORT</t>
  </si>
  <si>
    <t>22-32</t>
  </si>
  <si>
    <t>ISOVER ISORESIST 1000 034</t>
  </si>
  <si>
    <t>Brandschutz im Holzbau</t>
  </si>
  <si>
    <t>protection feu dans les constructions à ossature bois</t>
  </si>
  <si>
    <t>ISOVER ISORESIST 1000 034 F</t>
  </si>
  <si>
    <t>ISOVER ISORESIST 1000 036 / 1000 036 PR</t>
  </si>
  <si>
    <t>Rollen, Brandschutz im Holzbau, Schmelzpunkt &gt; 1000°C</t>
  </si>
  <si>
    <t>rouleau, protection feu dans les constructions à ossature bois, point de fusion &gt; 1000°C</t>
  </si>
  <si>
    <t>ISOVER ISORESIST PIANO PLUS / PIANO PLUS P</t>
  </si>
  <si>
    <t>ISOVER ISORESIST 1000 039</t>
  </si>
  <si>
    <t>Rollen, Brandschutz im Trockenbau, Schmelzpunkt &gt; 1000°C</t>
  </si>
  <si>
    <t>rouleau, protection feu de cloisons sèches, point de fusion &gt; 1000°C</t>
  </si>
  <si>
    <t>ISOVER ISORESIST PIANO</t>
  </si>
  <si>
    <t>ISOVER PB M 032</t>
  </si>
  <si>
    <t>ISOVER PB M KRAFT 032</t>
  </si>
  <si>
    <t>ISOVER SPARRENPLATTE 032 PR</t>
  </si>
  <si>
    <t>ISOVER PANNEAUX CHEVRONS 032 PR</t>
  </si>
  <si>
    <t>ISOVER CLADIROLL 032</t>
  </si>
  <si>
    <t>Rollen, Vliesbeschichtung, mit Markierung</t>
  </si>
  <si>
    <t>rouleaux, revêtu d'un voile doux, avec marquage</t>
  </si>
  <si>
    <t>ISOVER ISOCONFORT 032 / ISOCONFORT 032 PR</t>
  </si>
  <si>
    <t>40-260</t>
  </si>
  <si>
    <t>ISOVER CLADISOL 032</t>
  </si>
  <si>
    <t>80-260</t>
  </si>
  <si>
    <t>halbsteife Platten, Glasvliesbeschichtung</t>
  </si>
  <si>
    <t>panneaux semi-rigides, revêtu d'un voile de verre</t>
  </si>
  <si>
    <t>ISOVER PS 81</t>
  </si>
  <si>
    <t>12-145</t>
  </si>
  <si>
    <t>ISOVER PBS 80</t>
  </si>
  <si>
    <t>12-30</t>
  </si>
  <si>
    <t>isolant contre le bruit de chocs</t>
  </si>
  <si>
    <t>ISOVER ISOPONTE 032</t>
  </si>
  <si>
    <t>60-120</t>
  </si>
  <si>
    <t>ISOVER ISOLENE P 032</t>
  </si>
  <si>
    <t>10-40</t>
  </si>
  <si>
    <t>ISOVER PHOENIX 032</t>
  </si>
  <si>
    <t>ISOVER PB F ECO 032</t>
  </si>
  <si>
    <t>ISOVER PB F EXTRA 032</t>
  </si>
  <si>
    <t>ISOVER PB F 030 / PB F MARMOR 030</t>
  </si>
  <si>
    <t>40-220</t>
  </si>
  <si>
    <t>ISOVER ISOCOMPACT 035</t>
  </si>
  <si>
    <t>40-60</t>
  </si>
  <si>
    <t>Platten für verputzte Aussenwärmedämmung</t>
  </si>
  <si>
    <t>panneaux pour isolation extérieure crépie</t>
  </si>
  <si>
    <t>ULTIMATE U HFU-040</t>
  </si>
  <si>
    <t>ULTIMATE U Holzbaufilz-040</t>
  </si>
  <si>
    <t>ULTIMATE U Holzbaufilz-035</t>
  </si>
  <si>
    <t>Kontur FSP 1-032</t>
  </si>
  <si>
    <t>Fassaden-Dämmplatte, einseitig Glasvlies</t>
  </si>
  <si>
    <t>Metac WF-032</t>
  </si>
  <si>
    <t>Wandkassetten-Dämmfilz, einseitig fadenverstärktes Glasvlies</t>
  </si>
  <si>
    <t>Metac UF-032</t>
  </si>
  <si>
    <t>Universal-Filz, einseitig fadenverstärktes Glasvlies</t>
  </si>
  <si>
    <t>Metac UF-035</t>
  </si>
  <si>
    <t>Universal-Filz</t>
  </si>
  <si>
    <t>feutre universel</t>
  </si>
  <si>
    <t>Metac UF-040</t>
  </si>
  <si>
    <t>25-260</t>
  </si>
  <si>
    <t>Integra ZKF 1-035</t>
  </si>
  <si>
    <t>Zwischensparren-Klemmfilz</t>
  </si>
  <si>
    <t>Integra ZKF 1-040</t>
  </si>
  <si>
    <t>Akustic EP 1</t>
  </si>
  <si>
    <t>60-80</t>
  </si>
  <si>
    <t>Trittschalldämmung</t>
  </si>
  <si>
    <t>TWP 1, TWP 1 HOME, Pure 40 PN Trennwandplatte</t>
  </si>
  <si>
    <t>URSA Deutschland GmbH</t>
  </si>
  <si>
    <t>12-20</t>
  </si>
  <si>
    <t>URSA FDP 4, FDP 4/Vs, DF 32h, DF 32h/V, DGF 32/R, HRF 32, DFH 32, FKR 32, KDR 32/V</t>
  </si>
  <si>
    <t>30-55</t>
  </si>
  <si>
    <t>URSA SF 32, SF 32 PLUS, USF 32 PLUS, TWP 32, TWP 32/V, AKP 32, AKP 32/V</t>
  </si>
  <si>
    <t>URSA FDP 32, FDP 32/V, FDP 32/Vs, FKP 32, ZFP 32, KDP 32, KDP 32/V</t>
  </si>
  <si>
    <t>URSA TFP, TSP, TEP</t>
  </si>
  <si>
    <t>13-55</t>
  </si>
  <si>
    <t>URSA DF 35, DF 35/Vs, DF 35h, DF 35 h/V, DF 35h/Vs, DGF 35, DGF 35/R, SF 35, HRF 35, FKR 35, KDR 35, KDR 35/V, DFH 35, SF 35 PLUS, SFF 35/Rs, ASF 35/Rs, USF 35 PLUS, TWP 2, TWP 2/V, AKP 2, AKP 2/V, FDP 2, FDP 2/V, FDP 2/Vs, KDP 2, KDP 2/V, FKP 2, ZFP 35</t>
  </si>
  <si>
    <t>20-29</t>
  </si>
  <si>
    <t>URSA DF 40, DF 40/V, DF 40h, DF 40h/V, DF 40h/R, TWF 1, TWF FONO, SF 40, HRF 40, DFH 40, DFH 40/R, DGF 40, SF 40 PLUS, USF 40 PLUS, FKR 40, KDR 40, KDR 40/V, TWP 1, FKP 1, FDP 1, FDP 1/V, FDP 1/Vs, KDP 1, KDP 1/V</t>
  </si>
  <si>
    <t>Pure 32 RN, Pure 32 RW, Pure 32 PN, Pure 32 PW</t>
  </si>
  <si>
    <t>28-40</t>
  </si>
  <si>
    <t>Pure 35 RN, Pure 35 RW, Pure 35 PN, Pure 35 PW</t>
  </si>
  <si>
    <t>Pure 40 RN, Pure 40 RW, Pure 40 PN, Pure 40 PW</t>
  </si>
  <si>
    <t>Glaswolle lose</t>
  </si>
  <si>
    <t>Laine de verre en vrac</t>
  </si>
  <si>
    <t>Supafil Timber Frame</t>
  </si>
  <si>
    <t>40-300</t>
  </si>
  <si>
    <t>lose Glaswollefasern</t>
  </si>
  <si>
    <t>fibres de laine de verre en vrac</t>
  </si>
  <si>
    <t>Supafil Cavity Wall</t>
  </si>
  <si>
    <t>ISOVER WOLLE TRIV</t>
  </si>
  <si>
    <t>ISOVER LAINE TRIV</t>
  </si>
  <si>
    <t>flocons de laine de verre en vrac</t>
  </si>
  <si>
    <t>Schaumglas</t>
  </si>
  <si>
    <t>Verre cellulaire</t>
  </si>
  <si>
    <t>Schaumglas: Platten; nicht überwacht</t>
  </si>
  <si>
    <t>Verre cellulaire: panneaux; non contrôlé</t>
  </si>
  <si>
    <t>100-150</t>
  </si>
  <si>
    <t>∞</t>
  </si>
  <si>
    <t>FOAMGLAS T3+</t>
  </si>
  <si>
    <t>Pittsburgh Corning (Schweiz) AG</t>
  </si>
  <si>
    <t>50-160</t>
  </si>
  <si>
    <t>Format 450 x 600 mm</t>
  </si>
  <si>
    <t>format 450 x 600 mm</t>
  </si>
  <si>
    <t>FOAMGLAS Tapered T3+</t>
  </si>
  <si>
    <t>FOAMGLAS W+F</t>
  </si>
  <si>
    <t>40-160</t>
  </si>
  <si>
    <t>FOAMGLAS Wall Board W+F</t>
  </si>
  <si>
    <t>Format 600 x 1200 mm, Ober- und Unterseite kaschiert</t>
  </si>
  <si>
    <t>format 600 x 1200 mm, revêtement sur deux faces</t>
  </si>
  <si>
    <t>FOAMGLAS T4+</t>
  </si>
  <si>
    <t>FOAMGLAS Tapered T4+</t>
  </si>
  <si>
    <t>FOAMGLAS Ready Block T4+</t>
  </si>
  <si>
    <t>Format 450 x 600 mm, einseitig kaschiert</t>
  </si>
  <si>
    <t>format 450 x 600 mm, revêtement sur une face</t>
  </si>
  <si>
    <t>FOAMGLAS Ready Board T4+</t>
  </si>
  <si>
    <t>FOAMGLAS Floor Board T4+</t>
  </si>
  <si>
    <t>FOAMGLAS S3</t>
  </si>
  <si>
    <t>FOAMGLAS Tapered S3</t>
  </si>
  <si>
    <t>FOAMGLAS Ready Board S3</t>
  </si>
  <si>
    <t>FOAMGLAS Floor Board S3</t>
  </si>
  <si>
    <t>FOAMGLAS F</t>
  </si>
  <si>
    <t>FOAMGLAS Tapered F</t>
  </si>
  <si>
    <t>FOAMGLAS Ready Board F</t>
  </si>
  <si>
    <t>Format 450 x 600 mm, Ober- und Unterseite kaschiert</t>
  </si>
  <si>
    <t>format 450 x 600 mm, revêtement sur deux faces</t>
  </si>
  <si>
    <t>FOAMGLAS Floor Board F</t>
  </si>
  <si>
    <t>FOAMGLAS Perinsul S</t>
  </si>
  <si>
    <t>Format 90 x 450 mm, allseitig mit Bitumen beschichtet</t>
  </si>
  <si>
    <t>format 90 x 450 mm, revêtu de bitume sur toutes les faces</t>
  </si>
  <si>
    <t>Schaumglas lose</t>
  </si>
  <si>
    <t>Verre cellulaire en vrac</t>
  </si>
  <si>
    <t>Schaumglas: lose, nicht überwacht</t>
  </si>
  <si>
    <t>Verre cellulaire: en vrac; non contrôlé</t>
  </si>
  <si>
    <t>250-450</t>
  </si>
  <si>
    <t>Schaumglas lose (Schotter)</t>
  </si>
  <si>
    <t>Verre cellulaire concassé</t>
  </si>
  <si>
    <t>Misapor 10/75</t>
  </si>
  <si>
    <t>MISAPOR AG</t>
  </si>
  <si>
    <t>130/170***</t>
  </si>
  <si>
    <t>0.081**</t>
  </si>
  <si>
    <t>10/75*</t>
  </si>
  <si>
    <t>* Korngruppe. ** feuchtegeschützter Einbau; durchnässt: lambda 0.13. Rohdichte und Verdichtung beeinflussen lambda. ***Schüttdichte lose/verdichtet</t>
  </si>
  <si>
    <t>* groupe de grains ** pose protégé de l’humidité; matériau trempé dans l’eau: λ = 0.13. La masse volumique et le compactage influencent λ. *** en vrac / comprimé</t>
  </si>
  <si>
    <t>MISAPOR 10/50</t>
  </si>
  <si>
    <t>140-180/180-240***</t>
  </si>
  <si>
    <t>0.085**</t>
  </si>
  <si>
    <t>10/50*</t>
  </si>
  <si>
    <t>ecoglas</t>
  </si>
  <si>
    <t>Steinbach Schaumglas GmbH &amp; Co. KG</t>
  </si>
  <si>
    <t>130-170/
170-220 ***</t>
  </si>
  <si>
    <t>0.088**</t>
  </si>
  <si>
    <t>10-60*</t>
  </si>
  <si>
    <t>Perlit, Vermiculit</t>
  </si>
  <si>
    <t>Perlite, vermiculite</t>
  </si>
  <si>
    <t>Perlit, Vermiculit: lose; nicht überwacht</t>
  </si>
  <si>
    <t>Perlite, vermiculite: en vrac; non controlé</t>
  </si>
  <si>
    <t>50-130</t>
  </si>
  <si>
    <t>Perlit, Vermiculit: Platten; nicht überwacht</t>
  </si>
  <si>
    <t>Perlite, vermiculite: panneaux; non controlé</t>
  </si>
  <si>
    <t>140-240</t>
  </si>
  <si>
    <t>Geblähte anorganische Stoffe</t>
  </si>
  <si>
    <t>Matériaux inorganiques expansés</t>
  </si>
  <si>
    <t>BACHL DS Perlit Dämmschüttung</t>
  </si>
  <si>
    <t>Karl Bachl Kunststoffverarbeitung GmbH &amp; Co. KG</t>
  </si>
  <si>
    <t>BACHL ES Perlit Dämmschüttung</t>
  </si>
  <si>
    <t>BACHL HY Perlit Dämmschüttung</t>
  </si>
  <si>
    <t>übrige mineralische Schüttdämmstoffe</t>
  </si>
  <si>
    <t xml:space="preserve">autres matériaux isolants minérales en vrac </t>
  </si>
  <si>
    <t>nicht überwacht</t>
  </si>
  <si>
    <t>non controlé</t>
  </si>
  <si>
    <t>Polystyrol expandiert (EPS)</t>
  </si>
  <si>
    <t>Polystyrène expansé (EPS)</t>
  </si>
  <si>
    <t>Polystyrol expandiert (EPS): Rohdichte 15-40 kg/m3; nicht überwacht</t>
  </si>
  <si>
    <t>Polystyrène expansé (EPS): masse volumique 15-40 kg/m3; non contrôlé</t>
  </si>
  <si>
    <t>Polystyrol expandiert (EPS): Rohdichte &lt;15 kg/m3; nicht überwacht</t>
  </si>
  <si>
    <t>Polystyrène expansé (EPS): masse volumique &lt;15 kg/m3; non contrôlé</t>
  </si>
  <si>
    <t>&lt; 15</t>
  </si>
  <si>
    <t>Baumit OPEN reflect</t>
  </si>
  <si>
    <t>Austrotherm GmbH</t>
  </si>
  <si>
    <t>15-18</t>
  </si>
  <si>
    <t>0.40</t>
  </si>
  <si>
    <t>BACHL Hartschaum Blockware</t>
  </si>
  <si>
    <t>BACHL mousse dure</t>
  </si>
  <si>
    <t>&gt; 23</t>
  </si>
  <si>
    <t>10-200</t>
  </si>
  <si>
    <t>BACHL EPS Dach 120 kPa</t>
  </si>
  <si>
    <t>80-300</t>
  </si>
  <si>
    <t>BACHL Hartschaum Blockware TS 039</t>
  </si>
  <si>
    <t>BACHL mousse dure en blocs contre le bruit de chocs 039</t>
  </si>
  <si>
    <t>Bachl Dämmtechnik GmbH &amp; Co. KG</t>
  </si>
  <si>
    <t>min. 11</t>
  </si>
  <si>
    <t>17-63</t>
  </si>
  <si>
    <t>BACHL Automaten Perimeter</t>
  </si>
  <si>
    <t>BACHL pour isolation extérieure enterrée</t>
  </si>
  <si>
    <t>Bachl Kunststoffverarbeitung GmbH &amp; Co. KG</t>
  </si>
  <si>
    <t>min. 27</t>
  </si>
  <si>
    <t>BACHL Automatenplatte mit Vlies 033</t>
  </si>
  <si>
    <t>BACHL Hartschaum 038</t>
  </si>
  <si>
    <t>BACHL mousse dure 038</t>
  </si>
  <si>
    <t>min. 15</t>
  </si>
  <si>
    <t>15-300</t>
  </si>
  <si>
    <t>BACHL Hartschaum Blockware 036</t>
  </si>
  <si>
    <t>BACHL mousse dure 036</t>
  </si>
  <si>
    <t>min. 20</t>
  </si>
  <si>
    <t>BACHL Hartschaum Blockware 033</t>
  </si>
  <si>
    <t>BACHL mousse dure 033</t>
  </si>
  <si>
    <t>min. 23</t>
  </si>
  <si>
    <t>BACHL EPS Dach 150 kPa</t>
  </si>
  <si>
    <t>min. 25</t>
  </si>
  <si>
    <t>BACHL Hartschaum Neopor / NeoStep</t>
  </si>
  <si>
    <t>BACHL mousse dure Neopor / NeoStep</t>
  </si>
  <si>
    <t>BACHL Hartschaum Neopor TS 033 neoStep</t>
  </si>
  <si>
    <t>EuroTherm White 030</t>
  </si>
  <si>
    <t>Euro-Production</t>
  </si>
  <si>
    <t>EuroTherm White 031</t>
  </si>
  <si>
    <t>EuroThermEPS 037</t>
  </si>
  <si>
    <t>EPS-W20 Flapor Wärmedämmplatte</t>
  </si>
  <si>
    <t>Flatz GmbH</t>
  </si>
  <si>
    <t>18-23</t>
  </si>
  <si>
    <t>EPS-W25 Flapor Wärmedämmplatte</t>
  </si>
  <si>
    <t>22-29</t>
  </si>
  <si>
    <t>Flapor plus EPS-W20 Wärmedämmplatte</t>
  </si>
  <si>
    <t>18-21</t>
  </si>
  <si>
    <t>EPS-F Flapor Fassadendämmplatte</t>
  </si>
  <si>
    <t>EPS-F Flapor pour façades</t>
  </si>
  <si>
    <t>15-19</t>
  </si>
  <si>
    <t>EPS Flaporplus DUO-W25 Wärmedämmplatte</t>
  </si>
  <si>
    <t>22-27</t>
  </si>
  <si>
    <t>60-300</t>
  </si>
  <si>
    <t>Perimeter-/Sockel-Dämmplatte FLAPORplus EPS-P</t>
  </si>
  <si>
    <t>26-33</t>
  </si>
  <si>
    <t>FLAPORplus EPS-F DUO 030 Fassadendämmplatte</t>
  </si>
  <si>
    <t>FLAPORplus EPS-F 030 Fassadendämmplatte</t>
  </si>
  <si>
    <t>Fassadendämmplatte EPS-F 031 Takeit Alpin Relax</t>
  </si>
  <si>
    <t>18-19</t>
  </si>
  <si>
    <t>FLAPORplus EPS-F DUO 031 Fassadendämmplatte</t>
  </si>
  <si>
    <t>FLAPORplus EPS-W25 Wärmedämmplatte</t>
  </si>
  <si>
    <t>25-27</t>
  </si>
  <si>
    <t>Flaporplus EPS-F Fassadendämmplatte</t>
  </si>
  <si>
    <t>Flaporplus EPS-F pour façades</t>
  </si>
  <si>
    <t>EPS-P Flapor Perimeter</t>
  </si>
  <si>
    <t>Flapor EPS-P Perimeter</t>
  </si>
  <si>
    <t>27-30</t>
  </si>
  <si>
    <t>FRAGMAT NEO SUPER F</t>
  </si>
  <si>
    <t>Fragmat TIM d.o.o.</t>
  </si>
  <si>
    <t>14-18</t>
  </si>
  <si>
    <t>10-300</t>
  </si>
  <si>
    <t>FRAGMAT NEO SUPER F 031</t>
  </si>
  <si>
    <t>16-20</t>
  </si>
  <si>
    <t>goEPS Integral 030</t>
  </si>
  <si>
    <t>goEPS Intégral 030</t>
  </si>
  <si>
    <t>Gonon Isolation AG</t>
  </si>
  <si>
    <t>100-320</t>
  </si>
  <si>
    <t>3-schichtige Fassadenplatte</t>
  </si>
  <si>
    <t>panneau façade, 3 couches</t>
  </si>
  <si>
    <t>goEPS grau 031</t>
  </si>
  <si>
    <t>goEPS gris 031</t>
  </si>
  <si>
    <t>10-500</t>
  </si>
  <si>
    <t>Fassade, allg. Dämmungen</t>
  </si>
  <si>
    <t>façades, isolation universelle</t>
  </si>
  <si>
    <t>goEPS weiss 033</t>
  </si>
  <si>
    <t>goEPS blanc 033</t>
  </si>
  <si>
    <t>goEPS weiss 036</t>
  </si>
  <si>
    <t>goEPS blanc 036</t>
  </si>
  <si>
    <t>&gt; 20</t>
  </si>
  <si>
    <t>Fussboden, Fassade</t>
  </si>
  <si>
    <t>sols, façades</t>
  </si>
  <si>
    <t>goEPS weiss 038</t>
  </si>
  <si>
    <t>goEPS blanc 038</t>
  </si>
  <si>
    <t>&gt; 15</t>
  </si>
  <si>
    <t>allg. Dämmungen</t>
  </si>
  <si>
    <t>isolation universelle</t>
  </si>
  <si>
    <t>goPST weiss 038</t>
  </si>
  <si>
    <t>goPST blanc 038</t>
  </si>
  <si>
    <t>goIntegral 031</t>
  </si>
  <si>
    <t>goIntégral 031</t>
  </si>
  <si>
    <t>60-320</t>
  </si>
  <si>
    <t>Fassadendämmplatte WDVS-System</t>
  </si>
  <si>
    <t>panneau façade</t>
  </si>
  <si>
    <t>Wärmedämmplatte EPS 035 DAA DAD DEO ds200</t>
  </si>
  <si>
    <t>Panneau isolant EPS 035 DAA DAD DEO ds200</t>
  </si>
  <si>
    <t>IsoBouw GmbH</t>
  </si>
  <si>
    <t>30-32</t>
  </si>
  <si>
    <t>Wärmedämmplatte EPS 040 WI, DI, WZ, DZ, WAB, WDV, WAP</t>
  </si>
  <si>
    <t>Panneau isolant EPS 040 WI, DI, WZ, DZ, WAB, WDV, WAP</t>
  </si>
  <si>
    <t>15-17</t>
  </si>
  <si>
    <t>Trittschalldämmplatte EPS 040 DES sg</t>
  </si>
  <si>
    <t>Panneau insonorisant EPS 040 DES sg</t>
  </si>
  <si>
    <t>12-15</t>
  </si>
  <si>
    <t>20-50</t>
  </si>
  <si>
    <t>Fassadendämmplatte EPS 035 WDV</t>
  </si>
  <si>
    <t>Panneau pour façades EPS 035 WDV</t>
  </si>
  <si>
    <t>20-22</t>
  </si>
  <si>
    <t>Fassadendämmplatte EPS 035 WDV IR</t>
  </si>
  <si>
    <t>Panneau pour façades EPS 035 WDV IR</t>
  </si>
  <si>
    <t>Perimeterdämmung/Sockelplatte Perimaxx, 5 in 1, SP3</t>
  </si>
  <si>
    <t>Panneau pour isolation extérieure Perimaxx, 5 in 1, SP3</t>
  </si>
  <si>
    <t>&gt; 26</t>
  </si>
  <si>
    <t>Wärmedämmplatte EPS 035 DAA dm, DAD dm, DEO dm</t>
  </si>
  <si>
    <t>Panneau isolant EPS 035 DAA dm, DAD dm, DEO dm</t>
  </si>
  <si>
    <t>Trittschalldämmplatte EPS 045 DES sm</t>
  </si>
  <si>
    <t>Panneau insonorisant EPS 045 DES sm</t>
  </si>
  <si>
    <t>10-13</t>
  </si>
  <si>
    <t>15-60</t>
  </si>
  <si>
    <t>Wärmedämmplatte EPS 031 DAA DAD DEO IR</t>
  </si>
  <si>
    <t>Panneau isolant EPS 031 DAA DAD DEO IR</t>
  </si>
  <si>
    <t>26-30</t>
  </si>
  <si>
    <t>EPS 038 DAA, DAD, DEO</t>
  </si>
  <si>
    <t>17-20</t>
  </si>
  <si>
    <t>Fassadendämmplatte SunJa 031</t>
  </si>
  <si>
    <t>EPS 034 DAA dh150, DAD dh150, DEO dh150</t>
  </si>
  <si>
    <t>22-25</t>
  </si>
  <si>
    <t>EPS 034 DAA dm120, DAD dm120, DEO dm120</t>
  </si>
  <si>
    <t>Fassadendämmplatte EPS 031 IR</t>
  </si>
  <si>
    <t>Panneau pour façades EPS 031 IR</t>
  </si>
  <si>
    <t>Fassadendämmplatte duopor 031</t>
  </si>
  <si>
    <t>ISOPOR EPS 15 (038)</t>
  </si>
  <si>
    <t>ISOPOR Schweiz AG</t>
  </si>
  <si>
    <t>Blockware weiss</t>
  </si>
  <si>
    <t>ISOPOR EPS 20 (036)</t>
  </si>
  <si>
    <t>Blockware weiss, normale und Gefälleplatten</t>
  </si>
  <si>
    <t>ISOPOR EPS 30 (033)</t>
  </si>
  <si>
    <t>ISOPOR EPS 120 Dach (034)</t>
  </si>
  <si>
    <t>Blockware weiss, Stufenfalz und Gefälleplatten</t>
  </si>
  <si>
    <t>ISOPOR EPS 120 Dach grau (030)</t>
  </si>
  <si>
    <t>Blockware grau, Stufenfalz und Gefälleplatten</t>
  </si>
  <si>
    <t>ISOPOR EPS 150 (033)</t>
  </si>
  <si>
    <t>Blockware weiss, hohe Druckfestigkeit</t>
  </si>
  <si>
    <t>ISOPOR EPS F G&amp;W (031)</t>
  </si>
  <si>
    <t>80-400</t>
  </si>
  <si>
    <t>Blockware grau, beidseitig weiss beschichtet</t>
  </si>
  <si>
    <t>ISOPOR EPS F G&amp;W Top (030)</t>
  </si>
  <si>
    <t>ISOPOR EPS F grau (030)</t>
  </si>
  <si>
    <t>Blockware grau</t>
  </si>
  <si>
    <t>ISOPOR EPS TS (039)</t>
  </si>
  <si>
    <t>11-43</t>
  </si>
  <si>
    <t>Blockware weiss, elastifiziert, Platten und Rollen</t>
  </si>
  <si>
    <t>ISOPOR EPS TS grau (031)</t>
  </si>
  <si>
    <t>Blockware grau, elastifiziert, Platten und Rollen</t>
  </si>
  <si>
    <t>Hightherm 030</t>
  </si>
  <si>
    <t>Fassa S.r.l.</t>
  </si>
  <si>
    <t>18-24</t>
  </si>
  <si>
    <t>Joma EPS Perimeter grau</t>
  </si>
  <si>
    <t>Joma-Dämmstoffwerk GmbH</t>
  </si>
  <si>
    <t>27</t>
  </si>
  <si>
    <t>50-500</t>
  </si>
  <si>
    <t>Nut und Feder, Stufenfalz, Fasen</t>
  </si>
  <si>
    <t>avec rainure et languette, feuillure, chanfrein</t>
  </si>
  <si>
    <t>Joma EPS 18</t>
  </si>
  <si>
    <t>Joma EPS 25</t>
  </si>
  <si>
    <t>9-12</t>
  </si>
  <si>
    <t>Trittschalldämmplatte; Nut und Feder, Stufenfalz, Fasen</t>
  </si>
  <si>
    <t>panneau bruit d'impact; avec rainure et languette, feuillure, chanfrein</t>
  </si>
  <si>
    <t>Joma EPS 030 gris</t>
  </si>
  <si>
    <t>DUO Therm 030 EPS</t>
  </si>
  <si>
    <t>Duo Therm 031</t>
  </si>
  <si>
    <t>2-Schichtplatte, Nut und Feder, Stufenfalz, Fasen</t>
  </si>
  <si>
    <t>ECO Therm 031</t>
  </si>
  <si>
    <t>Joma EPS 031 gris</t>
  </si>
  <si>
    <t>Joma EPS 033 gris</t>
  </si>
  <si>
    <t>ECO Therm 030</t>
  </si>
  <si>
    <t>KNAUF Therm ITEx Th38 SE</t>
  </si>
  <si>
    <t>KNAUF SAS</t>
  </si>
  <si>
    <t>Aussenisolation, Putzträger</t>
  </si>
  <si>
    <t>isolation par l'extérieur, support d'enduit pour façades</t>
  </si>
  <si>
    <t>KNAUF XTherm ITEx Sun +</t>
  </si>
  <si>
    <t>KNAUF Therm Soubassement SE</t>
  </si>
  <si>
    <t>Aussenisolation, für Wände unter Terrain</t>
  </si>
  <si>
    <t>Isolation par l'extérieur, pour parois semi-enterrées et murs de soubassement</t>
  </si>
  <si>
    <t>Rthermo plus 30 Neopor</t>
  </si>
  <si>
    <t>Monosi-syskevasia sa</t>
  </si>
  <si>
    <t>19</t>
  </si>
  <si>
    <t>1450</t>
  </si>
  <si>
    <t>60</t>
  </si>
  <si>
    <t>SAGEX Nero (030) 15</t>
  </si>
  <si>
    <t>Platte dunkelgrau für Fussbodendämmung</t>
  </si>
  <si>
    <t>panneau de mousse dure, gris foncé, pour sols</t>
  </si>
  <si>
    <t>SAGEX Zebra (030)</t>
  </si>
  <si>
    <t>AWD-Platte, Deckschicht gelb mit Zebrakopf</t>
  </si>
  <si>
    <t>EPS Dalmatiner (032)</t>
  </si>
  <si>
    <t>Fassaden-Dämmplatten</t>
  </si>
  <si>
    <t>SAGEX (033) 25 DS 150</t>
  </si>
  <si>
    <t>20-280</t>
  </si>
  <si>
    <t>für Unterlagsboden mit hoher Druckbeanspruchung</t>
  </si>
  <si>
    <t>pour chape, haute contrainte de compression</t>
  </si>
  <si>
    <t>SAGEX (033) 30</t>
  </si>
  <si>
    <t>SAGEX (036) 20</t>
  </si>
  <si>
    <t>Dämmplatte weiss</t>
  </si>
  <si>
    <t>panneau isolant blanc</t>
  </si>
  <si>
    <t>SAGEX (038) 15</t>
  </si>
  <si>
    <t>SAGEX Nero (030) 25</t>
  </si>
  <si>
    <t>Platte dunkelgrau</t>
  </si>
  <si>
    <t>panneau de mousse dure, gris foncé</t>
  </si>
  <si>
    <t>SAGEX Nero (030) 20</t>
  </si>
  <si>
    <t>SAGEX Zebra (031) 15</t>
  </si>
  <si>
    <t>SAGEX Zebra (029) Premium</t>
  </si>
  <si>
    <t>ISOVER EPS Dämmplatte DI, DZ, WI, WZ, WAP</t>
  </si>
  <si>
    <t>Saint-Gobain Rigips GmbH</t>
  </si>
  <si>
    <t>14-16</t>
  </si>
  <si>
    <t>ISOVER EPS Dämmplatte DEO dm, DAA dm, DAD dm, WAB</t>
  </si>
  <si>
    <t>ISOVER EPS Dämmplatte DI, DZ, WI, WZ, DEO dm, DAA dm, DAD dm, WAB, WAP</t>
  </si>
  <si>
    <t>22-24</t>
  </si>
  <si>
    <t>ISOVER EPS Dämmplatte DEO dh, DAA dh, DAD dh</t>
  </si>
  <si>
    <t>ISOVER EPS Dämmplatte DEO ds, DAA ds, DAD ds</t>
  </si>
  <si>
    <t>29-31</t>
  </si>
  <si>
    <t>ISOVER Perimeter- und Sockeldämmplatte 035 BW3 150</t>
  </si>
  <si>
    <t>30-34</t>
  </si>
  <si>
    <t>50-360</t>
  </si>
  <si>
    <t>ISOVER Fassadendämmplatte grau 035</t>
  </si>
  <si>
    <t>ISOVER panneau pour façades, gris 035</t>
  </si>
  <si>
    <t>13-15</t>
  </si>
  <si>
    <t>ISOVER Fassadendämmplatte grau 032</t>
  </si>
  <si>
    <t>ISOVER panneau pour façades, gris 032</t>
  </si>
  <si>
    <t>16-18</t>
  </si>
  <si>
    <t>ISOVER Fassadendämmplatte elastifiziert EPSe 040 WDV</t>
  </si>
  <si>
    <t>ISOVER panneau pour façades EPSe 040 WDV</t>
  </si>
  <si>
    <t>14-20</t>
  </si>
  <si>
    <t>ISOVER Fassadendämmplatte elastifiziert EPSe 035 WDV</t>
  </si>
  <si>
    <t>ISOVER panneau pour façades EPSe 035 WDV</t>
  </si>
  <si>
    <t>21-26</t>
  </si>
  <si>
    <t>ISOVER Fassadenschalldämmplatte grau Silence dB Plus 032</t>
  </si>
  <si>
    <t>ISOVER panneau insonorisant pour façades gris Silence dB Plus 032</t>
  </si>
  <si>
    <t>15-20</t>
  </si>
  <si>
    <t>ISOVER Perimeter- und Sockeldämmplatte 035 AW3 150</t>
  </si>
  <si>
    <t>27-39</t>
  </si>
  <si>
    <t>ISOVER Perimeter- und Sockeldämmplatte 032 AW3 150 grau</t>
  </si>
  <si>
    <t>ISOVER Trittschalldämmplatte EPS 045 DES sm</t>
  </si>
  <si>
    <t>9-11</t>
  </si>
  <si>
    <t>ISOVER Trittschalldämmplatte EPS 040 DES sg</t>
  </si>
  <si>
    <t>Sarna Granol K5 EPS 030 GR</t>
  </si>
  <si>
    <t>Sarna-Granol AG</t>
  </si>
  <si>
    <t>S-Therm Plus</t>
  </si>
  <si>
    <t>Sika Schweiz AG</t>
  </si>
  <si>
    <t>für Flachdach, Stufenfalz, mit Reflexionsbeschichtung</t>
  </si>
  <si>
    <t>pour toits plats; à battues, avec revêtement réfléchissant</t>
  </si>
  <si>
    <t>S-Therm Roof</t>
  </si>
  <si>
    <t>für Flachdach, Stufenfalz</t>
  </si>
  <si>
    <t>pour toits plats; à battues</t>
  </si>
  <si>
    <t>S-Therm Duro</t>
  </si>
  <si>
    <t>für Flachdach, Stufenfalz, druckfest</t>
  </si>
  <si>
    <t>pour toits plats; à battues, résistant à la compression</t>
  </si>
  <si>
    <t>NEOSTIR Lambda 29</t>
  </si>
  <si>
    <t>Sirap Insulation S.r.l.</t>
  </si>
  <si>
    <t>24-30</t>
  </si>
  <si>
    <t>Aussenwärmedämmung für Fassade und Flachdach</t>
  </si>
  <si>
    <t>SIRAPOR 120 Lambda 34</t>
  </si>
  <si>
    <t>21-25</t>
  </si>
  <si>
    <t>NEOSTIR</t>
  </si>
  <si>
    <t>17-30</t>
  </si>
  <si>
    <t>EPS grau für Fassade und Flachdach</t>
  </si>
  <si>
    <t>SIRAPOR EPS 100</t>
  </si>
  <si>
    <t>17-21</t>
  </si>
  <si>
    <t>EPS für Fassade und Flachdach</t>
  </si>
  <si>
    <t>SIRAPOR EPS 200</t>
  </si>
  <si>
    <t>27-31</t>
  </si>
  <si>
    <t>NEOSTIR GW 30</t>
  </si>
  <si>
    <t>steinopor Roll EPS-T</t>
  </si>
  <si>
    <t>Steinbacher Dämmstoffe GmbH</t>
  </si>
  <si>
    <t>10-15</t>
  </si>
  <si>
    <t>20-45</t>
  </si>
  <si>
    <t>Trittschalldämmung, EPS-Blockware elastifiziert</t>
  </si>
  <si>
    <t>panneau bruit d'impact, produit en blocs, élastifié</t>
  </si>
  <si>
    <t>steinopor Roll EPS-T plus</t>
  </si>
  <si>
    <t>20-40</t>
  </si>
  <si>
    <t>steinopor EPS - 100 kPa</t>
  </si>
  <si>
    <t>17-23</t>
  </si>
  <si>
    <t>20-500</t>
  </si>
  <si>
    <t>Blockware, unbeschichtet</t>
  </si>
  <si>
    <t>produit fabriqué en blocs</t>
  </si>
  <si>
    <t>steinopor EPS - 120 kPa</t>
  </si>
  <si>
    <t>23-27</t>
  </si>
  <si>
    <t>steinopor EPS plus 031</t>
  </si>
  <si>
    <t>steinodur PSN</t>
  </si>
  <si>
    <t>50-200</t>
  </si>
  <si>
    <t>Automatenplatte, Stufenfalz</t>
  </si>
  <si>
    <t>produit moulé, à battues</t>
  </si>
  <si>
    <t>steinodur UKD</t>
  </si>
  <si>
    <t>steinodur UKD plus</t>
  </si>
  <si>
    <t>25-35</t>
  </si>
  <si>
    <t>100-250</t>
  </si>
  <si>
    <t>steinodur SPL</t>
  </si>
  <si>
    <t>26-36</t>
  </si>
  <si>
    <t>Automatenplatte</t>
  </si>
  <si>
    <t>produit moulé</t>
  </si>
  <si>
    <t>steinopor EPS-F</t>
  </si>
  <si>
    <t>steinopor EPS-F 20</t>
  </si>
  <si>
    <t>18-22</t>
  </si>
  <si>
    <t>steinopor EPS-F plus</t>
  </si>
  <si>
    <t>15-24</t>
  </si>
  <si>
    <t>Blockware</t>
  </si>
  <si>
    <t>swissporEPS 15 100% recyclé</t>
  </si>
  <si>
    <t>swissporEPS 30 100% recyclé</t>
  </si>
  <si>
    <t>swissporEPS 30 Sockel</t>
  </si>
  <si>
    <t>swissporEPS Socle</t>
  </si>
  <si>
    <t>formgeschäumt, Stufenfalz</t>
  </si>
  <si>
    <t>swissporEPS 30 Perimeter</t>
  </si>
  <si>
    <t>swissporEPS Panneau périmétrique</t>
  </si>
  <si>
    <t>swissporEPS 30 Perimeter Drain</t>
  </si>
  <si>
    <t>swissporEPS Panneau Drain</t>
  </si>
  <si>
    <t>formgeschäumt, Stufenfalz, mit Filtervlies</t>
  </si>
  <si>
    <t>produit moulé, à battues, avec revêtement en non-tissé</t>
  </si>
  <si>
    <t>swissporEPS-T (isolation phonique)</t>
  </si>
  <si>
    <t>Platten auf Rollen, elastifiziert</t>
  </si>
  <si>
    <t>matériau élastifié, en panneaux sur rouleaux</t>
  </si>
  <si>
    <t>swissporEPS 150 Boden</t>
  </si>
  <si>
    <t>swissporEPS 150 Sol</t>
  </si>
  <si>
    <t>swissporEPS Roof</t>
  </si>
  <si>
    <t>swissporEPS Roof ECO</t>
  </si>
  <si>
    <t>swissporLAMBDA Sockel 030</t>
  </si>
  <si>
    <t>swissporLAMBDA Socle 030</t>
  </si>
  <si>
    <t>swissporLAMBDA Cassette</t>
  </si>
  <si>
    <t>swissporLAMBDA universell 029</t>
  </si>
  <si>
    <t>swissporLAMBDA Universel 029</t>
  </si>
  <si>
    <t>swissporLAMBDA-T (Trittschalldämmplatte)</t>
  </si>
  <si>
    <t>swissporLAMBDA-T (isolation phonique)</t>
  </si>
  <si>
    <t>swissporLAMBDA White 031</t>
  </si>
  <si>
    <t>Kern grau, beidseitig weiss kaschiert</t>
  </si>
  <si>
    <t>noyau gris, couche blanche sur les deux faces</t>
  </si>
  <si>
    <t>swissporLAMBDA White Mono 031</t>
  </si>
  <si>
    <t>Kern grau, einseitig weiss kaschiert</t>
  </si>
  <si>
    <t>noyau gris, couche blanche sur une face</t>
  </si>
  <si>
    <t>swissporLAMBDA universell 031</t>
  </si>
  <si>
    <t>swissporLAMBDA Fassade 030</t>
  </si>
  <si>
    <t>swissporLAMBDA Façade 030</t>
  </si>
  <si>
    <t>swissporLAMBDA White 030</t>
  </si>
  <si>
    <t>swissporLAMBDA White Mono 030</t>
  </si>
  <si>
    <t>Polystyrol-Granulat (EPS)</t>
  </si>
  <si>
    <t>Polystyrène granulé (EPS)</t>
  </si>
  <si>
    <t>Polystyrol-Granulat</t>
  </si>
  <si>
    <t>Polystyrène expansé (EPS), granules</t>
  </si>
  <si>
    <t>isofloc H2 Wall, isofloc pearl</t>
  </si>
  <si>
    <t>isofloc AG</t>
  </si>
  <si>
    <t>20-25</t>
  </si>
  <si>
    <t>Kerndämmung in Mauerwerk</t>
  </si>
  <si>
    <t>isolation intermédiaire pour double mur</t>
  </si>
  <si>
    <t>Polystyrol extrudiert (XPS)</t>
  </si>
  <si>
    <t>Polystyrène extrudé (XPS)</t>
  </si>
  <si>
    <t>Polystyrol extrudiert (XPS); nicht überwacht</t>
  </si>
  <si>
    <t>Polystyrène extrudé (XPS); non contrôlé</t>
  </si>
  <si>
    <t>25-65</t>
  </si>
  <si>
    <t>Polystyrol extrudiert (XPS): lose; nicht überwacht</t>
  </si>
  <si>
    <t>Polystyrène extrudé (XPS), en vrac; non controlé</t>
  </si>
  <si>
    <t>Styrisol</t>
  </si>
  <si>
    <t>Abriso nv</t>
  </si>
  <si>
    <t>31-41</t>
  </si>
  <si>
    <t>20-160</t>
  </si>
  <si>
    <t>Styrisol 500</t>
  </si>
  <si>
    <t>32-44</t>
  </si>
  <si>
    <t>50-120</t>
  </si>
  <si>
    <t>Styrisol GR-300</t>
  </si>
  <si>
    <t>30-60</t>
  </si>
  <si>
    <t>140-200</t>
  </si>
  <si>
    <t>50-60</t>
  </si>
  <si>
    <t>BASF SE</t>
  </si>
  <si>
    <t>28-45</t>
  </si>
  <si>
    <t>80-100</t>
  </si>
  <si>
    <t>Styrodur 3000 CS</t>
  </si>
  <si>
    <t>Styrodur 4000 CS</t>
  </si>
  <si>
    <t>Styrodur 5000 CS</t>
  </si>
  <si>
    <t>Dow Europe GmbH</t>
  </si>
  <si>
    <t>≤ 80</t>
  </si>
  <si>
    <t>Kanten gefälzt</t>
  </si>
  <si>
    <t>chants feuillurés</t>
  </si>
  <si>
    <t>100-120</t>
  </si>
  <si>
    <t>121-200</t>
  </si>
  <si>
    <t>Kanten mit Nut und Kamm</t>
  </si>
  <si>
    <t>chants rainés-crêtés</t>
  </si>
  <si>
    <t>81-120</t>
  </si>
  <si>
    <t>Kanten gefälzt, Oberfläche mit Rillen und Vlies</t>
  </si>
  <si>
    <t>chants feuillurés, surface rainurée et revêtue d'un non-tissé</t>
  </si>
  <si>
    <t>&gt; 120</t>
  </si>
  <si>
    <t>&lt; 80</t>
  </si>
  <si>
    <t>Kanten gerade, Oberfläche gefräst für Putzhaftung</t>
  </si>
  <si>
    <t>chants plats</t>
  </si>
  <si>
    <t>XENERGY 500P</t>
  </si>
  <si>
    <t>81-200</t>
  </si>
  <si>
    <t>glatte Kanten</t>
  </si>
  <si>
    <t>51-80</t>
  </si>
  <si>
    <t>raue Oberfläche, glatte Kanten</t>
  </si>
  <si>
    <t>surface rugueuse, chants plats</t>
  </si>
  <si>
    <t>81-205</t>
  </si>
  <si>
    <t>Ediltec S.r.l.</t>
  </si>
  <si>
    <t>gerade Kante, Oberfläche gewaffelt</t>
  </si>
  <si>
    <t>30-33</t>
  </si>
  <si>
    <t>32-35</t>
  </si>
  <si>
    <t>80-140</t>
  </si>
  <si>
    <t>33-35</t>
  </si>
  <si>
    <t>160-200</t>
  </si>
  <si>
    <t>Stufenfalz, Oberfläche glatt</t>
  </si>
  <si>
    <t>chants à battues, surface plate</t>
  </si>
  <si>
    <t>34-38</t>
  </si>
  <si>
    <t>Fibran Nord d.o.o.</t>
  </si>
  <si>
    <t>28-38</t>
  </si>
  <si>
    <t>20-30</t>
  </si>
  <si>
    <t>40-50</t>
  </si>
  <si>
    <t>60-100</t>
  </si>
  <si>
    <t>Jackodur Plus 300</t>
  </si>
  <si>
    <t>Jackon Insulation GmbH</t>
  </si>
  <si>
    <t>33-52</t>
  </si>
  <si>
    <t>20-320</t>
  </si>
  <si>
    <t>Kanten Stufenfalz, Glattkante oder Nut und Feder</t>
  </si>
  <si>
    <t>chants à battues, plats ou avec rainure et languette</t>
  </si>
  <si>
    <t>20-60</t>
  </si>
  <si>
    <t>61-180</t>
  </si>
  <si>
    <t>&gt; 35</t>
  </si>
  <si>
    <t>61-160</t>
  </si>
  <si>
    <t>161-320</t>
  </si>
  <si>
    <t>&gt; 38</t>
  </si>
  <si>
    <t>34-40</t>
  </si>
  <si>
    <t>61-80</t>
  </si>
  <si>
    <t>81-160</t>
  </si>
  <si>
    <t>161-220</t>
  </si>
  <si>
    <t>61-320</t>
  </si>
  <si>
    <t>40-45</t>
  </si>
  <si>
    <t>34-37</t>
  </si>
  <si>
    <t>28-37</t>
  </si>
  <si>
    <t>Drainageplatte unter Terrain</t>
  </si>
  <si>
    <t>Sundolitt XPS 300 kPa</t>
  </si>
  <si>
    <t>Sundolitt GmbH</t>
  </si>
  <si>
    <t>glatte Kante, Stufenfalz</t>
  </si>
  <si>
    <t>swissporXPS Premium Plus</t>
  </si>
  <si>
    <t>90-400</t>
  </si>
  <si>
    <t>swissporXPS Premium</t>
  </si>
  <si>
    <t>Dicken über 70 mm: mehrlagig verklebt</t>
  </si>
  <si>
    <t>30-47</t>
  </si>
  <si>
    <t>70-120</t>
  </si>
  <si>
    <t>140-160</t>
  </si>
  <si>
    <t>URSA XPS D N-III PZ</t>
  </si>
  <si>
    <t>30-49</t>
  </si>
  <si>
    <t>mehrlagig hergestellte Platten</t>
  </si>
  <si>
    <t>130-400</t>
  </si>
  <si>
    <t>URSA France SAS</t>
  </si>
  <si>
    <t>31-43</t>
  </si>
  <si>
    <t>70-100</t>
  </si>
  <si>
    <t>Polyurethan (PUR) und Polyisocyanurat (PIR)</t>
  </si>
  <si>
    <t>Polyuréthane (PUR) et polyisocyanurate (PIR)</t>
  </si>
  <si>
    <t>PUR, PIR: Zellinhalt Pentan, diffusionsdicht; nicht überwacht</t>
  </si>
  <si>
    <t>PUR, PIR, cellules contenant du pentane, étanche à la diffusion; non contrôlé</t>
  </si>
  <si>
    <t>28-55</t>
  </si>
  <si>
    <t>Deckschichten gelten als diffusionsdicht, wenn sie beispielsweise auf metallischen Werkstoffen mit einer Dicke von mindesten 50 mm bestehen.</t>
  </si>
  <si>
    <t>Les parements sont réputés étanches à la diffusion de gaz lorsqu’ils sont constitués, par exemple, de matériaux métalliques d’une épaisseur minimale de 50 µm.</t>
  </si>
  <si>
    <t>PUR, PIR: Zellinhalt Pentan, diffusionsoffen; nicht überwacht</t>
  </si>
  <si>
    <t>PUR, PIR, cellules contenant du pentane, perméable à la diffusion; non contrôlé</t>
  </si>
  <si>
    <t>Polyurethan (PUR) / Polyisocyanurat (PIR)</t>
  </si>
  <si>
    <t>Polyuréthane (PUR) / Polyisocyanurate (PIR)</t>
  </si>
  <si>
    <t>BACHL PUR ALU</t>
  </si>
  <si>
    <t>20-240</t>
  </si>
  <si>
    <t>20-79</t>
  </si>
  <si>
    <t>80-119</t>
  </si>
  <si>
    <t>120-240</t>
  </si>
  <si>
    <t>Therma TR26 FM</t>
  </si>
  <si>
    <t>Kingspan Insulation B.V.</t>
  </si>
  <si>
    <t>&gt; 29</t>
  </si>
  <si>
    <t>&gt; 30</t>
  </si>
  <si>
    <t>beidseitig Aluminiumverbundfolie; Stufenfalz; für Flachdach</t>
  </si>
  <si>
    <t>revêtement alu sur les deux faces; feuillure; pour toits plats</t>
  </si>
  <si>
    <t>Montanatherm Sandwichelement</t>
  </si>
  <si>
    <t>Montanatherm panneau sandwich</t>
  </si>
  <si>
    <t>Montana Bausysteme AG</t>
  </si>
  <si>
    <t>36-45</t>
  </si>
  <si>
    <t>0.022*</t>
  </si>
  <si>
    <t>Sandwichelemente für Dach, Wand, Decke.
* deklarierte Wärmeleitfähigkeit des Dämmmaterials</t>
  </si>
  <si>
    <t>Bauder PIR étanche à la diffusion</t>
  </si>
  <si>
    <t>Paul Bauder AG</t>
  </si>
  <si>
    <t>diffusionsdichte Kaschierung</t>
  </si>
  <si>
    <t>étanche à la diffusion</t>
  </si>
  <si>
    <t>diffusionsoffene Kaschierung</t>
  </si>
  <si>
    <t>perméable à la diffusion</t>
  </si>
  <si>
    <t>puren Protect</t>
  </si>
  <si>
    <t>puren gmbh</t>
  </si>
  <si>
    <t>80-220</t>
  </si>
  <si>
    <t>Nut und Feder, geneigtes Dach; Beschichtung diffusionsdichte Alufolie</t>
  </si>
  <si>
    <t>avec rainure et languette, toits inclinés; revêtement alu, étanche à la diffusion</t>
  </si>
  <si>
    <t>Nut und Feder, geneigtes Dach; Beschichtung diffusionsoffenes Mineralvlies</t>
  </si>
  <si>
    <t>avec rainure et languette, toits inclinés; revêtement en voile minéral, perméable à la diffusion</t>
  </si>
  <si>
    <t>120-220</t>
  </si>
  <si>
    <t>puren Dämmschalung</t>
  </si>
  <si>
    <t>32-33</t>
  </si>
  <si>
    <t>Kanten besäumt oder Stufenfalz; Beschichtung diffusionsdichte Alufolie</t>
  </si>
  <si>
    <t>chants droits ou feuillurés; revêtement alu, étanche à la diffusion</t>
  </si>
  <si>
    <t>Kanten besäumt oder Stufenfalz; Beschichtung diffusionsoffenes Mineralvlies</t>
  </si>
  <si>
    <t>chants droits ou feuillurés; revêtement en voile minéral, perméable à la diffusion</t>
  </si>
  <si>
    <t>120-200</t>
  </si>
  <si>
    <t>Blockware für WDVS, Flachdach, Gefälledach</t>
  </si>
  <si>
    <t>fabriqué en blocs, panneau à crépir et pour toits plats et inclinés</t>
  </si>
  <si>
    <t>≥ 120</t>
  </si>
  <si>
    <t>Blockware für Fassade, WDVS und Brandriegel</t>
  </si>
  <si>
    <t>fabriqué en blocs, panneau pour façades et à crépir, et coupe-feu</t>
  </si>
  <si>
    <t>puren PIR, novoPIR</t>
  </si>
  <si>
    <t>Kanten besäumt oder Stufenfalz; diffusionsdichte Alufolie</t>
  </si>
  <si>
    <t>Eurothane FB ALV</t>
  </si>
  <si>
    <t>Recticel NV</t>
  </si>
  <si>
    <t>0.023</t>
  </si>
  <si>
    <t>20-120</t>
  </si>
  <si>
    <t>0.39</t>
  </si>
  <si>
    <t>beidseitig gasdiffusionsdichte Deckschicht</t>
  </si>
  <si>
    <t>revêtement étanche à la diffusion sur deux faces</t>
  </si>
  <si>
    <t>goPIR</t>
  </si>
  <si>
    <t>20-140</t>
  </si>
  <si>
    <t>Powerdeck</t>
  </si>
  <si>
    <t>0.024</t>
  </si>
  <si>
    <t>beidseitig Alufolie</t>
  </si>
  <si>
    <t>revêtement alu sur deux faces</t>
  </si>
  <si>
    <t>Sarnapur novoPIR</t>
  </si>
  <si>
    <t>steinothan 120</t>
  </si>
  <si>
    <t>32-38</t>
  </si>
  <si>
    <t>beidseitig strukturierte Reinalufolie</t>
  </si>
  <si>
    <t>steinothan Alu 022</t>
  </si>
  <si>
    <t>28-35</t>
  </si>
  <si>
    <t>steinothan MV 025</t>
  </si>
  <si>
    <t>beidseitig Mineralvlies</t>
  </si>
  <si>
    <t>revêtement en voile minéral</t>
  </si>
  <si>
    <t>steinothan MV 026</t>
  </si>
  <si>
    <t>steinothan Alu 023</t>
  </si>
  <si>
    <t>steinothan MV 028</t>
  </si>
  <si>
    <t>30-79</t>
  </si>
  <si>
    <t>swissporPUR Alu</t>
  </si>
  <si>
    <t>diffusionsdicht (Alu-kaschiert)</t>
  </si>
  <si>
    <t>étanche à la diffusion (avec revêtement alu)</t>
  </si>
  <si>
    <t>swissporPUR (PIR) Floor</t>
  </si>
  <si>
    <t>diffusionsdicht (Alu-kaschiert) und PER-Schutzbeschichtung</t>
  </si>
  <si>
    <t>diffusionsoffen (Vlies-kaschiert)</t>
  </si>
  <si>
    <t>perméable à la diffusion (avec revêtement en non-tissé)</t>
  </si>
  <si>
    <t>120-140</t>
  </si>
  <si>
    <t>diffusionsoffen</t>
  </si>
  <si>
    <t>swisspor CH-PIR Brandriegel UB 3.2</t>
  </si>
  <si>
    <t>swisspor CH-PIR Élément coupe-feu UB 3.2</t>
  </si>
  <si>
    <t>diffusionsoffen (vlies-kaschiert)</t>
  </si>
  <si>
    <t>swissporPUR Vento</t>
  </si>
  <si>
    <t>*</t>
  </si>
  <si>
    <t>90-240</t>
  </si>
  <si>
    <t>Verbundprodukt aus PUR/PIR + EPS
* gemäss Tabelle:
Dicke         RD        l Bemessungswert
  mm        m2K/W           W/(m·K)
   90          3.55               0.0254
  110         4.40               0.0250
  130         5.45               0.0239
  150         6.35               0.0236
  170         7.20               0.0236
  190         8.10               0.0235
  210         9.00               0.0233
  230         9.85               0.0234</t>
  </si>
  <si>
    <t>swissporPUR Premium</t>
  </si>
  <si>
    <t>swissporBATISOL Sparrendämmplatte</t>
  </si>
  <si>
    <t>swissporBATISOL panneau isolant sur chevrons</t>
  </si>
  <si>
    <t>50-80</t>
  </si>
  <si>
    <t>UTHERM FLOOR PIR K</t>
  </si>
  <si>
    <t>Unilin Insulation</t>
  </si>
  <si>
    <t>UTHERM ROOF PIR K</t>
  </si>
  <si>
    <t>UTHERM ROOF PIR L</t>
  </si>
  <si>
    <t>Phenolharzschaum</t>
  </si>
  <si>
    <t>Mousse de résine phénolique</t>
  </si>
  <si>
    <t>Phenolharzschaum; nicht überwacht</t>
  </si>
  <si>
    <t>Mousse phénolique; non contrôlé</t>
  </si>
  <si>
    <t>30-50</t>
  </si>
  <si>
    <t>Austrotherm Resolution</t>
  </si>
  <si>
    <t>20-44</t>
  </si>
  <si>
    <t>mousse dure de résine phénolique</t>
  </si>
  <si>
    <t>45-120</t>
  </si>
  <si>
    <t>121-140</t>
  </si>
  <si>
    <t>Kork</t>
  </si>
  <si>
    <t>Kork: Platten, Matten; nicht überwacht</t>
  </si>
  <si>
    <t>Liège: panneaux, matelas; non contrôlé</t>
  </si>
  <si>
    <t>90-160</t>
  </si>
  <si>
    <t>Massivholz</t>
  </si>
  <si>
    <t>Bois massif</t>
  </si>
  <si>
    <t>500</t>
  </si>
  <si>
    <t>Holzwolle-Dämmplatten 
(-Leichtbauplatten)</t>
  </si>
  <si>
    <t>Panneaux (légers) en laine de bois</t>
  </si>
  <si>
    <t>Holzwolle-Dämmplatten, mineralisiert; nicht überwacht</t>
  </si>
  <si>
    <t>Panneaux en laine de bois; non contrôlé</t>
  </si>
  <si>
    <t>250-600</t>
  </si>
  <si>
    <t>Holzwolle-Dämmplatten</t>
  </si>
  <si>
    <t>Panneaux en laine de bois</t>
  </si>
  <si>
    <t>Deckschichten von Mehrschichtplatten 5 mm, nicht überwacht</t>
  </si>
  <si>
    <t>Parements de panneaux multicouches 5 mm; non contrôlé</t>
  </si>
  <si>
    <t>w</t>
  </si>
  <si>
    <t>Der Wärmedurchlasswiderstand von Mehrschicht-Holzwolledämmplatten ist als Summe der einzelnen Wärmedurchlasswiderstände zu berechnen.</t>
  </si>
  <si>
    <t>La résistance thermique des panneaux isolants multicouches en laine de bois se calcule en additionnant les résistances thermiques des différentes couches.</t>
  </si>
  <si>
    <t>Deckschichten von Mehrschichtplatten 7,5 mm, nicht überwacht</t>
  </si>
  <si>
    <t>Parements de panneaux multicouches 7,5 mm; non contrôlé</t>
  </si>
  <si>
    <t>Deckschichten von Mehrschichtplatten 10 mm, nicht überwacht</t>
  </si>
  <si>
    <t>Parements de panneaux multicouches 10 mm; non contrôlé</t>
  </si>
  <si>
    <t>Panneaux de laine de bois</t>
  </si>
  <si>
    <t>Fibro-Kustik</t>
  </si>
  <si>
    <t>Fibrolith Dämmstoffe GmbH</t>
  </si>
  <si>
    <t>600-400</t>
  </si>
  <si>
    <t>Heraklith C</t>
  </si>
  <si>
    <t>480-250 *</t>
  </si>
  <si>
    <t>25-50</t>
  </si>
  <si>
    <t>* dickenabhängig</t>
  </si>
  <si>
    <t>* dépend de l'épaisseur</t>
  </si>
  <si>
    <t>Heraklith BM</t>
  </si>
  <si>
    <t>Heraklith Agro</t>
  </si>
  <si>
    <t>Heraklith A2-BM</t>
  </si>
  <si>
    <t>550-350 *</t>
  </si>
  <si>
    <t>Holzfaserplatten</t>
  </si>
  <si>
    <t>Panneaux de fibres de bois</t>
  </si>
  <si>
    <t>Holzfaserplatten: nicht überwacht</t>
  </si>
  <si>
    <t>Panneaux de fibres de bois; non contrôlé</t>
  </si>
  <si>
    <t>170-270</t>
  </si>
  <si>
    <t>GUTEX Multiplex-top</t>
  </si>
  <si>
    <t>GUTEX Holzfaserplattenwerk</t>
  </si>
  <si>
    <t>18-35</t>
  </si>
  <si>
    <t>GUTEX Thermoflat</t>
  </si>
  <si>
    <t>GUTEX Thermoroom</t>
  </si>
  <si>
    <t>GUTEX Thermosafe-homogen</t>
  </si>
  <si>
    <t>GUTEX Thermosafe-nf</t>
  </si>
  <si>
    <t>GUTEX Thermosafe-wd</t>
  </si>
  <si>
    <t>GUTEX Thermowall</t>
  </si>
  <si>
    <t>20-180</t>
  </si>
  <si>
    <t>GUTEX Thermowall-gf</t>
  </si>
  <si>
    <t>GUTEX Ultratherm</t>
  </si>
  <si>
    <t>GUTEX Thermoinstal</t>
  </si>
  <si>
    <t>GUTEX Thermofloor</t>
  </si>
  <si>
    <t>GUTEX Multitherm</t>
  </si>
  <si>
    <t>GUTEX Dämmplatte DW</t>
  </si>
  <si>
    <t>Flex 50</t>
  </si>
  <si>
    <t>Holzwerk Gebr. Schneider GmbH</t>
  </si>
  <si>
    <t>flexibler Dämmstoff</t>
  </si>
  <si>
    <t>matériau isolant flexible</t>
  </si>
  <si>
    <t>Floor 140</t>
  </si>
  <si>
    <t>Universaldämmung</t>
  </si>
  <si>
    <t>matériau isolant universel</t>
  </si>
  <si>
    <t>Multitherm 110</t>
  </si>
  <si>
    <t>Multitherm 140</t>
  </si>
  <si>
    <t>Room 140</t>
  </si>
  <si>
    <t>Top 140</t>
  </si>
  <si>
    <t>100-240</t>
  </si>
  <si>
    <t>Aufdachdämmung bewitterbar</t>
  </si>
  <si>
    <t>Top 160</t>
  </si>
  <si>
    <t>Putzträgerplatte, Nut und Kamm</t>
  </si>
  <si>
    <t>panneau à crépir, rainé-crêté</t>
  </si>
  <si>
    <t>Top 180</t>
  </si>
  <si>
    <t>35-160</t>
  </si>
  <si>
    <t>Top 220</t>
  </si>
  <si>
    <t>22-80</t>
  </si>
  <si>
    <t>Wall 140</t>
  </si>
  <si>
    <t>Wall 180</t>
  </si>
  <si>
    <t>holzFlex</t>
  </si>
  <si>
    <t>Homatherm GmbH</t>
  </si>
  <si>
    <t>flexible Dämmmatte</t>
  </si>
  <si>
    <t>panneaux flexibles en fibres de bois</t>
  </si>
  <si>
    <t>HDP Q11 standard</t>
  </si>
  <si>
    <t>105-120</t>
  </si>
  <si>
    <t>HDP Q11 protect</t>
  </si>
  <si>
    <t>130-150</t>
  </si>
  <si>
    <t>ID Q11 standard</t>
  </si>
  <si>
    <t>40-120</t>
  </si>
  <si>
    <t>verputzbare Innendämmplatte</t>
  </si>
  <si>
    <t>panneau isolant pour l'intérieur</t>
  </si>
  <si>
    <t>UD Q11 protect</t>
  </si>
  <si>
    <t>190-220</t>
  </si>
  <si>
    <t>22-160</t>
  </si>
  <si>
    <t>Unterdeckplatte</t>
  </si>
  <si>
    <t>Energie Plus massive</t>
  </si>
  <si>
    <t>Putzträgerplatte für WDVS</t>
  </si>
  <si>
    <t>Energie Plus comfort</t>
  </si>
  <si>
    <t>185-200</t>
  </si>
  <si>
    <t>PAVAPOR</t>
  </si>
  <si>
    <t>Pavatex SA</t>
  </si>
  <si>
    <t>16-32</t>
  </si>
  <si>
    <t>SWISSTHERM</t>
  </si>
  <si>
    <t>PAVATHERM-PROFIL</t>
  </si>
  <si>
    <t>PAVADENTRO</t>
  </si>
  <si>
    <t>PAVATHERM-PLUS</t>
  </si>
  <si>
    <t>DIFFUTHERM</t>
  </si>
  <si>
    <t>PAVABOARD</t>
  </si>
  <si>
    <t>ISOROOF 35-60 mm</t>
  </si>
  <si>
    <t>SWISSISOLANT</t>
  </si>
  <si>
    <t>ISOROOF 20-24 mm</t>
  </si>
  <si>
    <t>20-24</t>
  </si>
  <si>
    <t>PAVAFLEX</t>
  </si>
  <si>
    <t>ISOLAIR</t>
  </si>
  <si>
    <t>35-80</t>
  </si>
  <si>
    <t>DIFFUBOARD</t>
  </si>
  <si>
    <t>PAVAWALL, PAVAWALL-BLOC</t>
  </si>
  <si>
    <t>PAVATHERM</t>
  </si>
  <si>
    <t>PAVATHERM-COMBI / ISOLAIR 100-200 mm</t>
  </si>
  <si>
    <t>ISOVER ISOPROTECT</t>
  </si>
  <si>
    <t>20-80</t>
  </si>
  <si>
    <t>STEICOflex</t>
  </si>
  <si>
    <t>STEICO SE</t>
  </si>
  <si>
    <t>Kante stumpf; Hohlraumdämmung</t>
  </si>
  <si>
    <t>chants plats; pour toits, parois, plafonds</t>
  </si>
  <si>
    <t>STEICOtherm, STEICOtherm SD, STEICOfloor, STEICOinternal</t>
  </si>
  <si>
    <t>für Dach, Wand, Boden</t>
  </si>
  <si>
    <t>pour toits, parois, plafonds</t>
  </si>
  <si>
    <t>STEICOuniversal, STEICOprotect H</t>
  </si>
  <si>
    <t>18-60</t>
  </si>
  <si>
    <t>Nut und Feder; Dach- und Wandbauplatte</t>
  </si>
  <si>
    <t>avec rainure et languette; pour toits et parois</t>
  </si>
  <si>
    <t>STEICOprotect M, STEICOroof</t>
  </si>
  <si>
    <t>verputzte AWD-Systeme; Kante Nut und Feder oder stumpf</t>
  </si>
  <si>
    <t>panneau à crépir, chants avec rainure et languette ou plats</t>
  </si>
  <si>
    <t>LDF 110, STEICOtherm dry, STEICOprotect L dry</t>
  </si>
  <si>
    <t>Kanten stumpf, Nut und Feder, Stufenfalz</t>
  </si>
  <si>
    <t>chants plats, avec rainure et languette, à battues</t>
  </si>
  <si>
    <t>LDF 140, STEICOspecial dry, STEICOprotect M dry, STEICOtop, STEICOinstall, STEICOsafe</t>
  </si>
  <si>
    <t>Kanten stumpf oder mit Nut und Feder</t>
  </si>
  <si>
    <t>chants plats ou avec rainure et languette</t>
  </si>
  <si>
    <t>LDF 180, STEICOuniversal dry, STEICOprotect H dry</t>
  </si>
  <si>
    <t>35-40</t>
  </si>
  <si>
    <t>Unterdeckplatte, Nut und Feder</t>
  </si>
  <si>
    <t>avec rainure et languette</t>
  </si>
  <si>
    <t>52-160</t>
  </si>
  <si>
    <t>Holzfasern: Matten, lose</t>
  </si>
  <si>
    <t>Fibres de bois: matelas, en vrac</t>
  </si>
  <si>
    <t>Holzfasern: Matten, lose; nicht überwacht</t>
  </si>
  <si>
    <t>Fibres de bois: matelas, en vrac; non contrôlé</t>
  </si>
  <si>
    <t>0,050</t>
  </si>
  <si>
    <t>Holzfasern lose</t>
  </si>
  <si>
    <t>Fibres de bois en vrac</t>
  </si>
  <si>
    <t>GUTEX Thermofibre</t>
  </si>
  <si>
    <t>25-45</t>
  </si>
  <si>
    <t>fibres de bois</t>
  </si>
  <si>
    <t>Airflex</t>
  </si>
  <si>
    <t>35-45</t>
  </si>
  <si>
    <t>Einblasfaser</t>
  </si>
  <si>
    <t>isofloc woodfiber</t>
  </si>
  <si>
    <t>Einblasdämmung</t>
  </si>
  <si>
    <t>STEICOzell</t>
  </si>
  <si>
    <t>Schüttung aus Holz-Hobelspänen</t>
  </si>
  <si>
    <t>Copeaux en vrac</t>
  </si>
  <si>
    <t>Schüttung aus Hobelspänen</t>
  </si>
  <si>
    <t>Copeaux de bois en vrac</t>
  </si>
  <si>
    <t>HOIZ Hobelspandämmstoff</t>
  </si>
  <si>
    <t>Baufritz GmbH &amp; Co. KG</t>
  </si>
  <si>
    <t>50-90</t>
  </si>
  <si>
    <t>raumausfüllende Dämmung in geschlossenen Hohlräumen</t>
  </si>
  <si>
    <t>remplissage de vides</t>
  </si>
  <si>
    <t>Zelluloseplatten</t>
  </si>
  <si>
    <t>Panneaux en fibres de cellulose</t>
  </si>
  <si>
    <t>Zellulose: Platten, Matten; nicht überwacht</t>
  </si>
  <si>
    <t>Cellulose: panneaux; non contrôlé</t>
  </si>
  <si>
    <t>flexCL</t>
  </si>
  <si>
    <t>65-75</t>
  </si>
  <si>
    <t>40-180</t>
  </si>
  <si>
    <t>panneaux en fibres de cellulose</t>
  </si>
  <si>
    <t>Zellulose lose</t>
  </si>
  <si>
    <t>Cellulose en vrac</t>
  </si>
  <si>
    <t>Zellulose: lose; nicht überwacht</t>
  </si>
  <si>
    <t>Cellulose: en vrac; non contrôlé</t>
  </si>
  <si>
    <t>30-70</t>
  </si>
  <si>
    <t>Zellulose (lose)</t>
  </si>
  <si>
    <t>Cellulose (en vrac)</t>
  </si>
  <si>
    <t>climacell</t>
  </si>
  <si>
    <t>Catolet AG</t>
  </si>
  <si>
    <t>35-65</t>
  </si>
  <si>
    <t>Zellulose aus reinem Zeitungspapier</t>
  </si>
  <si>
    <t>cellulose de papier journal</t>
  </si>
  <si>
    <t>Isocell</t>
  </si>
  <si>
    <t>CPH Zellulosedämmstoffproduktion Beteiligungs GmbH &amp; Co KG</t>
  </si>
  <si>
    <t>28-65</t>
  </si>
  <si>
    <t>In-situ-Wärmedämmung (Zelluloseflocken)</t>
  </si>
  <si>
    <t>isolation thermique exécutée in situ (flocons de cellulose)</t>
  </si>
  <si>
    <t>trendisol</t>
  </si>
  <si>
    <t>Dobry-Ekovilla</t>
  </si>
  <si>
    <t>Pavafloc</t>
  </si>
  <si>
    <t>isofloc LM, isofloc L, isofloc FIP, Swissfloc</t>
  </si>
  <si>
    <t>25-60</t>
  </si>
  <si>
    <t>ins Gefach eingeblasen, offen aufgeblasen</t>
  </si>
  <si>
    <t>insufflé</t>
  </si>
  <si>
    <t>isofloc eco, isofloc neo</t>
  </si>
  <si>
    <t>Dämmstoffe pflanzlichen Ursprungs</t>
  </si>
  <si>
    <t>Matériaux isolants d'origine végétale</t>
  </si>
  <si>
    <t>Flachs: Matten, Rollen; nicht überwacht</t>
  </si>
  <si>
    <t>Lin: matelas, rouleaux; non contrôlé</t>
  </si>
  <si>
    <t>Gras: Matten, lose; nicht überwacht</t>
  </si>
  <si>
    <t>Herbe: matelas, en vrac; non contrôlé</t>
  </si>
  <si>
    <t>Hanf: Matten, Rollen; nicht überwacht</t>
  </si>
  <si>
    <t>Chanvre: matelas, rouleaux; non contrôlé</t>
  </si>
  <si>
    <t>Baumwolle: Matten, Rollen; nicht überwacht</t>
  </si>
  <si>
    <t>Coton: matelas, rouleaux; non contrôlé</t>
  </si>
  <si>
    <t>übrige pflanzliche Dämmstoffe; nicht überwacht</t>
  </si>
  <si>
    <t>autres matériaux isolants d'origine végétale; non contrôlé</t>
  </si>
  <si>
    <t>AgriCell BW</t>
  </si>
  <si>
    <t>Biowert AG</t>
  </si>
  <si>
    <t>40-65</t>
  </si>
  <si>
    <t>Einblas- oder Schüttdämmstoff (Zellulose) aus Wiesengras</t>
  </si>
  <si>
    <t>cellulose naturelle extraite d’herbe</t>
  </si>
  <si>
    <t>Dämmstoffe tierischen Ursprungs</t>
  </si>
  <si>
    <t>Matériaux isolants d'origine animale</t>
  </si>
  <si>
    <t>Schafwolle: Matten, Rollen; nicht überwacht</t>
  </si>
  <si>
    <t>Laine de mouton: matelas, rouleaux; non contrôlé</t>
  </si>
  <si>
    <t>ISOLENA Klemmfilz</t>
  </si>
  <si>
    <t>Isolena Naturfaservliese GmbH</t>
  </si>
  <si>
    <t>Matten aus Schafwolle</t>
  </si>
  <si>
    <t>nattes de laine de mouton</t>
  </si>
  <si>
    <t>ISOLENA Fugenband</t>
  </si>
  <si>
    <t>Zopf aus Schafwolle</t>
  </si>
  <si>
    <t>ISOLENA Premium</t>
  </si>
  <si>
    <t>Verbundplatten</t>
  </si>
  <si>
    <t>Panneaux composites (multicouches)</t>
  </si>
  <si>
    <t>Fibro-DUR 3 040 (Kern)</t>
  </si>
  <si>
    <t>Fibro-DUR 3 040 (noyau)</t>
  </si>
  <si>
    <t>15-190</t>
  </si>
  <si>
    <t>Kern EPS, 15-190 mm; Deckschichten Holzwolle, 2 x 5 mm; * dickenabhängig</t>
  </si>
  <si>
    <t>noyau en EPS,15-190 mm; parements en laine de bois, 2 x 5 mm; * dépend de l'épaisseur</t>
  </si>
  <si>
    <t>Fibro-DUR 3 040 (Deckschicht)</t>
  </si>
  <si>
    <t>Fibro-DUR 3 040 (couche)</t>
  </si>
  <si>
    <t>550-650</t>
  </si>
  <si>
    <t>2 x 5</t>
  </si>
  <si>
    <t>Fibro-DUR 3 035 (Kern)</t>
  </si>
  <si>
    <t>Fibro-DUR 3 035 (noyau)</t>
  </si>
  <si>
    <t>Fibro-DUR 3 035 (Deckschicht)</t>
  </si>
  <si>
    <t>Fibro-DUR 3 035 (couche)</t>
  </si>
  <si>
    <t>Fibro-DUR 2 032 (Kern)</t>
  </si>
  <si>
    <t>Fibro-DUR 2 032 (noyau)</t>
  </si>
  <si>
    <t>20-195</t>
  </si>
  <si>
    <t>Kern EPS, 15-190 mm; Deckschicht Holzwolle, 5 mm; * dickenabhängig</t>
  </si>
  <si>
    <t>noyau en EPS,15-190 mm; parement en laine de bois, 5 mm; * dépend de l'épaisseur</t>
  </si>
  <si>
    <t>Fibro-DUR 2 032 (Deckschicht)</t>
  </si>
  <si>
    <t>Fibro-DUR 2 032 (couche)</t>
  </si>
  <si>
    <t>Fibro-DUR 3 032 (Kern)</t>
  </si>
  <si>
    <t>Fibro-DUR 3 032 (noyau)</t>
  </si>
  <si>
    <t>Fibro-DUR 3 032 (Deckschicht)</t>
  </si>
  <si>
    <t>Fibro-DUR 3 032 (couche)</t>
  </si>
  <si>
    <t>Heratekta C-3-032 (Kern)</t>
  </si>
  <si>
    <t>Heratekta C-3-032 (noyau)</t>
  </si>
  <si>
    <t>15-165</t>
  </si>
  <si>
    <t>Kern EPS, 15-165 mm; Deckschichten Holzwolle, 2 x 5 mm</t>
  </si>
  <si>
    <t>noyau en EPS, 15-165 mm; parements en laine de bois, 2 x 5 mm</t>
  </si>
  <si>
    <t>Heratekta C-3-032 (Deckschichten)</t>
  </si>
  <si>
    <t>Heratekta C-3-032 (couches)</t>
  </si>
  <si>
    <t>2x5</t>
  </si>
  <si>
    <t>Heratekta SE 032/2 (Kern)</t>
  </si>
  <si>
    <t>Heratekta SE 032/2 (noyau)</t>
  </si>
  <si>
    <t>45-170</t>
  </si>
  <si>
    <t>Kern EPS, 45-170 mm; Deckschicht Holzwolle, 5 mm</t>
  </si>
  <si>
    <t>noyau en EPS, 45-170 mm; parement en laine de bois, 5 mm</t>
  </si>
  <si>
    <t>Heratekta SE 032/2 (Deckschicht)</t>
  </si>
  <si>
    <t>Heratekta SE 032/2 (couche)</t>
  </si>
  <si>
    <t>Tektalan A2-E21 (Kern)</t>
  </si>
  <si>
    <t>Tektalan A2-E21 (noyau)</t>
  </si>
  <si>
    <t>25-165</t>
  </si>
  <si>
    <t>Kern Steinwolle, 25-165 mm; Deckschichten Holzwolle, 2 x 5 mm</t>
  </si>
  <si>
    <t>noyau en laine de roche, 25-165 mm; parements en laine de bois, 2 x 5 mm</t>
  </si>
  <si>
    <t>Tektalan A2-E21 (Deckschichten)</t>
  </si>
  <si>
    <t>Tektalan A2-E21 (couches)</t>
  </si>
  <si>
    <t>Tektalan A2-SD (Kern)</t>
  </si>
  <si>
    <t>Tektalan A2-SD (noyau)</t>
  </si>
  <si>
    <t>Kern Steinwolle, 40-240 mm; Deckschichten Holzwolle, 2 x 5 mm</t>
  </si>
  <si>
    <t>noyau en laine de roche, 40-240 mm; parements en laine de bois, 2 x 5 mm</t>
  </si>
  <si>
    <t>Tektalan A2-SD (Deckschichten)</t>
  </si>
  <si>
    <t>Tektalan A2-SD (couches)</t>
  </si>
  <si>
    <t>Tektalan A2-035/2 (1.0) (Kern)</t>
  </si>
  <si>
    <t>Tektalan A2-035/2 (1.0) (noyau)</t>
  </si>
  <si>
    <t>40-165</t>
  </si>
  <si>
    <t>Kern Steinwolle, 40-165 mm; Deckschicht Holzwolle, 10 mm</t>
  </si>
  <si>
    <t>noyau en laine de roche, 40-165 mm; parement en laine de bois, 10 mm</t>
  </si>
  <si>
    <t>Tektalan A2-035/2 (1.0) (Deckschicht)</t>
  </si>
  <si>
    <t>Tektalan A2-035/2 (1.0) (couche)</t>
  </si>
  <si>
    <t>Kern Steinwolle, 40-165 mm; Deckschicht Holzwolle, 10 mm; Standard weiss eingefärbt</t>
  </si>
  <si>
    <t>Tektalan A2-E31-035/2 (Kern)</t>
  </si>
  <si>
    <t>Tektalan A2-E31-035/2 (noyau)</t>
  </si>
  <si>
    <t>Tektalan A2-E31-035/2 (Deckschicht)</t>
  </si>
  <si>
    <t>Tektalan A2-E31-035/2 (couche)</t>
  </si>
  <si>
    <t>Tektalan A2-HDX (Kern)</t>
  </si>
  <si>
    <t>Tektalan A2-HDX (noyau)</t>
  </si>
  <si>
    <t>40-115</t>
  </si>
  <si>
    <t>Kern Steinwolle, 40-115 mm; Deckschichten Holzwolle, 2 x 5 mm</t>
  </si>
  <si>
    <t>noyau en laine de roche, 40-115 mm; parements en laine de bois, 2 x 5 mm</t>
  </si>
  <si>
    <t>Tektalan A2-HDX (Deckschichten)</t>
  </si>
  <si>
    <t>Tektalan A2-HDX (couches)</t>
  </si>
  <si>
    <t>Tektalan A2-TK-035/2 (Kern)</t>
  </si>
  <si>
    <t>Tektalan A2-TK-035/2 (noyau)</t>
  </si>
  <si>
    <t>Tektalan A2-TK-035/2 (Deckschicht)</t>
  </si>
  <si>
    <t>Tektalan A2-TK-035/2 (couche)</t>
  </si>
  <si>
    <t>DDP-MAX</t>
  </si>
  <si>
    <t>0.040 *</t>
  </si>
  <si>
    <t>* Kernmaterial Steinwolle; Flachdach-Dämmplatte; einseitig 6 mm mineralische Deckplatte</t>
  </si>
  <si>
    <t>* noyau laine de roche; panneau d‘isolation pour toiture-terrasse; parement 6 mm couche minérale</t>
  </si>
  <si>
    <t>Vakuum-Isolationspaneele (VIP)</t>
  </si>
  <si>
    <t>Panneaux isolants sous vide (VIP)</t>
  </si>
  <si>
    <t>Kernmaterial pyrogene Kieselsäure; nicht überwacht</t>
  </si>
  <si>
    <t>Matériau: silice pyrogénée; non controlé</t>
  </si>
  <si>
    <t>150-180</t>
  </si>
  <si>
    <t>SlimVac</t>
  </si>
  <si>
    <t>Microtherm NV</t>
  </si>
  <si>
    <t>0.007 *</t>
  </si>
  <si>
    <t>* gilt für Plattenformat ab 300 mm x 400 mm</t>
  </si>
  <si>
    <t>* valable pour panneaux à partir de 300 mm x 400 mm</t>
  </si>
  <si>
    <t>swissporVIP</t>
  </si>
  <si>
    <t>vakuVIP B2</t>
  </si>
  <si>
    <t>Vaku-Isotherm GmbH</t>
  </si>
  <si>
    <t>170-210</t>
  </si>
  <si>
    <t>10-50</t>
  </si>
  <si>
    <t>Vacucomp S, Vacucomp P1, Vacucomp P2</t>
  </si>
  <si>
    <t>ZZ Wancor AG</t>
  </si>
  <si>
    <t>180-220</t>
  </si>
  <si>
    <t>* gilt für grosse Formate (Plattenformat grösser 500 mm x 500 mm)</t>
  </si>
  <si>
    <t>* valable pour grandes surfaces (panneaux plus grand que 500 mm x 500 mm)</t>
  </si>
  <si>
    <t>0.008 *</t>
  </si>
  <si>
    <t>* gilt für kleinere Formate</t>
  </si>
  <si>
    <t>* valable pour petits formats</t>
  </si>
  <si>
    <t>Vacuspeed</t>
  </si>
  <si>
    <t>Verputzte Aussenwärmedämm-Systeme</t>
  </si>
  <si>
    <t>Systèmes d'isolation thermique extérieure, avec revêtement de crépi</t>
  </si>
  <si>
    <t>Mineralschaumplatten</t>
  </si>
  <si>
    <t>Panneaux de mousse minérale</t>
  </si>
  <si>
    <t>&lt; 115</t>
  </si>
  <si>
    <t>Porenbeton</t>
  </si>
  <si>
    <t>Béton cellulaire</t>
  </si>
  <si>
    <t>Multipor Mineraldämmplatte 042</t>
  </si>
  <si>
    <t>Xella Porenbeton Schweiz AG</t>
  </si>
  <si>
    <t>Multipor Mineraldämmplatte 045</t>
  </si>
  <si>
    <t>Polystyrolplatten, zementgebunden</t>
  </si>
  <si>
    <t>Panneaux en polystyrène, liées au ciment</t>
  </si>
  <si>
    <t>Panneaux de polystyrène, liés au ciment</t>
  </si>
  <si>
    <t>3i-isolet RD 200</t>
  </si>
  <si>
    <t>3i-isolet s.r.o.</t>
  </si>
  <si>
    <t>Prottelith Dämmplatte</t>
  </si>
  <si>
    <t>Prottelith panneau isolant</t>
  </si>
  <si>
    <t>Alther Bau Consulting GmbH</t>
  </si>
  <si>
    <t>mit und ohne Nut und Feder; Schalungseinlage; zur nachträgl. Montage</t>
  </si>
  <si>
    <t>Mikroporöse Dämmstoffe, nicht evakuiert</t>
  </si>
  <si>
    <t>Isolants microporeux, non évacué</t>
  </si>
  <si>
    <t>Kernmaterial Silica-Aerogel; nicht überwacht</t>
  </si>
  <si>
    <t>Matériau: aérogel de silice; non controlé</t>
  </si>
  <si>
    <t>0,020</t>
  </si>
  <si>
    <t>Reflektierende Dämmstoffe</t>
  </si>
  <si>
    <t>Produits d'isolation réfléchissants</t>
  </si>
  <si>
    <t>HControl Hybrid</t>
  </si>
  <si>
    <t>3-Dämmsystem GmbH</t>
  </si>
  <si>
    <t>45</t>
  </si>
  <si>
    <t xml:space="preserve">Mehrlagige reflektierende Isolationsmatte.
* RD = 3.2 m2K/W für Wand (Wärmefluss horizontal); 3.7 m2K/W für Dach (Sommer, Wärmefluss nach unten); 2.8 m2K/W für Dach (Winter, Wärmefluss nach oben). Das Produkt allein hat einen Wärmedurchlasswiderstand RD von 1.9 m2K/W.
Einbaubedingungen: Die Werte gelten für Produktdicke 45 mm und beidseitige, je mindestens 20 mm dicke, abgeschlossene Luftschichten. </t>
  </si>
  <si>
    <t>ISUM MF 14</t>
  </si>
  <si>
    <t>IMBOVI (Suisse) GmbH</t>
  </si>
  <si>
    <t xml:space="preserve">Mehrlagige Verbund-Wärmedämm-Matte.
* RD = 1.50 m2K/W für Wand (Wärmefluss horizontal); 2.00 m2K/W für Dach (Sommer, Wärmefluss nach unten); 1.15 m2K/W für Dach (Winter, Wärmefluss nach oben). 
Einbaubedingungen: Die Werte gelten für Produktdicke 7 mm und beidseitige, je mindestens 25 mm dicke, abgeschlossene Luftschichten. </t>
  </si>
  <si>
    <t>Boost 'R' Hybrid</t>
  </si>
  <si>
    <t>950 g/m2</t>
  </si>
  <si>
    <t>Mehrlagige reflektierende Isolationsmatte.
* RD = 2.45 m2K/W (Material allein) 
RD = 3.45 m2K/W für Wand (Wärmefluss horizontal) mit beidseitig abgeschlossenen min. 29 mm dicken Luftschichten</t>
  </si>
  <si>
    <t>TRISO Hybrid</t>
  </si>
  <si>
    <t>930 g/m2</t>
  </si>
  <si>
    <t>Mehrlagige reflektierende Isolationsmatte.
* RD = 2.75 m2K/W (Material allein) 
RD = 4.05 m2K/W für Wand (Wärmefluss horizontal) mit beidseitig abgeschlossenen min. 29 mm dicken Luftschichten</t>
  </si>
  <si>
    <t>TRISO-Super 12 Boost 'R'</t>
  </si>
  <si>
    <t>1880 g/m2</t>
  </si>
  <si>
    <t>Das Produkt besteht aus den beiden Produkten Boost 'R' Hybrid und TRISO Hybrid. Der Wert gilt, wenn zwischen den Produkten und zum Innenraum hin je mindestens 20 mm dicke, abgeschlossene Luftschichten vorhanden sind;zum Aussenraum hin ist eine belüftete Luftschicht vorzusehen. 
* RD = 6.20 m2K/W für Flachdach / geneigtes Dach 20° 6.25 m2K/W / 30° 6.30 m2K/W / 45° 6.40 m2K/W. Die Werte gelten für Wärmefluss nach oben (Winter).</t>
  </si>
  <si>
    <t>Wärmedämmputze</t>
  </si>
  <si>
    <t>Crépis et enduits isolants</t>
  </si>
  <si>
    <t>Fixit 222 Aerogel Hochleistungsdämmputz</t>
  </si>
  <si>
    <t>Fixit AG</t>
  </si>
  <si>
    <t>190-200</t>
  </si>
  <si>
    <t>Aussen- und Innenanwendung</t>
  </si>
  <si>
    <t>Ortschäume</t>
  </si>
  <si>
    <t>Isolants thermiques moussés in situ</t>
  </si>
  <si>
    <t>Spritzschaum Elastospray 1622/1</t>
  </si>
  <si>
    <t>BASF Polyurethanes GmbH</t>
  </si>
  <si>
    <t>55-65</t>
  </si>
  <si>
    <t>In-situ-Wärmedämmung, Ortschaum</t>
  </si>
  <si>
    <t>Isolant thermique moussé in situ</t>
  </si>
  <si>
    <t>Defaultmaterial</t>
  </si>
  <si>
    <t>99</t>
  </si>
  <si>
    <t>Baustoff-Datenbank SIA 2001</t>
  </si>
  <si>
    <t>Quelle:</t>
  </si>
  <si>
    <t>http://www.energytools.ch/index.php/de/downloads/datenbanken/category/4-datenbanken</t>
  </si>
  <si>
    <t>**** Holzfasern lose ****</t>
  </si>
  <si>
    <t>**** Fibres de bois en vrac ****</t>
  </si>
  <si>
    <t>B900</t>
  </si>
  <si>
    <t>B920</t>
  </si>
  <si>
    <t>**** Dämmstoffe pflanzlichen &amp; tierisch ****</t>
  </si>
  <si>
    <t>**** Matériaux isolants végétale &amp; animale ****</t>
  </si>
  <si>
    <t>**** Porenbeton ****</t>
  </si>
  <si>
    <t>**** Béton cellulaire ****</t>
  </si>
  <si>
    <t>B962</t>
  </si>
  <si>
    <t>**** Polystyrolplatten, zementgebunden ****</t>
  </si>
  <si>
    <t>**** Panneaux en polystyrène, liées au ciment *****</t>
  </si>
  <si>
    <t>B965</t>
  </si>
  <si>
    <t>**** Reflektierende Dämmstoffe ****</t>
  </si>
  <si>
    <t>**** Produits d'isolation réfléchissants ****</t>
  </si>
  <si>
    <t>B969</t>
  </si>
  <si>
    <t>**** Wärmedämmputze ****</t>
  </si>
  <si>
    <t>**** Crépis et enduits isolants ****</t>
  </si>
  <si>
    <t>B975</t>
  </si>
  <si>
    <t>**** Ortschäume ****</t>
  </si>
  <si>
    <t>**** Isolants thermiques moussés in situ ****</t>
  </si>
  <si>
    <t>B977</t>
  </si>
  <si>
    <t>URSA SF 32, USF 32 PLUS, TWP 32, AKP 32</t>
  </si>
  <si>
    <t>URSA FDP 32, FKP 32, ZFP 32, KDP 32</t>
  </si>
  <si>
    <t>Pure 32</t>
  </si>
  <si>
    <t>Pure 35</t>
  </si>
  <si>
    <t>Pure 40</t>
  </si>
  <si>
    <t>URSA FDP 4, DF 32h, HRF 32, DFH 32, FKR 32</t>
  </si>
  <si>
    <t>SAGLAN (032) FA / SR Light</t>
  </si>
  <si>
    <t>ISOVER EPS  DI, DZ, WI, WZ, DEO, DAA, DAD, WAB, WAP</t>
  </si>
  <si>
    <t>URSA XPS N TWINS (N-III,  N-III PZ, N-V, N-VII), 10-12cm</t>
  </si>
  <si>
    <t>URSA XPS N TWINS (N-III,  N-III PZ, N-V, N-VII), 13-40cm</t>
  </si>
  <si>
    <t>LDF 140, STEICOspecial dry, M dry, top, install, safe</t>
  </si>
  <si>
    <t>URSA DF 40, TWF 1, SF 40,  FDP 1,  TWP 1, FKP 1, HRF 40</t>
  </si>
  <si>
    <t>URSA DF 35, SF 35, HRF 35, FTP 2, FKR 35, KDR 35, AKP2, KDP</t>
  </si>
  <si>
    <t>XPS (N), lambda 0.045</t>
  </si>
  <si>
    <t>XPS (U), lambda 0.041</t>
  </si>
  <si>
    <t>XPS (U), lambda 0.033</t>
  </si>
  <si>
    <t>PIR Pentan, diff.dicht (N), lambda 0.03</t>
  </si>
  <si>
    <t>PIR Pentan, diff.offen (N), lambda 0.035</t>
  </si>
  <si>
    <t>PUR Pentan, diff.dicht (N), lambda 0.03</t>
  </si>
  <si>
    <t>PUR Pentan, diff.offen (N), lambda 0.035</t>
  </si>
  <si>
    <t>PIR, Pentan, ouvert (N), lambda 0.035</t>
  </si>
  <si>
    <t>PIR, Pentan, étanché (N), lambda 0.03</t>
  </si>
  <si>
    <t>PUR, Pentan, étanché (N), lambda 0.03</t>
  </si>
  <si>
    <t>PUR, Pentan, ouvert (N), lambda 0.035</t>
  </si>
  <si>
    <t>Holzwolle - Platten (N), lambda 0.11</t>
  </si>
  <si>
    <t>Panneau en laine de bois (N), lambda 0.11</t>
  </si>
  <si>
    <t>Laine de mouton (N)</t>
  </si>
  <si>
    <t>Aerogel (N)</t>
  </si>
  <si>
    <t>BU4</t>
  </si>
  <si>
    <t>BW4</t>
  </si>
  <si>
    <t>Copier avec  &lt;Ctr&gt;&lt;C&gt; et &lt;Ctr&gt;&lt;V&gt; est possible !</t>
  </si>
  <si>
    <t>BU2</t>
  </si>
  <si>
    <t>Appellation générale:</t>
  </si>
  <si>
    <t>Produits spécifiés par SIA 2001</t>
  </si>
  <si>
    <t>Béton Béton cellulaire (densité 1000)</t>
  </si>
  <si>
    <t>Béton Béton cellulaire (densité 1250)</t>
  </si>
  <si>
    <t>Béton Béton cellulaire (densité 1500)</t>
  </si>
  <si>
    <t>Béton Béton cellulaire (densité 1700)</t>
  </si>
  <si>
    <t>Language:</t>
  </si>
  <si>
    <t>de</t>
  </si>
  <si>
    <t>Version:</t>
  </si>
  <si>
    <t>Title:</t>
  </si>
  <si>
    <t>Country:</t>
  </si>
  <si>
    <t>BuildingCategory:</t>
  </si>
  <si>
    <t>ConstructionType:</t>
  </si>
  <si>
    <t>GroundPlanType:</t>
  </si>
  <si>
    <t>Zips:</t>
  </si>
  <si>
    <t>WeatherStations:</t>
  </si>
  <si>
    <t>GeneralCondition:</t>
  </si>
  <si>
    <t>FacadeStructure:</t>
  </si>
  <si>
    <t>WallType:</t>
  </si>
  <si>
    <t>Orientation:</t>
  </si>
  <si>
    <t>RoofType:</t>
  </si>
  <si>
    <t>RoofCeilingType:</t>
  </si>
  <si>
    <t>OrientationHExtended:</t>
  </si>
  <si>
    <t>Boolean:</t>
  </si>
  <si>
    <t>WallOpeningType:</t>
  </si>
  <si>
    <t>OrientationH:</t>
  </si>
  <si>
    <t>BasementHeatingLevel:</t>
  </si>
  <si>
    <t>FloorType:</t>
  </si>
  <si>
    <t>ThermalBridgeType:</t>
  </si>
  <si>
    <t>HpExpertCodes:</t>
  </si>
  <si>
    <t>EnergySource:</t>
  </si>
  <si>
    <t>HeatProducerOversize:</t>
  </si>
  <si>
    <t>HeatProducerTypes:</t>
  </si>
  <si>
    <t>SuppliedDistributionSystems:</t>
  </si>
  <si>
    <t>HeatProducerCondition:</t>
  </si>
  <si>
    <t>InOutThermalEnvelope:</t>
  </si>
  <si>
    <t>HeatReservoir:</t>
  </si>
  <si>
    <t>HeatingType:</t>
  </si>
  <si>
    <t>HeatEmission:</t>
  </si>
  <si>
    <t>PartialBool:</t>
  </si>
  <si>
    <t>UnknownBool:</t>
  </si>
  <si>
    <t>HeatingFlows:</t>
  </si>
  <si>
    <t>WarmWaterWarmKeeping:</t>
  </si>
  <si>
    <t>HeatUnit:</t>
  </si>
  <si>
    <t>Devices:</t>
  </si>
  <si>
    <t>DeviceQualities:</t>
  </si>
  <si>
    <t>Mehrfamilienhaus:</t>
  </si>
  <si>
    <t>ExpansionDegrees:</t>
  </si>
  <si>
    <t>BüroVerwaltung:</t>
  </si>
  <si>
    <t>Schule:</t>
  </si>
  <si>
    <t>ElectronicsQualities:</t>
  </si>
  <si>
    <t>Einfamilienhaus:</t>
  </si>
  <si>
    <t>LightningQualities:</t>
  </si>
  <si>
    <t>ConsumerMeterType:</t>
  </si>
  <si>
    <t>Frau</t>
  </si>
  <si>
    <t>Estland</t>
  </si>
  <si>
    <t>Mehrfamilienhaus</t>
  </si>
  <si>
    <t>schwer</t>
  </si>
  <si>
    <t>kompakt</t>
  </si>
  <si>
    <t>1000</t>
  </si>
  <si>
    <t>intakt</t>
  </si>
  <si>
    <t>flächig, glatt</t>
  </si>
  <si>
    <t>Aussenwand</t>
  </si>
  <si>
    <t>Steildach</t>
  </si>
  <si>
    <t>Tür</t>
  </si>
  <si>
    <t>Geg Aussen</t>
  </si>
  <si>
    <t>Decke/Wand</t>
  </si>
  <si>
    <t>WE-1</t>
  </si>
  <si>
    <t>Elektrizität (HT)</t>
  </si>
  <si>
    <t>1</t>
  </si>
  <si>
    <t>Ölfeuerung</t>
  </si>
  <si>
    <t>Heizung (H)</t>
  </si>
  <si>
    <t>Gut</t>
  </si>
  <si>
    <t>Innerhalb thermischer Gebäudehülle</t>
  </si>
  <si>
    <t>zentral</t>
  </si>
  <si>
    <t>Radiatoren</t>
  </si>
  <si>
    <t>90/70</t>
  </si>
  <si>
    <t>Zirkulation</t>
  </si>
  <si>
    <t>MJ</t>
  </si>
  <si>
    <t>Kühlschrank &gt; 160 l, ohne Tiefkühlfach</t>
  </si>
  <si>
    <t>Sehr gut</t>
  </si>
  <si>
    <t>Wohnung</t>
  </si>
  <si>
    <t>Bescheiden</t>
  </si>
  <si>
    <t>Korridor, Erschliessung</t>
  </si>
  <si>
    <t>Schulzimmer</t>
  </si>
  <si>
    <t>Modern</t>
  </si>
  <si>
    <t>75-100% Eff-Leuchten</t>
  </si>
  <si>
    <t>Herr</t>
  </si>
  <si>
    <t>Lettland</t>
  </si>
  <si>
    <t>Einfamilienhaus</t>
  </si>
  <si>
    <t>mittel</t>
  </si>
  <si>
    <t>gestreckt</t>
  </si>
  <si>
    <t>1003</t>
  </si>
  <si>
    <t xml:space="preserve">Altdorf </t>
  </si>
  <si>
    <t>leicht abgenutzt</t>
  </si>
  <si>
    <t>normal gegliedert</t>
  </si>
  <si>
    <t>Hinterlüftete Fassade</t>
  </si>
  <si>
    <t>Schrägdach, unbeheizt</t>
  </si>
  <si>
    <t>Flachdach/ Terasse</t>
  </si>
  <si>
    <t>teilbeheizt</t>
  </si>
  <si>
    <t>Geg Unbeh. (Keller im Erdreich)</t>
  </si>
  <si>
    <t>WE-2</t>
  </si>
  <si>
    <t>Elektrizität (MT)</t>
  </si>
  <si>
    <t>1.2</t>
  </si>
  <si>
    <t>Ölfeuerung kondensierend</t>
  </si>
  <si>
    <t>Warmwasser (WW)</t>
  </si>
  <si>
    <t>Ausserhalb thermischer Gebäudehülle</t>
  </si>
  <si>
    <t>WW Speicher</t>
  </si>
  <si>
    <t>dezentral</t>
  </si>
  <si>
    <t>Flächenheizung</t>
  </si>
  <si>
    <t>70/55</t>
  </si>
  <si>
    <t>Heizband</t>
  </si>
  <si>
    <t>kWh</t>
  </si>
  <si>
    <t>Kühlschrank &gt; 160 l, mit Tiefkühlfach</t>
  </si>
  <si>
    <t>Treppenhaus</t>
  </si>
  <si>
    <t>Standard</t>
  </si>
  <si>
    <t>Nebenräume</t>
  </si>
  <si>
    <t>Lehrerzimmer</t>
  </si>
  <si>
    <t>25-75% Eff-Leuchten</t>
  </si>
  <si>
    <t>Gas</t>
  </si>
  <si>
    <t>Herr u. Frau</t>
  </si>
  <si>
    <t>Littauen</t>
  </si>
  <si>
    <t>Büro/Verwaltung</t>
  </si>
  <si>
    <t>leicht</t>
  </si>
  <si>
    <t>1004</t>
  </si>
  <si>
    <t xml:space="preserve">Basel-Binningen </t>
  </si>
  <si>
    <t>abgenutzt</t>
  </si>
  <si>
    <t>stark gegliedert</t>
  </si>
  <si>
    <t>Geg Unbeheizt</t>
  </si>
  <si>
    <t>O</t>
  </si>
  <si>
    <t>Schrägdach, teilbeheizt</t>
  </si>
  <si>
    <t>Decke/Estrich geg Unbeheizt</t>
  </si>
  <si>
    <t>Geg Beheizt</t>
  </si>
  <si>
    <t>vollbeheizt</t>
  </si>
  <si>
    <t>Geg Erdreich ≤ 2m</t>
  </si>
  <si>
    <t>WE-3</t>
  </si>
  <si>
    <t>Elektrizität (NT)</t>
  </si>
  <si>
    <t>1.5</t>
  </si>
  <si>
    <t>Gasfeuerung</t>
  </si>
  <si>
    <t>H + WW (ganzjährig)</t>
  </si>
  <si>
    <t>Schlecht</t>
  </si>
  <si>
    <t>Heizungsspeicher</t>
  </si>
  <si>
    <t>zentral und dezentral</t>
  </si>
  <si>
    <t>teilweise</t>
  </si>
  <si>
    <t>unbekannt</t>
  </si>
  <si>
    <t>55/40</t>
  </si>
  <si>
    <t>keine</t>
  </si>
  <si>
    <t>Kühlschrank &lt; 160 l, ohne Tiefkühlfach</t>
  </si>
  <si>
    <t>Büro</t>
  </si>
  <si>
    <t>Hoch</t>
  </si>
  <si>
    <t>Eingangshalle</t>
  </si>
  <si>
    <t>Veraltet</t>
  </si>
  <si>
    <t>0-25% Eff-Leuchten</t>
  </si>
  <si>
    <t>Firma</t>
  </si>
  <si>
    <t>Russland</t>
  </si>
  <si>
    <t>Schule</t>
  </si>
  <si>
    <t>sehr leicht</t>
  </si>
  <si>
    <t>1005</t>
  </si>
  <si>
    <t xml:space="preserve">Bern  Liebefeld </t>
  </si>
  <si>
    <t>Schrägdach, vollbeheizt</t>
  </si>
  <si>
    <t>Decke/Estrich geg Beheizt</t>
  </si>
  <si>
    <t>Fenster gegen angebauten Raum</t>
  </si>
  <si>
    <t>Geg Erdreich &gt; 2m</t>
  </si>
  <si>
    <t>WE-4</t>
  </si>
  <si>
    <t>Elektrizität (Produktion)</t>
  </si>
  <si>
    <t>2</t>
  </si>
  <si>
    <t>Gasfeuerung kondensierend</t>
  </si>
  <si>
    <t>H + WW (nur Heizperiode)</t>
  </si>
  <si>
    <t>Kombispeicher</t>
  </si>
  <si>
    <t>35/28</t>
  </si>
  <si>
    <t>Kühlschrank &lt; 160 l, mit Tiefkühlfach</t>
  </si>
  <si>
    <t>Keller, Estrich</t>
  </si>
  <si>
    <t>Abstellraum, Garage o.ä.</t>
  </si>
  <si>
    <t>Familie</t>
  </si>
  <si>
    <t>Schweiz</t>
  </si>
  <si>
    <t>1006</t>
  </si>
  <si>
    <t>Buchs Aarau</t>
  </si>
  <si>
    <t>Türe gegen angebauten Raum</t>
  </si>
  <si>
    <t>Boden/Kellerwand</t>
  </si>
  <si>
    <t>WE-5</t>
  </si>
  <si>
    <t>Kohlebrickets</t>
  </si>
  <si>
    <t>3</t>
  </si>
  <si>
    <t>Solarspeicher</t>
  </si>
  <si>
    <t>45/35</t>
  </si>
  <si>
    <t>kg</t>
  </si>
  <si>
    <t>Separates Gefriergerät (gross)</t>
  </si>
  <si>
    <t>Ungenügend</t>
  </si>
  <si>
    <t>Turnhalle</t>
  </si>
  <si>
    <t>Hauseigentümer</t>
  </si>
  <si>
    <t>Deutschland</t>
  </si>
  <si>
    <t>1007</t>
  </si>
  <si>
    <t xml:space="preserve">Chur </t>
  </si>
  <si>
    <t>Geg Unbeh. (K. teilw. im Erdreich)</t>
  </si>
  <si>
    <t>Dach/Aussenwand</t>
  </si>
  <si>
    <t>Erdgas</t>
  </si>
  <si>
    <t>Pelletfeuerung</t>
  </si>
  <si>
    <t>30/25</t>
  </si>
  <si>
    <t>Ster</t>
  </si>
  <si>
    <t>Separates Gefriergerät (klein)</t>
  </si>
  <si>
    <t>Garderobe, Duschen, WC</t>
  </si>
  <si>
    <t>Eigentümergemeinschaft</t>
  </si>
  <si>
    <t>Frankreich</t>
  </si>
  <si>
    <t>1008</t>
  </si>
  <si>
    <t xml:space="preserve">Davos </t>
  </si>
  <si>
    <t>Biogas</t>
  </si>
  <si>
    <t>Fernwärme (aus KVA, ARA, Industrie)</t>
  </si>
  <si>
    <t>Sm3</t>
  </si>
  <si>
    <t>Geschirrspüler (ohne Warmwasseranschluss)</t>
  </si>
  <si>
    <t>Liegenschaftsverwaltung</t>
  </si>
  <si>
    <t>Italien</t>
  </si>
  <si>
    <t>1009</t>
  </si>
  <si>
    <t xml:space="preserve">Disentis </t>
  </si>
  <si>
    <t>Träger</t>
  </si>
  <si>
    <t>Heizöl</t>
  </si>
  <si>
    <t>Wärmeversorgung mit BHKW</t>
  </si>
  <si>
    <t>Geschirrspüler (mit Warmwasseranschluss)</t>
  </si>
  <si>
    <t>Singsaal, Aula</t>
  </si>
  <si>
    <t>Gemeindeverwaltung</t>
  </si>
  <si>
    <t>Niederlande</t>
  </si>
  <si>
    <t>1010</t>
  </si>
  <si>
    <t xml:space="preserve">Engelberg </t>
  </si>
  <si>
    <t>Horiz</t>
  </si>
  <si>
    <t>Fernwärme Anteil fossil ≤ 50% (Kehrrichtwärme)</t>
  </si>
  <si>
    <t>Mini-BHKW</t>
  </si>
  <si>
    <t>Waschmaschine (mit Warmwasseranschluss)</t>
  </si>
  <si>
    <t>Belgien</t>
  </si>
  <si>
    <t>1011</t>
  </si>
  <si>
    <t xml:space="preserve">Genève </t>
  </si>
  <si>
    <t>Holzpellets</t>
  </si>
  <si>
    <t>Elektrospeicher- Zentralheizung</t>
  </si>
  <si>
    <t>Waschmaschine (ohne Warmwasseranschluss)</t>
  </si>
  <si>
    <t>Luxemburg</t>
  </si>
  <si>
    <t>1012</t>
  </si>
  <si>
    <t xml:space="preserve">Glarus </t>
  </si>
  <si>
    <t>Holzschnitzel</t>
  </si>
  <si>
    <t>Elektro direkt</t>
  </si>
  <si>
    <t>Elektro-Kochherd</t>
  </si>
  <si>
    <t>Oesterreich</t>
  </si>
  <si>
    <t>1015</t>
  </si>
  <si>
    <t xml:space="preserve">Gr. St. Bernhard </t>
  </si>
  <si>
    <t>Stückholz</t>
  </si>
  <si>
    <t>Elektro-Wassererwärmer</t>
  </si>
  <si>
    <t>Gaskochherd</t>
  </si>
  <si>
    <t>Grossbritannien</t>
  </si>
  <si>
    <t>1018</t>
  </si>
  <si>
    <t>Thermische Sonnenenergie</t>
  </si>
  <si>
    <t>Wärmepumpe, Aussenluft</t>
  </si>
  <si>
    <t>Elektro-Backofen</t>
  </si>
  <si>
    <t>Dänemark</t>
  </si>
  <si>
    <t>1020</t>
  </si>
  <si>
    <t xml:space="preserve">La Chaux-de-Fonds </t>
  </si>
  <si>
    <t>Elektrizität (Wärmepumpe)</t>
  </si>
  <si>
    <t>Wärmepumpe, Erdwärmesonde</t>
  </si>
  <si>
    <t>Gasbackofen</t>
  </si>
  <si>
    <t>Norwegen</t>
  </si>
  <si>
    <t>1022</t>
  </si>
  <si>
    <t xml:space="preserve">Locarno-Monti </t>
  </si>
  <si>
    <t>Fernwärme Anteil fossil ≤ 25%</t>
  </si>
  <si>
    <t>Wärmepumpe, Abwasser</t>
  </si>
  <si>
    <t>Wäschetrocknung</t>
  </si>
  <si>
    <t>Schweden</t>
  </si>
  <si>
    <t>1023</t>
  </si>
  <si>
    <t xml:space="preserve">Lugano </t>
  </si>
  <si>
    <t>Fernwärme Anteil fossil ≤ 75%</t>
  </si>
  <si>
    <t>Wärmepumpe, Grundwasser, direkt</t>
  </si>
  <si>
    <t>Dampfabzug Abluft</t>
  </si>
  <si>
    <t>Portugal</t>
  </si>
  <si>
    <t>1024</t>
  </si>
  <si>
    <t xml:space="preserve">Luzern </t>
  </si>
  <si>
    <t>Fernwärme Anteil fossil &gt; 75%</t>
  </si>
  <si>
    <t>Wärmepumpe, Grundwasser, indirekt</t>
  </si>
  <si>
    <t>Dampfabzug Umluft</t>
  </si>
  <si>
    <t>Finnland</t>
  </si>
  <si>
    <t>1025</t>
  </si>
  <si>
    <t xml:space="preserve">Magadino </t>
  </si>
  <si>
    <t>Wärmepumpe Erdregister</t>
  </si>
  <si>
    <t>Bad/WC-Abluft</t>
  </si>
  <si>
    <t>Kroatien</t>
  </si>
  <si>
    <t>1027</t>
  </si>
  <si>
    <t xml:space="preserve">Montana </t>
  </si>
  <si>
    <t>Lüftungsgerät mit Abluft / Zuluft - WP plus WRG</t>
  </si>
  <si>
    <t>Komfortlüftung mit WRG (pro Wohnung)</t>
  </si>
  <si>
    <t>Slowenien</t>
  </si>
  <si>
    <t>1028</t>
  </si>
  <si>
    <t xml:space="preserve">Neuchâtel </t>
  </si>
  <si>
    <t>Lüftungsgerät mit Abluft / Zuluft - WP ohne WRG</t>
  </si>
  <si>
    <t>Lift</t>
  </si>
  <si>
    <t>Bosnien</t>
  </si>
  <si>
    <t>1030</t>
  </si>
  <si>
    <t xml:space="preserve">Payerne </t>
  </si>
  <si>
    <t>Lüftungsgerät mit Abluft-Wärmepumpe (keine Zuluft)</t>
  </si>
  <si>
    <t>Raumlufttrockner</t>
  </si>
  <si>
    <t>Mazedonien</t>
  </si>
  <si>
    <t>1032</t>
  </si>
  <si>
    <t xml:space="preserve">Robbia </t>
  </si>
  <si>
    <t>Kompakt-WP mit Zu- &amp; Abluft / WW plus WRG</t>
  </si>
  <si>
    <t>Montenegro</t>
  </si>
  <si>
    <t>1033</t>
  </si>
  <si>
    <t xml:space="preserve">Samedan </t>
  </si>
  <si>
    <t>Kompakt-WP mit Zu- &amp; Abluft / WW ohne WRG</t>
  </si>
  <si>
    <t>Serbien</t>
  </si>
  <si>
    <t>1037</t>
  </si>
  <si>
    <t>Island</t>
  </si>
  <si>
    <t>1038</t>
  </si>
  <si>
    <t xml:space="preserve">Schaffhausen </t>
  </si>
  <si>
    <t>Wärmepumpenboiler Trinkwarmwasser</t>
  </si>
  <si>
    <t>Irland</t>
  </si>
  <si>
    <t>1040</t>
  </si>
  <si>
    <t xml:space="preserve">Scuol </t>
  </si>
  <si>
    <t>Spanien</t>
  </si>
  <si>
    <t>1377</t>
  </si>
  <si>
    <t xml:space="preserve">Sion </t>
  </si>
  <si>
    <t>Griechenland</t>
  </si>
  <si>
    <t>1042</t>
  </si>
  <si>
    <t xml:space="preserve">St. Gallen </t>
  </si>
  <si>
    <t>Türkei</t>
  </si>
  <si>
    <t>1417</t>
  </si>
  <si>
    <t xml:space="preserve">Vaduz </t>
  </si>
  <si>
    <t>Polen</t>
  </si>
  <si>
    <t>1041</t>
  </si>
  <si>
    <t xml:space="preserve">Wynau </t>
  </si>
  <si>
    <t>Tschechien</t>
  </si>
  <si>
    <t>1063</t>
  </si>
  <si>
    <t xml:space="preserve">Zermatt </t>
  </si>
  <si>
    <t>Slowakei</t>
  </si>
  <si>
    <t>1053</t>
  </si>
  <si>
    <t xml:space="preserve">Zürich SMA </t>
  </si>
  <si>
    <t>Ungarn</t>
  </si>
  <si>
    <t>1034</t>
  </si>
  <si>
    <t>Bulgarien</t>
  </si>
  <si>
    <t>1035</t>
  </si>
  <si>
    <t>Rumänien</t>
  </si>
  <si>
    <t>1036</t>
  </si>
  <si>
    <t>Canada</t>
  </si>
  <si>
    <t>1043</t>
  </si>
  <si>
    <t>Usa</t>
  </si>
  <si>
    <t>1044</t>
  </si>
  <si>
    <t>1045</t>
  </si>
  <si>
    <t>1407</t>
  </si>
  <si>
    <t>1052</t>
  </si>
  <si>
    <t>1054</t>
  </si>
  <si>
    <t>1055</t>
  </si>
  <si>
    <t>1410</t>
  </si>
  <si>
    <t>1066</t>
  </si>
  <si>
    <t>1073</t>
  </si>
  <si>
    <t>1083</t>
  </si>
  <si>
    <t>1092</t>
  </si>
  <si>
    <t>1093</t>
  </si>
  <si>
    <t>1094</t>
  </si>
  <si>
    <t>1095</t>
  </si>
  <si>
    <t>1096</t>
  </si>
  <si>
    <t>1097</t>
  </si>
  <si>
    <t>1098</t>
  </si>
  <si>
    <t>1058</t>
  </si>
  <si>
    <t>1059</t>
  </si>
  <si>
    <t>1061</t>
  </si>
  <si>
    <t>1062</t>
  </si>
  <si>
    <t>1080</t>
  </si>
  <si>
    <t>1081</t>
  </si>
  <si>
    <t>1082</t>
  </si>
  <si>
    <t>1088</t>
  </si>
  <si>
    <t>1084</t>
  </si>
  <si>
    <t>1085</t>
  </si>
  <si>
    <t>1509</t>
  </si>
  <si>
    <t>1510</t>
  </si>
  <si>
    <t>1076</t>
  </si>
  <si>
    <t>1077</t>
  </si>
  <si>
    <t>1078</t>
  </si>
  <si>
    <t>1673</t>
  </si>
  <si>
    <t>1110</t>
  </si>
  <si>
    <t>1112</t>
  </si>
  <si>
    <t>1167</t>
  </si>
  <si>
    <t>1132</t>
  </si>
  <si>
    <t>1131</t>
  </si>
  <si>
    <t>1125</t>
  </si>
  <si>
    <t>1126</t>
  </si>
  <si>
    <t>1127</t>
  </si>
  <si>
    <t>1128</t>
  </si>
  <si>
    <t>1113</t>
  </si>
  <si>
    <t>1114</t>
  </si>
  <si>
    <t>1115</t>
  </si>
  <si>
    <t>1116</t>
  </si>
  <si>
    <t>1117</t>
  </si>
  <si>
    <t>1304</t>
  </si>
  <si>
    <t>1121</t>
  </si>
  <si>
    <t>1122</t>
  </si>
  <si>
    <t>1123</t>
  </si>
  <si>
    <t>1124</t>
  </si>
  <si>
    <t>1134</t>
  </si>
  <si>
    <t>1135</t>
  </si>
  <si>
    <t>1136</t>
  </si>
  <si>
    <t>1169</t>
  </si>
  <si>
    <t>1168</t>
  </si>
  <si>
    <t>1144</t>
  </si>
  <si>
    <t>1149</t>
  </si>
  <si>
    <t>1146</t>
  </si>
  <si>
    <t>1147</t>
  </si>
  <si>
    <t>1142</t>
  </si>
  <si>
    <t>1141</t>
  </si>
  <si>
    <t>1143</t>
  </si>
  <si>
    <t>1145</t>
  </si>
  <si>
    <t>1148</t>
  </si>
  <si>
    <t>1162</t>
  </si>
  <si>
    <t>1163</t>
  </si>
  <si>
    <t>1164</t>
  </si>
  <si>
    <t>1165</t>
  </si>
  <si>
    <t>1166</t>
  </si>
  <si>
    <t>1170</t>
  </si>
  <si>
    <t>1172</t>
  </si>
  <si>
    <t>1173</t>
  </si>
  <si>
    <t>1174</t>
  </si>
  <si>
    <t>1175</t>
  </si>
  <si>
    <t>1176</t>
  </si>
  <si>
    <t>1180</t>
  </si>
  <si>
    <t>1182</t>
  </si>
  <si>
    <t>1183</t>
  </si>
  <si>
    <t>1184</t>
  </si>
  <si>
    <t>1185</t>
  </si>
  <si>
    <t>1186</t>
  </si>
  <si>
    <t>1187</t>
  </si>
  <si>
    <t>1189</t>
  </si>
  <si>
    <t>1188</t>
  </si>
  <si>
    <t>1196</t>
  </si>
  <si>
    <t>1197</t>
  </si>
  <si>
    <t>1200</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</si>
  <si>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</si>
  <si>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</si>
  <si>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</si>
  <si>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</si>
  <si>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</si>
  <si>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</si>
  <si>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</si>
  <si>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</si>
  <si>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</si>
  <si>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</si>
  <si>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</si>
  <si>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</si>
  <si>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</si>
  <si>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</si>
  <si>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</si>
  <si>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</si>
  <si>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</si>
  <si>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</si>
  <si>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</si>
  <si>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</si>
  <si>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</si>
  <si>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</si>
  <si>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</si>
  <si>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</si>
  <si>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</si>
  <si>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</si>
  <si>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</si>
  <si>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</si>
  <si>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</si>
  <si>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</si>
  <si>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</si>
  <si>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</si>
  <si>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</si>
  <si>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</si>
  <si>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</si>
  <si>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</si>
  <si>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</si>
  <si>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</si>
  <si>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</si>
  <si>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</si>
  <si>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</si>
  <si>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</si>
  <si>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</si>
  <si>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</si>
  <si>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</si>
  <si>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</si>
  <si>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</si>
  <si>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</si>
  <si>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</si>
  <si>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1277</t>
  </si>
  <si>
    <t>1278</t>
  </si>
  <si>
    <t>1279</t>
  </si>
  <si>
    <t>1274</t>
  </si>
  <si>
    <t>1275</t>
  </si>
  <si>
    <t>1276</t>
  </si>
  <si>
    <t>1270</t>
  </si>
  <si>
    <t>1271</t>
  </si>
  <si>
    <t>1272</t>
  </si>
  <si>
    <t>1273</t>
  </si>
  <si>
    <t>1268</t>
  </si>
  <si>
    <t>1261</t>
  </si>
  <si>
    <t>1269</t>
  </si>
  <si>
    <t>1262</t>
  </si>
  <si>
    <t>1263</t>
  </si>
  <si>
    <t>1264</t>
  </si>
  <si>
    <t>1265</t>
  </si>
  <si>
    <t>1266</t>
  </si>
  <si>
    <t>1281</t>
  </si>
  <si>
    <t>1283</t>
  </si>
  <si>
    <t>1284</t>
  </si>
  <si>
    <t>1285</t>
  </si>
  <si>
    <t>1286</t>
  </si>
  <si>
    <t>1287</t>
  </si>
  <si>
    <t>1288</t>
  </si>
  <si>
    <t>1290</t>
  </si>
  <si>
    <t>1291</t>
  </si>
  <si>
    <t>1292</t>
  </si>
  <si>
    <t>1293</t>
  </si>
  <si>
    <t>1294</t>
  </si>
  <si>
    <t>1296</t>
  </si>
  <si>
    <t>1297</t>
  </si>
  <si>
    <t>1298</t>
  </si>
  <si>
    <t>1299</t>
  </si>
  <si>
    <t>1302</t>
  </si>
  <si>
    <t>1307</t>
  </si>
  <si>
    <t>1305</t>
  </si>
  <si>
    <t>1315</t>
  </si>
  <si>
    <t>1317</t>
  </si>
  <si>
    <t>1316</t>
  </si>
  <si>
    <t>1337</t>
  </si>
  <si>
    <t>1338</t>
  </si>
  <si>
    <t>1341</t>
  </si>
  <si>
    <t>1346</t>
  </si>
  <si>
    <t>1344</t>
  </si>
  <si>
    <t>1342</t>
  </si>
  <si>
    <t>1343</t>
  </si>
  <si>
    <t>1345</t>
  </si>
  <si>
    <t>1347</t>
  </si>
  <si>
    <t>1348</t>
  </si>
  <si>
    <t>1306</t>
  </si>
  <si>
    <t>1303</t>
  </si>
  <si>
    <t>1308</t>
  </si>
  <si>
    <t>1313</t>
  </si>
  <si>
    <t>1321</t>
  </si>
  <si>
    <t>1318</t>
  </si>
  <si>
    <t>1312</t>
  </si>
  <si>
    <t>1329</t>
  </si>
  <si>
    <t>1322</t>
  </si>
  <si>
    <t>1323</t>
  </si>
  <si>
    <t>1324</t>
  </si>
  <si>
    <t>1325</t>
  </si>
  <si>
    <t>1326</t>
  </si>
  <si>
    <t>1350</t>
  </si>
  <si>
    <t>1352</t>
  </si>
  <si>
    <t>1353</t>
  </si>
  <si>
    <t>1354</t>
  </si>
  <si>
    <t>1355</t>
  </si>
  <si>
    <t>1356</t>
  </si>
  <si>
    <t>1357</t>
  </si>
  <si>
    <t>1358</t>
  </si>
  <si>
    <t>1439</t>
  </si>
  <si>
    <t>1373</t>
  </si>
  <si>
    <t>1372</t>
  </si>
  <si>
    <t>1374</t>
  </si>
  <si>
    <t>1375</t>
  </si>
  <si>
    <t>1376</t>
  </si>
  <si>
    <t>1400</t>
  </si>
  <si>
    <t>1416</t>
  </si>
  <si>
    <t>1418</t>
  </si>
  <si>
    <t>1420</t>
  </si>
  <si>
    <t>1421</t>
  </si>
  <si>
    <t>1423</t>
  </si>
  <si>
    <t>1453</t>
  </si>
  <si>
    <t>1429</t>
  </si>
  <si>
    <t>1430</t>
  </si>
  <si>
    <t>1431</t>
  </si>
  <si>
    <t>1405</t>
  </si>
  <si>
    <t>1406</t>
  </si>
  <si>
    <t>1408</t>
  </si>
  <si>
    <t>1409</t>
  </si>
  <si>
    <t>1412</t>
  </si>
  <si>
    <t>1413</t>
  </si>
  <si>
    <t>1046</t>
  </si>
  <si>
    <t>1404</t>
  </si>
  <si>
    <t>1427</t>
  </si>
  <si>
    <t>1424</t>
  </si>
  <si>
    <t>1415</t>
  </si>
  <si>
    <t>1422</t>
  </si>
  <si>
    <t>1425</t>
  </si>
  <si>
    <t>1426</t>
  </si>
  <si>
    <t>1432</t>
  </si>
  <si>
    <t>1433</t>
  </si>
  <si>
    <t>1434</t>
  </si>
  <si>
    <t>1435</t>
  </si>
  <si>
    <t>1436</t>
  </si>
  <si>
    <t>1437</t>
  </si>
  <si>
    <t>1438</t>
  </si>
  <si>
    <t>1441</t>
  </si>
  <si>
    <t>1442</t>
  </si>
  <si>
    <t>1443</t>
  </si>
  <si>
    <t>1445</t>
  </si>
  <si>
    <t>1446</t>
  </si>
  <si>
    <t>1454</t>
  </si>
  <si>
    <t>1452</t>
  </si>
  <si>
    <t>1462</t>
  </si>
  <si>
    <t>1463</t>
  </si>
  <si>
    <t>1464</t>
  </si>
  <si>
    <t>1468</t>
  </si>
  <si>
    <t>1470</t>
  </si>
  <si>
    <t>1473</t>
  </si>
  <si>
    <t>1474</t>
  </si>
  <si>
    <t>1483</t>
  </si>
  <si>
    <t>1482</t>
  </si>
  <si>
    <t>1541</t>
  </si>
  <si>
    <t>1484</t>
  </si>
  <si>
    <t>1485</t>
  </si>
  <si>
    <t>1486</t>
  </si>
  <si>
    <t>1537</t>
  </si>
  <si>
    <t>1538</t>
  </si>
  <si>
    <t>1489</t>
  </si>
  <si>
    <t>1512</t>
  </si>
  <si>
    <t>1513</t>
  </si>
  <si>
    <t>1514</t>
  </si>
  <si>
    <t>1522</t>
  </si>
  <si>
    <t>1515</t>
  </si>
  <si>
    <t>1521</t>
  </si>
  <si>
    <t>1523</t>
  </si>
  <si>
    <t>1527</t>
  </si>
  <si>
    <t>1528</t>
  </si>
  <si>
    <t>1529</t>
  </si>
  <si>
    <t>1530</t>
  </si>
  <si>
    <t>1532</t>
  </si>
  <si>
    <t>1533</t>
  </si>
  <si>
    <t>1534</t>
  </si>
  <si>
    <t>1536</t>
  </si>
  <si>
    <t>1526</t>
  </si>
  <si>
    <t>1542</t>
  </si>
  <si>
    <t>1543</t>
  </si>
  <si>
    <t>1544</t>
  </si>
  <si>
    <t>1545</t>
  </si>
  <si>
    <t>1551</t>
  </si>
  <si>
    <t>1552</t>
  </si>
  <si>
    <t>1553</t>
  </si>
  <si>
    <t>1554</t>
  </si>
  <si>
    <t>1555</t>
  </si>
  <si>
    <t>1682</t>
  </si>
  <si>
    <t>1535</t>
  </si>
  <si>
    <t>1562</t>
  </si>
  <si>
    <t>1563</t>
  </si>
  <si>
    <t>1564</t>
  </si>
  <si>
    <t>1565</t>
  </si>
  <si>
    <t>1475</t>
  </si>
  <si>
    <t>1567</t>
  </si>
  <si>
    <t>1568</t>
  </si>
  <si>
    <t>1566</t>
  </si>
  <si>
    <t>1580</t>
  </si>
  <si>
    <t>1582</t>
  </si>
  <si>
    <t>1583</t>
  </si>
  <si>
    <t>1584</t>
  </si>
  <si>
    <t>1585</t>
  </si>
  <si>
    <t>1586</t>
  </si>
  <si>
    <t>1587</t>
  </si>
  <si>
    <t>1589</t>
  </si>
  <si>
    <t>1588</t>
  </si>
  <si>
    <t>1595</t>
  </si>
  <si>
    <t>1607</t>
  </si>
  <si>
    <t>1610</t>
  </si>
  <si>
    <t>1525</t>
  </si>
  <si>
    <t>1524</t>
  </si>
  <si>
    <t>1090</t>
  </si>
  <si>
    <t>1091</t>
  </si>
  <si>
    <t>1070</t>
  </si>
  <si>
    <t>1071</t>
  </si>
  <si>
    <t>1072</t>
  </si>
  <si>
    <t>1614</t>
  </si>
  <si>
    <t>1615</t>
  </si>
  <si>
    <t>1616</t>
  </si>
  <si>
    <t>1617</t>
  </si>
  <si>
    <t>1618</t>
  </si>
  <si>
    <t>1619</t>
  </si>
  <si>
    <t>1623</t>
  </si>
  <si>
    <t>1624</t>
  </si>
  <si>
    <t>1627</t>
  </si>
  <si>
    <t>1628</t>
  </si>
  <si>
    <t>1630</t>
  </si>
  <si>
    <t>1633</t>
  </si>
  <si>
    <t>1642</t>
  </si>
  <si>
    <t>1643</t>
  </si>
  <si>
    <t>1644</t>
  </si>
  <si>
    <t>1645</t>
  </si>
  <si>
    <t>1646</t>
  </si>
  <si>
    <t>1647</t>
  </si>
  <si>
    <t>1648</t>
  </si>
  <si>
    <t>1656</t>
  </si>
  <si>
    <t>1657</t>
  </si>
  <si>
    <t>1654</t>
  </si>
  <si>
    <t>1651</t>
  </si>
  <si>
    <t>1652</t>
  </si>
  <si>
    <t>1638</t>
  </si>
  <si>
    <t>1663</t>
  </si>
  <si>
    <t>1632</t>
  </si>
  <si>
    <t>1634</t>
  </si>
  <si>
    <t>1649</t>
  </si>
  <si>
    <t>1635</t>
  </si>
  <si>
    <t>1636</t>
  </si>
  <si>
    <t>1637</t>
  </si>
  <si>
    <t>1661</t>
  </si>
  <si>
    <t>1665</t>
  </si>
  <si>
    <t>1667</t>
  </si>
  <si>
    <t>1669</t>
  </si>
  <si>
    <t>1666</t>
  </si>
  <si>
    <t>1675</t>
  </si>
  <si>
    <t>1670</t>
  </si>
  <si>
    <t>1674</t>
  </si>
  <si>
    <t>1678</t>
  </si>
  <si>
    <t>1679</t>
  </si>
  <si>
    <t>1676</t>
  </si>
  <si>
    <t>1677</t>
  </si>
  <si>
    <t>1680</t>
  </si>
  <si>
    <t>1681</t>
  </si>
  <si>
    <t>1683</t>
  </si>
  <si>
    <t>1694</t>
  </si>
  <si>
    <t>1695</t>
  </si>
  <si>
    <t>1696</t>
  </si>
  <si>
    <t>1684</t>
  </si>
  <si>
    <t>1685</t>
  </si>
  <si>
    <t>1687</t>
  </si>
  <si>
    <t>1686</t>
  </si>
  <si>
    <t>1689</t>
  </si>
  <si>
    <t>1688</t>
  </si>
  <si>
    <t>1626</t>
  </si>
  <si>
    <t>1692</t>
  </si>
  <si>
    <t>1625</t>
  </si>
  <si>
    <t>1612</t>
  </si>
  <si>
    <t>1613</t>
  </si>
  <si>
    <t>1608</t>
  </si>
  <si>
    <t>1609</t>
  </si>
  <si>
    <t>1611</t>
  </si>
  <si>
    <t>1697</t>
  </si>
  <si>
    <t>1699</t>
  </si>
  <si>
    <t>1700</t>
  </si>
  <si>
    <t>1763</t>
  </si>
  <si>
    <t>1720</t>
  </si>
  <si>
    <t>1735</t>
  </si>
  <si>
    <t>1736</t>
  </si>
  <si>
    <t>1737</t>
  </si>
  <si>
    <t>1738</t>
  </si>
  <si>
    <t>1716</t>
  </si>
  <si>
    <t>1724</t>
  </si>
  <si>
    <t>1727</t>
  </si>
  <si>
    <t>1728</t>
  </si>
  <si>
    <t>1719</t>
  </si>
  <si>
    <t>1731</t>
  </si>
  <si>
    <t>1732</t>
  </si>
  <si>
    <t>1733</t>
  </si>
  <si>
    <t>1712</t>
  </si>
  <si>
    <t>1713</t>
  </si>
  <si>
    <t>1714</t>
  </si>
  <si>
    <t>1715</t>
  </si>
  <si>
    <t>1717</t>
  </si>
  <si>
    <t>1718</t>
  </si>
  <si>
    <t>1722</t>
  </si>
  <si>
    <t>1723</t>
  </si>
  <si>
    <t>1725</t>
  </si>
  <si>
    <t>1726</t>
  </si>
  <si>
    <t>1746</t>
  </si>
  <si>
    <t>1747</t>
  </si>
  <si>
    <t>1748</t>
  </si>
  <si>
    <t>1749</t>
  </si>
  <si>
    <t>1740</t>
  </si>
  <si>
    <t>1741</t>
  </si>
  <si>
    <t>1744</t>
  </si>
  <si>
    <t>1745</t>
  </si>
  <si>
    <t>1742</t>
  </si>
  <si>
    <t>1691</t>
  </si>
  <si>
    <t>1752</t>
  </si>
  <si>
    <t>1753</t>
  </si>
  <si>
    <t>1754</t>
  </si>
  <si>
    <t>1756</t>
  </si>
  <si>
    <t>1757</t>
  </si>
  <si>
    <t>1690</t>
  </si>
  <si>
    <t>1762</t>
  </si>
  <si>
    <t>1772</t>
  </si>
  <si>
    <t>1773</t>
  </si>
  <si>
    <t>1774</t>
  </si>
  <si>
    <t>1776</t>
  </si>
  <si>
    <t>1795</t>
  </si>
  <si>
    <t>1796</t>
  </si>
  <si>
    <t>1797</t>
  </si>
  <si>
    <t>1794</t>
  </si>
  <si>
    <t>1793</t>
  </si>
  <si>
    <t>1792</t>
  </si>
  <si>
    <t>1791</t>
  </si>
  <si>
    <t>1788</t>
  </si>
  <si>
    <t>1789</t>
  </si>
  <si>
    <t>1782</t>
  </si>
  <si>
    <t>1783</t>
  </si>
  <si>
    <t>1784</t>
  </si>
  <si>
    <t>1785</t>
  </si>
  <si>
    <t>1786</t>
  </si>
  <si>
    <t>1787</t>
  </si>
  <si>
    <t>1800</t>
  </si>
  <si>
    <t>1801</t>
  </si>
  <si>
    <t>1808</t>
  </si>
  <si>
    <t>1809</t>
  </si>
  <si>
    <t>1802</t>
  </si>
  <si>
    <t>1803</t>
  </si>
  <si>
    <t>1804</t>
  </si>
  <si>
    <t>1805</t>
  </si>
  <si>
    <t>1806</t>
  </si>
  <si>
    <t>1807</t>
  </si>
  <si>
    <t>1814</t>
  </si>
  <si>
    <t>1815</t>
  </si>
  <si>
    <t>1816</t>
  </si>
  <si>
    <t>1817</t>
  </si>
  <si>
    <t>1820</t>
  </si>
  <si>
    <t>1822</t>
  </si>
  <si>
    <t>1823</t>
  </si>
  <si>
    <t>1824</t>
  </si>
  <si>
    <t>1832</t>
  </si>
  <si>
    <t>1658</t>
  </si>
  <si>
    <t>1660</t>
  </si>
  <si>
    <t>1659</t>
  </si>
  <si>
    <t>1833</t>
  </si>
  <si>
    <t>1844</t>
  </si>
  <si>
    <t>1847</t>
  </si>
  <si>
    <t>1845</t>
  </si>
  <si>
    <t>1846</t>
  </si>
  <si>
    <t>1852</t>
  </si>
  <si>
    <t>1853</t>
  </si>
  <si>
    <t>1854</t>
  </si>
  <si>
    <t>1867</t>
  </si>
  <si>
    <t>1860</t>
  </si>
  <si>
    <t>1856</t>
  </si>
  <si>
    <t>1862</t>
  </si>
  <si>
    <t>1866</t>
  </si>
  <si>
    <t>1884</t>
  </si>
  <si>
    <t>1863</t>
  </si>
  <si>
    <t>1864</t>
  </si>
  <si>
    <t>1865</t>
  </si>
  <si>
    <t>1868</t>
  </si>
  <si>
    <t>1870</t>
  </si>
  <si>
    <t>1871</t>
  </si>
  <si>
    <t>1872</t>
  </si>
  <si>
    <t>1873</t>
  </si>
  <si>
    <t>1874</t>
  </si>
  <si>
    <t>1875</t>
  </si>
  <si>
    <t>1880</t>
  </si>
  <si>
    <t>1882</t>
  </si>
  <si>
    <t>1885</t>
  </si>
  <si>
    <t>1890</t>
  </si>
  <si>
    <t>1891</t>
  </si>
  <si>
    <t>1869</t>
  </si>
  <si>
    <t>1895</t>
  </si>
  <si>
    <t>1897</t>
  </si>
  <si>
    <t>1899</t>
  </si>
  <si>
    <t>1892</t>
  </si>
  <si>
    <t>1893</t>
  </si>
  <si>
    <t>1896</t>
  </si>
  <si>
    <t>1898</t>
  </si>
  <si>
    <t>1902</t>
  </si>
  <si>
    <t>1903</t>
  </si>
  <si>
    <t>1904</t>
  </si>
  <si>
    <t>1905</t>
  </si>
  <si>
    <t>1906</t>
  </si>
  <si>
    <t>1907</t>
  </si>
  <si>
    <t>1908</t>
  </si>
  <si>
    <t>1912</t>
  </si>
  <si>
    <t>1911</t>
  </si>
  <si>
    <t>1913</t>
  </si>
  <si>
    <t>1914</t>
  </si>
  <si>
    <t>1918</t>
  </si>
  <si>
    <t>1955</t>
  </si>
  <si>
    <t>1957</t>
  </si>
  <si>
    <t>1920</t>
  </si>
  <si>
    <t>1921</t>
  </si>
  <si>
    <t>1923</t>
  </si>
  <si>
    <t>1925</t>
  </si>
  <si>
    <t>1927</t>
  </si>
  <si>
    <t>1929</t>
  </si>
  <si>
    <t>1928</t>
  </si>
  <si>
    <t>1922</t>
  </si>
  <si>
    <t>1926</t>
  </si>
  <si>
    <t>1932</t>
  </si>
  <si>
    <t>1947</t>
  </si>
  <si>
    <t>1941</t>
  </si>
  <si>
    <t>1942</t>
  </si>
  <si>
    <t>1948</t>
  </si>
  <si>
    <t>1945</t>
  </si>
  <si>
    <t>1946</t>
  </si>
  <si>
    <t>1943</t>
  </si>
  <si>
    <t>1944</t>
  </si>
  <si>
    <t>1933</t>
  </si>
  <si>
    <t>1934</t>
  </si>
  <si>
    <t>1936</t>
  </si>
  <si>
    <t>1937</t>
  </si>
  <si>
    <t>1938</t>
  </si>
  <si>
    <t>1950</t>
  </si>
  <si>
    <t>1975</t>
  </si>
  <si>
    <t>1976</t>
  </si>
  <si>
    <t>1971</t>
  </si>
  <si>
    <t>1974</t>
  </si>
  <si>
    <t>1961</t>
  </si>
  <si>
    <t>1973</t>
  </si>
  <si>
    <t>1968</t>
  </si>
  <si>
    <t>1969</t>
  </si>
  <si>
    <t>1981</t>
  </si>
  <si>
    <t>1982</t>
  </si>
  <si>
    <t>1984</t>
  </si>
  <si>
    <t>1986</t>
  </si>
  <si>
    <t>1985</t>
  </si>
  <si>
    <t>1987</t>
  </si>
  <si>
    <t>1988</t>
  </si>
  <si>
    <t>1991</t>
  </si>
  <si>
    <t>1992</t>
  </si>
  <si>
    <t>1993</t>
  </si>
  <si>
    <t>1997</t>
  </si>
  <si>
    <t>1996</t>
  </si>
  <si>
    <t>1994</t>
  </si>
  <si>
    <t>1962</t>
  </si>
  <si>
    <t>1963</t>
  </si>
  <si>
    <t>1964</t>
  </si>
  <si>
    <t>1966</t>
  </si>
  <si>
    <t>1967</t>
  </si>
  <si>
    <t>1983</t>
  </si>
  <si>
    <t>1972</t>
  </si>
  <si>
    <t>2000</t>
  </si>
  <si>
    <t>2012</t>
  </si>
  <si>
    <t>2013</t>
  </si>
  <si>
    <t>2014</t>
  </si>
  <si>
    <t>2015</t>
  </si>
  <si>
    <t>2016</t>
  </si>
  <si>
    <t>2017</t>
  </si>
  <si>
    <t>2022</t>
  </si>
  <si>
    <t>2023</t>
  </si>
  <si>
    <t>2024</t>
  </si>
  <si>
    <t>2025</t>
  </si>
  <si>
    <t>2028</t>
  </si>
  <si>
    <t>2034</t>
  </si>
  <si>
    <t>2035</t>
  </si>
  <si>
    <t>2036</t>
  </si>
  <si>
    <t>2042</t>
  </si>
  <si>
    <t>2043</t>
  </si>
  <si>
    <t>2046</t>
  </si>
  <si>
    <t>2052</t>
  </si>
  <si>
    <t>2053</t>
  </si>
  <si>
    <t>2054</t>
  </si>
  <si>
    <t>2056</t>
  </si>
  <si>
    <t>2057</t>
  </si>
  <si>
    <t>2058</t>
  </si>
  <si>
    <t>2063</t>
  </si>
  <si>
    <t>2065</t>
  </si>
  <si>
    <t>2067</t>
  </si>
  <si>
    <t>2068</t>
  </si>
  <si>
    <t>2072</t>
  </si>
  <si>
    <t>2073</t>
  </si>
  <si>
    <t>2074</t>
  </si>
  <si>
    <t>3238</t>
  </si>
  <si>
    <t>2087</t>
  </si>
  <si>
    <t>2088</t>
  </si>
  <si>
    <t>2318</t>
  </si>
  <si>
    <t>2103</t>
  </si>
  <si>
    <t>2105</t>
  </si>
  <si>
    <t>2108</t>
  </si>
  <si>
    <t>2112</t>
  </si>
  <si>
    <t>2113</t>
  </si>
  <si>
    <t>2114</t>
  </si>
  <si>
    <t>2115</t>
  </si>
  <si>
    <t>2117</t>
  </si>
  <si>
    <t>2123</t>
  </si>
  <si>
    <t>2406</t>
  </si>
  <si>
    <t>2126</t>
  </si>
  <si>
    <t>2127</t>
  </si>
  <si>
    <t>2149</t>
  </si>
  <si>
    <t>2124</t>
  </si>
  <si>
    <t>2116</t>
  </si>
  <si>
    <t>2019</t>
  </si>
  <si>
    <t>2037</t>
  </si>
  <si>
    <t>2206</t>
  </si>
  <si>
    <t>2207</t>
  </si>
  <si>
    <t>2208</t>
  </si>
  <si>
    <t>2300</t>
  </si>
  <si>
    <t>2316</t>
  </si>
  <si>
    <t>2338</t>
  </si>
  <si>
    <t>2314</t>
  </si>
  <si>
    <t>2322</t>
  </si>
  <si>
    <t>2325</t>
  </si>
  <si>
    <t>2333</t>
  </si>
  <si>
    <t>2336</t>
  </si>
  <si>
    <t>2400</t>
  </si>
  <si>
    <t>2405</t>
  </si>
  <si>
    <t>2414</t>
  </si>
  <si>
    <t>2416</t>
  </si>
  <si>
    <t>2500</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</si>
  <si>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</si>
  <si>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</si>
  <si>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</si>
  <si>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</si>
  <si>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</si>
  <si>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</si>
  <si>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</si>
  <si>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</si>
  <si>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</si>
  <si>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</si>
  <si>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</si>
  <si>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</si>
  <si>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</si>
  <si>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</si>
  <si>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</si>
  <si>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</si>
  <si>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</si>
  <si>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</si>
  <si>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</si>
  <si>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</si>
  <si>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</si>
  <si>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</si>
  <si>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</si>
  <si>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</si>
  <si>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</si>
  <si>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</si>
  <si>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</si>
  <si>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</si>
  <si>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</si>
  <si>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</si>
  <si>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</si>
  <si>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</si>
  <si>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</si>
  <si>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</si>
  <si>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</si>
  <si>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</si>
  <si>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</si>
  <si>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</si>
  <si>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</si>
  <si>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</si>
  <si>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</si>
  <si>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</si>
  <si>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3237</t>
  </si>
  <si>
    <t>2603</t>
  </si>
  <si>
    <t>2604</t>
  </si>
  <si>
    <t>2605</t>
  </si>
  <si>
    <t>2606</t>
  </si>
  <si>
    <t>2607</t>
  </si>
  <si>
    <t>2608</t>
  </si>
  <si>
    <t>2610</t>
  </si>
  <si>
    <t>2612</t>
  </si>
  <si>
    <t>2613</t>
  </si>
  <si>
    <t>2615</t>
  </si>
  <si>
    <t>2616</t>
  </si>
  <si>
    <t>2710</t>
  </si>
  <si>
    <t>2712</t>
  </si>
  <si>
    <t>2714</t>
  </si>
  <si>
    <t>2717</t>
  </si>
  <si>
    <t>2718</t>
  </si>
  <si>
    <t>2716</t>
  </si>
  <si>
    <t>2713</t>
  </si>
  <si>
    <t>2720</t>
  </si>
  <si>
    <t>2722</t>
  </si>
  <si>
    <t>2723</t>
  </si>
  <si>
    <t>2345</t>
  </si>
  <si>
    <t>2340</t>
  </si>
  <si>
    <t>2350</t>
  </si>
  <si>
    <t>2353</t>
  </si>
  <si>
    <t>2354</t>
  </si>
  <si>
    <t>2732</t>
  </si>
  <si>
    <t>2733</t>
  </si>
  <si>
    <t>2735</t>
  </si>
  <si>
    <t>2736</t>
  </si>
  <si>
    <t>2738</t>
  </si>
  <si>
    <t>2740</t>
  </si>
  <si>
    <t>2742</t>
  </si>
  <si>
    <t>2748</t>
  </si>
  <si>
    <t>2743</t>
  </si>
  <si>
    <t>2744</t>
  </si>
  <si>
    <t>2747</t>
  </si>
  <si>
    <t>2745</t>
  </si>
  <si>
    <t>2746</t>
  </si>
  <si>
    <t>2762</t>
  </si>
  <si>
    <t>2832</t>
  </si>
  <si>
    <t>2830</t>
  </si>
  <si>
    <t>2800</t>
  </si>
  <si>
    <t>2802</t>
  </si>
  <si>
    <t>2803</t>
  </si>
  <si>
    <t>2805</t>
  </si>
  <si>
    <t>2806</t>
  </si>
  <si>
    <t>2807</t>
  </si>
  <si>
    <t>2812</t>
  </si>
  <si>
    <t>2813</t>
  </si>
  <si>
    <t>2814</t>
  </si>
  <si>
    <t>2822</t>
  </si>
  <si>
    <t>2823</t>
  </si>
  <si>
    <t>2824</t>
  </si>
  <si>
    <t>2825</t>
  </si>
  <si>
    <t>2826</t>
  </si>
  <si>
    <t>2827</t>
  </si>
  <si>
    <t>2828</t>
  </si>
  <si>
    <t>2829</t>
  </si>
  <si>
    <t>2842</t>
  </si>
  <si>
    <t>2843</t>
  </si>
  <si>
    <t>2852</t>
  </si>
  <si>
    <t>2853</t>
  </si>
  <si>
    <t>2854</t>
  </si>
  <si>
    <t>2855</t>
  </si>
  <si>
    <t>2856</t>
  </si>
  <si>
    <t>2857</t>
  </si>
  <si>
    <t>2863</t>
  </si>
  <si>
    <t>2864</t>
  </si>
  <si>
    <t>2873</t>
  </si>
  <si>
    <t>2874</t>
  </si>
  <si>
    <t>2875</t>
  </si>
  <si>
    <t>2877</t>
  </si>
  <si>
    <t>2882</t>
  </si>
  <si>
    <t>2883</t>
  </si>
  <si>
    <t>2884</t>
  </si>
  <si>
    <t>2885</t>
  </si>
  <si>
    <t>2886</t>
  </si>
  <si>
    <t>2887</t>
  </si>
  <si>
    <t>2888</t>
  </si>
  <si>
    <t>2889</t>
  </si>
  <si>
    <t>2950</t>
  </si>
  <si>
    <t>2900</t>
  </si>
  <si>
    <t>2902</t>
  </si>
  <si>
    <t>2903</t>
  </si>
  <si>
    <t>2904</t>
  </si>
  <si>
    <t>2905</t>
  </si>
  <si>
    <t>2906</t>
  </si>
  <si>
    <t>2907</t>
  </si>
  <si>
    <t>2908</t>
  </si>
  <si>
    <t>2912</t>
  </si>
  <si>
    <t>2914</t>
  </si>
  <si>
    <t>2915</t>
  </si>
  <si>
    <t>2916</t>
  </si>
  <si>
    <t>2922</t>
  </si>
  <si>
    <t>2923</t>
  </si>
  <si>
    <t>2924</t>
  </si>
  <si>
    <t>2925</t>
  </si>
  <si>
    <t>2926</t>
  </si>
  <si>
    <t>2932</t>
  </si>
  <si>
    <t>2935</t>
  </si>
  <si>
    <t>2942</t>
  </si>
  <si>
    <t>2943</t>
  </si>
  <si>
    <t>2944</t>
  </si>
  <si>
    <t>2946</t>
  </si>
  <si>
    <t>2947</t>
  </si>
  <si>
    <t>2952</t>
  </si>
  <si>
    <t>2954</t>
  </si>
  <si>
    <t>3000</t>
  </si>
  <si>
    <t>3004</t>
  </si>
  <si>
    <t>3005</t>
  </si>
  <si>
    <t>3006</t>
  </si>
  <si>
    <t>3007</t>
  </si>
  <si>
    <t>3008</t>
  </si>
  <si>
    <t>3010</t>
  </si>
  <si>
    <t>3011</t>
  </si>
  <si>
    <t>3012</t>
  </si>
  <si>
    <t>3013</t>
  </si>
  <si>
    <t>3014</t>
  </si>
  <si>
    <t>3015</t>
  </si>
  <si>
    <t>3018</t>
  </si>
  <si>
    <t>3019</t>
  </si>
  <si>
    <t>3020</t>
  </si>
  <si>
    <t>3027</t>
  </si>
  <si>
    <t>3095</t>
  </si>
  <si>
    <t>3032</t>
  </si>
  <si>
    <t>3033</t>
  </si>
  <si>
    <t>3034</t>
  </si>
  <si>
    <t>3035</t>
  </si>
  <si>
    <t>3036</t>
  </si>
  <si>
    <t>3037</t>
  </si>
  <si>
    <t>3038</t>
  </si>
  <si>
    <t>3042</t>
  </si>
  <si>
    <t>3043</t>
  </si>
  <si>
    <t>3049</t>
  </si>
  <si>
    <t>3045</t>
  </si>
  <si>
    <t>3046</t>
  </si>
  <si>
    <t>3047</t>
  </si>
  <si>
    <t>3048</t>
  </si>
  <si>
    <t>3052</t>
  </si>
  <si>
    <t>3053</t>
  </si>
  <si>
    <t>3054</t>
  </si>
  <si>
    <t>3063</t>
  </si>
  <si>
    <t>3065</t>
  </si>
  <si>
    <t>3066</t>
  </si>
  <si>
    <t>3067</t>
  </si>
  <si>
    <t>3068</t>
  </si>
  <si>
    <t>3072</t>
  </si>
  <si>
    <t>3073</t>
  </si>
  <si>
    <t>3074</t>
  </si>
  <si>
    <t>3075</t>
  </si>
  <si>
    <t>3076</t>
  </si>
  <si>
    <t>3077</t>
  </si>
  <si>
    <t>3078</t>
  </si>
  <si>
    <t>3082</t>
  </si>
  <si>
    <t>3083</t>
  </si>
  <si>
    <t>3084</t>
  </si>
  <si>
    <t>3088</t>
  </si>
  <si>
    <t>3086</t>
  </si>
  <si>
    <t>3087</t>
  </si>
  <si>
    <t>3089</t>
  </si>
  <si>
    <t>3096</t>
  </si>
  <si>
    <t>3097</t>
  </si>
  <si>
    <t>3098</t>
  </si>
  <si>
    <t>3099</t>
  </si>
  <si>
    <t>3110</t>
  </si>
  <si>
    <t>3112</t>
  </si>
  <si>
    <t>3114</t>
  </si>
  <si>
    <t>3115</t>
  </si>
  <si>
    <t>3116</t>
  </si>
  <si>
    <t>3629</t>
  </si>
  <si>
    <t>3628</t>
  </si>
  <si>
    <t>3122</t>
  </si>
  <si>
    <t>3123</t>
  </si>
  <si>
    <t>3124</t>
  </si>
  <si>
    <t>3125</t>
  </si>
  <si>
    <t>3126</t>
  </si>
  <si>
    <t>3127</t>
  </si>
  <si>
    <t>3128</t>
  </si>
  <si>
    <t>3132</t>
  </si>
  <si>
    <t>3664</t>
  </si>
  <si>
    <t>3665</t>
  </si>
  <si>
    <t>3662</t>
  </si>
  <si>
    <t>3663</t>
  </si>
  <si>
    <t>3661</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</si>
  <si>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</si>
  <si>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</si>
  <si>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</si>
  <si>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</si>
  <si>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</si>
  <si>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</si>
  <si>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</si>
  <si>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</si>
  <si>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</si>
  <si>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</si>
  <si>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</si>
  <si>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</si>
  <si>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</si>
  <si>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</si>
  <si>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</si>
  <si>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</si>
  <si>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</si>
  <si>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</si>
  <si>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</si>
  <si>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</si>
  <si>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</si>
  <si>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</si>
  <si>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</si>
  <si>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</si>
  <si>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3186</t>
  </si>
  <si>
    <t>3202</t>
  </si>
  <si>
    <t>3203</t>
  </si>
  <si>
    <t>3204</t>
  </si>
  <si>
    <t>3205</t>
  </si>
  <si>
    <t>3206</t>
  </si>
  <si>
    <t>3207</t>
  </si>
  <si>
    <t>3208</t>
  </si>
  <si>
    <t>3210</t>
  </si>
  <si>
    <t>3216</t>
  </si>
  <si>
    <t>3215</t>
  </si>
  <si>
    <t>3214</t>
  </si>
  <si>
    <t>3213</t>
  </si>
  <si>
    <t>3212</t>
  </si>
  <si>
    <t>3225</t>
  </si>
  <si>
    <t>3226</t>
  </si>
  <si>
    <t>3232</t>
  </si>
  <si>
    <t>3233</t>
  </si>
  <si>
    <t>3234</t>
  </si>
  <si>
    <t>3235</t>
  </si>
  <si>
    <t>3236</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</si>
  <si>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</si>
  <si>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</si>
  <si>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</si>
  <si>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</si>
  <si>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</si>
  <si>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</si>
  <si>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</si>
  <si>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</si>
  <si>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</si>
  <si>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</si>
  <si>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</si>
  <si>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</si>
  <si>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</si>
  <si>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</si>
  <si>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</si>
  <si>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</si>
  <si>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</si>
  <si>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</si>
  <si>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</si>
  <si>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</si>
  <si>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</si>
  <si>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</si>
  <si>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</si>
  <si>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</si>
  <si>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</si>
  <si>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</si>
  <si>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</si>
  <si>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</si>
  <si>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</si>
  <si>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</si>
  <si>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</si>
  <si>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</si>
  <si>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</si>
  <si>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</si>
  <si>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3308</t>
  </si>
  <si>
    <t>3312</t>
  </si>
  <si>
    <t>3313</t>
  </si>
  <si>
    <t>3314</t>
  </si>
  <si>
    <t>3315</t>
  </si>
  <si>
    <t>3322</t>
  </si>
  <si>
    <t>3323</t>
  </si>
  <si>
    <t>3324</t>
  </si>
  <si>
    <t>3325</t>
  </si>
  <si>
    <t>3326</t>
  </si>
  <si>
    <t>3305</t>
  </si>
  <si>
    <t>3306</t>
  </si>
  <si>
    <t>3307</t>
  </si>
  <si>
    <t>3309</t>
  </si>
  <si>
    <t>3317</t>
  </si>
  <si>
    <t>3360</t>
  </si>
  <si>
    <t>4556</t>
  </si>
  <si>
    <t>3376</t>
  </si>
  <si>
    <t>3372</t>
  </si>
  <si>
    <t>3373</t>
  </si>
  <si>
    <t>3374</t>
  </si>
  <si>
    <t>3362</t>
  </si>
  <si>
    <t>3363</t>
  </si>
  <si>
    <t>3365</t>
  </si>
  <si>
    <t>3366</t>
  </si>
  <si>
    <t>3367</t>
  </si>
  <si>
    <t>3368</t>
  </si>
  <si>
    <t>3400</t>
  </si>
  <si>
    <t>3412</t>
  </si>
  <si>
    <t>3413</t>
  </si>
  <si>
    <t>3414</t>
  </si>
  <si>
    <t>3416</t>
  </si>
  <si>
    <t>3417</t>
  </si>
  <si>
    <t>3418</t>
  </si>
  <si>
    <t>3419</t>
  </si>
  <si>
    <t>3421</t>
  </si>
  <si>
    <t>3422</t>
  </si>
  <si>
    <t>3423</t>
  </si>
  <si>
    <t>3424</t>
  </si>
  <si>
    <t>3425</t>
  </si>
  <si>
    <t>3426</t>
  </si>
  <si>
    <t>3427</t>
  </si>
  <si>
    <t>3428</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</si>
  <si>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</si>
  <si>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</si>
  <si>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</si>
  <si>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</si>
  <si>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</si>
  <si>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</si>
  <si>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</si>
  <si>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</si>
  <si>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</si>
  <si>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</si>
  <si>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</si>
  <si>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</si>
  <si>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</si>
  <si>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</si>
  <si>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</si>
  <si>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</si>
  <si>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</si>
  <si>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</si>
  <si>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</si>
  <si>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</si>
  <si>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</si>
  <si>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</si>
  <si>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</si>
  <si>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3111</t>
  </si>
  <si>
    <t>3503</t>
  </si>
  <si>
    <t>3504</t>
  </si>
  <si>
    <t>3506</t>
  </si>
  <si>
    <t>3507</t>
  </si>
  <si>
    <t>3508</t>
  </si>
  <si>
    <t>3510</t>
  </si>
  <si>
    <t>3512</t>
  </si>
  <si>
    <t>3513</t>
  </si>
  <si>
    <t>3415</t>
  </si>
  <si>
    <t>3672</t>
  </si>
  <si>
    <t>3673</t>
  </si>
  <si>
    <t>3674</t>
  </si>
  <si>
    <t>3671</t>
  </si>
  <si>
    <t>3531</t>
  </si>
  <si>
    <t>3532</t>
  </si>
  <si>
    <t>3533</t>
  </si>
  <si>
    <t>3534</t>
  </si>
  <si>
    <t>3535</t>
  </si>
  <si>
    <t>3536</t>
  </si>
  <si>
    <t>3537</t>
  </si>
  <si>
    <t>3538</t>
  </si>
  <si>
    <t>3543</t>
  </si>
  <si>
    <t>3550</t>
  </si>
  <si>
    <t>3551</t>
  </si>
  <si>
    <t>3552</t>
  </si>
  <si>
    <t>3553</t>
  </si>
  <si>
    <t>3555</t>
  </si>
  <si>
    <t>3556</t>
  </si>
  <si>
    <t>3557</t>
  </si>
  <si>
    <t>3600</t>
  </si>
  <si>
    <t>3603</t>
  </si>
  <si>
    <t>3604</t>
  </si>
  <si>
    <t>3608</t>
  </si>
  <si>
    <t>3617</t>
  </si>
  <si>
    <t>3618</t>
  </si>
  <si>
    <t>3619</t>
  </si>
  <si>
    <t>3622</t>
  </si>
  <si>
    <t>3635</t>
  </si>
  <si>
    <t>3631</t>
  </si>
  <si>
    <t>3636</t>
  </si>
  <si>
    <t>3612</t>
  </si>
  <si>
    <t>3613</t>
  </si>
  <si>
    <t>3614</t>
  </si>
  <si>
    <t>3615</t>
  </si>
  <si>
    <t>3616</t>
  </si>
  <si>
    <t>3623</t>
  </si>
  <si>
    <t>3624</t>
  </si>
  <si>
    <t>3625</t>
  </si>
  <si>
    <t>3626</t>
  </si>
  <si>
    <t>3627</t>
  </si>
  <si>
    <t>3633</t>
  </si>
  <si>
    <t>3634</t>
  </si>
  <si>
    <t>3638</t>
  </si>
  <si>
    <t>3645</t>
  </si>
  <si>
    <t>3646</t>
  </si>
  <si>
    <t>3647</t>
  </si>
  <si>
    <t>3652</t>
  </si>
  <si>
    <t>3653</t>
  </si>
  <si>
    <t>3654</t>
  </si>
  <si>
    <t>3655</t>
  </si>
  <si>
    <t>3656</t>
  </si>
  <si>
    <t>3657</t>
  </si>
  <si>
    <t>3658</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</si>
  <si>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</si>
  <si>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</si>
  <si>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</si>
  <si>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</si>
  <si>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</si>
  <si>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</si>
  <si>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</si>
  <si>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</si>
  <si>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</si>
  <si>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</si>
  <si>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</si>
  <si>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</si>
  <si>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</si>
  <si>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</si>
  <si>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</si>
  <si>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</si>
  <si>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</si>
  <si>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</si>
  <si>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</si>
  <si>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</si>
  <si>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</si>
  <si>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</si>
  <si>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</si>
  <si>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</si>
  <si>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</si>
  <si>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</si>
  <si>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</si>
  <si>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</si>
  <si>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</si>
  <si>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</si>
  <si>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</si>
  <si>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</si>
  <si>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</si>
  <si>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</si>
  <si>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</si>
  <si>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</si>
  <si>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</si>
  <si>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</si>
  <si>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</si>
  <si>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</si>
  <si>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</si>
  <si>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</si>
  <si>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</si>
  <si>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</si>
  <si>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</si>
  <si>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</si>
  <si>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</si>
  <si>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</si>
  <si>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</si>
  <si>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</si>
  <si>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</si>
  <si>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</si>
  <si>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</si>
  <si>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</si>
  <si>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</si>
  <si>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</si>
  <si>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</si>
  <si>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</si>
  <si>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</si>
  <si>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</si>
  <si>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</si>
  <si>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</si>
  <si>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</si>
  <si>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</si>
  <si>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</si>
  <si>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</si>
  <si>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</si>
  <si>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</si>
  <si>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</si>
  <si>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</si>
  <si>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</si>
  <si>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</si>
  <si>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</si>
  <si>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</si>
  <si>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</si>
  <si>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3949</t>
  </si>
  <si>
    <t>3903</t>
  </si>
  <si>
    <t>3914</t>
  </si>
  <si>
    <t>3913</t>
  </si>
  <si>
    <t>3911</t>
  </si>
  <si>
    <t>3912</t>
  </si>
  <si>
    <t>3901</t>
  </si>
  <si>
    <t>3907</t>
  </si>
  <si>
    <t>3922</t>
  </si>
  <si>
    <t>3908</t>
  </si>
  <si>
    <t>3910</t>
  </si>
  <si>
    <t>3902</t>
  </si>
  <si>
    <t>3917</t>
  </si>
  <si>
    <t>3916</t>
  </si>
  <si>
    <t>3918</t>
  </si>
  <si>
    <t>3919</t>
  </si>
  <si>
    <t>3904</t>
  </si>
  <si>
    <t>3905</t>
  </si>
  <si>
    <t>3906</t>
  </si>
  <si>
    <t>3920</t>
  </si>
  <si>
    <t>3923</t>
  </si>
  <si>
    <t>3926</t>
  </si>
  <si>
    <t>3927</t>
  </si>
  <si>
    <t>3928</t>
  </si>
  <si>
    <t>3929</t>
  </si>
  <si>
    <t>3924</t>
  </si>
  <si>
    <t>3925</t>
  </si>
  <si>
    <t>3930</t>
  </si>
  <si>
    <t>3942</t>
  </si>
  <si>
    <t>3933</t>
  </si>
  <si>
    <t>3937</t>
  </si>
  <si>
    <t>3938</t>
  </si>
  <si>
    <t>3939</t>
  </si>
  <si>
    <t>3931</t>
  </si>
  <si>
    <t>3932</t>
  </si>
  <si>
    <t>3934</t>
  </si>
  <si>
    <t>3935</t>
  </si>
  <si>
    <t>3943</t>
  </si>
  <si>
    <t>3944</t>
  </si>
  <si>
    <t>3947</t>
  </si>
  <si>
    <t>3948</t>
  </si>
  <si>
    <t>3946</t>
  </si>
  <si>
    <t>3951</t>
  </si>
  <si>
    <t>3955</t>
  </si>
  <si>
    <t>3956</t>
  </si>
  <si>
    <t>3957</t>
  </si>
  <si>
    <t>3953</t>
  </si>
  <si>
    <t>3976</t>
  </si>
  <si>
    <t>3978</t>
  </si>
  <si>
    <t>1978</t>
  </si>
  <si>
    <t>1977</t>
  </si>
  <si>
    <t>3979</t>
  </si>
  <si>
    <t>3945</t>
  </si>
  <si>
    <t>3952</t>
  </si>
  <si>
    <t>3954</t>
  </si>
  <si>
    <t>3970</t>
  </si>
  <si>
    <t>3977</t>
  </si>
  <si>
    <t>1958</t>
  </si>
  <si>
    <t>3960</t>
  </si>
  <si>
    <t>3971</t>
  </si>
  <si>
    <t>3972</t>
  </si>
  <si>
    <t>3973</t>
  </si>
  <si>
    <t>3974</t>
  </si>
  <si>
    <t>3975</t>
  </si>
  <si>
    <t>3961</t>
  </si>
  <si>
    <t>3967</t>
  </si>
  <si>
    <t>3963</t>
  </si>
  <si>
    <t>3965</t>
  </si>
  <si>
    <t>3966</t>
  </si>
  <si>
    <t>3968</t>
  </si>
  <si>
    <t>3982</t>
  </si>
  <si>
    <t>3993</t>
  </si>
  <si>
    <t>3994</t>
  </si>
  <si>
    <t>3997</t>
  </si>
  <si>
    <t>3989</t>
  </si>
  <si>
    <t>3998</t>
  </si>
  <si>
    <t>3985</t>
  </si>
  <si>
    <t>3988</t>
  </si>
  <si>
    <t>3999</t>
  </si>
  <si>
    <t>3986</t>
  </si>
  <si>
    <t>3987</t>
  </si>
  <si>
    <t>3991</t>
  </si>
  <si>
    <t>3992</t>
  </si>
  <si>
    <t>3995</t>
  </si>
  <si>
    <t>3996</t>
  </si>
  <si>
    <t>3983</t>
  </si>
  <si>
    <t>3984</t>
  </si>
  <si>
    <t>4000</t>
  </si>
  <si>
    <t>4001</t>
  </si>
  <si>
    <t>4031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</si>
  <si>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</si>
  <si>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</si>
  <si>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</si>
  <si>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</si>
  <si>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</si>
  <si>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</si>
  <si>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</si>
  <si>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</si>
  <si>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</si>
  <si>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</si>
  <si>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</si>
  <si>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</si>
  <si>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</si>
  <si>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</si>
  <si>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</si>
  <si>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</si>
  <si>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</si>
  <si>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</si>
  <si>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</si>
  <si>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</si>
  <si>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</si>
  <si>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</si>
  <si>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</si>
  <si>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</si>
  <si>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</si>
  <si>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</si>
  <si>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</si>
  <si>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</si>
  <si>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</si>
  <si>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</si>
  <si>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</si>
  <si>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</si>
  <si>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</si>
  <si>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</si>
  <si>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</si>
  <si>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</si>
  <si>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</si>
  <si>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</si>
  <si>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</si>
  <si>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</si>
  <si>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4206</t>
  </si>
  <si>
    <t>4207</t>
  </si>
  <si>
    <t>4208</t>
  </si>
  <si>
    <t>4222</t>
  </si>
  <si>
    <t>4225</t>
  </si>
  <si>
    <t>4226</t>
  </si>
  <si>
    <t>4227</t>
  </si>
  <si>
    <t>4228</t>
  </si>
  <si>
    <t>4242</t>
  </si>
  <si>
    <t>4243</t>
  </si>
  <si>
    <t>4244</t>
  </si>
  <si>
    <t>4245</t>
  </si>
  <si>
    <t>4204</t>
  </si>
  <si>
    <t>4223</t>
  </si>
  <si>
    <t>4224</t>
  </si>
  <si>
    <t>4229</t>
  </si>
  <si>
    <t>4232</t>
  </si>
  <si>
    <t>4233</t>
  </si>
  <si>
    <t>4234</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</si>
  <si>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</si>
  <si>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</si>
  <si>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</si>
  <si>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</si>
  <si>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</si>
  <si>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</si>
  <si>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</si>
  <si>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</si>
  <si>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</si>
  <si>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</si>
  <si>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</si>
  <si>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</si>
  <si>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</si>
  <si>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</si>
  <si>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</si>
  <si>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</si>
  <si>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</si>
  <si>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</si>
  <si>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</si>
  <si>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</si>
  <si>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</si>
  <si>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</si>
  <si>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</si>
  <si>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5080</t>
  </si>
  <si>
    <t>5082</t>
  </si>
  <si>
    <t>5083</t>
  </si>
  <si>
    <t>5084</t>
  </si>
  <si>
    <t>5085</t>
  </si>
  <si>
    <t>5275</t>
  </si>
  <si>
    <t>5274</t>
  </si>
  <si>
    <t>5273</t>
  </si>
  <si>
    <t>5272</t>
  </si>
  <si>
    <t>5276</t>
  </si>
  <si>
    <t>5277</t>
  </si>
  <si>
    <t>5326</t>
  </si>
  <si>
    <t>5325</t>
  </si>
  <si>
    <t>5324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</si>
  <si>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</si>
  <si>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</si>
  <si>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</si>
  <si>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</si>
  <si>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</si>
  <si>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</si>
  <si>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</si>
  <si>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</si>
  <si>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</si>
  <si>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</si>
  <si>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</si>
  <si>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</si>
  <si>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</si>
  <si>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</si>
  <si>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</si>
  <si>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</si>
  <si>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</si>
  <si>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</si>
  <si>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</si>
  <si>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</si>
  <si>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</si>
  <si>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</si>
  <si>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</si>
  <si>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</si>
  <si>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</si>
  <si>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</si>
  <si>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</si>
  <si>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</si>
  <si>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</si>
  <si>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</si>
  <si>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</si>
  <si>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</si>
  <si>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</si>
  <si>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</si>
  <si>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</si>
  <si>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</si>
  <si>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</si>
  <si>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</si>
  <si>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</si>
  <si>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</si>
  <si>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</si>
  <si>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</si>
  <si>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</si>
  <si>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4465</t>
  </si>
  <si>
    <t>4469</t>
  </si>
  <si>
    <t>4462</t>
  </si>
  <si>
    <t>4463</t>
  </si>
  <si>
    <t>4464</t>
  </si>
  <si>
    <t>4466</t>
  </si>
  <si>
    <t>4467</t>
  </si>
  <si>
    <t>4468</t>
  </si>
  <si>
    <t>4492</t>
  </si>
  <si>
    <t>4493</t>
  </si>
  <si>
    <t>4494</t>
  </si>
  <si>
    <t>4495</t>
  </si>
  <si>
    <t>4496</t>
  </si>
  <si>
    <t>4497</t>
  </si>
  <si>
    <t>4500</t>
  </si>
  <si>
    <t>4515</t>
  </si>
  <si>
    <t>4525</t>
  </si>
  <si>
    <t>4523</t>
  </si>
  <si>
    <t>4535</t>
  </si>
  <si>
    <t>4539</t>
  </si>
  <si>
    <t>4557</t>
  </si>
  <si>
    <t>4558</t>
  </si>
  <si>
    <t>4512</t>
  </si>
  <si>
    <t>4513</t>
  </si>
  <si>
    <t>4514</t>
  </si>
  <si>
    <t>4522</t>
  </si>
  <si>
    <t>4524</t>
  </si>
  <si>
    <t>4528</t>
  </si>
  <si>
    <t>4532</t>
  </si>
  <si>
    <t>4533</t>
  </si>
  <si>
    <t>4534</t>
  </si>
  <si>
    <t>4536</t>
  </si>
  <si>
    <t>4537</t>
  </si>
  <si>
    <t>4538</t>
  </si>
  <si>
    <t>4552</t>
  </si>
  <si>
    <t>4553</t>
  </si>
  <si>
    <t>4554</t>
  </si>
  <si>
    <t>3375</t>
  </si>
  <si>
    <t>4562</t>
  </si>
  <si>
    <t>4563</t>
  </si>
  <si>
    <t>4564</t>
  </si>
  <si>
    <t>4565</t>
  </si>
  <si>
    <t>4566</t>
  </si>
  <si>
    <t>4581</t>
  </si>
  <si>
    <t>4586</t>
  </si>
  <si>
    <t>4582</t>
  </si>
  <si>
    <t>4583</t>
  </si>
  <si>
    <t>4579</t>
  </si>
  <si>
    <t>4578</t>
  </si>
  <si>
    <t>4571</t>
  </si>
  <si>
    <t>4576</t>
  </si>
  <si>
    <t>4577</t>
  </si>
  <si>
    <t>4585</t>
  </si>
  <si>
    <t>4587</t>
  </si>
  <si>
    <t>4588</t>
  </si>
  <si>
    <t>4574</t>
  </si>
  <si>
    <t>4600</t>
  </si>
  <si>
    <t>4612</t>
  </si>
  <si>
    <t>4613</t>
  </si>
  <si>
    <t>4614</t>
  </si>
  <si>
    <t>4616</t>
  </si>
  <si>
    <t>4617</t>
  </si>
  <si>
    <t>4618</t>
  </si>
  <si>
    <t>4622</t>
  </si>
  <si>
    <t>4623</t>
  </si>
  <si>
    <t>4624</t>
  </si>
  <si>
    <t>4625</t>
  </si>
  <si>
    <t>4626</t>
  </si>
  <si>
    <t>4632</t>
  </si>
  <si>
    <t>4652</t>
  </si>
  <si>
    <t>4653</t>
  </si>
  <si>
    <t>4654</t>
  </si>
  <si>
    <t>4655</t>
  </si>
  <si>
    <t>4656</t>
  </si>
  <si>
    <t>4657</t>
  </si>
  <si>
    <t>4658</t>
  </si>
  <si>
    <t>4663</t>
  </si>
  <si>
    <t>4665</t>
  </si>
  <si>
    <t>4615</t>
  </si>
  <si>
    <t>4633</t>
  </si>
  <si>
    <t>4634</t>
  </si>
  <si>
    <t>4702</t>
  </si>
  <si>
    <t>4703</t>
  </si>
  <si>
    <t>4704</t>
  </si>
  <si>
    <t>3380</t>
  </si>
  <si>
    <t>3377</t>
  </si>
  <si>
    <t>4543</t>
  </si>
  <si>
    <t>4542</t>
  </si>
  <si>
    <t>4710</t>
  </si>
  <si>
    <t>4714</t>
  </si>
  <si>
    <t>4715</t>
  </si>
  <si>
    <t>4719</t>
  </si>
  <si>
    <t>4712</t>
  </si>
  <si>
    <t>4713</t>
  </si>
  <si>
    <t>4716</t>
  </si>
  <si>
    <t>4717</t>
  </si>
  <si>
    <t>4718</t>
  </si>
  <si>
    <t>4800</t>
  </si>
  <si>
    <t>4802</t>
  </si>
  <si>
    <t>4803</t>
  </si>
  <si>
    <t>4805</t>
  </si>
  <si>
    <t>4806</t>
  </si>
  <si>
    <t>4812</t>
  </si>
  <si>
    <t>4813</t>
  </si>
  <si>
    <t>4814</t>
  </si>
  <si>
    <t>4852</t>
  </si>
  <si>
    <t>4853</t>
  </si>
  <si>
    <t>4629</t>
  </si>
  <si>
    <t>4628</t>
  </si>
  <si>
    <t>4856</t>
  </si>
  <si>
    <t>4900</t>
  </si>
  <si>
    <t>4911</t>
  </si>
  <si>
    <t>4912</t>
  </si>
  <si>
    <t>4913</t>
  </si>
  <si>
    <t>4914</t>
  </si>
  <si>
    <t>4915</t>
  </si>
  <si>
    <t>4916</t>
  </si>
  <si>
    <t>4917</t>
  </si>
  <si>
    <t>4955</t>
  </si>
  <si>
    <t>4919</t>
  </si>
  <si>
    <t>4922</t>
  </si>
  <si>
    <t>4923</t>
  </si>
  <si>
    <t>4924</t>
  </si>
  <si>
    <t>4932</t>
  </si>
  <si>
    <t>4933</t>
  </si>
  <si>
    <t>4934</t>
  </si>
  <si>
    <t>4935</t>
  </si>
  <si>
    <t>4936</t>
  </si>
  <si>
    <t>4937</t>
  </si>
  <si>
    <t>4938</t>
  </si>
  <si>
    <t>4942</t>
  </si>
  <si>
    <t>4943</t>
  </si>
  <si>
    <t>4944</t>
  </si>
  <si>
    <t>4950</t>
  </si>
  <si>
    <t>4952</t>
  </si>
  <si>
    <t>4953</t>
  </si>
  <si>
    <t>4954</t>
  </si>
  <si>
    <t>5000</t>
  </si>
  <si>
    <t>5004</t>
  </si>
  <si>
    <t>5012</t>
  </si>
  <si>
    <t>5013</t>
  </si>
  <si>
    <t>5014</t>
  </si>
  <si>
    <t>5015</t>
  </si>
  <si>
    <t>5017</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</si>
  <si>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</si>
  <si>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</si>
  <si>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</si>
  <si>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</si>
  <si>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</si>
  <si>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</si>
  <si>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</si>
  <si>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</si>
  <si>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</si>
  <si>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</si>
  <si>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</si>
  <si>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</si>
  <si>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</si>
  <si>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</si>
  <si>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</si>
  <si>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</si>
  <si>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</si>
  <si>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</si>
  <si>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</si>
  <si>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</si>
  <si>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</si>
  <si>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</si>
  <si>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5102</t>
  </si>
  <si>
    <t>5103</t>
  </si>
  <si>
    <t>5105</t>
  </si>
  <si>
    <t>5106</t>
  </si>
  <si>
    <t>5107</t>
  </si>
  <si>
    <t>5108</t>
  </si>
  <si>
    <t>5112</t>
  </si>
  <si>
    <t>5113</t>
  </si>
  <si>
    <t>5116</t>
  </si>
  <si>
    <t>5245</t>
  </si>
  <si>
    <t>5246</t>
  </si>
  <si>
    <t>5200</t>
  </si>
  <si>
    <t>5210</t>
  </si>
  <si>
    <t>5212</t>
  </si>
  <si>
    <t>5213</t>
  </si>
  <si>
    <t>5222</t>
  </si>
  <si>
    <t>5223</t>
  </si>
  <si>
    <t>5224</t>
  </si>
  <si>
    <t>5225</t>
  </si>
  <si>
    <t>5233</t>
  </si>
  <si>
    <t>5234</t>
  </si>
  <si>
    <t>5235</t>
  </si>
  <si>
    <t>5236</t>
  </si>
  <si>
    <t>5237</t>
  </si>
  <si>
    <t>5242</t>
  </si>
  <si>
    <t>5243</t>
  </si>
  <si>
    <t>5244</t>
  </si>
  <si>
    <t>5078</t>
  </si>
  <si>
    <t>5076</t>
  </si>
  <si>
    <t>5077</t>
  </si>
  <si>
    <t>5079</t>
  </si>
  <si>
    <t>5075</t>
  </si>
  <si>
    <t>5070</t>
  </si>
  <si>
    <t>5072</t>
  </si>
  <si>
    <t>5073</t>
  </si>
  <si>
    <t>5064</t>
  </si>
  <si>
    <t>5063</t>
  </si>
  <si>
    <t>5062</t>
  </si>
  <si>
    <t>5074</t>
  </si>
  <si>
    <t>5300</t>
  </si>
  <si>
    <t>5301</t>
  </si>
  <si>
    <t>5303</t>
  </si>
  <si>
    <t>5304</t>
  </si>
  <si>
    <t>5305</t>
  </si>
  <si>
    <t>5306</t>
  </si>
  <si>
    <t>5312</t>
  </si>
  <si>
    <t>5313</t>
  </si>
  <si>
    <t>5314</t>
  </si>
  <si>
    <t>5315</t>
  </si>
  <si>
    <t>5316</t>
  </si>
  <si>
    <t>5317</t>
  </si>
  <si>
    <t>5318</t>
  </si>
  <si>
    <t>5322</t>
  </si>
  <si>
    <t>5400</t>
  </si>
  <si>
    <t>5408</t>
  </si>
  <si>
    <t>5404</t>
  </si>
  <si>
    <t>5412</t>
  </si>
  <si>
    <t>5413</t>
  </si>
  <si>
    <t>5415</t>
  </si>
  <si>
    <t>5416</t>
  </si>
  <si>
    <t>5417</t>
  </si>
  <si>
    <t>5420</t>
  </si>
  <si>
    <t>5423</t>
  </si>
  <si>
    <t>5425</t>
  </si>
  <si>
    <t>5426</t>
  </si>
  <si>
    <t>5430</t>
  </si>
  <si>
    <t>5432</t>
  </si>
  <si>
    <t>5442</t>
  </si>
  <si>
    <t>5443</t>
  </si>
  <si>
    <t>5444</t>
  </si>
  <si>
    <t>5445</t>
  </si>
  <si>
    <t>5452</t>
  </si>
  <si>
    <t>5453</t>
  </si>
  <si>
    <t>5454</t>
  </si>
  <si>
    <t>5502</t>
  </si>
  <si>
    <t>5503</t>
  </si>
  <si>
    <t>5504</t>
  </si>
  <si>
    <t>5505</t>
  </si>
  <si>
    <t>5506</t>
  </si>
  <si>
    <t>5507</t>
  </si>
  <si>
    <t>5512</t>
  </si>
  <si>
    <t>5522</t>
  </si>
  <si>
    <t>5524</t>
  </si>
  <si>
    <t>5525</t>
  </si>
  <si>
    <t>5600</t>
  </si>
  <si>
    <t>5603</t>
  </si>
  <si>
    <t>5604</t>
  </si>
  <si>
    <t>5605</t>
  </si>
  <si>
    <t>5606</t>
  </si>
  <si>
    <t>5607</t>
  </si>
  <si>
    <t>5608</t>
  </si>
  <si>
    <t>5610</t>
  </si>
  <si>
    <t>5611</t>
  </si>
  <si>
    <t>5619</t>
  </si>
  <si>
    <t>5612</t>
  </si>
  <si>
    <t>5613</t>
  </si>
  <si>
    <t>5614</t>
  </si>
  <si>
    <t>5615</t>
  </si>
  <si>
    <t>5616</t>
  </si>
  <si>
    <t>5617</t>
  </si>
  <si>
    <t>5618</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</si>
  <si>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</si>
  <si>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</si>
  <si>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</si>
  <si>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</si>
  <si>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</si>
  <si>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</si>
  <si>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</si>
  <si>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</si>
  <si>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</si>
  <si>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</si>
  <si>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</si>
  <si>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</si>
  <si>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</si>
  <si>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</si>
  <si>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</si>
  <si>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</si>
  <si>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</si>
  <si>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</si>
  <si>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</si>
  <si>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</si>
  <si>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</si>
  <si>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</si>
  <si>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</si>
  <si>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</si>
  <si>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</si>
  <si>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</si>
  <si>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</si>
  <si>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</si>
  <si>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</si>
  <si>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</si>
  <si>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</si>
  <si>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</si>
  <si>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</si>
  <si>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</si>
  <si>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</si>
  <si>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</si>
  <si>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</si>
  <si>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</si>
  <si>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</si>
  <si>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</si>
  <si>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</si>
  <si>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</si>
  <si>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</si>
  <si>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</si>
  <si>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6000</t>
  </si>
  <si>
    <t>6003</t>
  </si>
  <si>
    <t>6004</t>
  </si>
  <si>
    <t>6005</t>
  </si>
  <si>
    <t>6006</t>
  </si>
  <si>
    <t>6010</t>
  </si>
  <si>
    <t>6012</t>
  </si>
  <si>
    <t>6013</t>
  </si>
  <si>
    <t>6014</t>
  </si>
  <si>
    <t>6015</t>
  </si>
  <si>
    <t>6016</t>
  </si>
  <si>
    <t>6017</t>
  </si>
  <si>
    <t>6019</t>
  </si>
  <si>
    <t>6018</t>
  </si>
  <si>
    <t>6020</t>
  </si>
  <si>
    <t>6022</t>
  </si>
  <si>
    <t>6023</t>
  </si>
  <si>
    <t>6024</t>
  </si>
  <si>
    <t>6025</t>
  </si>
  <si>
    <t>6026</t>
  </si>
  <si>
    <t>6027</t>
  </si>
  <si>
    <t>6028</t>
  </si>
  <si>
    <t>6030</t>
  </si>
  <si>
    <t>6032</t>
  </si>
  <si>
    <t>6033</t>
  </si>
  <si>
    <t>6034</t>
  </si>
  <si>
    <t>6035</t>
  </si>
  <si>
    <t>6036</t>
  </si>
  <si>
    <t>6037</t>
  </si>
  <si>
    <t>6038</t>
  </si>
  <si>
    <t>6042</t>
  </si>
  <si>
    <t>6043</t>
  </si>
  <si>
    <t>6044</t>
  </si>
  <si>
    <t>6045</t>
  </si>
  <si>
    <t>6047</t>
  </si>
  <si>
    <t>6048</t>
  </si>
  <si>
    <t>6052</t>
  </si>
  <si>
    <t>6053</t>
  </si>
  <si>
    <t>6055</t>
  </si>
  <si>
    <t>6056</t>
  </si>
  <si>
    <t>6060</t>
  </si>
  <si>
    <t>6068</t>
  </si>
  <si>
    <t>6062</t>
  </si>
  <si>
    <t>6063</t>
  </si>
  <si>
    <t>6064</t>
  </si>
  <si>
    <t>6066</t>
  </si>
  <si>
    <t>6067</t>
  </si>
  <si>
    <t>6072</t>
  </si>
  <si>
    <t>6073</t>
  </si>
  <si>
    <t>6074</t>
  </si>
  <si>
    <t>6078</t>
  </si>
  <si>
    <t>6083</t>
  </si>
  <si>
    <t>6084</t>
  </si>
  <si>
    <t>6085</t>
  </si>
  <si>
    <t>6086</t>
  </si>
  <si>
    <t>6102</t>
  </si>
  <si>
    <t>6103</t>
  </si>
  <si>
    <t>6105</t>
  </si>
  <si>
    <t>6106</t>
  </si>
  <si>
    <t>6110</t>
  </si>
  <si>
    <t>6114</t>
  </si>
  <si>
    <t>6112</t>
  </si>
  <si>
    <t>6113</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</si>
  <si>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</si>
  <si>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</si>
  <si>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</si>
  <si>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</si>
  <si>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</si>
  <si>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</si>
  <si>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</si>
  <si>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</si>
  <si>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</si>
  <si>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</si>
  <si>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</si>
  <si>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</si>
  <si>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</si>
  <si>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</si>
  <si>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</si>
  <si>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</si>
  <si>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</si>
  <si>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</si>
  <si>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</si>
  <si>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</si>
  <si>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</si>
  <si>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</si>
  <si>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</si>
  <si>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</si>
  <si>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</si>
  <si>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</si>
  <si>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</si>
  <si>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</si>
  <si>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</si>
  <si>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</si>
  <si>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</si>
  <si>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</si>
  <si>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</si>
  <si>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</si>
  <si>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</si>
  <si>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</si>
  <si>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</si>
  <si>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</si>
  <si>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</si>
  <si>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</si>
  <si>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</si>
  <si>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</si>
  <si>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</si>
  <si>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</si>
  <si>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</si>
  <si>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</si>
  <si>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</si>
  <si>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</si>
  <si>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</si>
  <si>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6236</t>
  </si>
  <si>
    <t>6235</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</si>
  <si>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</si>
  <si>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</si>
  <si>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</si>
  <si>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</si>
  <si>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</si>
  <si>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</si>
  <si>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</si>
  <si>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</si>
  <si>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</si>
  <si>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</si>
  <si>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</si>
  <si>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</si>
  <si>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</si>
  <si>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</si>
  <si>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</si>
  <si>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</si>
  <si>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</si>
  <si>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</si>
  <si>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</si>
  <si>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</si>
  <si>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</si>
  <si>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</si>
  <si>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6289</t>
  </si>
  <si>
    <t>6286</t>
  </si>
  <si>
    <t>6287</t>
  </si>
  <si>
    <t>6288</t>
  </si>
  <si>
    <t>6294</t>
  </si>
  <si>
    <t>6295</t>
  </si>
  <si>
    <t>6300</t>
  </si>
  <si>
    <t>6313</t>
  </si>
  <si>
    <t>6319</t>
  </si>
  <si>
    <t>6315</t>
  </si>
  <si>
    <t>6312</t>
  </si>
  <si>
    <t>6314</t>
  </si>
  <si>
    <t>6317</t>
  </si>
  <si>
    <t>6318</t>
  </si>
  <si>
    <t>6330</t>
  </si>
  <si>
    <t>6331</t>
  </si>
  <si>
    <t>6332</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</si>
  <si>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</si>
  <si>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</si>
  <si>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</si>
  <si>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</si>
  <si>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</si>
  <si>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</si>
  <si>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</si>
  <si>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</si>
  <si>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</si>
  <si>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</si>
  <si>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</si>
  <si>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</si>
  <si>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</si>
  <si>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</si>
  <si>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</si>
  <si>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</si>
  <si>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</si>
  <si>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</si>
  <si>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</si>
  <si>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</si>
  <si>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</si>
  <si>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</si>
  <si>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</si>
  <si>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</si>
  <si>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</si>
  <si>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</si>
  <si>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</si>
  <si>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</si>
  <si>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</si>
  <si>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</si>
  <si>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</si>
  <si>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</si>
  <si>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</si>
  <si>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</si>
  <si>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</si>
  <si>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</si>
  <si>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</si>
  <si>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6436</t>
  </si>
  <si>
    <t>6432</t>
  </si>
  <si>
    <t>6433</t>
  </si>
  <si>
    <t>6434</t>
  </si>
  <si>
    <t>6438</t>
  </si>
  <si>
    <t>6440</t>
  </si>
  <si>
    <t>6441</t>
  </si>
  <si>
    <t>6442</t>
  </si>
  <si>
    <t>6443</t>
  </si>
  <si>
    <t>6452</t>
  </si>
  <si>
    <t>6454</t>
  </si>
  <si>
    <t>6460</t>
  </si>
  <si>
    <t>6461</t>
  </si>
  <si>
    <t>6462</t>
  </si>
  <si>
    <t>6463</t>
  </si>
  <si>
    <t>6464</t>
  </si>
  <si>
    <t>6465</t>
  </si>
  <si>
    <t>6466</t>
  </si>
  <si>
    <t>6467</t>
  </si>
  <si>
    <t>6469</t>
  </si>
  <si>
    <t>6468</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</si>
  <si>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</si>
  <si>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</si>
  <si>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</si>
  <si>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</si>
  <si>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</si>
  <si>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</si>
  <si>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</si>
  <si>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</si>
  <si>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</si>
  <si>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</si>
  <si>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</si>
  <si>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</si>
  <si>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</si>
  <si>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</si>
  <si>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</si>
  <si>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</si>
  <si>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</si>
  <si>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</si>
  <si>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</si>
  <si>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</si>
  <si>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</si>
  <si>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6525</t>
  </si>
  <si>
    <t>6526</t>
  </si>
  <si>
    <t>6527</t>
  </si>
  <si>
    <t>6528</t>
  </si>
  <si>
    <t>6532</t>
  </si>
  <si>
    <t>6533</t>
  </si>
  <si>
    <t>6534</t>
  </si>
  <si>
    <t>6535</t>
  </si>
  <si>
    <t>6537</t>
  </si>
  <si>
    <t>6523</t>
  </si>
  <si>
    <t>6524</t>
  </si>
  <si>
    <t>6582</t>
  </si>
  <si>
    <t>6583</t>
  </si>
  <si>
    <t>6584</t>
  </si>
  <si>
    <t>6549</t>
  </si>
  <si>
    <t>6540</t>
  </si>
  <si>
    <t>6541</t>
  </si>
  <si>
    <t>6538</t>
  </si>
  <si>
    <t>6542</t>
  </si>
  <si>
    <t>6543</t>
  </si>
  <si>
    <t>6544</t>
  </si>
  <si>
    <t>6545</t>
  </si>
  <si>
    <t>6546</t>
  </si>
  <si>
    <t>6547</t>
  </si>
  <si>
    <t>6548</t>
  </si>
  <si>
    <t>6556</t>
  </si>
  <si>
    <t>6565</t>
  </si>
  <si>
    <t>6557</t>
  </si>
  <si>
    <t>6558</t>
  </si>
  <si>
    <t>6562</t>
  </si>
  <si>
    <t>6563</t>
  </si>
  <si>
    <t>6572</t>
  </si>
  <si>
    <t>6573</t>
  </si>
  <si>
    <t>6574</t>
  </si>
  <si>
    <t>6575</t>
  </si>
  <si>
    <t>6576</t>
  </si>
  <si>
    <t>6577</t>
  </si>
  <si>
    <t>6578</t>
  </si>
  <si>
    <t>6579</t>
  </si>
  <si>
    <t>6571</t>
  </si>
  <si>
    <t>6592</t>
  </si>
  <si>
    <t>6593</t>
  </si>
  <si>
    <t>6594</t>
  </si>
  <si>
    <t>6595</t>
  </si>
  <si>
    <t>6596</t>
  </si>
  <si>
    <t>6597</t>
  </si>
  <si>
    <t>6598</t>
  </si>
  <si>
    <t>6599</t>
  </si>
  <si>
    <t>6600</t>
  </si>
  <si>
    <t>6605</t>
  </si>
  <si>
    <t>6656</t>
  </si>
  <si>
    <t>6618</t>
  </si>
  <si>
    <t>6646</t>
  </si>
  <si>
    <t>6647</t>
  </si>
  <si>
    <t>6661</t>
  </si>
  <si>
    <t>6611</t>
  </si>
  <si>
    <t>6662</t>
  </si>
  <si>
    <t>6664</t>
  </si>
  <si>
    <t>6663</t>
  </si>
  <si>
    <t>6632</t>
  </si>
  <si>
    <t>6631</t>
  </si>
  <si>
    <t>6633</t>
  </si>
  <si>
    <t>6634</t>
  </si>
  <si>
    <t>6635</t>
  </si>
  <si>
    <t>6636</t>
  </si>
  <si>
    <t>6637</t>
  </si>
  <si>
    <t>6612</t>
  </si>
  <si>
    <t>6613</t>
  </si>
  <si>
    <t>6614</t>
  </si>
  <si>
    <t>6616</t>
  </si>
  <si>
    <t>6622</t>
  </si>
  <si>
    <t>6644</t>
  </si>
  <si>
    <t>6645</t>
  </si>
  <si>
    <t>6648</t>
  </si>
  <si>
    <t>6655</t>
  </si>
  <si>
    <t>6657</t>
  </si>
  <si>
    <t>6658</t>
  </si>
  <si>
    <t>6659</t>
  </si>
  <si>
    <t>6652</t>
  </si>
  <si>
    <t>6653</t>
  </si>
  <si>
    <t>6654</t>
  </si>
  <si>
    <t>6670</t>
  </si>
  <si>
    <t>6677</t>
  </si>
  <si>
    <t>6678</t>
  </si>
  <si>
    <t>6674</t>
  </si>
  <si>
    <t>6682</t>
  </si>
  <si>
    <t>6683</t>
  </si>
  <si>
    <t>6685</t>
  </si>
  <si>
    <t>6684</t>
  </si>
  <si>
    <t>6690</t>
  </si>
  <si>
    <t>6692</t>
  </si>
  <si>
    <t>6693</t>
  </si>
  <si>
    <t>6694</t>
  </si>
  <si>
    <t>6695</t>
  </si>
  <si>
    <t>6696</t>
  </si>
  <si>
    <t>6672</t>
  </si>
  <si>
    <t>6673</t>
  </si>
  <si>
    <t>6675</t>
  </si>
  <si>
    <t>6676</t>
  </si>
  <si>
    <t>6702</t>
  </si>
  <si>
    <t>6703</t>
  </si>
  <si>
    <t>6705</t>
  </si>
  <si>
    <t>6707</t>
  </si>
  <si>
    <t>6710</t>
  </si>
  <si>
    <t>6721</t>
  </si>
  <si>
    <t>6722</t>
  </si>
  <si>
    <t>6716</t>
  </si>
  <si>
    <t>6723</t>
  </si>
  <si>
    <t>6724</t>
  </si>
  <si>
    <t>6719</t>
  </si>
  <si>
    <t>6720</t>
  </si>
  <si>
    <t>6713</t>
  </si>
  <si>
    <t>6714</t>
  </si>
  <si>
    <t>6715</t>
  </si>
  <si>
    <t>6717</t>
  </si>
  <si>
    <t>6718</t>
  </si>
  <si>
    <t>6742</t>
  </si>
  <si>
    <t>6743</t>
  </si>
  <si>
    <t>6745</t>
  </si>
  <si>
    <t>6746</t>
  </si>
  <si>
    <t>6747</t>
  </si>
  <si>
    <t>6760</t>
  </si>
  <si>
    <t>6772</t>
  </si>
  <si>
    <t>6775</t>
  </si>
  <si>
    <t>6776</t>
  </si>
  <si>
    <t>6777</t>
  </si>
  <si>
    <t>6780</t>
  </si>
  <si>
    <t>6781</t>
  </si>
  <si>
    <t>6744</t>
  </si>
  <si>
    <t>6748</t>
  </si>
  <si>
    <t>6749</t>
  </si>
  <si>
    <t>6763</t>
  </si>
  <si>
    <t>6764</t>
  </si>
  <si>
    <t>6773</t>
  </si>
  <si>
    <t>6774</t>
  </si>
  <si>
    <t>6802</t>
  </si>
  <si>
    <t>6804</t>
  </si>
  <si>
    <t>6803</t>
  </si>
  <si>
    <t>6807</t>
  </si>
  <si>
    <t>6808</t>
  </si>
  <si>
    <t>6815</t>
  </si>
  <si>
    <t>6816</t>
  </si>
  <si>
    <t>6817</t>
  </si>
  <si>
    <t>6818</t>
  </si>
  <si>
    <t>6822</t>
  </si>
  <si>
    <t>6825</t>
  </si>
  <si>
    <t>6826</t>
  </si>
  <si>
    <t>6828</t>
  </si>
  <si>
    <t>6830</t>
  </si>
  <si>
    <t>6839</t>
  </si>
  <si>
    <t>6837</t>
  </si>
  <si>
    <t>6838</t>
  </si>
  <si>
    <t>6832</t>
  </si>
  <si>
    <t>6833</t>
  </si>
  <si>
    <t>6834</t>
  </si>
  <si>
    <t>6835</t>
  </si>
  <si>
    <t>6809</t>
  </si>
  <si>
    <t>6810</t>
  </si>
  <si>
    <t>6805</t>
  </si>
  <si>
    <t>6806</t>
  </si>
  <si>
    <t>6821</t>
  </si>
  <si>
    <t>6823</t>
  </si>
  <si>
    <t>6850</t>
  </si>
  <si>
    <t>6875</t>
  </si>
  <si>
    <t>6873</t>
  </si>
  <si>
    <t>6852</t>
  </si>
  <si>
    <t>6853</t>
  </si>
  <si>
    <t>6854</t>
  </si>
  <si>
    <t>6855</t>
  </si>
  <si>
    <t>6862</t>
  </si>
  <si>
    <t>6863</t>
  </si>
  <si>
    <t>6864</t>
  </si>
  <si>
    <t>6865</t>
  </si>
  <si>
    <t>6866</t>
  </si>
  <si>
    <t>6867</t>
  </si>
  <si>
    <t>6872</t>
  </si>
  <si>
    <t>6874</t>
  </si>
  <si>
    <t>6877</t>
  </si>
  <si>
    <t>6883</t>
  </si>
  <si>
    <t>6900</t>
  </si>
  <si>
    <t>6913</t>
  </si>
  <si>
    <t>6915</t>
  </si>
  <si>
    <t>6916</t>
  </si>
  <si>
    <t>6917</t>
  </si>
  <si>
    <t>6919</t>
  </si>
  <si>
    <t>6921</t>
  </si>
  <si>
    <t>6928</t>
  </si>
  <si>
    <t>6929</t>
  </si>
  <si>
    <t>6930</t>
  </si>
  <si>
    <t>6939</t>
  </si>
  <si>
    <t>6938</t>
  </si>
  <si>
    <t>6937</t>
  </si>
  <si>
    <t>6949</t>
  </si>
  <si>
    <t>6979</t>
  </si>
  <si>
    <t>6827</t>
  </si>
  <si>
    <t>6912</t>
  </si>
  <si>
    <t>6914</t>
  </si>
  <si>
    <t>6918</t>
  </si>
  <si>
    <t>6922</t>
  </si>
  <si>
    <t>6924</t>
  </si>
  <si>
    <t>6925</t>
  </si>
  <si>
    <t>6926</t>
  </si>
  <si>
    <t>6927</t>
  </si>
  <si>
    <t>6932</t>
  </si>
  <si>
    <t>6933</t>
  </si>
  <si>
    <t>6934</t>
  </si>
  <si>
    <t>6935</t>
  </si>
  <si>
    <t>6936</t>
  </si>
  <si>
    <t>6942</t>
  </si>
  <si>
    <t>6943</t>
  </si>
  <si>
    <t>6948</t>
  </si>
  <si>
    <t>6950</t>
  </si>
  <si>
    <t>6944</t>
  </si>
  <si>
    <t>6945</t>
  </si>
  <si>
    <t>6946</t>
  </si>
  <si>
    <t>6947</t>
  </si>
  <si>
    <t>6954</t>
  </si>
  <si>
    <t>6953</t>
  </si>
  <si>
    <t>6951</t>
  </si>
  <si>
    <t>6956</t>
  </si>
  <si>
    <t>6957</t>
  </si>
  <si>
    <t>6958</t>
  </si>
  <si>
    <t>6955</t>
  </si>
  <si>
    <t>6959</t>
  </si>
  <si>
    <t>6952</t>
  </si>
  <si>
    <t>6962</t>
  </si>
  <si>
    <t>6963</t>
  </si>
  <si>
    <t>6964</t>
  </si>
  <si>
    <t>6965</t>
  </si>
  <si>
    <t>6966</t>
  </si>
  <si>
    <t>6967</t>
  </si>
  <si>
    <t>6968</t>
  </si>
  <si>
    <t>6974</t>
  </si>
  <si>
    <t>6976</t>
  </si>
  <si>
    <t>6977</t>
  </si>
  <si>
    <t>6978</t>
  </si>
  <si>
    <t>6990</t>
  </si>
  <si>
    <t>6991</t>
  </si>
  <si>
    <t>6992</t>
  </si>
  <si>
    <t>6993</t>
  </si>
  <si>
    <t>6994</t>
  </si>
  <si>
    <t>6981</t>
  </si>
  <si>
    <t>6980</t>
  </si>
  <si>
    <t>6999</t>
  </si>
  <si>
    <t>6986</t>
  </si>
  <si>
    <t>6989</t>
  </si>
  <si>
    <t>6995</t>
  </si>
  <si>
    <t>6996</t>
  </si>
  <si>
    <t>6997</t>
  </si>
  <si>
    <t>6998</t>
  </si>
  <si>
    <t>6982</t>
  </si>
  <si>
    <t>6983</t>
  </si>
  <si>
    <t>6984</t>
  </si>
  <si>
    <t>6987</t>
  </si>
  <si>
    <t>6988</t>
  </si>
  <si>
    <t>7000</t>
  </si>
  <si>
    <t>7012</t>
  </si>
  <si>
    <t>7013</t>
  </si>
  <si>
    <t>7015</t>
  </si>
  <si>
    <t>7017</t>
  </si>
  <si>
    <t>7018</t>
  </si>
  <si>
    <t>7023</t>
  </si>
  <si>
    <t>7026</t>
  </si>
  <si>
    <t>7031</t>
  </si>
  <si>
    <t>7032</t>
  </si>
  <si>
    <t>7050</t>
  </si>
  <si>
    <t>7062</t>
  </si>
  <si>
    <t>7063</t>
  </si>
  <si>
    <t>7064</t>
  </si>
  <si>
    <t>7074</t>
  </si>
  <si>
    <t>7075</t>
  </si>
  <si>
    <t>7076</t>
  </si>
  <si>
    <t>7077</t>
  </si>
  <si>
    <t>7078</t>
  </si>
  <si>
    <t>7082</t>
  </si>
  <si>
    <t>7083</t>
  </si>
  <si>
    <t>7084</t>
  </si>
  <si>
    <t>7014</t>
  </si>
  <si>
    <t>7016</t>
  </si>
  <si>
    <t>7019</t>
  </si>
  <si>
    <t>7027</t>
  </si>
  <si>
    <t>7028</t>
  </si>
  <si>
    <t>7056</t>
  </si>
  <si>
    <t>7029</t>
  </si>
  <si>
    <t>7057</t>
  </si>
  <si>
    <t>7058</t>
  </si>
  <si>
    <t>7104</t>
  </si>
  <si>
    <t>7106</t>
  </si>
  <si>
    <t>7107</t>
  </si>
  <si>
    <t>7109</t>
  </si>
  <si>
    <t>7122</t>
  </si>
  <si>
    <t>7126</t>
  </si>
  <si>
    <t>7130</t>
  </si>
  <si>
    <t>7154</t>
  </si>
  <si>
    <t>7155</t>
  </si>
  <si>
    <t>7151</t>
  </si>
  <si>
    <t>7153</t>
  </si>
  <si>
    <t>7152</t>
  </si>
  <si>
    <t>7127</t>
  </si>
  <si>
    <t>7128</t>
  </si>
  <si>
    <t>7111</t>
  </si>
  <si>
    <t>7112</t>
  </si>
  <si>
    <t>7113</t>
  </si>
  <si>
    <t>7114</t>
  </si>
  <si>
    <t>7115</t>
  </si>
  <si>
    <t>7116</t>
  </si>
  <si>
    <t>7141</t>
  </si>
  <si>
    <t>7142</t>
  </si>
  <si>
    <t>7143</t>
  </si>
  <si>
    <t>7144</t>
  </si>
  <si>
    <t>7145</t>
  </si>
  <si>
    <t>7146</t>
  </si>
  <si>
    <t>7147</t>
  </si>
  <si>
    <t>7148</t>
  </si>
  <si>
    <t>7149</t>
  </si>
  <si>
    <t>7137</t>
  </si>
  <si>
    <t>7138</t>
  </si>
  <si>
    <t>7132</t>
  </si>
  <si>
    <t>7133</t>
  </si>
  <si>
    <t>7134</t>
  </si>
  <si>
    <t>7135</t>
  </si>
  <si>
    <t>7136</t>
  </si>
  <si>
    <t>7156</t>
  </si>
  <si>
    <t>7157</t>
  </si>
  <si>
    <t>7158</t>
  </si>
  <si>
    <t>7159</t>
  </si>
  <si>
    <t>7162</t>
  </si>
  <si>
    <t>7163</t>
  </si>
  <si>
    <t>7164</t>
  </si>
  <si>
    <t>7165</t>
  </si>
  <si>
    <t>7166</t>
  </si>
  <si>
    <t>7168</t>
  </si>
  <si>
    <t>7167</t>
  </si>
  <si>
    <t>7172</t>
  </si>
  <si>
    <t>7175</t>
  </si>
  <si>
    <t>7174</t>
  </si>
  <si>
    <t>7180</t>
  </si>
  <si>
    <t>7182</t>
  </si>
  <si>
    <t>7183</t>
  </si>
  <si>
    <t>7184</t>
  </si>
  <si>
    <t>7185</t>
  </si>
  <si>
    <t>7186</t>
  </si>
  <si>
    <t>7187</t>
  </si>
  <si>
    <t>7189</t>
  </si>
  <si>
    <t>7188</t>
  </si>
  <si>
    <t>7173</t>
  </si>
  <si>
    <t>7176</t>
  </si>
  <si>
    <t>7201</t>
  </si>
  <si>
    <t>7203</t>
  </si>
  <si>
    <t>7202</t>
  </si>
  <si>
    <t>7204</t>
  </si>
  <si>
    <t>7205</t>
  </si>
  <si>
    <t>7206</t>
  </si>
  <si>
    <t>7208</t>
  </si>
  <si>
    <t>7212</t>
  </si>
  <si>
    <t>7213</t>
  </si>
  <si>
    <t>7214</t>
  </si>
  <si>
    <t>7215</t>
  </si>
  <si>
    <t>7220</t>
  </si>
  <si>
    <t>7228</t>
  </si>
  <si>
    <t>7226</t>
  </si>
  <si>
    <t>7222</t>
  </si>
  <si>
    <t>7223</t>
  </si>
  <si>
    <t>7224</t>
  </si>
  <si>
    <t>7231</t>
  </si>
  <si>
    <t>7232</t>
  </si>
  <si>
    <t>7233</t>
  </si>
  <si>
    <t>7235</t>
  </si>
  <si>
    <t>7240</t>
  </si>
  <si>
    <t>7242</t>
  </si>
  <si>
    <t>7243</t>
  </si>
  <si>
    <t>7244</t>
  </si>
  <si>
    <t>7245</t>
  </si>
  <si>
    <t>7246</t>
  </si>
  <si>
    <t>7241</t>
  </si>
  <si>
    <t>7247</t>
  </si>
  <si>
    <t>7249</t>
  </si>
  <si>
    <t>7250</t>
  </si>
  <si>
    <t>7252</t>
  </si>
  <si>
    <t>7260</t>
  </si>
  <si>
    <t>7265</t>
  </si>
  <si>
    <t>7270</t>
  </si>
  <si>
    <t>7272</t>
  </si>
  <si>
    <t>7276</t>
  </si>
  <si>
    <t>7277</t>
  </si>
  <si>
    <t>7278</t>
  </si>
  <si>
    <t>7302</t>
  </si>
  <si>
    <t>7303</t>
  </si>
  <si>
    <t>7304</t>
  </si>
  <si>
    <t>7306</t>
  </si>
  <si>
    <t>7307</t>
  </si>
  <si>
    <t>7310</t>
  </si>
  <si>
    <t>7317</t>
  </si>
  <si>
    <t>7314</t>
  </si>
  <si>
    <t>7315</t>
  </si>
  <si>
    <t>7312</t>
  </si>
  <si>
    <t>7313</t>
  </si>
  <si>
    <t>7320</t>
  </si>
  <si>
    <t>7325</t>
  </si>
  <si>
    <t>7326</t>
  </si>
  <si>
    <t>7323</t>
  </si>
  <si>
    <t>7324</t>
  </si>
  <si>
    <t>7402</t>
  </si>
  <si>
    <t>7403</t>
  </si>
  <si>
    <t>7404</t>
  </si>
  <si>
    <t>7405</t>
  </si>
  <si>
    <t>7408</t>
  </si>
  <si>
    <t>7411</t>
  </si>
  <si>
    <t>7412</t>
  </si>
  <si>
    <t>7413</t>
  </si>
  <si>
    <t>7414</t>
  </si>
  <si>
    <t>7415</t>
  </si>
  <si>
    <t>7416</t>
  </si>
  <si>
    <t>7417</t>
  </si>
  <si>
    <t>7407</t>
  </si>
  <si>
    <t>7418</t>
  </si>
  <si>
    <t>7419</t>
  </si>
  <si>
    <t>7430</t>
  </si>
  <si>
    <t>7425</t>
  </si>
  <si>
    <t>7426</t>
  </si>
  <si>
    <t>7427</t>
  </si>
  <si>
    <t>7428</t>
  </si>
  <si>
    <t>7421</t>
  </si>
  <si>
    <t>7422</t>
  </si>
  <si>
    <t>7423</t>
  </si>
  <si>
    <t>7424</t>
  </si>
  <si>
    <t>7431</t>
  </si>
  <si>
    <t>7432</t>
  </si>
  <si>
    <t>7433</t>
  </si>
  <si>
    <t>7434</t>
  </si>
  <si>
    <t>7435</t>
  </si>
  <si>
    <t>7436</t>
  </si>
  <si>
    <t>7437</t>
  </si>
  <si>
    <t>7438</t>
  </si>
  <si>
    <t>7440</t>
  </si>
  <si>
    <t>7442</t>
  </si>
  <si>
    <t>7443</t>
  </si>
  <si>
    <t>7444</t>
  </si>
  <si>
    <t>7445</t>
  </si>
  <si>
    <t>7446</t>
  </si>
  <si>
    <t>7447</t>
  </si>
  <si>
    <t>7448</t>
  </si>
  <si>
    <t>7450</t>
  </si>
  <si>
    <t>7458</t>
  </si>
  <si>
    <t>7459</t>
  </si>
  <si>
    <t>7451</t>
  </si>
  <si>
    <t>7452</t>
  </si>
  <si>
    <t>7453</t>
  </si>
  <si>
    <t>7454</t>
  </si>
  <si>
    <t>7455</t>
  </si>
  <si>
    <t>7456</t>
  </si>
  <si>
    <t>7457</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</si>
  <si>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</si>
  <si>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</si>
  <si>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</si>
  <si>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</si>
  <si>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</si>
  <si>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</si>
  <si>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</si>
  <si>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</si>
  <si>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</si>
  <si>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</si>
  <si>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</si>
  <si>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</si>
  <si>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</si>
  <si>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</si>
  <si>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</si>
  <si>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</si>
  <si>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</si>
  <si>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</si>
  <si>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</si>
  <si>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</si>
  <si>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</si>
  <si>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</si>
  <si>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</si>
  <si>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</si>
  <si>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</si>
  <si>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</si>
  <si>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</si>
  <si>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</si>
  <si>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</si>
  <si>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</si>
  <si>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</si>
  <si>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</si>
  <si>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</si>
  <si>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</si>
  <si>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</si>
  <si>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</si>
  <si>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</si>
  <si>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</si>
  <si>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</si>
  <si>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</si>
  <si>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</si>
  <si>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</si>
  <si>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</si>
  <si>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</si>
  <si>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</si>
  <si>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</si>
  <si>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</si>
  <si>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</si>
  <si>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</si>
  <si>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</si>
  <si>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</si>
  <si>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</si>
  <si>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</si>
  <si>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</si>
  <si>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</si>
  <si>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</si>
  <si>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</si>
  <si>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7610</t>
  </si>
  <si>
    <t>7608</t>
  </si>
  <si>
    <t>7742</t>
  </si>
  <si>
    <t>7743</t>
  </si>
  <si>
    <t>7747</t>
  </si>
  <si>
    <t>7744</t>
  </si>
  <si>
    <t>7710</t>
  </si>
  <si>
    <t>7741</t>
  </si>
  <si>
    <t>7745</t>
  </si>
  <si>
    <t>7746</t>
  </si>
  <si>
    <t>7748</t>
  </si>
  <si>
    <t>8000</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</si>
  <si>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</si>
  <si>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</si>
  <si>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</si>
  <si>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</si>
  <si>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</si>
  <si>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</si>
  <si>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</si>
  <si>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</si>
  <si>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</si>
  <si>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</si>
  <si>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</si>
  <si>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</si>
  <si>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</si>
  <si>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</si>
  <si>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</si>
  <si>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</si>
  <si>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</si>
  <si>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</si>
  <si>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</si>
  <si>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</si>
  <si>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</si>
  <si>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</si>
  <si>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</si>
  <si>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</si>
  <si>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</si>
  <si>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</si>
  <si>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</si>
  <si>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</si>
  <si>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8107</t>
  </si>
  <si>
    <t>8108</t>
  </si>
  <si>
    <t>8112</t>
  </si>
  <si>
    <t>8113</t>
  </si>
  <si>
    <t>8114</t>
  </si>
  <si>
    <t>8115</t>
  </si>
  <si>
    <t>5436</t>
  </si>
  <si>
    <t>8117</t>
  </si>
  <si>
    <t>8121</t>
  </si>
  <si>
    <t>8122</t>
  </si>
  <si>
    <t>8123</t>
  </si>
  <si>
    <t>8124</t>
  </si>
  <si>
    <t>8125</t>
  </si>
  <si>
    <t>8126</t>
  </si>
  <si>
    <t>8127</t>
  </si>
  <si>
    <t>8132</t>
  </si>
  <si>
    <t>8133</t>
  </si>
  <si>
    <t>8134</t>
  </si>
  <si>
    <t>8135</t>
  </si>
  <si>
    <t>8136</t>
  </si>
  <si>
    <t>8143</t>
  </si>
  <si>
    <t>8142</t>
  </si>
  <si>
    <t>8152</t>
  </si>
  <si>
    <t>8153</t>
  </si>
  <si>
    <t>8154</t>
  </si>
  <si>
    <t>8155</t>
  </si>
  <si>
    <t>8156</t>
  </si>
  <si>
    <t>8157</t>
  </si>
  <si>
    <t>8158</t>
  </si>
  <si>
    <t>8162</t>
  </si>
  <si>
    <t>8164</t>
  </si>
  <si>
    <t>8165</t>
  </si>
  <si>
    <t>8166</t>
  </si>
  <si>
    <t>8172</t>
  </si>
  <si>
    <t>8173</t>
  </si>
  <si>
    <t>8174</t>
  </si>
  <si>
    <t>8175</t>
  </si>
  <si>
    <t>8180</t>
  </si>
  <si>
    <t>8181</t>
  </si>
  <si>
    <t>8182</t>
  </si>
  <si>
    <t>8184</t>
  </si>
  <si>
    <t>8185</t>
  </si>
  <si>
    <t>8192</t>
  </si>
  <si>
    <t>8193</t>
  </si>
  <si>
    <t>8194</t>
  </si>
  <si>
    <t>8195</t>
  </si>
  <si>
    <t>8196</t>
  </si>
  <si>
    <t>8197</t>
  </si>
  <si>
    <t>8200</t>
  </si>
  <si>
    <t>8203</t>
  </si>
  <si>
    <t>8207</t>
  </si>
  <si>
    <t>8208</t>
  </si>
  <si>
    <t>8219</t>
  </si>
  <si>
    <t>8228</t>
  </si>
  <si>
    <t>8231</t>
  </si>
  <si>
    <t>8234</t>
  </si>
  <si>
    <t>8235</t>
  </si>
  <si>
    <t>8236</t>
  </si>
  <si>
    <t>8242</t>
  </si>
  <si>
    <t>8243</t>
  </si>
  <si>
    <t>8239</t>
  </si>
  <si>
    <t>8212</t>
  </si>
  <si>
    <t>8213</t>
  </si>
  <si>
    <t>8214</t>
  </si>
  <si>
    <t>8215</t>
  </si>
  <si>
    <t>8216</t>
  </si>
  <si>
    <t>8217</t>
  </si>
  <si>
    <t>8218</t>
  </si>
  <si>
    <t>8222</t>
  </si>
  <si>
    <t>8223</t>
  </si>
  <si>
    <t>8224</t>
  </si>
  <si>
    <t>8225</t>
  </si>
  <si>
    <t>8226</t>
  </si>
  <si>
    <t>8232</t>
  </si>
  <si>
    <t>8233</t>
  </si>
  <si>
    <t>8240</t>
  </si>
  <si>
    <t>8241</t>
  </si>
  <si>
    <t>8245</t>
  </si>
  <si>
    <t>8246</t>
  </si>
  <si>
    <t>8247</t>
  </si>
  <si>
    <t>8252</t>
  </si>
  <si>
    <t>8254</t>
  </si>
  <si>
    <t>8259</t>
  </si>
  <si>
    <t>8253</t>
  </si>
  <si>
    <t>8255</t>
  </si>
  <si>
    <t>8260</t>
  </si>
  <si>
    <t>8261</t>
  </si>
  <si>
    <t>8262</t>
  </si>
  <si>
    <t>8263</t>
  </si>
  <si>
    <t>8264</t>
  </si>
  <si>
    <t>8265</t>
  </si>
  <si>
    <t>8266</t>
  </si>
  <si>
    <t>8267</t>
  </si>
  <si>
    <t>8268</t>
  </si>
  <si>
    <t>8272</t>
  </si>
  <si>
    <t>8273</t>
  </si>
  <si>
    <t>8274</t>
  </si>
  <si>
    <t>8280</t>
  </si>
  <si>
    <t>8302</t>
  </si>
  <si>
    <t>8303</t>
  </si>
  <si>
    <t>8304</t>
  </si>
  <si>
    <t>8305</t>
  </si>
  <si>
    <t>8306</t>
  </si>
  <si>
    <t>8307</t>
  </si>
  <si>
    <t>8315</t>
  </si>
  <si>
    <t>8308</t>
  </si>
  <si>
    <t>8309</t>
  </si>
  <si>
    <t>8310</t>
  </si>
  <si>
    <t>8312</t>
  </si>
  <si>
    <t>8311</t>
  </si>
  <si>
    <t>8314</t>
  </si>
  <si>
    <t>8320</t>
  </si>
  <si>
    <t>8489</t>
  </si>
  <si>
    <t>8322</t>
  </si>
  <si>
    <t>8330</t>
  </si>
  <si>
    <t>8331</t>
  </si>
  <si>
    <t>8332</t>
  </si>
  <si>
    <t>8335</t>
  </si>
  <si>
    <t>8340</t>
  </si>
  <si>
    <t>8342</t>
  </si>
  <si>
    <t>8344</t>
  </si>
  <si>
    <t>8345</t>
  </si>
  <si>
    <t>8352</t>
  </si>
  <si>
    <t>8353</t>
  </si>
  <si>
    <t>8354</t>
  </si>
  <si>
    <t>8355</t>
  </si>
  <si>
    <t>8356</t>
  </si>
  <si>
    <t>8357</t>
  </si>
  <si>
    <t>8360</t>
  </si>
  <si>
    <t>8362</t>
  </si>
  <si>
    <t>8363</t>
  </si>
  <si>
    <t>8370</t>
  </si>
  <si>
    <t>8372</t>
  </si>
  <si>
    <t>8374</t>
  </si>
  <si>
    <t>8376</t>
  </si>
  <si>
    <t>8400</t>
  </si>
  <si>
    <t>8404</t>
  </si>
  <si>
    <t>8405</t>
  </si>
  <si>
    <t>8406</t>
  </si>
  <si>
    <t>8408</t>
  </si>
  <si>
    <t>8409</t>
  </si>
  <si>
    <t>8412</t>
  </si>
  <si>
    <t>8413</t>
  </si>
  <si>
    <t>8414</t>
  </si>
  <si>
    <t>8415</t>
  </si>
  <si>
    <t>8416</t>
  </si>
  <si>
    <t>8418</t>
  </si>
  <si>
    <t>8422</t>
  </si>
  <si>
    <t>8421</t>
  </si>
  <si>
    <t>8424</t>
  </si>
  <si>
    <t>8425</t>
  </si>
  <si>
    <t>8426</t>
  </si>
  <si>
    <t>8428</t>
  </si>
  <si>
    <t>8187</t>
  </si>
  <si>
    <t>5466</t>
  </si>
  <si>
    <t>5467</t>
  </si>
  <si>
    <t>5332</t>
  </si>
  <si>
    <t>5330</t>
  </si>
  <si>
    <t>5323</t>
  </si>
  <si>
    <t>5464</t>
  </si>
  <si>
    <t>5465</t>
  </si>
  <si>
    <t>5463</t>
  </si>
  <si>
    <t>5462</t>
  </si>
  <si>
    <t>5333</t>
  </si>
  <si>
    <t>5334</t>
  </si>
  <si>
    <t>8442</t>
  </si>
  <si>
    <t>8444</t>
  </si>
  <si>
    <t>8447</t>
  </si>
  <si>
    <t>8248</t>
  </si>
  <si>
    <t>8450</t>
  </si>
  <si>
    <t>8453</t>
  </si>
  <si>
    <t>8451</t>
  </si>
  <si>
    <t>8452</t>
  </si>
  <si>
    <t>8457</t>
  </si>
  <si>
    <t>8458</t>
  </si>
  <si>
    <t>8459</t>
  </si>
  <si>
    <t>8454</t>
  </si>
  <si>
    <t>8455</t>
  </si>
  <si>
    <t>8460</t>
  </si>
  <si>
    <t>8464</t>
  </si>
  <si>
    <t>8461</t>
  </si>
  <si>
    <t>8465</t>
  </si>
  <si>
    <t>8466</t>
  </si>
  <si>
    <t>8462</t>
  </si>
  <si>
    <t>8463</t>
  </si>
  <si>
    <t>8472</t>
  </si>
  <si>
    <t>8474</t>
  </si>
  <si>
    <t>8475</t>
  </si>
  <si>
    <t>8476</t>
  </si>
  <si>
    <t>8477</t>
  </si>
  <si>
    <t>8471</t>
  </si>
  <si>
    <t>8478</t>
  </si>
  <si>
    <t>8479</t>
  </si>
  <si>
    <t>8467</t>
  </si>
  <si>
    <t>8468</t>
  </si>
  <si>
    <t>8482</t>
  </si>
  <si>
    <t>8483</t>
  </si>
  <si>
    <t>8484</t>
  </si>
  <si>
    <t>8486</t>
  </si>
  <si>
    <t>8487</t>
  </si>
  <si>
    <t>8488</t>
  </si>
  <si>
    <t>8492</t>
  </si>
  <si>
    <t>8493</t>
  </si>
  <si>
    <t>8494</t>
  </si>
  <si>
    <t>8496</t>
  </si>
  <si>
    <t>8497</t>
  </si>
  <si>
    <t>8498</t>
  </si>
  <si>
    <t>8495</t>
  </si>
  <si>
    <t>8499</t>
  </si>
  <si>
    <t>8500</t>
  </si>
  <si>
    <t>8505</t>
  </si>
  <si>
    <t>8506</t>
  </si>
  <si>
    <t>8507</t>
  </si>
  <si>
    <t>8508</t>
  </si>
  <si>
    <t>8512</t>
  </si>
  <si>
    <t>8514</t>
  </si>
  <si>
    <t>8522</t>
  </si>
  <si>
    <t>8523</t>
  </si>
  <si>
    <t>8524</t>
  </si>
  <si>
    <t>8525</t>
  </si>
  <si>
    <t>8526</t>
  </si>
  <si>
    <t>8532</t>
  </si>
  <si>
    <t>8535</t>
  </si>
  <si>
    <t>8536</t>
  </si>
  <si>
    <t>8537</t>
  </si>
  <si>
    <t>8542</t>
  </si>
  <si>
    <t>8545</t>
  </si>
  <si>
    <t>8544</t>
  </si>
  <si>
    <t>8546</t>
  </si>
  <si>
    <t>8547</t>
  </si>
  <si>
    <t>8548</t>
  </si>
  <si>
    <t>8552</t>
  </si>
  <si>
    <t>8554</t>
  </si>
  <si>
    <t>8555</t>
  </si>
  <si>
    <t>8556</t>
  </si>
  <si>
    <t>8564</t>
  </si>
  <si>
    <t>8558</t>
  </si>
  <si>
    <t>8269</t>
  </si>
  <si>
    <t>8560</t>
  </si>
  <si>
    <t>8561</t>
  </si>
  <si>
    <t>8565</t>
  </si>
  <si>
    <t>8566</t>
  </si>
  <si>
    <t>8570</t>
  </si>
  <si>
    <t>8572</t>
  </si>
  <si>
    <t>8573</t>
  </si>
  <si>
    <t>8574</t>
  </si>
  <si>
    <t>8575</t>
  </si>
  <si>
    <t>8576</t>
  </si>
  <si>
    <t>8577</t>
  </si>
  <si>
    <t>9217</t>
  </si>
  <si>
    <t>8580</t>
  </si>
  <si>
    <t>8582</t>
  </si>
  <si>
    <t>8581</t>
  </si>
  <si>
    <t>8588</t>
  </si>
  <si>
    <t>8589</t>
  </si>
  <si>
    <t>8583</t>
  </si>
  <si>
    <t>8584</t>
  </si>
  <si>
    <t>8585</t>
  </si>
  <si>
    <t>8586</t>
  </si>
  <si>
    <t>8587</t>
  </si>
  <si>
    <t>8590</t>
  </si>
  <si>
    <t>8599</t>
  </si>
  <si>
    <t>8592</t>
  </si>
  <si>
    <t>8593</t>
  </si>
  <si>
    <t>8594</t>
  </si>
  <si>
    <t>8595</t>
  </si>
  <si>
    <t>8596</t>
  </si>
  <si>
    <t>8597</t>
  </si>
  <si>
    <t>8598</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</si>
  <si>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</si>
  <si>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</si>
  <si>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</si>
  <si>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</si>
  <si>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</si>
  <si>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</si>
  <si>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</si>
  <si>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</si>
  <si>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</si>
  <si>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</si>
  <si>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</si>
  <si>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</si>
  <si>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</si>
  <si>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</si>
  <si>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</si>
  <si>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</si>
  <si>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</si>
  <si>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</si>
  <si>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</si>
  <si>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</si>
  <si>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</si>
  <si>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</si>
  <si>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</si>
  <si>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</si>
  <si>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</si>
  <si>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</si>
  <si>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</si>
  <si>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</si>
  <si>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</si>
  <si>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</si>
  <si>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</si>
  <si>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</si>
  <si>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</si>
  <si>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</si>
  <si>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</si>
  <si>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</si>
  <si>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</si>
  <si>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</si>
  <si>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</si>
  <si>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</si>
  <si>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</si>
  <si>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</si>
  <si>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</si>
  <si>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</si>
  <si>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</si>
  <si>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</si>
  <si>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</si>
  <si>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</si>
  <si>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</si>
  <si>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</si>
  <si>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</si>
  <si>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</si>
  <si>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</si>
  <si>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</si>
  <si>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</si>
  <si>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</si>
  <si>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</si>
  <si>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</si>
  <si>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</si>
  <si>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</si>
  <si>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</si>
  <si>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</si>
  <si>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</si>
  <si>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</si>
  <si>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</si>
  <si>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8762</t>
  </si>
  <si>
    <t>8765</t>
  </si>
  <si>
    <t>8766</t>
  </si>
  <si>
    <t>8767</t>
  </si>
  <si>
    <t>8772</t>
  </si>
  <si>
    <t>8773</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</si>
  <si>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</si>
  <si>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</si>
  <si>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</si>
  <si>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</si>
  <si>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</si>
  <si>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</si>
  <si>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</si>
  <si>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</si>
  <si>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</si>
  <si>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</si>
  <si>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</si>
  <si>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</si>
  <si>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</si>
  <si>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</si>
  <si>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</si>
  <si>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</si>
  <si>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</si>
  <si>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</si>
  <si>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</si>
  <si>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</si>
  <si>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</si>
  <si>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</si>
  <si>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</si>
  <si>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</si>
  <si>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</si>
  <si>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8849</t>
  </si>
  <si>
    <t>8846</t>
  </si>
  <si>
    <t>8847</t>
  </si>
  <si>
    <t>8841</t>
  </si>
  <si>
    <t>8844</t>
  </si>
  <si>
    <t>8845</t>
  </si>
  <si>
    <t>8842</t>
  </si>
  <si>
    <t>8843</t>
  </si>
  <si>
    <t>8852</t>
  </si>
  <si>
    <t>8853</t>
  </si>
  <si>
    <t>8854</t>
  </si>
  <si>
    <t>8855</t>
  </si>
  <si>
    <t>8856</t>
  </si>
  <si>
    <t>8857</t>
  </si>
  <si>
    <t>8858</t>
  </si>
  <si>
    <t>8862</t>
  </si>
  <si>
    <t>8863</t>
  </si>
  <si>
    <t>8864</t>
  </si>
  <si>
    <t>8865</t>
  </si>
  <si>
    <t>8866</t>
  </si>
  <si>
    <t>8867</t>
  </si>
  <si>
    <t>8868</t>
  </si>
  <si>
    <t>8872</t>
  </si>
  <si>
    <t>8873</t>
  </si>
  <si>
    <t>8874</t>
  </si>
  <si>
    <t>8758</t>
  </si>
  <si>
    <t>8757</t>
  </si>
  <si>
    <t>8877</t>
  </si>
  <si>
    <t>8878</t>
  </si>
  <si>
    <t>8880</t>
  </si>
  <si>
    <t>8881</t>
  </si>
  <si>
    <t>8882</t>
  </si>
  <si>
    <t>8883</t>
  </si>
  <si>
    <t>8884</t>
  </si>
  <si>
    <t>8885</t>
  </si>
  <si>
    <t>8887</t>
  </si>
  <si>
    <t>8886</t>
  </si>
  <si>
    <t>8889</t>
  </si>
  <si>
    <t>8888</t>
  </si>
  <si>
    <t>8890</t>
  </si>
  <si>
    <t>8892</t>
  </si>
  <si>
    <t>8893</t>
  </si>
  <si>
    <t>8894</t>
  </si>
  <si>
    <t>8895</t>
  </si>
  <si>
    <t>8896</t>
  </si>
  <si>
    <t>8897</t>
  </si>
  <si>
    <t>8898</t>
  </si>
  <si>
    <t>8902</t>
  </si>
  <si>
    <t>8903</t>
  </si>
  <si>
    <t>8904</t>
  </si>
  <si>
    <t>8906</t>
  </si>
  <si>
    <t>8907</t>
  </si>
  <si>
    <t>8908</t>
  </si>
  <si>
    <t>8910</t>
  </si>
  <si>
    <t>8909</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</si>
  <si>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</si>
  <si>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</si>
  <si>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</si>
  <si>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</si>
  <si>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</si>
  <si>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</si>
  <si>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</si>
  <si>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</si>
  <si>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</si>
  <si>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</si>
  <si>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</si>
  <si>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</si>
  <si>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</si>
  <si>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</si>
  <si>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</si>
  <si>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</si>
  <si>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</si>
  <si>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</si>
  <si>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</si>
  <si>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</si>
  <si>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</si>
  <si>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</si>
  <si>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</si>
  <si>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</si>
  <si>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</si>
  <si>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</si>
  <si>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</si>
  <si>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</si>
  <si>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</si>
  <si>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</si>
  <si>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</si>
  <si>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</si>
  <si>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</si>
  <si>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</si>
  <si>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</si>
  <si>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</si>
  <si>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</si>
  <si>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</si>
  <si>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</si>
  <si>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</si>
  <si>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</si>
  <si>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</si>
  <si>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</si>
  <si>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</si>
  <si>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</si>
  <si>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</si>
  <si>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</si>
  <si>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</si>
  <si>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</si>
  <si>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</si>
  <si>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</si>
  <si>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</si>
  <si>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</si>
  <si>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</si>
  <si>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</si>
  <si>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</si>
  <si>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</si>
  <si>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</si>
  <si>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</si>
  <si>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</si>
  <si>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</si>
  <si>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</si>
  <si>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</si>
  <si>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</si>
  <si>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</si>
  <si>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</si>
  <si>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</si>
  <si>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</si>
  <si>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</si>
  <si>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</si>
  <si>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</si>
  <si>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</si>
  <si>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</si>
  <si>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9633</t>
  </si>
  <si>
    <t>9200</t>
  </si>
  <si>
    <t>9203</t>
  </si>
  <si>
    <t>9204</t>
  </si>
  <si>
    <t>9205</t>
  </si>
  <si>
    <t>9212</t>
  </si>
  <si>
    <t>9213</t>
  </si>
  <si>
    <t>9216</t>
  </si>
  <si>
    <t>9215</t>
  </si>
  <si>
    <t>9220</t>
  </si>
  <si>
    <t>9223</t>
  </si>
  <si>
    <t>9225</t>
  </si>
  <si>
    <t>9230</t>
  </si>
  <si>
    <t>9231</t>
  </si>
  <si>
    <t>9604</t>
  </si>
  <si>
    <t>9240</t>
  </si>
  <si>
    <t>9242</t>
  </si>
  <si>
    <t>9248</t>
  </si>
  <si>
    <t>9243</t>
  </si>
  <si>
    <t>9244</t>
  </si>
  <si>
    <t>9245</t>
  </si>
  <si>
    <t>9246</t>
  </si>
  <si>
    <t>9247</t>
  </si>
  <si>
    <t>9249</t>
  </si>
  <si>
    <t>9300</t>
  </si>
  <si>
    <t>9304</t>
  </si>
  <si>
    <t>9305</t>
  </si>
  <si>
    <t>9306</t>
  </si>
  <si>
    <t>9315</t>
  </si>
  <si>
    <t>9308</t>
  </si>
  <si>
    <t>9312</t>
  </si>
  <si>
    <t>9313</t>
  </si>
  <si>
    <t>9314</t>
  </si>
  <si>
    <t>9320</t>
  </si>
  <si>
    <t>9322</t>
  </si>
  <si>
    <t>9323</t>
  </si>
  <si>
    <t>9325</t>
  </si>
  <si>
    <t>9326</t>
  </si>
  <si>
    <t>9327</t>
  </si>
  <si>
    <t>9400</t>
  </si>
  <si>
    <t>9404</t>
  </si>
  <si>
    <t>9402</t>
  </si>
  <si>
    <t>9403</t>
  </si>
  <si>
    <t>9405</t>
  </si>
  <si>
    <t>9410</t>
  </si>
  <si>
    <t>9411</t>
  </si>
  <si>
    <t>9413</t>
  </si>
  <si>
    <t>9422</t>
  </si>
  <si>
    <t>9423</t>
  </si>
  <si>
    <t>9424</t>
  </si>
  <si>
    <t>9425</t>
  </si>
  <si>
    <t>9426</t>
  </si>
  <si>
    <t>9427</t>
  </si>
  <si>
    <t>9428</t>
  </si>
  <si>
    <t>9430</t>
  </si>
  <si>
    <t>9434</t>
  </si>
  <si>
    <t>9435</t>
  </si>
  <si>
    <t>9436</t>
  </si>
  <si>
    <t>9437</t>
  </si>
  <si>
    <t>9450</t>
  </si>
  <si>
    <t>9442</t>
  </si>
  <si>
    <t>9443</t>
  </si>
  <si>
    <t>9444</t>
  </si>
  <si>
    <t>9445</t>
  </si>
  <si>
    <t>9451</t>
  </si>
  <si>
    <t>9452</t>
  </si>
  <si>
    <t>9453</t>
  </si>
  <si>
    <t>9462</t>
  </si>
  <si>
    <t>9463</t>
  </si>
  <si>
    <t>9464</t>
  </si>
  <si>
    <t>9465</t>
  </si>
  <si>
    <t>9466</t>
  </si>
  <si>
    <t>9467</t>
  </si>
  <si>
    <t>9468</t>
  </si>
  <si>
    <t>9469</t>
  </si>
  <si>
    <t>9470</t>
  </si>
  <si>
    <t>9472</t>
  </si>
  <si>
    <t>9473</t>
  </si>
  <si>
    <t>9475</t>
  </si>
  <si>
    <t>9476</t>
  </si>
  <si>
    <t>9477</t>
  </si>
  <si>
    <t>9478</t>
  </si>
  <si>
    <t>9479</t>
  </si>
  <si>
    <t>9485</t>
  </si>
  <si>
    <t>9486</t>
  </si>
  <si>
    <t>9487</t>
  </si>
  <si>
    <t>9488</t>
  </si>
  <si>
    <t>9490</t>
  </si>
  <si>
    <t>9491</t>
  </si>
  <si>
    <t>9492</t>
  </si>
  <si>
    <t>9493</t>
  </si>
  <si>
    <t>9494</t>
  </si>
  <si>
    <t>9495</t>
  </si>
  <si>
    <t>9496</t>
  </si>
  <si>
    <t>9497</t>
  </si>
  <si>
    <t>9500</t>
  </si>
  <si>
    <t>9502</t>
  </si>
  <si>
    <t>9503</t>
  </si>
  <si>
    <t>9504</t>
  </si>
  <si>
    <t>9506</t>
  </si>
  <si>
    <t>9507</t>
  </si>
  <si>
    <t>9508</t>
  </si>
  <si>
    <t>9512</t>
  </si>
  <si>
    <t>9514</t>
  </si>
  <si>
    <t>9515</t>
  </si>
  <si>
    <t>9517</t>
  </si>
  <si>
    <t>9565</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</si>
  <si>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</si>
  <si>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</si>
  <si>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</si>
  <si>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</si>
  <si>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</si>
  <si>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</si>
  <si>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</si>
  <si>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</si>
  <si>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</si>
  <si>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</si>
  <si>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</si>
  <si>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</si>
  <si>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</si>
  <si>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</si>
  <si>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</si>
  <si>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</si>
  <si>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</si>
  <si>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</si>
  <si>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</si>
  <si>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</si>
  <si>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</si>
  <si>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</si>
  <si>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9573</t>
  </si>
  <si>
    <t>9601</t>
  </si>
  <si>
    <t>9602</t>
  </si>
  <si>
    <t>9606</t>
  </si>
  <si>
    <t>9607</t>
  </si>
  <si>
    <t>9608</t>
  </si>
  <si>
    <t>9612</t>
  </si>
  <si>
    <t>9613</t>
  </si>
  <si>
    <t>9614</t>
  </si>
  <si>
    <t>9615</t>
  </si>
  <si>
    <t>9620</t>
  </si>
  <si>
    <t>9621</t>
  </si>
  <si>
    <t>9622</t>
  </si>
  <si>
    <t>9630</t>
  </si>
  <si>
    <t>9631</t>
  </si>
  <si>
    <t>9642</t>
  </si>
  <si>
    <t>9643</t>
  </si>
  <si>
    <t>9650</t>
  </si>
  <si>
    <t>9651</t>
  </si>
  <si>
    <t>9655</t>
  </si>
  <si>
    <t>9652</t>
  </si>
  <si>
    <t>9656</t>
  </si>
  <si>
    <t>9657</t>
  </si>
  <si>
    <t>9658</t>
  </si>
  <si>
    <t>3185</t>
  </si>
  <si>
    <t>3113</t>
  </si>
  <si>
    <t>6911</t>
  </si>
  <si>
    <t>8238</t>
  </si>
  <si>
    <t>1031</t>
  </si>
  <si>
    <t>1734</t>
  </si>
  <si>
    <t>1029</t>
  </si>
  <si>
    <t>3044</t>
  </si>
  <si>
    <t>1295</t>
  </si>
  <si>
    <t>8317</t>
  </si>
  <si>
    <t>1267</t>
  </si>
  <si>
    <t>1965</t>
  </si>
  <si>
    <t>2715</t>
  </si>
  <si>
    <t>1653</t>
  </si>
  <si>
    <t>1730</t>
  </si>
  <si>
    <t>1721</t>
  </si>
  <si>
    <t>1428</t>
  </si>
  <si>
    <t>1026</t>
  </si>
  <si>
    <t>1195</t>
  </si>
  <si>
    <t>1047</t>
  </si>
  <si>
    <t>2027</t>
  </si>
  <si>
    <t>2933</t>
  </si>
  <si>
    <t>2953</t>
  </si>
  <si>
    <t>8543</t>
  </si>
  <si>
    <t>3429</t>
  </si>
  <si>
    <t>3632</t>
  </si>
  <si>
    <t>8774</t>
  </si>
  <si>
    <t>4584</t>
  </si>
  <si>
    <t>8905</t>
  </si>
  <si>
    <t>5058</t>
  </si>
  <si>
    <t>8553</t>
  </si>
  <si>
    <t>6814</t>
  </si>
  <si>
    <t>3940</t>
  </si>
  <si>
    <t>9498</t>
  </si>
  <si>
    <t>8427</t>
  </si>
  <si>
    <t>8118</t>
  </si>
  <si>
    <t>1775</t>
  </si>
  <si>
    <t>5405</t>
  </si>
  <si>
    <t>5406</t>
  </si>
  <si>
    <t>8106</t>
  </si>
  <si>
    <t>4573</t>
  </si>
  <si>
    <t>9214</t>
  </si>
  <si>
    <t>2075</t>
  </si>
  <si>
    <t>1068</t>
  </si>
  <si>
    <t>5018</t>
  </si>
  <si>
    <t>6039</t>
  </si>
  <si>
    <t>8109</t>
  </si>
  <si>
    <t>6333</t>
  </si>
  <si>
    <t>7110</t>
  </si>
  <si>
    <t>2360</t>
  </si>
  <si>
    <t>2362</t>
  </si>
  <si>
    <t>2363</t>
  </si>
  <si>
    <t>2364</t>
  </si>
  <si>
    <t>8371</t>
  </si>
  <si>
    <t>Allgemeiner Zustand</t>
  </si>
  <si>
    <t>Fassadengliederung</t>
  </si>
  <si>
    <t>Beschreibung der Aussenwände</t>
  </si>
  <si>
    <t>Kürzel</t>
  </si>
  <si>
    <t>Typ</t>
  </si>
  <si>
    <t>Ausrichtung</t>
  </si>
  <si>
    <r>
      <rPr>
        <sz val="9"/>
        <color indexed="8"/>
        <rFont val="Arial"/>
        <family val="2"/>
      </rPr>
      <t>Fläche [m</t>
    </r>
    <r>
      <rPr>
        <vertAlign val="superscript"/>
        <sz val="9"/>
        <color indexed="8"/>
        <rFont val="Arial"/>
        <family val="2"/>
      </rPr>
      <t>2</t>
    </r>
    <r>
      <rPr>
        <sz val="9"/>
        <color indexed="8"/>
        <rFont val="Arial"/>
        <family val="2"/>
      </rPr>
      <t>]</t>
    </r>
  </si>
  <si>
    <r>
      <rPr>
        <sz val="9"/>
        <color indexed="8"/>
        <rFont val="Arial"/>
        <family val="2"/>
      </rPr>
      <t>U-Wert [W/(m</t>
    </r>
    <r>
      <rPr>
        <vertAlign val="superscript"/>
        <sz val="9"/>
        <color indexed="8"/>
        <rFont val="Arial"/>
        <family val="2"/>
      </rPr>
      <t>2</t>
    </r>
    <r>
      <rPr>
        <sz val="9"/>
        <color indexed="8"/>
        <rFont val="Arial"/>
        <family val="2"/>
      </rPr>
      <t>K)]</t>
    </r>
  </si>
  <si>
    <t>b-Faktor [—]</t>
  </si>
  <si>
    <t>Anzahl [—]</t>
  </si>
  <si>
    <t>Temp. Nachbarraum</t>
  </si>
  <si>
    <t>Temperaturzuschlag Nachbarraum</t>
  </si>
  <si>
    <t>VL Nachbarzone</t>
  </si>
  <si>
    <t>Fenster &amp; Türen</t>
  </si>
  <si>
    <t>Allgemeinzustand der Fenster</t>
  </si>
  <si>
    <t>Beschreibung der Fenster &amp; Türen</t>
  </si>
  <si>
    <t>Fensterflächen automatisch abziehen</t>
  </si>
  <si>
    <t>g-Wert [—]</t>
  </si>
  <si>
    <t>Glasanteil [—]</t>
  </si>
  <si>
    <t>Verschattung [—]</t>
  </si>
  <si>
    <t>Eingebaut in</t>
  </si>
  <si>
    <t>Dach &amp; Decke</t>
  </si>
  <si>
    <t>Allgemeinzustand des Dachs</t>
  </si>
  <si>
    <t>Dachtyp</t>
  </si>
  <si>
    <t>Beschreibung des Dachs</t>
  </si>
  <si>
    <t>Boden &amp; Keller</t>
  </si>
  <si>
    <t>Allgemeinzustand der Böden</t>
  </si>
  <si>
    <t>Teilbeheizungsgrad Kellergeschoss</t>
  </si>
  <si>
    <t>Beschreibung des Kellers</t>
  </si>
  <si>
    <t>HasHeating</t>
  </si>
  <si>
    <t>Beschreibung der Wärmebrücken</t>
  </si>
  <si>
    <t>Länge [m]</t>
  </si>
  <si>
    <t>Ψ [W/(mK)]</t>
  </si>
  <si>
    <t>Χ [W/K]</t>
  </si>
  <si>
    <t>Lichte Raumhöhe:</t>
  </si>
  <si>
    <t>Bilanz</t>
  </si>
  <si>
    <t>Tiefe im  Erdreich:</t>
  </si>
  <si>
    <t>H93</t>
  </si>
  <si>
    <t>Profondeur dans terrain:</t>
  </si>
  <si>
    <t>Tiefe:</t>
  </si>
  <si>
    <t>Profon.</t>
  </si>
  <si>
    <t>Bilan:</t>
  </si>
  <si>
    <t>In Bilanz</t>
  </si>
  <si>
    <t>en bilan</t>
  </si>
  <si>
    <t>P48</t>
  </si>
  <si>
    <t>Q94</t>
  </si>
  <si>
    <t>Neue Version 6.0 (SIA 380/1:2016) erstellt und zertifiziert (Nr. 1639)</t>
  </si>
  <si>
    <t>Blatt *Bau": C27, P27, C46, P46: Fehlermeldung verdeckt. Angepasst.</t>
  </si>
  <si>
    <t>Blatt "UWert": Zellschutzschutz Kolonnen BU und BW entfernt. Kopieren in Dorpdown wieder möglich.</t>
  </si>
  <si>
    <t>Blatt "Zonen": Nachweis erfüllt, obwohl ph,li bei Neubau nicht eingehalten. Formel Zelle Y22 korrigiert.</t>
  </si>
  <si>
    <t>Austrotherm XPS TOP P 3-6cm</t>
  </si>
  <si>
    <t>Austrotherm XPS TOP P 8-12cm</t>
  </si>
  <si>
    <t>Austrotherm XPS TOP P 14-20cm</t>
  </si>
  <si>
    <t>Austrotherm XPS TOP 30 3-6cm</t>
  </si>
  <si>
    <t>Austrotherm XPS TOP 30 8-12cm</t>
  </si>
  <si>
    <t>Austrotherm XPS TOP 30 14-20cm</t>
  </si>
  <si>
    <t>Austrotherm XPS TOP 50 5-6cm</t>
  </si>
  <si>
    <t>Austrotherm XPS TOP 50 8-12cm</t>
  </si>
  <si>
    <t>Austrotherm XPS TOP 50 14-20cm</t>
  </si>
  <si>
    <t>Styrodur C  2-4cm</t>
  </si>
  <si>
    <t>Styrodur C  5-6cm</t>
  </si>
  <si>
    <t>Styrodur C  8-10cm</t>
  </si>
  <si>
    <t>Styrodur C  12cm</t>
  </si>
  <si>
    <t>Styrodur C  14-20cm</t>
  </si>
  <si>
    <t>Roofmate SL-AP  &lt;=8cm</t>
  </si>
  <si>
    <t>Roofmate SL-AP  10-12cm</t>
  </si>
  <si>
    <t>Roofmate SL-AP  14-20cm</t>
  </si>
  <si>
    <t>Styrofoam TG-AP  &lt;=8cm</t>
  </si>
  <si>
    <t>Styrofoam TG-AP  &gt;8cm</t>
  </si>
  <si>
    <t>Perimate DI-AP  &lt;=8cm</t>
  </si>
  <si>
    <t>Perimate DI-AP 10-12cm</t>
  </si>
  <si>
    <t>Perimate DI-AP  &gt;12cm</t>
  </si>
  <si>
    <t>Floormate 500-AP  &lt;8cm</t>
  </si>
  <si>
    <t>Floormate 500-AP  8-12cm</t>
  </si>
  <si>
    <t>Floormate 500-AP  &gt;12cm</t>
  </si>
  <si>
    <t>Floormate 700-AP  &lt;8cm</t>
  </si>
  <si>
    <t>Floormate 700-AP  8-12cm</t>
  </si>
  <si>
    <t>Floormate 700-AP  &gt;12cm</t>
  </si>
  <si>
    <t>Styrofoam IB-CH-AP  &lt;=8cm</t>
  </si>
  <si>
    <t>Styrofoam IB-CH-AP  10-12cm</t>
  </si>
  <si>
    <t>Styrofoam IB-CH-AP  &gt;12cm</t>
  </si>
  <si>
    <t>XENERGY IBP  5-8cm</t>
  </si>
  <si>
    <t>XENERGY IBP  9-20cm</t>
  </si>
  <si>
    <t>XENERGY SLP  5-8cm</t>
  </si>
  <si>
    <t>XENERGY SLP  9-20cm</t>
  </si>
  <si>
    <t>X-Foam Wafer  2-4cm</t>
  </si>
  <si>
    <t>X-Foam Wafer  5-6cm</t>
  </si>
  <si>
    <t>X-Foam Wafer  8-14cm</t>
  </si>
  <si>
    <t>X-Foam Wafer  16-20cm</t>
  </si>
  <si>
    <t>X-Foam HBT 300  3-4cm</t>
  </si>
  <si>
    <t>X-Foam HBT 300  5-6cm</t>
  </si>
  <si>
    <t>X-Foam HBT 300  8-12cm</t>
  </si>
  <si>
    <t>X-Foam HBT 300  16-20cm</t>
  </si>
  <si>
    <t>X-Foam HBT 500  5-6cm</t>
  </si>
  <si>
    <t>X-Foam HBT 500  8-12cm</t>
  </si>
  <si>
    <t>FIBRAN XPS  2-3cm</t>
  </si>
  <si>
    <t>FIBRAN XPS  4-5cm</t>
  </si>
  <si>
    <t>FIBRAN XPS  6-10cm</t>
  </si>
  <si>
    <t>FIBRAN XPS  12cm</t>
  </si>
  <si>
    <t>FIBRAN XPS  14-20cm</t>
  </si>
  <si>
    <t>Jackodur KF 300  2-6cm</t>
  </si>
  <si>
    <t>Jackodur KF 300  7-18cm</t>
  </si>
  <si>
    <t>Jackodur KF 500  4-6cm</t>
  </si>
  <si>
    <t>Jackodur KF 500  7-16cm</t>
  </si>
  <si>
    <t>Jackodur KF 500  17-32cm</t>
  </si>
  <si>
    <t>Jackodur KF 700  4-6cm</t>
  </si>
  <si>
    <t>Jackodur KF 700  7-16cm</t>
  </si>
  <si>
    <t>Jackodur KF 700  17-32cm</t>
  </si>
  <si>
    <t>Jackodur CFR 300 / 500  2-6cm</t>
  </si>
  <si>
    <t>Jackodur CFR 300 / 500  &gt;6cm</t>
  </si>
  <si>
    <t>Jackodur DS 300  2-6cm</t>
  </si>
  <si>
    <t>Jackodur DS 300  7-8cm</t>
  </si>
  <si>
    <t>Jackodur DS 300  9-16cm</t>
  </si>
  <si>
    <t>Jackodur DS 300  17-22cm</t>
  </si>
  <si>
    <t>Jackodur KF 300 Jackodrain 2-6cm</t>
  </si>
  <si>
    <t>Jackodur KF 300 Jackodrain &gt;6cm</t>
  </si>
  <si>
    <t>Gematherm XC7  5-6cm</t>
  </si>
  <si>
    <t>Gematherm XC7  8-12cm</t>
  </si>
  <si>
    <t>Gematherm XC3 / XCW  3-4cm</t>
  </si>
  <si>
    <t>Gematherm XC3 / XCW  5-6cm</t>
  </si>
  <si>
    <t>Gematherm XC3 / XCW  8-30cm</t>
  </si>
  <si>
    <t>Gematherm XC5  5-6cm</t>
  </si>
  <si>
    <t>Gematherm XC5  8-30cm</t>
  </si>
  <si>
    <t>Gemadrain XPS  5-6cm</t>
  </si>
  <si>
    <t>Gemadrain XPS  8-30cm</t>
  </si>
  <si>
    <t>swissporXPS  1-8cm</t>
  </si>
  <si>
    <t>swissporXPS  9-40cm</t>
  </si>
  <si>
    <t>URSA XPS N-III  2-6cm</t>
  </si>
  <si>
    <t>URSA XPS N-III  7-12cm</t>
  </si>
  <si>
    <t>URSA XPS N-III  14-16cm</t>
  </si>
  <si>
    <t>URSA XPS N-V  2-6cm</t>
  </si>
  <si>
    <t>URSA XPS N-V  7-12cm</t>
  </si>
  <si>
    <t>URSA XPS N-VII  6cm</t>
  </si>
  <si>
    <t>URSA XPS N-VII  7-12cm</t>
  </si>
  <si>
    <t>URSA XPS N TWINS 10-12cm</t>
  </si>
  <si>
    <t>URSA XPS N TWINS 13-40cm</t>
  </si>
  <si>
    <t>URSA XPS N  2-6cm</t>
  </si>
  <si>
    <t>URSA XPS N  7-10cm</t>
  </si>
  <si>
    <t>BACHL PUR Vlies  2-7cm</t>
  </si>
  <si>
    <t>BACHL PUR Vlies  8-11cm</t>
  </si>
  <si>
    <t>BACHL PUR Vlies  12-24cm</t>
  </si>
  <si>
    <t>Bauder PIR diffusionsoffen  2-7cm</t>
  </si>
  <si>
    <t>Bauder PIR diffusionsoffen  8-11cm</t>
  </si>
  <si>
    <t>Bauder PIR diffusionsoffen  12-24cm</t>
  </si>
  <si>
    <t>puren Plus  8-11cm</t>
  </si>
  <si>
    <t>puren Plus  12-22cm</t>
  </si>
  <si>
    <t>Bauder PIR perméable à la diffusion  2-7cm</t>
  </si>
  <si>
    <t>Bauder PIR perméable à la diffusion  8-11cm</t>
  </si>
  <si>
    <t>Bauder PIR perméable à la diffusion  12-24cm</t>
  </si>
  <si>
    <t>puren-PIR (diffusionsdicht)  2-7cm</t>
  </si>
  <si>
    <t>puren-PIR (diffusionsdicht)  8-20cm</t>
  </si>
  <si>
    <t>puren-PIR (diffusionsoffen)  2-7cm</t>
  </si>
  <si>
    <t>puren-PIR (diffusionsoffen)  8-11cm</t>
  </si>
  <si>
    <t>puren-PIR (diffusionsoffen) &gt;=12cm</t>
  </si>
  <si>
    <t>puren-PIR (étanche à la diffusion)  2-7cm</t>
  </si>
  <si>
    <t>puren-PIR (étanche à la diffusion)  8-20cm</t>
  </si>
  <si>
    <t>puren-PIR (perméable à la diffusion)  2-7cm</t>
  </si>
  <si>
    <t>puren-PIR (perméable à la diffusion)  8-11cm</t>
  </si>
  <si>
    <t>puren-PIR (perméable à la diffusion)  &gt;=12cm</t>
  </si>
  <si>
    <t>puren PIR NE / purenotherm  2-7cm</t>
  </si>
  <si>
    <t>puren PIR NE / purenotherm  8-11cm</t>
  </si>
  <si>
    <t>puren PIR NE / purenotherm &gt;=12cm</t>
  </si>
  <si>
    <t>puren PIR NE / purenotherm S  2-7cm</t>
  </si>
  <si>
    <t>puren PIR NE / purenotherm S  8-11cm</t>
  </si>
  <si>
    <t>puren PIR NE / purenotherm S &gt;=12cm</t>
  </si>
  <si>
    <t>Sarnapur diffusionsdicht (PIR)  2-7cm</t>
  </si>
  <si>
    <t>Sarnapur diffusionsdicht (PIR)  8-20cm</t>
  </si>
  <si>
    <t>Sarnapur diffusionsoffen (PIR)  2-7cm</t>
  </si>
  <si>
    <t>Sarnapur diffusionsoffen (PIR)  8-11cm</t>
  </si>
  <si>
    <t>Sarnapur diffusionsoffen (PIR)  12-20cm</t>
  </si>
  <si>
    <t>Sarnapur (PIR) étanche à la diffusion  2-7cm</t>
  </si>
  <si>
    <t>Sarnapur (PIR) étanche à la diffusion  8-20cm</t>
  </si>
  <si>
    <t>Sarnapur (PIR) perméable à la diffusion  2-7cm</t>
  </si>
  <si>
    <t>Sarnapur (PIR) perméable à la diffusion  8-11cm</t>
  </si>
  <si>
    <t>Sarnapur (PIR) perméable à la diffusion &gt;=12cm</t>
  </si>
  <si>
    <t>swissporTETTO Alu  8-14cm</t>
  </si>
  <si>
    <t>swissporTETTO Alu  16-20cm</t>
  </si>
  <si>
    <t>swissporTETTO Vlies  8-10cm</t>
  </si>
  <si>
    <t>swissporTETTO Vlies  12-14cm</t>
  </si>
  <si>
    <t>swissporTETTO Vlies  16-20cm</t>
  </si>
  <si>
    <t>swissporPIR Top023  6cm</t>
  </si>
  <si>
    <t>swissporPIR Top023  8-10cm</t>
  </si>
  <si>
    <t>swissporPIR Top023  12-24cm</t>
  </si>
  <si>
    <t>swissporPUR Vlies  2-7cm</t>
  </si>
  <si>
    <t>swissporPUR Vlies  8-11cm</t>
  </si>
  <si>
    <t>swissporPUR Vlies  12-24cm</t>
  </si>
  <si>
    <t>swissporPUR voile  2-7cm</t>
  </si>
  <si>
    <t>swissporPUR voile  8-11cm</t>
  </si>
  <si>
    <t>swissporPUR voile  12-24cm</t>
  </si>
  <si>
    <t>Kooltherm 20-44mm</t>
  </si>
  <si>
    <t>Kooltherm 45-120mm</t>
  </si>
  <si>
    <t>Kooltherm 121-140mm</t>
  </si>
  <si>
    <t>Blatt "SIA2001": Produktangaben XPS und PIR/PUR mit Dickenangaben.</t>
  </si>
  <si>
    <t>Blatt "Info": Warnhinweis bei falscher Lizenznummer</t>
  </si>
  <si>
    <t>Blatt "MINERGIE": H52, Qh,korr statt Qh,eff, Formel angepasst</t>
  </si>
  <si>
    <t>Zugehörige Fassaden-Fläche</t>
  </si>
  <si>
    <t>S1</t>
  </si>
  <si>
    <t>E1</t>
  </si>
  <si>
    <t>W1</t>
  </si>
  <si>
    <t>N1</t>
  </si>
  <si>
    <t>H1</t>
  </si>
  <si>
    <t>S2</t>
  </si>
  <si>
    <t>E2</t>
  </si>
  <si>
    <t>W2</t>
  </si>
  <si>
    <t>H2</t>
  </si>
  <si>
    <t>S3</t>
  </si>
  <si>
    <t>E3</t>
  </si>
  <si>
    <t>W3</t>
  </si>
  <si>
    <t>H3</t>
  </si>
  <si>
    <t>E4</t>
  </si>
  <si>
    <t>W4</t>
  </si>
  <si>
    <t>N4</t>
  </si>
  <si>
    <t>S5</t>
  </si>
  <si>
    <t>E5</t>
  </si>
  <si>
    <t>W5</t>
  </si>
  <si>
    <t>eingebaut in</t>
  </si>
  <si>
    <t>C29</t>
  </si>
  <si>
    <t>Inclus dans</t>
  </si>
  <si>
    <t>Blatt "Bau": Bauteilbezeichnung bei Fassaden eingeführt</t>
  </si>
  <si>
    <t>Blatt "Fenster": Kolonne C, Auswahl Zugehörigkeit mit Bauteilbezeichnung eingeführt</t>
  </si>
  <si>
    <t>Blatt "Wände": Flächen neu Brutto, inkl. Fensterfläche</t>
  </si>
  <si>
    <t>Blatt "Fenster &amp; Türen", Kolonne L: Zugehörigkeit zu Bauteil (eingebaut in) eingefügt</t>
  </si>
  <si>
    <t>Ver. 6.1</t>
  </si>
  <si>
    <t>Blatt "Tab", N22: Grenzwert Hqo für Versammlungslokale Norm 2016 falsch. Korrigiert.</t>
  </si>
  <si>
    <t>Blatt "Nachweis" &amp; "Minergie", N7: Formatierung Zelle auf Standard angepasst.</t>
  </si>
  <si>
    <t>10.01.2019</t>
  </si>
  <si>
    <t>Blatt "Nachweis", G51: Angabe Fussbodenheizung nicht mehr von Eingabe Vorlauftemperatur abhängig</t>
  </si>
  <si>
    <t>Blatt *Projekt" F37: Nachweis nach MUKEN 2014 (Ver 1) aus Auswahlliste gelöscht, da nicht mehr relevant.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</si>
</sst>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0.0"/>
    <numFmt numFmtId="165" formatCode="#,##0.0"/>
    <numFmt numFmtId="166" formatCode="0.0000"/>
    <numFmt numFmtId="167" formatCode="0.000"/>
    <numFmt numFmtId="168" formatCode="d/m/yy\ h:mm\ AM/PM"/>
    <numFmt numFmtId="169" formatCode="d/m/yy\ h:mm"/>
    <numFmt numFmtId="170" formatCode="d/\ mmmm\ yyyy"/>
    <numFmt numFmtId="171" formatCode="h:mm"/>
    <numFmt numFmtId="172" formatCode="#,##0.0000"/>
    <numFmt numFmtId="173" formatCode="#,##0_ ;[Red]\-#,##0\ "/>
    <numFmt numFmtId="174" formatCode="0.00_ ;[Red]\-0.00\ "/>
    <numFmt numFmtId="175" formatCode="#,##0.00_ ;[Red]\-#,##0.00\ "/>
    <numFmt numFmtId="176" formatCode="#,##0.0_ ;[Red]\-#,##0.0\ "/>
    <numFmt numFmtId="177" formatCode="yyyy"/>
    <numFmt numFmtId="178" formatCode="0.0%"/>
    <numFmt numFmtId="179" formatCode="####"/>
    <numFmt numFmtId="180" formatCode="_ * #,##0_ ;_ * \-#,##0_ ;_ * &quot;-&quot;??_ ;_ @_ "/>
  </numFmts>
  <fonts count="151">
    <font>
      <sz val="10"/>
      <name val="Arial"/>
    </font>
    <font>
      <b/>
      <sz val="10"/>
      <name val="Arial"/>
      <family val="2"/>
    </font>
    <font>
      <b/>
      <i/>
      <sz val="10"/>
      <name val="Arial"/>
      <family val="2"/>
    </font>
    <font>
      <sz val="10"/>
      <name val="Arial"/>
      <family val="2"/>
    </font>
    <font>
      <b/>
      <sz val="12"/>
      <name val="Arial"/>
      <family val="2"/>
    </font>
    <font>
      <b/>
      <sz val="12"/>
      <name val="Arial"/>
      <family val="2"/>
    </font>
    <font>
      <sz val="8"/>
      <name val="Arial"/>
      <family val="2"/>
    </font>
    <font>
      <b/>
      <sz val="11"/>
      <name val="Arial"/>
      <family val="2"/>
    </font>
    <font>
      <b/>
      <i/>
      <sz val="20"/>
      <name val="Times New Roman"/>
      <family val="1"/>
    </font>
    <font>
      <b/>
      <sz val="10"/>
      <name val="Arial"/>
      <family val="2"/>
    </font>
    <font>
      <sz val="10"/>
      <name val="Arial"/>
      <family val="2"/>
    </font>
    <font>
      <sz val="10"/>
      <color indexed="8"/>
      <name val="Arial"/>
      <family val="2"/>
    </font>
    <font>
      <u/>
      <sz val="18"/>
      <name val="Arial"/>
      <family val="2"/>
    </font>
    <font>
      <sz val="10"/>
      <color indexed="26"/>
      <name val="Arial"/>
      <family val="2"/>
    </font>
    <font>
      <sz val="10"/>
      <name val="Arial"/>
      <family val="2"/>
    </font>
    <font>
      <b/>
      <sz val="10"/>
      <color indexed="26"/>
      <name val="Arial"/>
      <family val="2"/>
    </font>
    <font>
      <sz val="9"/>
      <name val="Arial"/>
      <family val="2"/>
    </font>
    <font>
      <b/>
      <sz val="11"/>
      <name val="Arial"/>
      <family val="2"/>
    </font>
    <font>
      <b/>
      <sz val="9"/>
      <name val="Arial"/>
      <family val="2"/>
    </font>
    <font>
      <b/>
      <sz val="9"/>
      <name val="Arial"/>
      <family val="2"/>
    </font>
    <font>
      <b/>
      <sz val="14"/>
      <name val="Arial"/>
      <family val="2"/>
    </font>
    <font>
      <sz val="9"/>
      <name val="Arial"/>
      <family val="2"/>
    </font>
    <font>
      <b/>
      <u/>
      <sz val="24"/>
      <name val="Arial"/>
      <family val="2"/>
    </font>
    <font>
      <b/>
      <u/>
      <sz val="20"/>
      <name val="Arial"/>
      <family val="2"/>
    </font>
    <font>
      <b/>
      <u/>
      <sz val="16"/>
      <name val="Arial"/>
      <family val="2"/>
    </font>
    <font>
      <b/>
      <sz val="20"/>
      <name val="Arial"/>
      <family val="2"/>
    </font>
    <font>
      <b/>
      <sz val="10"/>
      <name val="Symbol"/>
      <family val="1"/>
      <charset val="2"/>
    </font>
    <font>
      <b/>
      <sz val="10"/>
      <color indexed="8"/>
      <name val="Arial"/>
      <family val="2"/>
    </font>
    <font>
      <b/>
      <sz val="24"/>
      <color indexed="8"/>
      <name val="Arial"/>
      <family val="2"/>
    </font>
    <font>
      <b/>
      <sz val="12"/>
      <color indexed="8"/>
      <name val="Arial"/>
      <family val="2"/>
    </font>
    <font>
      <sz val="12"/>
      <color indexed="8"/>
      <name val="Arial"/>
      <family val="2"/>
    </font>
    <font>
      <b/>
      <u/>
      <sz val="10"/>
      <name val="Arial"/>
      <family val="2"/>
    </font>
    <font>
      <b/>
      <sz val="8"/>
      <name val="Arial"/>
      <family val="2"/>
    </font>
    <font>
      <sz val="10"/>
      <name val="Symbol"/>
      <family val="1"/>
      <charset val="2"/>
    </font>
    <font>
      <b/>
      <u/>
      <sz val="14"/>
      <name val="Arial"/>
      <family val="2"/>
    </font>
    <font>
      <sz val="10"/>
      <color indexed="10"/>
      <name val="Arial"/>
      <family val="2"/>
    </font>
    <font>
      <b/>
      <sz val="10"/>
      <color indexed="10"/>
      <name val="Arial"/>
      <family val="2"/>
    </font>
    <font>
      <b/>
      <sz val="12"/>
      <color indexed="10"/>
      <name val="Arial"/>
      <family val="2"/>
    </font>
    <font>
      <u/>
      <sz val="10"/>
      <color indexed="12"/>
      <name val="Arial"/>
      <family val="2"/>
    </font>
    <font>
      <b/>
      <sz val="12"/>
      <color indexed="16"/>
      <name val="Arial"/>
      <family val="2"/>
    </font>
    <font>
      <b/>
      <sz val="12"/>
      <color indexed="52"/>
      <name val="Arial"/>
      <family val="2"/>
    </font>
    <font>
      <vertAlign val="superscript"/>
      <sz val="10"/>
      <name val="Arial"/>
      <family val="2"/>
    </font>
    <font>
      <vertAlign val="subscript"/>
      <sz val="10"/>
      <name val="Arial"/>
      <family val="2"/>
    </font>
    <font>
      <b/>
      <vertAlign val="subscript"/>
      <sz val="10"/>
      <name val="Arial"/>
      <family val="2"/>
    </font>
    <font>
      <b/>
      <vertAlign val="superscript"/>
      <sz val="10"/>
      <name val="Arial"/>
      <family val="2"/>
    </font>
    <font>
      <b/>
      <vertAlign val="subscript"/>
      <sz val="12"/>
      <name val="Arial"/>
      <family val="2"/>
    </font>
    <font>
      <vertAlign val="superscript"/>
      <sz val="10"/>
      <color indexed="8"/>
      <name val="Arial"/>
      <family val="2"/>
    </font>
    <font>
      <vertAlign val="superscript"/>
      <sz val="9"/>
      <name val="Arial"/>
      <family val="2"/>
    </font>
    <font>
      <b/>
      <sz val="10"/>
      <color indexed="42"/>
      <name val="Arial"/>
      <family val="2"/>
    </font>
    <font>
      <b/>
      <sz val="12"/>
      <name val="Symbol"/>
      <family val="1"/>
      <charset val="2"/>
    </font>
    <font>
      <vertAlign val="subscript"/>
      <sz val="9"/>
      <name val="Arial"/>
      <family val="2"/>
    </font>
    <font>
      <sz val="9"/>
      <name val="Symbol"/>
      <family val="1"/>
      <charset val="2"/>
    </font>
    <font>
      <b/>
      <sz val="9.5"/>
      <name val="Symbol"/>
      <family val="1"/>
      <charset val="2"/>
    </font>
    <font>
      <b/>
      <sz val="9.5"/>
      <name val="Arial"/>
      <family val="2"/>
    </font>
    <font>
      <b/>
      <vertAlign val="subscript"/>
      <sz val="11"/>
      <name val="Arial"/>
      <family val="2"/>
    </font>
    <font>
      <b/>
      <vertAlign val="superscript"/>
      <sz val="11"/>
      <name val="Arial"/>
      <family val="2"/>
    </font>
    <font>
      <sz val="10"/>
      <color indexed="43"/>
      <name val="Arial"/>
      <family val="2"/>
    </font>
    <font>
      <b/>
      <i/>
      <sz val="10"/>
      <name val="Arial"/>
      <family val="2"/>
    </font>
    <font>
      <b/>
      <sz val="11"/>
      <color indexed="10"/>
      <name val="Arial"/>
      <family val="2"/>
    </font>
    <font>
      <b/>
      <sz val="6"/>
      <color indexed="10"/>
      <name val="Arial"/>
      <family val="2"/>
    </font>
    <font>
      <b/>
      <sz val="8"/>
      <color indexed="10"/>
      <name val="Arial"/>
      <family val="2"/>
    </font>
    <font>
      <sz val="8"/>
      <color indexed="81"/>
      <name val="Tahoma"/>
      <family val="2"/>
    </font>
    <font>
      <i/>
      <sz val="8"/>
      <name val="Arial"/>
      <family val="2"/>
    </font>
    <font>
      <i/>
      <sz val="10"/>
      <name val="Arial"/>
      <family val="2"/>
    </font>
    <font>
      <b/>
      <vertAlign val="superscript"/>
      <sz val="10"/>
      <color indexed="8"/>
      <name val="Arial"/>
      <family val="2"/>
    </font>
    <font>
      <sz val="10"/>
      <name val="Arial"/>
      <family val="2"/>
    </font>
    <font>
      <sz val="11"/>
      <name val="Arial"/>
      <family val="2"/>
    </font>
    <font>
      <vertAlign val="subscript"/>
      <sz val="11"/>
      <name val="Arial"/>
      <family val="2"/>
    </font>
    <font>
      <u/>
      <sz val="16"/>
      <name val="Arial"/>
      <family val="2"/>
    </font>
    <font>
      <sz val="11"/>
      <color indexed="8"/>
      <name val="Arial"/>
      <family val="2"/>
    </font>
    <font>
      <vertAlign val="subscript"/>
      <sz val="11"/>
      <color indexed="8"/>
      <name val="Arial"/>
      <family val="2"/>
    </font>
    <font>
      <b/>
      <sz val="14"/>
      <color indexed="8"/>
      <name val="Arial"/>
      <family val="2"/>
    </font>
    <font>
      <vertAlign val="superscript"/>
      <sz val="11"/>
      <color indexed="8"/>
      <name val="Arial"/>
      <family val="2"/>
    </font>
    <font>
      <sz val="14"/>
      <color indexed="8"/>
      <name val="Arial"/>
      <family val="2"/>
    </font>
    <font>
      <vertAlign val="subscript"/>
      <sz val="14"/>
      <color indexed="8"/>
      <name val="Arial"/>
      <family val="2"/>
    </font>
    <font>
      <b/>
      <u/>
      <sz val="12"/>
      <name val="Arial"/>
      <family val="2"/>
    </font>
    <font>
      <b/>
      <vertAlign val="subscript"/>
      <sz val="9"/>
      <name val="Arial"/>
      <family val="2"/>
    </font>
    <font>
      <i/>
      <sz val="9"/>
      <name val="Arial"/>
      <family val="2"/>
    </font>
    <font>
      <sz val="8"/>
      <color indexed="10"/>
      <name val="Arial"/>
      <family val="2"/>
    </font>
    <font>
      <sz val="9"/>
      <color indexed="10"/>
      <name val="Arial"/>
      <family val="2"/>
    </font>
    <font>
      <u/>
      <sz val="10"/>
      <name val="Arial"/>
      <family val="2"/>
    </font>
    <font>
      <sz val="10"/>
      <color indexed="9"/>
      <name val="Arial"/>
      <family val="2"/>
    </font>
    <font>
      <b/>
      <sz val="10"/>
      <color indexed="9"/>
      <name val="Arial"/>
      <family val="2"/>
    </font>
    <font>
      <sz val="20"/>
      <name val="Arial"/>
      <family val="2"/>
    </font>
    <font>
      <sz val="10"/>
      <name val="GreekC"/>
    </font>
    <font>
      <sz val="9"/>
      <color indexed="8"/>
      <name val="Arial"/>
      <family val="2"/>
    </font>
    <font>
      <sz val="10"/>
      <color indexed="14"/>
      <name val="Arial"/>
      <family val="2"/>
    </font>
    <font>
      <sz val="9"/>
      <color indexed="14"/>
      <name val="Arial"/>
      <family val="2"/>
    </font>
    <font>
      <b/>
      <sz val="10"/>
      <color indexed="8"/>
      <name val="Symbol"/>
      <family val="1"/>
      <charset val="2"/>
    </font>
    <font>
      <b/>
      <i/>
      <sz val="11"/>
      <name val="Symbol"/>
      <family val="1"/>
      <charset val="2"/>
    </font>
    <font>
      <b/>
      <i/>
      <vertAlign val="subscript"/>
      <sz val="11"/>
      <name val="Times New Roman"/>
      <family val="1"/>
    </font>
    <font>
      <b/>
      <sz val="8"/>
      <color indexed="9"/>
      <name val="Arial"/>
      <family val="2"/>
    </font>
    <font>
      <b/>
      <vertAlign val="subscript"/>
      <sz val="10"/>
      <color indexed="9"/>
      <name val="Arial"/>
      <family val="2"/>
    </font>
    <font>
      <b/>
      <vertAlign val="subscript"/>
      <sz val="8"/>
      <name val="Arial"/>
      <family val="2"/>
    </font>
    <font>
      <vertAlign val="superscript"/>
      <sz val="8"/>
      <name val="Arial"/>
      <family val="2"/>
    </font>
    <font>
      <b/>
      <sz val="9"/>
      <name val="Symbol"/>
      <family val="1"/>
      <charset val="2"/>
    </font>
    <font>
      <sz val="11"/>
      <name val="Symbol"/>
      <family val="1"/>
      <charset val="2"/>
    </font>
    <font>
      <vertAlign val="superscript"/>
      <sz val="11"/>
      <name val="Arial"/>
      <family val="2"/>
    </font>
    <font>
      <vertAlign val="subscript"/>
      <sz val="10"/>
      <name val="Symbol"/>
      <family val="1"/>
      <charset val="2"/>
    </font>
    <font>
      <b/>
      <sz val="11"/>
      <name val="Symbol"/>
      <family val="1"/>
      <charset val="2"/>
    </font>
    <font>
      <b/>
      <sz val="11"/>
      <color indexed="16"/>
      <name val="Arial"/>
      <family val="2"/>
    </font>
    <font>
      <b/>
      <u/>
      <sz val="11"/>
      <name val="Arial"/>
      <family val="2"/>
    </font>
    <font>
      <sz val="10"/>
      <name val="Arial"/>
      <family val="2"/>
    </font>
    <font>
      <sz val="8"/>
      <color indexed="26"/>
      <name val="Arial"/>
      <family val="2"/>
    </font>
    <font>
      <sz val="10"/>
      <color indexed="26"/>
      <name val="Arial"/>
      <family val="2"/>
    </font>
    <font>
      <u/>
      <sz val="16"/>
      <color indexed="26"/>
      <name val="Arial"/>
      <family val="2"/>
    </font>
    <font>
      <sz val="9"/>
      <color indexed="26"/>
      <name val="Arial"/>
      <family val="2"/>
    </font>
    <font>
      <b/>
      <i/>
      <sz val="9"/>
      <name val="Arial"/>
      <family val="2"/>
    </font>
    <font>
      <b/>
      <i/>
      <sz val="9"/>
      <name val="Symbol"/>
      <family val="1"/>
      <charset val="2"/>
    </font>
    <font>
      <b/>
      <vertAlign val="superscript"/>
      <sz val="9"/>
      <name val="Arial"/>
      <family val="2"/>
    </font>
    <font>
      <vertAlign val="subscript"/>
      <sz val="8"/>
      <name val="Arial"/>
      <family val="2"/>
    </font>
    <font>
      <sz val="10"/>
      <color indexed="10"/>
      <name val="Arial"/>
      <family val="2"/>
    </font>
    <font>
      <b/>
      <vertAlign val="subscript"/>
      <sz val="11"/>
      <color indexed="10"/>
      <name val="Arial"/>
      <family val="2"/>
    </font>
    <font>
      <b/>
      <sz val="10"/>
      <color indexed="10"/>
      <name val="Arial"/>
      <family val="2"/>
    </font>
    <font>
      <sz val="8"/>
      <color indexed="43"/>
      <name val="Arial"/>
      <family val="2"/>
    </font>
    <font>
      <sz val="10"/>
      <color indexed="43"/>
      <name val="Arial"/>
      <family val="2"/>
    </font>
    <font>
      <sz val="9"/>
      <color indexed="43"/>
      <name val="Arial"/>
      <family val="2"/>
    </font>
    <font>
      <sz val="10"/>
      <color indexed="43"/>
      <name val="Symbol"/>
      <family val="1"/>
      <charset val="2"/>
    </font>
    <font>
      <b/>
      <sz val="11"/>
      <color indexed="8"/>
      <name val="Arial"/>
      <family val="2"/>
    </font>
    <font>
      <sz val="8"/>
      <color indexed="8"/>
      <name val="Arial"/>
      <family val="2"/>
    </font>
    <font>
      <b/>
      <sz val="9"/>
      <color indexed="10"/>
      <name val="Arial"/>
      <family val="2"/>
    </font>
    <font>
      <b/>
      <sz val="14"/>
      <color indexed="10"/>
      <name val="Arial"/>
      <family val="2"/>
    </font>
    <font>
      <sz val="9"/>
      <color indexed="9"/>
      <name val="Arial"/>
      <family val="2"/>
    </font>
    <font>
      <sz val="7"/>
      <name val="Arial"/>
      <family val="2"/>
    </font>
    <font>
      <b/>
      <sz val="9"/>
      <color indexed="8"/>
      <name val="Arial"/>
      <family val="2"/>
    </font>
    <font>
      <sz val="10"/>
      <color indexed="9"/>
      <name val="Arial"/>
      <family val="2"/>
    </font>
    <font>
      <sz val="10"/>
      <color indexed="9"/>
      <name val="Symbol"/>
      <family val="1"/>
      <charset val="2"/>
    </font>
    <font>
      <vertAlign val="subscript"/>
      <sz val="8"/>
      <color indexed="9"/>
      <name val="Arial"/>
      <family val="2"/>
    </font>
    <font>
      <sz val="8"/>
      <color rgb="FF000000"/>
      <name val="Tahoma"/>
      <family val="2"/>
    </font>
    <font>
      <b/>
      <i/>
      <sz val="8"/>
      <name val="Arial"/>
      <family val="2"/>
    </font>
    <font>
      <b/>
      <u/>
      <sz val="18"/>
      <name val="Arial"/>
      <family val="2"/>
    </font>
    <font>
      <b/>
      <i/>
      <u/>
      <sz val="12"/>
      <name val="Arial"/>
      <family val="2"/>
    </font>
    <font>
      <sz val="10"/>
      <color theme="1"/>
      <name val="Arial"/>
      <family val="2"/>
    </font>
    <font>
      <b/>
      <sz val="9.5"/>
      <name val="Arial"/>
      <family val="2"/>
    </font>
    <font>
      <vertAlign val="subscript"/>
      <sz val="10"/>
      <color theme="1"/>
      <name val="Arial"/>
      <family val="2"/>
    </font>
    <font>
      <b/>
      <sz val="10"/>
      <color rgb="FFFF0000"/>
      <name val="Arial"/>
      <family val="2"/>
    </font>
    <font>
      <b/>
      <sz val="8"/>
      <color rgb="FFFF0000"/>
      <name val="Arial"/>
      <family val="2"/>
    </font>
    <font>
      <b/>
      <sz val="8"/>
      <color theme="1"/>
      <name val="Arial"/>
      <family val="2"/>
    </font>
    <font>
      <b/>
      <sz val="9"/>
      <color indexed="81"/>
      <name val="Segoe UI"/>
      <family val="2"/>
    </font>
    <font>
      <b/>
      <sz val="10"/>
      <color rgb="FF00B050"/>
      <name val="Arial"/>
      <family val="2"/>
    </font>
    <font>
      <u/>
      <sz val="10"/>
      <color indexed="12"/>
      <name val="Arial"/>
      <family val="2"/>
    </font>
    <font>
      <sz val="10"/>
      <color theme="0"/>
      <name val="Arial"/>
      <family val="2"/>
    </font>
    <font>
      <b/>
      <sz val="10"/>
      <color theme="0"/>
      <name val="Arial"/>
      <family val="2"/>
    </font>
    <font>
      <sz val="9"/>
      <color indexed="81"/>
      <name val="Segoe UI"/>
      <family val="2"/>
    </font>
    <font>
      <sz val="10"/>
      <color rgb="FFFFFFCC"/>
      <name val="Arial"/>
      <family val="2"/>
    </font>
    <font>
      <b/>
      <sz val="18"/>
      <name val="Arial"/>
      <family val="2"/>
    </font>
    <font>
      <sz val="10"/>
      <color rgb="FFFF0000"/>
      <name val="Arial"/>
      <family val="2"/>
    </font>
    <font>
      <sz val="11"/>
      <color indexed="8"/>
      <name val="Calibri"/>
      <family val="2"/>
    </font>
    <font>
      <vertAlign val="superscript"/>
      <sz val="9"/>
      <color indexed="8"/>
      <name val="Arial"/>
      <family val="2"/>
    </font>
    <font>
      <sz val="6"/>
      <color indexed="8"/>
      <name val="Arial"/>
      <family val="2"/>
    </font>
    <font>
      <b/>
      <sz val="9"/>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4"/>
        <bgColor indexed="64"/>
      </patternFill>
    </fill>
    <fill>
      <patternFill patternType="solid">
        <fgColor indexed="41"/>
        <bgColor indexed="64"/>
      </patternFill>
    </fill>
    <fill>
      <patternFill patternType="solid">
        <fgColor indexed="13"/>
        <bgColor indexed="64"/>
      </patternFill>
    </fill>
    <fill>
      <patternFill patternType="solid">
        <fgColor indexed="35"/>
        <bgColor indexed="64"/>
      </patternFill>
    </fill>
    <fill>
      <patternFill patternType="solid">
        <fgColor indexed="9"/>
        <bgColor indexed="64"/>
      </patternFill>
    </fill>
    <fill>
      <patternFill patternType="solid">
        <fgColor indexed="15"/>
        <bgColor indexed="64"/>
      </patternFill>
    </fill>
    <fill>
      <patternFill patternType="solid">
        <fgColor indexed="12"/>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rgb="FFFFFFCC"/>
        <bgColor indexed="64"/>
      </patternFill>
    </fill>
    <fill>
      <patternFill patternType="solid">
        <fgColor theme="0"/>
        <bgColor indexed="64"/>
      </patternFill>
    </fill>
    <fill>
      <patternFill patternType="solid">
        <fgColor rgb="FFCC99FF"/>
        <bgColor indexed="64"/>
      </patternFill>
    </fill>
    <fill>
      <patternFill patternType="solid">
        <fgColor rgb="FFCCFF66"/>
        <bgColor indexed="64"/>
      </patternFill>
    </fill>
    <fill>
      <patternFill patternType="solid">
        <fgColor indexed="47"/>
        <bgColor indexed="64"/>
      </patternFill>
    </fill>
    <fill>
      <patternFill patternType="solid">
        <fgColor rgb="FFFFFF99"/>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8" tint="0.79995117038483843"/>
        <bgColor indexed="64"/>
      </patternFill>
    </fill>
    <fill>
      <patternFill patternType="solid">
        <fgColor theme="8" tint="0.79998168889431442"/>
        <bgColor indexed="64"/>
      </patternFill>
    </fill>
    <fill>
      <patternFill patternType="solid">
        <fgColor rgb="FFCCFF99"/>
        <bgColor indexed="64"/>
      </patternFill>
    </fill>
  </fills>
  <borders count="125">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right/>
      <top/>
      <bottom style="hair">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bottom style="double">
        <color indexed="64"/>
      </bottom>
      <diagonal/>
    </border>
    <border>
      <left/>
      <right/>
      <top style="hair">
        <color indexed="64"/>
      </top>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thin">
        <color indexed="26"/>
      </left>
      <right style="thin">
        <color indexed="26"/>
      </right>
      <top style="thin">
        <color indexed="26"/>
      </top>
      <bottom style="thin">
        <color indexed="26"/>
      </bottom>
      <diagonal/>
    </border>
    <border>
      <left style="medium">
        <color indexed="64"/>
      </left>
      <right/>
      <top/>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26"/>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bottom style="hair">
        <color indexed="64"/>
      </bottom>
      <diagonal/>
    </border>
    <border>
      <left style="thin">
        <color indexed="26"/>
      </left>
      <right/>
      <top style="thin">
        <color indexed="26"/>
      </top>
      <bottom style="thin">
        <color indexed="2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26"/>
      </left>
      <right/>
      <top style="thin">
        <color indexed="26"/>
      </top>
      <bottom/>
      <diagonal/>
    </border>
    <border>
      <left style="thin">
        <color indexed="26"/>
      </left>
      <right style="thin">
        <color indexed="26"/>
      </right>
      <top/>
      <bottom style="thin">
        <color indexed="26"/>
      </bottom>
      <diagonal/>
    </border>
    <border>
      <left style="thin">
        <color indexed="26"/>
      </left>
      <right/>
      <top/>
      <bottom style="thin">
        <color indexed="26"/>
      </bottom>
      <diagonal/>
    </border>
    <border>
      <left style="thin">
        <color indexed="26"/>
      </left>
      <right style="thin">
        <color indexed="26"/>
      </right>
      <top style="thin">
        <color indexed="26"/>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auto="1"/>
      </right>
      <top/>
      <bottom/>
      <diagonal/>
    </border>
    <border>
      <left style="thin">
        <color indexed="64"/>
      </left>
      <right style="thin">
        <color indexed="64"/>
      </right>
      <top/>
      <bottom style="hair">
        <color indexed="64"/>
      </bottom>
      <diagonal/>
    </border>
  </borders>
  <cellStyleXfs count="5">
    <xf numFmtId="0" fontId="0" fillId="0" borderId="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9" fontId="3" fillId="0" borderId="0" applyFont="0" applyFill="0" applyBorder="0" applyAlignment="0" applyProtection="0"/>
    <xf numFmtId="0" fontId="147" fillId="0" borderId="0"/>
  </cellStyleXfs>
  <cellXfs count="2620">
    <xf numFmtId="0" fontId="0" fillId="0" borderId="0" xfId="0"/>
    <xf numFmtId="0" fontId="0" fillId="2" borderId="0" xfId="0" applyFill="1" applyProtection="1">
      <protection hidden="1"/>
    </xf>
    <xf numFmtId="0" fontId="0" fillId="2"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2" borderId="0" xfId="0" applyFill="1" applyBorder="1" applyAlignment="1" applyProtection="1">
      <alignment horizontal="center"/>
      <protection hidden="1"/>
    </xf>
    <xf numFmtId="0" fontId="0" fillId="2" borderId="1" xfId="0" applyFill="1" applyBorder="1" applyAlignment="1" applyProtection="1">
      <alignment horizontal="center"/>
      <protection hidden="1"/>
    </xf>
    <xf numFmtId="0" fontId="1"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18" fillId="2" borderId="0" xfId="0" applyFont="1" applyFill="1" applyBorder="1" applyAlignment="1" applyProtection="1">
      <alignment horizontal="left"/>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6" xfId="0" applyFill="1" applyBorder="1" applyAlignment="1" applyProtection="1">
      <alignment horizontal="center"/>
      <protection hidden="1"/>
    </xf>
    <xf numFmtId="0" fontId="1" fillId="2" borderId="7" xfId="0" applyFont="1" applyFill="1" applyBorder="1" applyAlignment="1" applyProtection="1">
      <alignment horizontal="center"/>
      <protection hidden="1"/>
    </xf>
    <xf numFmtId="0" fontId="26" fillId="2" borderId="8"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 fillId="2" borderId="13" xfId="0" applyFont="1" applyFill="1" applyBorder="1" applyAlignment="1" applyProtection="1">
      <alignment horizontal="left"/>
      <protection hidden="1"/>
    </xf>
    <xf numFmtId="0" fontId="4" fillId="3" borderId="14" xfId="0" applyFont="1" applyFill="1" applyBorder="1" applyAlignment="1" applyProtection="1">
      <alignment horizontal="center"/>
      <protection hidden="1"/>
    </xf>
    <xf numFmtId="0" fontId="25" fillId="2" borderId="0" xfId="0" applyFont="1" applyFill="1" applyAlignment="1" applyProtection="1">
      <alignment horizontal="left"/>
      <protection hidden="1"/>
    </xf>
    <xf numFmtId="4" fontId="0" fillId="2" borderId="0" xfId="0" applyNumberFormat="1" applyFill="1" applyBorder="1" applyAlignment="1" applyProtection="1">
      <alignment horizontal="center"/>
      <protection hidden="1"/>
    </xf>
    <xf numFmtId="0" fontId="1" fillId="2" borderId="0" xfId="0" applyFont="1" applyFill="1" applyBorder="1" applyAlignment="1" applyProtection="1">
      <alignment horizontal="left"/>
      <protection hidden="1"/>
    </xf>
    <xf numFmtId="0" fontId="0" fillId="4" borderId="15" xfId="0" applyFill="1" applyBorder="1" applyProtection="1">
      <protection locked="0"/>
    </xf>
    <xf numFmtId="0" fontId="1" fillId="4" borderId="15" xfId="0" applyFont="1" applyFill="1" applyBorder="1" applyAlignment="1" applyProtection="1">
      <alignment horizontal="center"/>
      <protection locked="0"/>
    </xf>
    <xf numFmtId="165" fontId="0" fillId="4" borderId="15" xfId="0" applyNumberFormat="1" applyFill="1" applyBorder="1" applyProtection="1">
      <protection locked="0"/>
    </xf>
    <xf numFmtId="0" fontId="0" fillId="4" borderId="5"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0" fillId="2" borderId="0" xfId="0" applyFill="1" applyAlignment="1" applyProtection="1">
      <alignment horizontal="left"/>
    </xf>
    <xf numFmtId="0" fontId="0" fillId="2" borderId="0" xfId="0" applyFill="1" applyBorder="1" applyProtection="1"/>
    <xf numFmtId="0" fontId="0" fillId="2" borderId="10" xfId="0" applyFill="1" applyBorder="1" applyProtection="1"/>
    <xf numFmtId="0" fontId="11" fillId="2" borderId="0" xfId="0" applyFont="1" applyFill="1" applyAlignment="1" applyProtection="1">
      <alignment horizontal="left"/>
    </xf>
    <xf numFmtId="0" fontId="0" fillId="2" borderId="0" xfId="0" applyFill="1" applyAlignment="1" applyProtection="1">
      <alignment horizontal="left"/>
      <protection locked="0"/>
    </xf>
    <xf numFmtId="0" fontId="1" fillId="2" borderId="0" xfId="0" applyFont="1" applyFill="1" applyAlignment="1" applyProtection="1">
      <alignment horizontal="center"/>
    </xf>
    <xf numFmtId="0" fontId="0" fillId="2" borderId="10" xfId="0" applyFill="1" applyBorder="1" applyAlignment="1" applyProtection="1">
      <alignment horizontal="left"/>
    </xf>
    <xf numFmtId="0" fontId="13" fillId="2" borderId="0" xfId="0" applyFont="1" applyFill="1" applyAlignment="1" applyProtection="1">
      <alignment horizontal="left"/>
    </xf>
    <xf numFmtId="0" fontId="0" fillId="2" borderId="0" xfId="0" applyFill="1" applyAlignment="1" applyProtection="1">
      <alignment horizontal="right"/>
    </xf>
    <xf numFmtId="0" fontId="5"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applyFont="1" applyFill="1" applyAlignment="1" applyProtection="1">
      <alignment horizontal="left"/>
    </xf>
    <xf numFmtId="0" fontId="11" fillId="2" borderId="0" xfId="0" applyFont="1" applyFill="1" applyAlignment="1" applyProtection="1">
      <alignment horizontal="right"/>
    </xf>
    <xf numFmtId="0" fontId="11" fillId="2" borderId="0" xfId="0" applyFont="1" applyFill="1" applyAlignment="1" applyProtection="1">
      <alignment horizontal="center"/>
    </xf>
    <xf numFmtId="0" fontId="13" fillId="2" borderId="0" xfId="0" applyFont="1" applyFill="1" applyProtection="1"/>
    <xf numFmtId="22" fontId="6" fillId="2" borderId="0" xfId="0" applyNumberFormat="1" applyFont="1" applyFill="1" applyAlignment="1" applyProtection="1">
      <alignment horizontal="centerContinuous"/>
    </xf>
    <xf numFmtId="0" fontId="0" fillId="2" borderId="0" xfId="0" applyFill="1" applyAlignment="1" applyProtection="1">
      <alignment horizontal="centerContinuous"/>
    </xf>
    <xf numFmtId="165" fontId="0" fillId="2" borderId="0" xfId="0" applyNumberFormat="1" applyFill="1" applyProtection="1"/>
    <xf numFmtId="164" fontId="0" fillId="2" borderId="0" xfId="0" applyNumberFormat="1" applyFill="1" applyProtection="1"/>
    <xf numFmtId="165" fontId="1" fillId="2" borderId="0" xfId="0" applyNumberFormat="1" applyFont="1" applyFill="1" applyProtection="1"/>
    <xf numFmtId="0" fontId="6" fillId="2" borderId="0" xfId="0" applyFont="1" applyFill="1" applyProtection="1"/>
    <xf numFmtId="0" fontId="10" fillId="2" borderId="0" xfId="0" applyFont="1" applyFill="1" applyProtection="1"/>
    <xf numFmtId="165" fontId="0" fillId="2" borderId="0" xfId="0" applyNumberFormat="1" applyFill="1" applyBorder="1" applyProtection="1"/>
    <xf numFmtId="0" fontId="1" fillId="2" borderId="0" xfId="0" applyFont="1" applyFill="1" applyProtection="1"/>
    <xf numFmtId="0" fontId="1" fillId="2" borderId="0" xfId="0" applyFont="1" applyFill="1" applyAlignment="1" applyProtection="1">
      <alignment horizontal="centerContinuous"/>
    </xf>
    <xf numFmtId="0" fontId="1" fillId="2" borderId="0" xfId="0" applyFont="1" applyFill="1" applyAlignment="1" applyProtection="1">
      <alignment horizontal="left"/>
    </xf>
    <xf numFmtId="0" fontId="11" fillId="2" borderId="0" xfId="0" applyFont="1" applyFill="1" applyProtection="1">
      <protection locked="0"/>
    </xf>
    <xf numFmtId="0" fontId="0" fillId="2" borderId="0" xfId="0" applyFill="1" applyBorder="1" applyAlignment="1" applyProtection="1">
      <alignment horizontal="right"/>
    </xf>
    <xf numFmtId="0" fontId="0" fillId="2" borderId="1" xfId="0" applyFill="1" applyBorder="1" applyProtection="1"/>
    <xf numFmtId="0" fontId="1" fillId="2" borderId="0" xfId="0" applyFont="1" applyFill="1" applyBorder="1" applyAlignment="1" applyProtection="1">
      <alignment horizontal="center"/>
    </xf>
    <xf numFmtId="0" fontId="0" fillId="2" borderId="10" xfId="0" applyFill="1" applyBorder="1" applyAlignment="1" applyProtection="1">
      <alignment horizontal="center"/>
    </xf>
    <xf numFmtId="0" fontId="0" fillId="2" borderId="5" xfId="0" applyFill="1" applyBorder="1" applyProtection="1"/>
    <xf numFmtId="0" fontId="5" fillId="5" borderId="8" xfId="0" applyFont="1" applyFill="1" applyBorder="1" applyAlignment="1" applyProtection="1">
      <alignment horizontal="center"/>
    </xf>
    <xf numFmtId="0" fontId="0" fillId="2" borderId="1"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Border="1" applyAlignment="1" applyProtection="1">
      <alignment horizontal="left"/>
    </xf>
    <xf numFmtId="0" fontId="1" fillId="2" borderId="1" xfId="0" applyFont="1" applyFill="1" applyBorder="1" applyAlignment="1" applyProtection="1">
      <alignment horizontal="center"/>
    </xf>
    <xf numFmtId="0" fontId="21" fillId="2" borderId="0" xfId="0" applyFont="1" applyFill="1" applyAlignment="1" applyProtection="1">
      <alignment horizontal="center"/>
    </xf>
    <xf numFmtId="165" fontId="21" fillId="2" borderId="0" xfId="0" applyNumberFormat="1" applyFont="1" applyFill="1" applyAlignment="1" applyProtection="1">
      <alignment horizontal="center"/>
    </xf>
    <xf numFmtId="9" fontId="21" fillId="2" borderId="0" xfId="0" applyNumberFormat="1" applyFont="1" applyFill="1" applyAlignment="1" applyProtection="1">
      <alignment horizontal="center"/>
    </xf>
    <xf numFmtId="0" fontId="16" fillId="2" borderId="0" xfId="0" applyFont="1" applyFill="1" applyProtection="1"/>
    <xf numFmtId="0" fontId="21" fillId="2" borderId="0" xfId="0" applyFont="1" applyFill="1" applyProtection="1"/>
    <xf numFmtId="0" fontId="18" fillId="2" borderId="0" xfId="0" applyFont="1" applyFill="1" applyProtection="1"/>
    <xf numFmtId="0" fontId="10" fillId="2" borderId="0" xfId="0" applyFont="1" applyFill="1" applyAlignment="1" applyProtection="1">
      <alignment horizontal="left"/>
    </xf>
    <xf numFmtId="9" fontId="21" fillId="2" borderId="0" xfId="0" applyNumberFormat="1" applyFont="1" applyFill="1" applyAlignment="1" applyProtection="1">
      <alignment horizontal="left"/>
    </xf>
    <xf numFmtId="0" fontId="21" fillId="2" borderId="0" xfId="0" applyFont="1" applyFill="1" applyAlignment="1" applyProtection="1">
      <alignment horizontal="left"/>
    </xf>
    <xf numFmtId="0" fontId="11" fillId="2" borderId="0" xfId="0" applyFont="1" applyFill="1" applyProtection="1"/>
    <xf numFmtId="0" fontId="29" fillId="2" borderId="0" xfId="0" applyFont="1" applyFill="1" applyProtection="1"/>
    <xf numFmtId="0" fontId="27" fillId="2" borderId="0" xfId="0" applyFont="1" applyFill="1" applyAlignment="1" applyProtection="1">
      <alignment horizontal="center"/>
    </xf>
    <xf numFmtId="0" fontId="11" fillId="2" borderId="1" xfId="0" applyFont="1" applyFill="1" applyBorder="1" applyProtection="1"/>
    <xf numFmtId="0" fontId="27" fillId="2" borderId="0" xfId="0" applyFont="1" applyFill="1" applyProtection="1"/>
    <xf numFmtId="0" fontId="11" fillId="4" borderId="10" xfId="0" applyFont="1" applyFill="1" applyBorder="1" applyAlignment="1" applyProtection="1">
      <alignment horizontal="center"/>
      <protection locked="0"/>
    </xf>
    <xf numFmtId="0" fontId="11" fillId="2" borderId="3" xfId="0" applyFont="1" applyFill="1" applyBorder="1" applyProtection="1"/>
    <xf numFmtId="0" fontId="11" fillId="2" borderId="3" xfId="0" applyFont="1" applyFill="1" applyBorder="1" applyAlignment="1" applyProtection="1">
      <alignment horizontal="center"/>
    </xf>
    <xf numFmtId="0" fontId="11" fillId="2" borderId="0" xfId="0" applyFont="1" applyFill="1" applyBorder="1" applyProtection="1"/>
    <xf numFmtId="0" fontId="11" fillId="2" borderId="10" xfId="0" applyFont="1" applyFill="1" applyBorder="1" applyAlignment="1" applyProtection="1">
      <alignment horizontal="center"/>
    </xf>
    <xf numFmtId="0" fontId="11" fillId="2" borderId="10" xfId="0" applyFont="1" applyFill="1" applyBorder="1" applyProtection="1"/>
    <xf numFmtId="0" fontId="27" fillId="2" borderId="10" xfId="0" applyFont="1" applyFill="1" applyBorder="1" applyProtection="1"/>
    <xf numFmtId="0" fontId="11" fillId="2" borderId="5" xfId="0" applyFont="1" applyFill="1" applyBorder="1" applyProtection="1"/>
    <xf numFmtId="0" fontId="27" fillId="2" borderId="0" xfId="0" applyFont="1" applyFill="1" applyAlignment="1" applyProtection="1">
      <alignment horizontal="right"/>
    </xf>
    <xf numFmtId="0" fontId="27" fillId="2" borderId="16" xfId="0" applyFont="1" applyFill="1" applyBorder="1" applyProtection="1"/>
    <xf numFmtId="165" fontId="27" fillId="2" borderId="0" xfId="0" applyNumberFormat="1" applyFont="1" applyFill="1" applyAlignment="1" applyProtection="1">
      <alignment horizontal="right"/>
    </xf>
    <xf numFmtId="165" fontId="27" fillId="2" borderId="10" xfId="0" applyNumberFormat="1" applyFont="1" applyFill="1" applyBorder="1" applyProtection="1"/>
    <xf numFmtId="0" fontId="27" fillId="4" borderId="10" xfId="0" applyFont="1" applyFill="1" applyBorder="1" applyProtection="1">
      <protection locked="0"/>
    </xf>
    <xf numFmtId="0" fontId="30" fillId="2" borderId="0" xfId="0" applyFont="1" applyFill="1" applyProtection="1"/>
    <xf numFmtId="0" fontId="11" fillId="2" borderId="0" xfId="0" applyFont="1" applyFill="1" applyAlignment="1" applyProtection="1">
      <alignment horizontal="center"/>
      <protection locked="0"/>
    </xf>
    <xf numFmtId="0" fontId="1" fillId="2" borderId="10" xfId="0" applyFont="1" applyFill="1" applyBorder="1" applyAlignment="1" applyProtection="1">
      <alignment horizontal="center"/>
    </xf>
    <xf numFmtId="164" fontId="13" fillId="2" borderId="0" xfId="0" applyNumberFormat="1" applyFont="1" applyFill="1" applyProtection="1"/>
    <xf numFmtId="165" fontId="13" fillId="2" borderId="0" xfId="0" applyNumberFormat="1" applyFont="1" applyFill="1" applyProtection="1"/>
    <xf numFmtId="2" fontId="0" fillId="4" borderId="15" xfId="0" applyNumberFormat="1" applyFill="1" applyBorder="1" applyAlignment="1" applyProtection="1">
      <alignment horizontal="center"/>
      <protection locked="0"/>
    </xf>
    <xf numFmtId="0" fontId="20" fillId="2" borderId="0" xfId="0" applyFont="1" applyFill="1" applyAlignment="1" applyProtection="1">
      <alignment horizontal="left"/>
      <protection hidden="1"/>
    </xf>
    <xf numFmtId="164" fontId="11" fillId="2" borderId="0" xfId="0" applyNumberFormat="1" applyFont="1" applyFill="1" applyProtection="1"/>
    <xf numFmtId="165" fontId="11" fillId="2" borderId="0" xfId="0" applyNumberFormat="1" applyFont="1" applyFill="1" applyProtection="1"/>
    <xf numFmtId="0" fontId="1" fillId="3" borderId="10" xfId="0" applyFont="1" applyFill="1" applyBorder="1" applyAlignment="1" applyProtection="1">
      <alignment horizontal="center"/>
      <protection hidden="1"/>
    </xf>
    <xf numFmtId="0" fontId="1" fillId="4" borderId="10" xfId="0" applyFont="1" applyFill="1" applyBorder="1" applyAlignment="1" applyProtection="1">
      <alignment horizontal="center"/>
      <protection locked="0"/>
    </xf>
    <xf numFmtId="0" fontId="11" fillId="2" borderId="0" xfId="0" applyFont="1" applyFill="1" applyBorder="1" applyAlignment="1" applyProtection="1">
      <alignment horizontal="right"/>
    </xf>
    <xf numFmtId="0" fontId="1" fillId="2" borderId="0" xfId="0" applyFont="1" applyFill="1" applyBorder="1" applyProtection="1"/>
    <xf numFmtId="0" fontId="9" fillId="2" borderId="0" xfId="0" applyFont="1" applyFill="1" applyProtection="1"/>
    <xf numFmtId="0" fontId="1" fillId="2" borderId="0" xfId="0" applyFont="1" applyFill="1" applyBorder="1" applyAlignment="1" applyProtection="1">
      <alignment horizontal="left"/>
    </xf>
    <xf numFmtId="0" fontId="2" fillId="2" borderId="0" xfId="0" applyFont="1" applyFill="1" applyProtection="1"/>
    <xf numFmtId="0" fontId="23" fillId="2" borderId="0" xfId="0" applyFont="1" applyFill="1" applyAlignment="1" applyProtection="1">
      <alignment horizontal="left"/>
      <protection hidden="1"/>
    </xf>
    <xf numFmtId="0" fontId="1" fillId="2" borderId="17" xfId="0" applyFont="1" applyFill="1" applyBorder="1" applyAlignment="1" applyProtection="1">
      <alignment horizontal="center"/>
      <protection hidden="1"/>
    </xf>
    <xf numFmtId="0" fontId="1" fillId="2" borderId="11" xfId="0" applyFont="1" applyFill="1" applyBorder="1" applyAlignment="1" applyProtection="1">
      <alignment horizontal="left"/>
      <protection hidden="1"/>
    </xf>
    <xf numFmtId="0" fontId="20" fillId="2" borderId="0" xfId="0" applyFont="1" applyFill="1" applyBorder="1" applyAlignment="1" applyProtection="1">
      <alignment horizontal="left"/>
      <protection hidden="1"/>
    </xf>
    <xf numFmtId="0" fontId="3" fillId="2" borderId="11" xfId="0" applyFont="1" applyFill="1" applyBorder="1" applyAlignment="1" applyProtection="1">
      <alignment horizontal="left"/>
      <protection hidden="1"/>
    </xf>
    <xf numFmtId="0" fontId="3" fillId="2" borderId="12" xfId="0" applyFont="1" applyFill="1" applyBorder="1" applyAlignment="1" applyProtection="1">
      <alignment horizontal="center"/>
      <protection hidden="1"/>
    </xf>
    <xf numFmtId="0" fontId="3" fillId="2" borderId="11" xfId="0" applyFont="1" applyFill="1" applyBorder="1" applyAlignment="1" applyProtection="1">
      <alignment horizontal="center"/>
      <protection hidden="1"/>
    </xf>
    <xf numFmtId="0" fontId="0" fillId="2" borderId="0" xfId="0" applyFill="1" applyAlignment="1" applyProtection="1">
      <alignment horizontal="center"/>
      <protection locked="0" hidden="1"/>
    </xf>
    <xf numFmtId="0" fontId="13" fillId="2" borderId="0" xfId="0" applyFont="1" applyFill="1" applyAlignment="1" applyProtection="1">
      <alignment horizontal="center"/>
      <protection locked="0" hidden="1"/>
    </xf>
    <xf numFmtId="0" fontId="0" fillId="2" borderId="3" xfId="0" applyFill="1" applyBorder="1" applyProtection="1"/>
    <xf numFmtId="0" fontId="0" fillId="2" borderId="4" xfId="0" applyFill="1" applyBorder="1" applyProtection="1"/>
    <xf numFmtId="0" fontId="1" fillId="2" borderId="10" xfId="0" applyFont="1" applyFill="1" applyBorder="1" applyProtection="1"/>
    <xf numFmtId="0" fontId="0" fillId="2" borderId="2" xfId="0" applyFill="1" applyBorder="1" applyProtection="1"/>
    <xf numFmtId="0" fontId="0" fillId="2" borderId="11" xfId="0" applyFill="1" applyBorder="1" applyProtection="1"/>
    <xf numFmtId="0" fontId="0" fillId="2" borderId="18" xfId="0" applyFill="1" applyBorder="1" applyProtection="1"/>
    <xf numFmtId="0" fontId="0" fillId="2" borderId="0" xfId="0" quotePrefix="1" applyFill="1" applyBorder="1" applyProtection="1"/>
    <xf numFmtId="0" fontId="19" fillId="2" borderId="0" xfId="0" applyFont="1" applyFill="1" applyProtection="1"/>
    <xf numFmtId="0" fontId="1" fillId="2" borderId="5" xfId="0" applyFont="1" applyFill="1" applyBorder="1" applyAlignment="1" applyProtection="1">
      <alignment horizontal="center"/>
    </xf>
    <xf numFmtId="0" fontId="0" fillId="2" borderId="5" xfId="0" applyFill="1" applyBorder="1" applyAlignment="1" applyProtection="1">
      <alignment horizontal="left"/>
    </xf>
    <xf numFmtId="0" fontId="0" fillId="2" borderId="1" xfId="0" applyFill="1" applyBorder="1" applyAlignment="1" applyProtection="1">
      <alignment horizontal="left"/>
    </xf>
    <xf numFmtId="0" fontId="1" fillId="2" borderId="8" xfId="0" applyFont="1" applyFill="1" applyBorder="1" applyAlignment="1" applyProtection="1">
      <alignment horizontal="center"/>
    </xf>
    <xf numFmtId="0" fontId="1" fillId="2" borderId="8" xfId="0" applyFont="1" applyFill="1" applyBorder="1" applyAlignment="1" applyProtection="1">
      <alignment horizontal="right"/>
    </xf>
    <xf numFmtId="0" fontId="1" fillId="2" borderId="8" xfId="0" applyFont="1" applyFill="1" applyBorder="1" applyAlignment="1" applyProtection="1">
      <alignment horizontal="left"/>
    </xf>
    <xf numFmtId="16" fontId="1" fillId="2" borderId="10" xfId="0" quotePrefix="1" applyNumberFormat="1" applyFont="1" applyFill="1" applyBorder="1" applyAlignment="1" applyProtection="1">
      <alignment horizontal="center"/>
    </xf>
    <xf numFmtId="0" fontId="1" fillId="2" borderId="10" xfId="0" quotePrefix="1" applyFont="1" applyFill="1" applyBorder="1" applyAlignment="1" applyProtection="1">
      <alignment horizontal="center"/>
    </xf>
    <xf numFmtId="0" fontId="31" fillId="2" borderId="0" xfId="0" applyFont="1" applyFill="1" applyProtection="1"/>
    <xf numFmtId="0" fontId="22" fillId="2" borderId="0" xfId="0" applyFont="1" applyFill="1" applyProtection="1"/>
    <xf numFmtId="0" fontId="24" fillId="2" borderId="0" xfId="0" applyFont="1" applyFill="1" applyProtection="1"/>
    <xf numFmtId="0" fontId="19" fillId="2" borderId="0" xfId="0" applyFont="1" applyFill="1" applyAlignment="1" applyProtection="1">
      <alignment horizontal="center"/>
    </xf>
    <xf numFmtId="0" fontId="19" fillId="2" borderId="0" xfId="0" applyFont="1" applyFill="1" applyAlignment="1" applyProtection="1">
      <alignment horizontal="left"/>
    </xf>
    <xf numFmtId="165" fontId="21" fillId="2" borderId="0" xfId="0" applyNumberFormat="1" applyFont="1" applyFill="1" applyAlignment="1" applyProtection="1">
      <alignment horizontal="right"/>
    </xf>
    <xf numFmtId="0" fontId="16" fillId="2" borderId="0" xfId="0" applyFont="1" applyFill="1" applyAlignment="1" applyProtection="1">
      <alignment horizontal="left"/>
    </xf>
    <xf numFmtId="0" fontId="7" fillId="2" borderId="0" xfId="0" applyFont="1" applyFill="1" applyProtection="1"/>
    <xf numFmtId="0" fontId="28" fillId="2" borderId="0" xfId="0" applyFont="1" applyFill="1" applyProtection="1"/>
    <xf numFmtId="0" fontId="27" fillId="2" borderId="0" xfId="0" applyFont="1" applyFill="1" applyBorder="1" applyProtection="1"/>
    <xf numFmtId="0" fontId="27" fillId="2" borderId="0" xfId="0" applyFont="1" applyFill="1" applyBorder="1" applyAlignment="1" applyProtection="1">
      <alignment horizontal="right"/>
    </xf>
    <xf numFmtId="0" fontId="30" fillId="2" borderId="0" xfId="0" applyFont="1" applyFill="1" applyBorder="1" applyProtection="1"/>
    <xf numFmtId="9" fontId="1" fillId="2" borderId="0" xfId="0" applyNumberFormat="1" applyFont="1" applyFill="1" applyAlignment="1" applyProtection="1">
      <alignment horizontal="center"/>
    </xf>
    <xf numFmtId="9" fontId="1" fillId="2" borderId="0" xfId="0" applyNumberFormat="1" applyFont="1" applyFill="1" applyBorder="1" applyAlignment="1" applyProtection="1">
      <alignment horizontal="center"/>
    </xf>
    <xf numFmtId="0" fontId="35" fillId="2" borderId="0" xfId="0" applyFont="1" applyFill="1" applyProtection="1"/>
    <xf numFmtId="0" fontId="36" fillId="2" borderId="0" xfId="0" applyFont="1" applyFill="1" applyProtection="1"/>
    <xf numFmtId="165" fontId="0" fillId="4" borderId="0" xfId="0" applyNumberFormat="1" applyFill="1" applyBorder="1" applyProtection="1">
      <protection locked="0"/>
    </xf>
    <xf numFmtId="165" fontId="0" fillId="2" borderId="11" xfId="0" applyNumberFormat="1" applyFill="1" applyBorder="1" applyProtection="1"/>
    <xf numFmtId="165" fontId="0" fillId="2" borderId="10" xfId="0" applyNumberFormat="1" applyFill="1" applyBorder="1" applyProtection="1"/>
    <xf numFmtId="0" fontId="0" fillId="2" borderId="11" xfId="0" applyFill="1" applyBorder="1" applyAlignment="1" applyProtection="1">
      <alignment horizontal="left"/>
    </xf>
    <xf numFmtId="0" fontId="0" fillId="2" borderId="3" xfId="0" applyFill="1" applyBorder="1" applyAlignment="1" applyProtection="1">
      <alignment horizontal="left"/>
    </xf>
    <xf numFmtId="0" fontId="0" fillId="2" borderId="4" xfId="0" applyFill="1" applyBorder="1" applyAlignment="1" applyProtection="1">
      <alignment horizontal="left"/>
    </xf>
    <xf numFmtId="0" fontId="36" fillId="2" borderId="0" xfId="0" applyFont="1" applyFill="1" applyAlignment="1" applyProtection="1">
      <alignment horizontal="left"/>
    </xf>
    <xf numFmtId="165" fontId="0" fillId="2" borderId="0" xfId="0" applyNumberFormat="1" applyFill="1" applyBorder="1" applyAlignment="1" applyProtection="1">
      <alignment horizontal="left"/>
    </xf>
    <xf numFmtId="0" fontId="35" fillId="2" borderId="0" xfId="0" applyFont="1" applyFill="1" applyAlignment="1" applyProtection="1">
      <alignment horizontal="left"/>
    </xf>
    <xf numFmtId="0" fontId="0" fillId="2" borderId="19" xfId="0" applyFill="1" applyBorder="1" applyProtection="1"/>
    <xf numFmtId="4" fontId="0" fillId="4" borderId="15" xfId="0" applyNumberFormat="1" applyFill="1" applyBorder="1" applyProtection="1">
      <protection locked="0"/>
    </xf>
    <xf numFmtId="0" fontId="0" fillId="2" borderId="2" xfId="0" applyFill="1" applyBorder="1" applyAlignment="1" applyProtection="1">
      <alignment horizontal="left"/>
    </xf>
    <xf numFmtId="0" fontId="0" fillId="2" borderId="12" xfId="0" applyFill="1" applyBorder="1" applyAlignment="1" applyProtection="1">
      <alignment horizontal="left"/>
    </xf>
    <xf numFmtId="0" fontId="35" fillId="2" borderId="0" xfId="0" applyFont="1" applyFill="1" applyBorder="1" applyAlignment="1" applyProtection="1">
      <alignment horizontal="left"/>
    </xf>
    <xf numFmtId="0" fontId="6" fillId="2" borderId="0" xfId="0" applyFont="1" applyFill="1" applyAlignment="1" applyProtection="1">
      <alignment horizontal="left"/>
      <protection locked="0"/>
    </xf>
    <xf numFmtId="0" fontId="6" fillId="2" borderId="0" xfId="0" applyFont="1" applyFill="1" applyBorder="1" applyAlignment="1" applyProtection="1">
      <alignment horizontal="left"/>
      <protection locked="0"/>
    </xf>
    <xf numFmtId="0" fontId="10" fillId="2" borderId="3" xfId="0" applyFont="1" applyFill="1" applyBorder="1" applyAlignment="1" applyProtection="1">
      <alignment horizontal="left"/>
    </xf>
    <xf numFmtId="0" fontId="10" fillId="2" borderId="4" xfId="0" applyFont="1" applyFill="1" applyBorder="1" applyAlignment="1" applyProtection="1">
      <alignment horizontal="left"/>
    </xf>
    <xf numFmtId="0" fontId="0" fillId="2" borderId="0" xfId="0" applyFill="1" applyBorder="1" applyAlignment="1" applyProtection="1">
      <alignment horizontal="left"/>
      <protection locked="0"/>
    </xf>
    <xf numFmtId="0" fontId="0" fillId="2" borderId="1" xfId="0" applyFill="1" applyBorder="1" applyAlignment="1" applyProtection="1">
      <alignment horizontal="left"/>
      <protection locked="0"/>
    </xf>
    <xf numFmtId="2" fontId="0" fillId="2" borderId="0" xfId="0" applyNumberFormat="1" applyFill="1" applyBorder="1" applyProtection="1"/>
    <xf numFmtId="0" fontId="0" fillId="2" borderId="0" xfId="0" applyFill="1" applyBorder="1" applyAlignment="1" applyProtection="1"/>
    <xf numFmtId="0" fontId="0" fillId="2" borderId="12" xfId="0" applyFill="1" applyBorder="1" applyProtection="1"/>
    <xf numFmtId="0" fontId="10" fillId="2" borderId="0" xfId="0" applyFont="1" applyFill="1" applyBorder="1" applyAlignment="1" applyProtection="1">
      <alignment horizontal="left"/>
    </xf>
    <xf numFmtId="0" fontId="0" fillId="2" borderId="0" xfId="0" applyFill="1"/>
    <xf numFmtId="0" fontId="10" fillId="2" borderId="0" xfId="0" applyFont="1" applyFill="1" applyBorder="1" applyProtection="1"/>
    <xf numFmtId="4" fontId="10" fillId="2" borderId="0" xfId="0" applyNumberFormat="1" applyFont="1" applyFill="1" applyBorder="1" applyProtection="1"/>
    <xf numFmtId="4" fontId="10" fillId="2" borderId="10" xfId="0" applyNumberFormat="1" applyFont="1" applyFill="1" applyBorder="1" applyProtection="1"/>
    <xf numFmtId="4" fontId="0" fillId="2" borderId="0" xfId="0" applyNumberFormat="1" applyFill="1" applyBorder="1" applyAlignment="1" applyProtection="1">
      <alignment horizontal="right"/>
    </xf>
    <xf numFmtId="165" fontId="0" fillId="2" borderId="2" xfId="0" applyNumberFormat="1" applyFill="1" applyBorder="1" applyProtection="1"/>
    <xf numFmtId="4" fontId="0" fillId="2" borderId="11" xfId="0" applyNumberFormat="1" applyFill="1" applyBorder="1" applyAlignment="1" applyProtection="1">
      <alignment horizontal="right"/>
    </xf>
    <xf numFmtId="4" fontId="0" fillId="2" borderId="12" xfId="0" applyNumberFormat="1" applyFill="1" applyBorder="1" applyAlignment="1" applyProtection="1">
      <alignment horizontal="center"/>
    </xf>
    <xf numFmtId="165" fontId="0" fillId="2" borderId="3" xfId="0" applyNumberFormat="1" applyFill="1" applyBorder="1" applyProtection="1"/>
    <xf numFmtId="4" fontId="0" fillId="2" borderId="10" xfId="0" applyNumberFormat="1" applyFill="1" applyBorder="1" applyAlignment="1" applyProtection="1">
      <alignment horizontal="right"/>
    </xf>
    <xf numFmtId="4" fontId="0" fillId="2" borderId="5" xfId="0" applyNumberFormat="1" applyFill="1" applyBorder="1" applyAlignment="1" applyProtection="1">
      <alignment horizontal="center"/>
    </xf>
    <xf numFmtId="1" fontId="0" fillId="2" borderId="0" xfId="0" applyNumberFormat="1" applyFill="1" applyProtection="1"/>
    <xf numFmtId="164" fontId="1" fillId="2" borderId="0" xfId="0" applyNumberFormat="1" applyFont="1" applyFill="1" applyBorder="1" applyProtection="1"/>
    <xf numFmtId="164" fontId="0" fillId="2" borderId="11" xfId="0" applyNumberFormat="1" applyFill="1" applyBorder="1" applyProtection="1"/>
    <xf numFmtId="164" fontId="0" fillId="2" borderId="10" xfId="0" applyNumberFormat="1" applyFill="1" applyBorder="1" applyProtection="1"/>
    <xf numFmtId="2" fontId="0" fillId="2" borderId="10" xfId="0" applyNumberFormat="1" applyFill="1" applyBorder="1" applyProtection="1"/>
    <xf numFmtId="0" fontId="0" fillId="2" borderId="0" xfId="0" applyFill="1" applyBorder="1" applyAlignment="1" applyProtection="1">
      <alignment horizontal="center"/>
      <protection locked="0"/>
    </xf>
    <xf numFmtId="165" fontId="0" fillId="2" borderId="4" xfId="0" applyNumberFormat="1" applyFill="1" applyBorder="1" applyProtection="1"/>
    <xf numFmtId="2" fontId="0" fillId="2" borderId="11" xfId="0" applyNumberFormat="1" applyFill="1" applyBorder="1" applyProtection="1"/>
    <xf numFmtId="164" fontId="0" fillId="2" borderId="0" xfId="0" applyNumberFormat="1" applyFill="1" applyBorder="1" applyProtection="1"/>
    <xf numFmtId="0" fontId="10" fillId="2" borderId="0" xfId="0" applyFont="1" applyFill="1" applyBorder="1" applyAlignment="1" applyProtection="1">
      <alignment horizontal="center"/>
    </xf>
    <xf numFmtId="164" fontId="10" fillId="2" borderId="0" xfId="0" applyNumberFormat="1" applyFont="1" applyFill="1" applyBorder="1" applyProtection="1"/>
    <xf numFmtId="0" fontId="0" fillId="2" borderId="10" xfId="0" applyFill="1" applyBorder="1"/>
    <xf numFmtId="0" fontId="0" fillId="2" borderId="11" xfId="0" applyFill="1" applyBorder="1"/>
    <xf numFmtId="0" fontId="35" fillId="2" borderId="0" xfId="0" applyFont="1" applyFill="1" applyBorder="1" applyProtection="1"/>
    <xf numFmtId="0" fontId="0" fillId="2" borderId="0" xfId="0" applyFill="1" applyBorder="1"/>
    <xf numFmtId="0" fontId="9" fillId="2" borderId="0" xfId="0" applyFont="1" applyFill="1" applyBorder="1" applyProtection="1"/>
    <xf numFmtId="0" fontId="3" fillId="2" borderId="0" xfId="0" applyFont="1" applyFill="1" applyBorder="1" applyProtection="1"/>
    <xf numFmtId="0" fontId="36" fillId="2" borderId="0" xfId="0" applyFont="1" applyFill="1" applyBorder="1" applyProtection="1"/>
    <xf numFmtId="164" fontId="0" fillId="2" borderId="1" xfId="0" applyNumberFormat="1" applyFill="1" applyBorder="1" applyProtection="1"/>
    <xf numFmtId="0" fontId="36" fillId="2" borderId="11" xfId="0" applyFont="1" applyFill="1" applyBorder="1" applyProtection="1"/>
    <xf numFmtId="0" fontId="39" fillId="2" borderId="0" xfId="0" applyFont="1" applyFill="1" applyBorder="1" applyProtection="1"/>
    <xf numFmtId="0" fontId="4" fillId="2" borderId="0" xfId="0" applyFont="1" applyFill="1" applyBorder="1" applyProtection="1"/>
    <xf numFmtId="164" fontId="35" fillId="2" borderId="0" xfId="0" applyNumberFormat="1" applyFont="1" applyFill="1" applyBorder="1" applyProtection="1"/>
    <xf numFmtId="0" fontId="9" fillId="2" borderId="0" xfId="0" applyFont="1" applyFill="1" applyBorder="1" applyAlignment="1" applyProtection="1">
      <alignment horizontal="left"/>
    </xf>
    <xf numFmtId="0" fontId="5" fillId="2" borderId="11" xfId="0" applyFont="1" applyFill="1" applyBorder="1" applyProtection="1"/>
    <xf numFmtId="0" fontId="37" fillId="2" borderId="11" xfId="0" applyFont="1" applyFill="1" applyBorder="1" applyProtection="1"/>
    <xf numFmtId="0" fontId="5" fillId="2" borderId="0" xfId="0" applyFont="1" applyFill="1" applyBorder="1" applyProtection="1"/>
    <xf numFmtId="0" fontId="37" fillId="2" borderId="0" xfId="0" applyFont="1" applyFill="1" applyBorder="1" applyProtection="1"/>
    <xf numFmtId="0" fontId="0" fillId="2" borderId="11" xfId="0" applyFill="1" applyBorder="1" applyAlignment="1" applyProtection="1">
      <alignment horizontal="center"/>
    </xf>
    <xf numFmtId="0" fontId="0" fillId="2" borderId="18" xfId="0" applyFill="1" applyBorder="1" applyAlignment="1" applyProtection="1">
      <alignment horizontal="left"/>
    </xf>
    <xf numFmtId="0" fontId="10" fillId="2" borderId="18" xfId="0" applyFont="1" applyFill="1" applyBorder="1" applyAlignment="1" applyProtection="1">
      <alignment horizontal="left"/>
    </xf>
    <xf numFmtId="164" fontId="27" fillId="2" borderId="0" xfId="0" applyNumberFormat="1" applyFont="1" applyFill="1" applyAlignment="1" applyProtection="1">
      <alignment horizontal="right"/>
    </xf>
    <xf numFmtId="1" fontId="11" fillId="2" borderId="0" xfId="0" applyNumberFormat="1" applyFont="1" applyFill="1" applyProtection="1"/>
    <xf numFmtId="164" fontId="10" fillId="2" borderId="19" xfId="0" applyNumberFormat="1" applyFont="1" applyFill="1" applyBorder="1" applyProtection="1"/>
    <xf numFmtId="0" fontId="10" fillId="2" borderId="7" xfId="0" applyFont="1" applyFill="1" applyBorder="1" applyProtection="1"/>
    <xf numFmtId="0" fontId="34" fillId="2" borderId="0" xfId="0" applyFont="1" applyFill="1" applyProtection="1"/>
    <xf numFmtId="171" fontId="0" fillId="2" borderId="0" xfId="0" applyNumberFormat="1" applyFill="1" applyProtection="1"/>
    <xf numFmtId="171" fontId="10" fillId="2" borderId="0" xfId="0" applyNumberFormat="1" applyFont="1" applyFill="1" applyBorder="1" applyAlignment="1" applyProtection="1">
      <alignment horizontal="left"/>
    </xf>
    <xf numFmtId="1" fontId="0" fillId="2" borderId="0" xfId="0" applyNumberFormat="1" applyFill="1" applyBorder="1" applyProtection="1"/>
    <xf numFmtId="4" fontId="0" fillId="2" borderId="0" xfId="0" applyNumberFormat="1" applyFill="1" applyBorder="1" applyAlignment="1" applyProtection="1"/>
    <xf numFmtId="0" fontId="21" fillId="2" borderId="0" xfId="0" applyFont="1" applyFill="1" applyAlignment="1" applyProtection="1"/>
    <xf numFmtId="165" fontId="0" fillId="4" borderId="15" xfId="0" applyNumberFormat="1" applyFill="1" applyBorder="1" applyAlignment="1" applyProtection="1">
      <protection locked="0"/>
    </xf>
    <xf numFmtId="165" fontId="0" fillId="4" borderId="15" xfId="0" applyNumberFormat="1" applyFill="1" applyBorder="1" applyAlignment="1" applyProtection="1">
      <alignment horizontal="center"/>
      <protection locked="0"/>
    </xf>
    <xf numFmtId="4" fontId="0" fillId="4" borderId="15" xfId="0" applyNumberFormat="1" applyFill="1" applyBorder="1" applyAlignment="1" applyProtection="1">
      <alignment horizontal="center"/>
      <protection locked="0"/>
    </xf>
    <xf numFmtId="0" fontId="9" fillId="2" borderId="3" xfId="0" applyFont="1" applyFill="1" applyBorder="1" applyAlignment="1" applyProtection="1">
      <alignment horizontal="center"/>
    </xf>
    <xf numFmtId="165" fontId="11" fillId="2" borderId="0" xfId="0" applyNumberFormat="1" applyFont="1" applyFill="1" applyAlignment="1" applyProtection="1"/>
    <xf numFmtId="165" fontId="11" fillId="2" borderId="10" xfId="0" applyNumberFormat="1" applyFont="1" applyFill="1" applyBorder="1" applyAlignment="1" applyProtection="1"/>
    <xf numFmtId="3" fontId="0" fillId="4" borderId="15" xfId="0" applyNumberFormat="1" applyFill="1" applyBorder="1" applyAlignment="1" applyProtection="1">
      <alignment horizontal="center"/>
      <protection locked="0"/>
    </xf>
    <xf numFmtId="164" fontId="0" fillId="2" borderId="0" xfId="0" applyNumberFormat="1" applyFill="1" applyBorder="1" applyAlignment="1" applyProtection="1">
      <alignment horizontal="left"/>
    </xf>
    <xf numFmtId="4" fontId="10" fillId="2" borderId="0" xfId="0" applyNumberFormat="1" applyFont="1" applyFill="1" applyBorder="1" applyAlignment="1" applyProtection="1">
      <alignment horizontal="left"/>
    </xf>
    <xf numFmtId="164" fontId="10"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0" fillId="2" borderId="0" xfId="0" quotePrefix="1" applyFill="1" applyBorder="1" applyAlignment="1" applyProtection="1">
      <alignment horizontal="left"/>
    </xf>
    <xf numFmtId="0" fontId="5" fillId="2" borderId="3" xfId="0" applyFont="1" applyFill="1" applyBorder="1" applyAlignment="1" applyProtection="1">
      <alignment horizontal="left"/>
    </xf>
    <xf numFmtId="22" fontId="0" fillId="2" borderId="0" xfId="0" applyNumberFormat="1" applyFill="1" applyBorder="1" applyProtection="1"/>
    <xf numFmtId="168" fontId="0" fillId="2" borderId="0" xfId="0" applyNumberFormat="1" applyFill="1" applyBorder="1" applyProtection="1"/>
    <xf numFmtId="0" fontId="1" fillId="6" borderId="8" xfId="0" applyFont="1" applyFill="1" applyBorder="1" applyAlignment="1" applyProtection="1">
      <alignment horizontal="center"/>
      <protection locked="0"/>
    </xf>
    <xf numFmtId="0" fontId="1" fillId="6" borderId="8" xfId="0" applyFont="1" applyFill="1" applyBorder="1" applyAlignment="1" applyProtection="1">
      <alignment horizontal="left"/>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0" fontId="9" fillId="2" borderId="0" xfId="0" applyFont="1" applyFill="1" applyBorder="1" applyAlignment="1" applyProtection="1">
      <alignment horizontal="center"/>
    </xf>
    <xf numFmtId="14" fontId="10" fillId="2" borderId="0" xfId="0" applyNumberFormat="1" applyFont="1" applyFill="1" applyBorder="1" applyAlignment="1" applyProtection="1">
      <alignment horizontal="left" shrinkToFit="1"/>
    </xf>
    <xf numFmtId="0" fontId="16" fillId="2" borderId="0" xfId="0" applyFont="1" applyFill="1" applyBorder="1" applyAlignment="1" applyProtection="1">
      <alignment horizontal="left"/>
    </xf>
    <xf numFmtId="1" fontId="0" fillId="2" borderId="0" xfId="0" applyNumberFormat="1" applyFill="1" applyAlignment="1" applyProtection="1">
      <alignment horizontal="right"/>
    </xf>
    <xf numFmtId="0" fontId="36"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48" fillId="2" borderId="0" xfId="0" applyFont="1" applyFill="1" applyAlignment="1" applyProtection="1">
      <alignment horizontal="center"/>
      <protection locked="0" hidden="1"/>
    </xf>
    <xf numFmtId="0" fontId="36" fillId="2" borderId="0" xfId="0" applyFont="1" applyFill="1" applyBorder="1" applyAlignment="1" applyProtection="1">
      <alignment horizontal="center"/>
    </xf>
    <xf numFmtId="0" fontId="0" fillId="2" borderId="3" xfId="0" applyFill="1" applyBorder="1"/>
    <xf numFmtId="0" fontId="9" fillId="2" borderId="20" xfId="0" applyFont="1" applyFill="1" applyBorder="1" applyAlignment="1" applyProtection="1">
      <protection hidden="1"/>
    </xf>
    <xf numFmtId="0" fontId="9" fillId="2" borderId="1" xfId="0" applyFont="1" applyFill="1" applyBorder="1" applyAlignment="1" applyProtection="1">
      <alignment horizontal="center"/>
      <protection hidden="1"/>
    </xf>
    <xf numFmtId="0" fontId="0" fillId="2" borderId="0" xfId="0" applyFill="1" applyBorder="1" applyAlignment="1">
      <alignment horizontal="right"/>
    </xf>
    <xf numFmtId="0" fontId="1" fillId="2" borderId="21" xfId="0" applyFont="1" applyFill="1" applyBorder="1" applyAlignment="1" applyProtection="1">
      <alignment horizontal="center"/>
      <protection hidden="1"/>
    </xf>
    <xf numFmtId="0" fontId="6" fillId="2" borderId="0" xfId="0" applyFont="1" applyFill="1" applyBorder="1" applyAlignment="1" applyProtection="1">
      <protection hidden="1"/>
    </xf>
    <xf numFmtId="0" fontId="20" fillId="2" borderId="0" xfId="0" applyFont="1" applyFill="1"/>
    <xf numFmtId="0" fontId="0" fillId="2" borderId="0" xfId="0" applyFill="1" applyBorder="1" applyAlignment="1">
      <alignment horizontal="center"/>
    </xf>
    <xf numFmtId="0" fontId="9" fillId="2" borderId="0" xfId="0" applyFont="1" applyFill="1" applyAlignment="1" applyProtection="1">
      <protection hidden="1"/>
    </xf>
    <xf numFmtId="0" fontId="0" fillId="4" borderId="15" xfId="0" applyFill="1" applyBorder="1" applyAlignment="1" applyProtection="1">
      <protection locked="0"/>
    </xf>
    <xf numFmtId="0" fontId="0" fillId="4" borderId="22" xfId="0" applyFill="1" applyBorder="1" applyAlignment="1" applyProtection="1">
      <protection locked="0"/>
    </xf>
    <xf numFmtId="0" fontId="0" fillId="4" borderId="15" xfId="0" applyFill="1" applyBorder="1" applyAlignment="1" applyProtection="1">
      <alignment horizontal="center"/>
      <protection locked="0"/>
    </xf>
    <xf numFmtId="0" fontId="33" fillId="2" borderId="0" xfId="0" applyFont="1" applyFill="1" applyAlignment="1" applyProtection="1">
      <alignment horizontal="left"/>
    </xf>
    <xf numFmtId="0" fontId="52" fillId="2" borderId="0" xfId="0" applyFont="1" applyFill="1" applyBorder="1" applyAlignment="1" applyProtection="1">
      <alignment horizontal="center"/>
    </xf>
    <xf numFmtId="0" fontId="0" fillId="2" borderId="6" xfId="0" applyFill="1" applyBorder="1" applyProtection="1"/>
    <xf numFmtId="0" fontId="10" fillId="2" borderId="6" xfId="0" applyFont="1" applyFill="1" applyBorder="1" applyAlignment="1" applyProtection="1">
      <alignment horizontal="left"/>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0" xfId="0" applyFill="1" applyBorder="1" applyProtection="1">
      <protection locked="0"/>
    </xf>
    <xf numFmtId="0" fontId="9" fillId="4" borderId="0" xfId="0" applyFont="1" applyFill="1" applyBorder="1" applyAlignment="1" applyProtection="1">
      <protection locked="0"/>
    </xf>
    <xf numFmtId="0" fontId="0" fillId="2" borderId="0" xfId="0" applyFill="1" applyBorder="1" applyAlignment="1" applyProtection="1">
      <alignment horizontal="left"/>
      <protection hidden="1"/>
    </xf>
    <xf numFmtId="0" fontId="10" fillId="2" borderId="0" xfId="0"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0" fontId="25" fillId="2" borderId="0" xfId="0" applyFont="1" applyFill="1"/>
    <xf numFmtId="3" fontId="9" fillId="2" borderId="0" xfId="0" applyNumberFormat="1" applyFont="1" applyFill="1" applyBorder="1" applyAlignment="1" applyProtection="1"/>
    <xf numFmtId="165" fontId="9" fillId="2" borderId="0" xfId="0" applyNumberFormat="1" applyFont="1" applyFill="1" applyBorder="1" applyAlignment="1" applyProtection="1">
      <alignment horizontal="left"/>
    </xf>
    <xf numFmtId="0" fontId="9" fillId="2" borderId="0" xfId="0" quotePrefix="1" applyFont="1" applyFill="1" applyBorder="1" applyAlignment="1" applyProtection="1">
      <alignment horizontal="left"/>
    </xf>
    <xf numFmtId="164" fontId="0" fillId="2" borderId="0" xfId="0" applyNumberFormat="1" applyFill="1" applyBorder="1" applyAlignment="1" applyProtection="1">
      <alignment horizontal="center"/>
    </xf>
    <xf numFmtId="0" fontId="0" fillId="2" borderId="0" xfId="0" applyNumberFormat="1" applyFill="1" applyBorder="1" applyAlignment="1" applyProtection="1"/>
    <xf numFmtId="3" fontId="1" fillId="2" borderId="0" xfId="0" applyNumberFormat="1" applyFont="1" applyFill="1" applyBorder="1" applyAlignment="1" applyProtection="1"/>
    <xf numFmtId="0" fontId="0" fillId="2" borderId="19" xfId="0" applyFill="1" applyBorder="1" applyAlignment="1" applyProtection="1">
      <alignment horizontal="left"/>
    </xf>
    <xf numFmtId="0" fontId="0" fillId="2" borderId="8" xfId="0" applyFill="1" applyBorder="1" applyAlignment="1" applyProtection="1">
      <alignment horizontal="left"/>
    </xf>
    <xf numFmtId="0" fontId="10" fillId="2" borderId="7" xfId="0" applyFont="1" applyFill="1" applyBorder="1" applyAlignment="1" applyProtection="1">
      <alignment horizontal="left"/>
      <protection locked="0"/>
    </xf>
    <xf numFmtId="0" fontId="6" fillId="2" borderId="7" xfId="0" applyFont="1" applyFill="1" applyBorder="1" applyAlignment="1" applyProtection="1">
      <alignment horizontal="left"/>
      <protection locked="0"/>
    </xf>
    <xf numFmtId="0" fontId="10" fillId="2" borderId="10" xfId="0" applyFont="1" applyFill="1" applyBorder="1" applyAlignment="1" applyProtection="1">
      <alignment horizontal="left"/>
    </xf>
    <xf numFmtId="0" fontId="0" fillId="2" borderId="7"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17" xfId="0" applyFill="1" applyBorder="1" applyAlignment="1" applyProtection="1">
      <alignment horizontal="left"/>
    </xf>
    <xf numFmtId="4" fontId="0" fillId="2" borderId="0" xfId="0" applyNumberFormat="1" applyFill="1" applyBorder="1" applyAlignment="1" applyProtection="1">
      <alignment horizontal="center"/>
    </xf>
    <xf numFmtId="2" fontId="0" fillId="2" borderId="0" xfId="0" applyNumberFormat="1" applyFill="1" applyBorder="1" applyAlignment="1" applyProtection="1">
      <alignment horizontal="center"/>
    </xf>
    <xf numFmtId="2" fontId="0" fillId="2" borderId="0" xfId="0" applyNumberFormat="1" applyFill="1" applyBorder="1" applyAlignment="1" applyProtection="1"/>
    <xf numFmtId="2" fontId="10" fillId="2" borderId="0" xfId="0" applyNumberFormat="1" applyFont="1" applyFill="1" applyBorder="1" applyAlignment="1" applyProtection="1">
      <alignment horizontal="center"/>
    </xf>
    <xf numFmtId="0" fontId="0" fillId="2" borderId="8" xfId="0" applyFill="1" applyBorder="1" applyProtection="1"/>
    <xf numFmtId="0" fontId="0" fillId="2" borderId="7" xfId="0" applyFill="1" applyBorder="1" applyProtection="1"/>
    <xf numFmtId="0" fontId="0" fillId="2" borderId="17"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17" xfId="0" applyFill="1" applyBorder="1" applyProtection="1">
      <protection locked="0"/>
    </xf>
    <xf numFmtId="0" fontId="0" fillId="2" borderId="18" xfId="0" applyFill="1" applyBorder="1" applyProtection="1">
      <protection locked="0"/>
    </xf>
    <xf numFmtId="0" fontId="0" fillId="2" borderId="6" xfId="0" applyFill="1" applyBorder="1" applyProtection="1">
      <protection locked="0"/>
    </xf>
    <xf numFmtId="165" fontId="10" fillId="2" borderId="2" xfId="0" applyNumberFormat="1" applyFont="1" applyFill="1" applyBorder="1" applyProtection="1"/>
    <xf numFmtId="0" fontId="0" fillId="2" borderId="2" xfId="0" applyFill="1" applyBorder="1" applyAlignment="1" applyProtection="1">
      <alignment horizontal="center"/>
    </xf>
    <xf numFmtId="0" fontId="0" fillId="2" borderId="4" xfId="0" applyFill="1" applyBorder="1" applyAlignment="1" applyProtection="1">
      <alignment horizontal="center"/>
    </xf>
    <xf numFmtId="164" fontId="10" fillId="2" borderId="4" xfId="0" applyNumberFormat="1" applyFont="1" applyFill="1" applyBorder="1" applyProtection="1"/>
    <xf numFmtId="0" fontId="49" fillId="2" borderId="17" xfId="0" applyFont="1" applyFill="1" applyBorder="1" applyAlignment="1" applyProtection="1">
      <alignment horizontal="center"/>
    </xf>
    <xf numFmtId="0" fontId="1" fillId="2" borderId="13" xfId="0" applyFont="1" applyFill="1" applyBorder="1" applyAlignment="1" applyProtection="1">
      <alignment horizontal="left"/>
    </xf>
    <xf numFmtId="164" fontId="9" fillId="2" borderId="14" xfId="0" applyNumberFormat="1" applyFont="1" applyFill="1" applyBorder="1" applyAlignment="1" applyProtection="1">
      <alignment horizontal="center"/>
    </xf>
    <xf numFmtId="0" fontId="26" fillId="2" borderId="8" xfId="0" applyFont="1" applyFill="1" applyBorder="1" applyAlignment="1" applyProtection="1">
      <alignment horizontal="center"/>
    </xf>
    <xf numFmtId="0" fontId="1" fillId="2" borderId="9" xfId="0" applyFont="1" applyFill="1" applyBorder="1" applyAlignment="1" applyProtection="1">
      <alignment horizontal="center"/>
    </xf>
    <xf numFmtId="4" fontId="0" fillId="2" borderId="24" xfId="0" applyNumberFormat="1" applyFill="1" applyBorder="1" applyAlignment="1" applyProtection="1">
      <alignment horizontal="center"/>
    </xf>
    <xf numFmtId="4" fontId="9" fillId="3" borderId="13" xfId="0" applyNumberFormat="1" applyFont="1" applyFill="1" applyBorder="1" applyAlignment="1" applyProtection="1">
      <alignment horizontal="center"/>
    </xf>
    <xf numFmtId="0" fontId="3" fillId="2" borderId="13" xfId="0" applyFont="1" applyFill="1" applyBorder="1" applyAlignment="1" applyProtection="1">
      <alignment horizontal="left"/>
    </xf>
    <xf numFmtId="0" fontId="1" fillId="3" borderId="25" xfId="0" applyFont="1" applyFill="1" applyBorder="1" applyAlignment="1" applyProtection="1">
      <alignment horizontal="center"/>
    </xf>
    <xf numFmtId="0" fontId="9" fillId="2" borderId="3" xfId="0" applyFont="1" applyFill="1" applyBorder="1" applyAlignment="1" applyProtection="1">
      <alignment horizontal="left"/>
    </xf>
    <xf numFmtId="4" fontId="9" fillId="2" borderId="13" xfId="0" applyNumberFormat="1" applyFont="1" applyFill="1" applyBorder="1" applyAlignment="1" applyProtection="1">
      <alignment horizontal="center"/>
    </xf>
    <xf numFmtId="0" fontId="9" fillId="2" borderId="0" xfId="0" applyFont="1" applyFill="1" applyBorder="1" applyAlignment="1" applyProtection="1"/>
    <xf numFmtId="4" fontId="0" fillId="2" borderId="26" xfId="0" applyNumberFormat="1" applyFill="1" applyBorder="1" applyAlignment="1" applyProtection="1">
      <alignment horizontal="center"/>
    </xf>
    <xf numFmtId="0" fontId="0" fillId="2" borderId="5" xfId="0" applyFill="1" applyBorder="1" applyAlignment="1" applyProtection="1">
      <alignment horizontal="center"/>
    </xf>
    <xf numFmtId="0" fontId="33" fillId="2" borderId="0" xfId="0" applyFont="1" applyFill="1" applyProtection="1"/>
    <xf numFmtId="0" fontId="33" fillId="2" borderId="19" xfId="0" applyFont="1" applyFill="1" applyBorder="1" applyProtection="1"/>
    <xf numFmtId="0" fontId="10" fillId="2" borderId="3" xfId="0" applyFont="1" applyFill="1" applyBorder="1" applyAlignment="1" applyProtection="1">
      <alignment horizontal="center"/>
      <protection hidden="1"/>
    </xf>
    <xf numFmtId="4" fontId="10" fillId="2" borderId="0" xfId="0" applyNumberFormat="1" applyFont="1" applyFill="1" applyBorder="1" applyAlignment="1" applyProtection="1">
      <alignment horizontal="center"/>
      <protection hidden="1"/>
    </xf>
    <xf numFmtId="0" fontId="10" fillId="2" borderId="1" xfId="0" applyFont="1" applyFill="1" applyBorder="1" applyAlignment="1" applyProtection="1">
      <alignment horizontal="center"/>
      <protection hidden="1"/>
    </xf>
    <xf numFmtId="2" fontId="0" fillId="2" borderId="12" xfId="0" applyNumberFormat="1" applyFill="1" applyBorder="1" applyAlignment="1" applyProtection="1">
      <alignment horizontal="center"/>
    </xf>
    <xf numFmtId="0" fontId="0" fillId="2" borderId="3" xfId="0" applyFill="1" applyBorder="1" applyAlignment="1" applyProtection="1">
      <alignment horizontal="center"/>
    </xf>
    <xf numFmtId="2" fontId="0" fillId="2" borderId="1" xfId="0" applyNumberFormat="1" applyFill="1" applyBorder="1" applyAlignment="1" applyProtection="1">
      <alignment horizontal="center"/>
    </xf>
    <xf numFmtId="2" fontId="0" fillId="2" borderId="5" xfId="0" applyNumberFormat="1" applyFill="1" applyBorder="1" applyAlignment="1" applyProtection="1">
      <alignment horizontal="center"/>
    </xf>
    <xf numFmtId="0" fontId="0" fillId="2" borderId="11" xfId="0" applyFill="1" applyBorder="1" applyAlignment="1" applyProtection="1">
      <alignment horizontal="center"/>
      <protection locked="0"/>
    </xf>
    <xf numFmtId="0" fontId="0" fillId="2" borderId="10" xfId="0" applyFill="1" applyBorder="1" applyAlignment="1" applyProtection="1">
      <alignment horizontal="center"/>
      <protection locked="0"/>
    </xf>
    <xf numFmtId="4" fontId="0" fillId="2" borderId="17" xfId="0" applyNumberFormat="1" applyFill="1" applyBorder="1" applyAlignment="1" applyProtection="1">
      <alignment horizontal="center"/>
    </xf>
    <xf numFmtId="4" fontId="0" fillId="2" borderId="18" xfId="0" applyNumberFormat="1" applyFill="1" applyBorder="1" applyAlignment="1" applyProtection="1">
      <alignment horizontal="center"/>
    </xf>
    <xf numFmtId="4" fontId="0" fillId="2" borderId="6" xfId="0" applyNumberFormat="1" applyFill="1" applyBorder="1" applyAlignment="1" applyProtection="1">
      <alignment horizontal="center"/>
    </xf>
    <xf numFmtId="0" fontId="10" fillId="2" borderId="0" xfId="0" applyFont="1" applyFill="1" applyAlignment="1" applyProtection="1">
      <alignment horizontal="center"/>
      <protection locked="0" hidden="1"/>
    </xf>
    <xf numFmtId="0" fontId="9" fillId="2" borderId="0" xfId="0" applyFont="1" applyFill="1" applyAlignment="1" applyProtection="1">
      <alignment horizontal="center"/>
      <protection locked="0" hidden="1"/>
    </xf>
    <xf numFmtId="0" fontId="6" fillId="2" borderId="19" xfId="0" applyFont="1" applyFill="1" applyBorder="1" applyAlignment="1" applyProtection="1">
      <alignment horizontal="center"/>
      <protection locked="0" hidden="1"/>
    </xf>
    <xf numFmtId="0" fontId="6" fillId="2" borderId="7" xfId="0" applyFont="1" applyFill="1" applyBorder="1" applyAlignment="1" applyProtection="1">
      <alignment horizontal="center"/>
      <protection locked="0" hidden="1"/>
    </xf>
    <xf numFmtId="0" fontId="6" fillId="2" borderId="2" xfId="0" applyFont="1" applyFill="1" applyBorder="1" applyAlignment="1" applyProtection="1">
      <alignment horizontal="center"/>
      <protection locked="0" hidden="1"/>
    </xf>
    <xf numFmtId="0" fontId="6" fillId="2" borderId="4" xfId="0" applyFont="1" applyFill="1" applyBorder="1" applyAlignment="1" applyProtection="1">
      <alignment horizontal="center"/>
      <protection locked="0" hidden="1"/>
    </xf>
    <xf numFmtId="0" fontId="6" fillId="2" borderId="3" xfId="0" applyFont="1" applyFill="1" applyBorder="1" applyAlignment="1" applyProtection="1">
      <alignment horizontal="center"/>
      <protection locked="0" hidden="1"/>
    </xf>
    <xf numFmtId="0" fontId="0" fillId="2" borderId="0" xfId="0" applyFill="1" applyAlignment="1" applyProtection="1"/>
    <xf numFmtId="0" fontId="0" fillId="2" borderId="3" xfId="0" applyFill="1" applyBorder="1" applyAlignment="1" applyProtection="1"/>
    <xf numFmtId="0" fontId="0" fillId="2" borderId="1" xfId="0" applyFill="1" applyBorder="1" applyAlignment="1" applyProtection="1"/>
    <xf numFmtId="0" fontId="6" fillId="2" borderId="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11" xfId="0" applyFont="1" applyFill="1" applyBorder="1" applyAlignment="1" applyProtection="1">
      <alignment horizontal="center"/>
    </xf>
    <xf numFmtId="0" fontId="10" fillId="2" borderId="1" xfId="0" applyFont="1" applyFill="1" applyBorder="1" applyAlignment="1" applyProtection="1">
      <alignment horizontal="left"/>
    </xf>
    <xf numFmtId="0" fontId="6" fillId="2" borderId="1" xfId="0" applyFont="1" applyFill="1" applyBorder="1" applyAlignment="1" applyProtection="1">
      <alignment horizontal="left"/>
      <protection locked="0"/>
    </xf>
    <xf numFmtId="0" fontId="9" fillId="2" borderId="0" xfId="0" applyFont="1" applyFill="1"/>
    <xf numFmtId="0" fontId="40" fillId="2" borderId="0" xfId="0" applyFont="1" applyFill="1" applyBorder="1" applyAlignment="1" applyProtection="1">
      <alignment horizontal="center"/>
    </xf>
    <xf numFmtId="0" fontId="18" fillId="2" borderId="0" xfId="0" applyFont="1" applyFill="1" applyAlignment="1" applyProtection="1"/>
    <xf numFmtId="165" fontId="21" fillId="4" borderId="15" xfId="0" applyNumberFormat="1" applyFont="1" applyFill="1" applyBorder="1" applyAlignment="1" applyProtection="1">
      <alignment horizontal="center"/>
      <protection locked="0"/>
    </xf>
    <xf numFmtId="165" fontId="21" fillId="4" borderId="22" xfId="0" applyNumberFormat="1" applyFont="1" applyFill="1" applyBorder="1" applyAlignment="1" applyProtection="1">
      <alignment horizontal="center"/>
      <protection locked="0"/>
    </xf>
    <xf numFmtId="0" fontId="18" fillId="2" borderId="0" xfId="0" applyFont="1" applyFill="1" applyAlignment="1" applyProtection="1">
      <alignment horizontal="right"/>
    </xf>
    <xf numFmtId="0" fontId="18" fillId="2" borderId="0" xfId="0" applyFont="1" applyFill="1" applyAlignment="1" applyProtection="1">
      <alignment horizontal="left"/>
    </xf>
    <xf numFmtId="0" fontId="1" fillId="2" borderId="10" xfId="0" applyFont="1" applyFill="1" applyBorder="1" applyAlignment="1" applyProtection="1"/>
    <xf numFmtId="0" fontId="9" fillId="2" borderId="3" xfId="0" applyFont="1" applyFill="1" applyBorder="1" applyProtection="1"/>
    <xf numFmtId="0" fontId="23" fillId="2" borderId="0" xfId="0" applyFont="1" applyFill="1" applyProtection="1"/>
    <xf numFmtId="0" fontId="0" fillId="3" borderId="22" xfId="0" applyFill="1" applyBorder="1" applyAlignment="1" applyProtection="1">
      <alignment horizontal="center"/>
      <protection locked="0"/>
    </xf>
    <xf numFmtId="0" fontId="0" fillId="2" borderId="0" xfId="0" quotePrefix="1" applyFill="1" applyBorder="1" applyAlignment="1" applyProtection="1">
      <alignment horizontal="center"/>
    </xf>
    <xf numFmtId="0" fontId="16" fillId="4" borderId="27" xfId="0" applyFont="1" applyFill="1" applyBorder="1" applyAlignment="1" applyProtection="1">
      <alignment horizontal="center"/>
      <protection locked="0"/>
    </xf>
    <xf numFmtId="0" fontId="6" fillId="2" borderId="11" xfId="0" applyFont="1" applyFill="1" applyBorder="1" applyProtection="1"/>
    <xf numFmtId="0" fontId="6" fillId="2" borderId="0" xfId="0" applyFont="1" applyFill="1" applyBorder="1" applyProtection="1"/>
    <xf numFmtId="0" fontId="4" fillId="2" borderId="0" xfId="0" applyFont="1" applyFill="1" applyProtection="1"/>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9" fillId="2" borderId="0" xfId="0" applyFont="1" applyFill="1" applyAlignment="1" applyProtection="1">
      <alignment horizontal="center"/>
    </xf>
    <xf numFmtId="2" fontId="0" fillId="2" borderId="0" xfId="0" applyNumberFormat="1" applyFill="1" applyProtection="1"/>
    <xf numFmtId="4" fontId="0" fillId="2" borderId="0" xfId="0" applyNumberFormat="1" applyFill="1" applyAlignment="1" applyProtection="1">
      <alignment horizontal="center"/>
    </xf>
    <xf numFmtId="4" fontId="0" fillId="2" borderId="1" xfId="0" applyNumberFormat="1" applyFill="1" applyBorder="1" applyAlignment="1" applyProtection="1">
      <alignment horizontal="center"/>
    </xf>
    <xf numFmtId="0" fontId="20" fillId="2" borderId="0" xfId="0" applyFont="1" applyFill="1" applyProtection="1"/>
    <xf numFmtId="0" fontId="0" fillId="2" borderId="28" xfId="0" applyFill="1" applyBorder="1" applyProtection="1"/>
    <xf numFmtId="0" fontId="0" fillId="2" borderId="0" xfId="0" quotePrefix="1" applyFill="1" applyProtection="1"/>
    <xf numFmtId="0" fontId="0" fillId="2" borderId="29" xfId="0" applyFill="1" applyBorder="1" applyAlignment="1" applyProtection="1"/>
    <xf numFmtId="1" fontId="0" fillId="2" borderId="30" xfId="0" applyNumberFormat="1" applyFill="1" applyBorder="1" applyAlignment="1" applyProtection="1"/>
    <xf numFmtId="0" fontId="0" fillId="2" borderId="19" xfId="0" applyFill="1" applyBorder="1" applyProtection="1">
      <protection locked="0"/>
    </xf>
    <xf numFmtId="0" fontId="10" fillId="2" borderId="0" xfId="0" applyFont="1" applyFill="1" applyAlignment="1" applyProtection="1">
      <alignment horizontal="center"/>
    </xf>
    <xf numFmtId="0" fontId="0" fillId="2" borderId="12" xfId="0" applyFill="1" applyBorder="1" applyAlignment="1" applyProtection="1">
      <alignment horizontal="center"/>
    </xf>
    <xf numFmtId="0" fontId="13" fillId="2" borderId="0" xfId="0" applyFont="1" applyFill="1" applyAlignment="1" applyProtection="1">
      <alignment horizontal="center"/>
    </xf>
    <xf numFmtId="0" fontId="23" fillId="2" borderId="0" xfId="0" applyFont="1" applyFill="1" applyAlignment="1" applyProtection="1">
      <alignment horizontal="left"/>
    </xf>
    <xf numFmtId="0" fontId="12" fillId="2" borderId="0" xfId="0" applyFont="1" applyFill="1" applyAlignment="1" applyProtection="1">
      <alignment horizontal="left"/>
    </xf>
    <xf numFmtId="22" fontId="6" fillId="2" borderId="0" xfId="0" applyNumberFormat="1" applyFont="1" applyFill="1" applyAlignment="1" applyProtection="1">
      <alignment horizontal="left"/>
    </xf>
    <xf numFmtId="0" fontId="9" fillId="2" borderId="2" xfId="0" applyFont="1" applyFill="1" applyBorder="1" applyAlignment="1" applyProtection="1">
      <alignment horizontal="left"/>
    </xf>
    <xf numFmtId="0" fontId="9" fillId="2" borderId="11" xfId="0" applyFont="1" applyFill="1" applyBorder="1" applyAlignment="1" applyProtection="1">
      <alignment horizontal="left"/>
    </xf>
    <xf numFmtId="0" fontId="0" fillId="2" borderId="31" xfId="0" applyFill="1" applyBorder="1" applyAlignment="1" applyProtection="1">
      <alignment horizontal="left"/>
    </xf>
    <xf numFmtId="0" fontId="9" fillId="2" borderId="31" xfId="0" applyFont="1" applyFill="1" applyBorder="1" applyAlignment="1" applyProtection="1">
      <alignment horizontal="center"/>
    </xf>
    <xf numFmtId="0" fontId="6" fillId="2" borderId="2" xfId="0" applyFont="1" applyFill="1" applyBorder="1" applyAlignment="1" applyProtection="1">
      <alignment horizontal="center"/>
    </xf>
    <xf numFmtId="0" fontId="6" fillId="2" borderId="17" xfId="0" applyFont="1" applyFill="1" applyBorder="1" applyAlignment="1" applyProtection="1">
      <alignment horizontal="center"/>
    </xf>
    <xf numFmtId="0" fontId="6" fillId="2" borderId="18" xfId="0" applyFont="1" applyFill="1" applyBorder="1" applyAlignment="1" applyProtection="1">
      <alignment horizontal="center"/>
    </xf>
    <xf numFmtId="0" fontId="6" fillId="2" borderId="6" xfId="0" applyFont="1" applyFill="1" applyBorder="1" applyAlignment="1" applyProtection="1">
      <alignment horizontal="center"/>
    </xf>
    <xf numFmtId="0" fontId="10" fillId="2" borderId="17" xfId="0" applyFont="1" applyFill="1" applyBorder="1" applyAlignment="1" applyProtection="1">
      <alignment horizontal="center"/>
    </xf>
    <xf numFmtId="0" fontId="0" fillId="2" borderId="18" xfId="0" applyFill="1" applyBorder="1" applyAlignment="1" applyProtection="1">
      <alignment horizontal="center"/>
    </xf>
    <xf numFmtId="0" fontId="10" fillId="2" borderId="18" xfId="0" applyFont="1" applyFill="1" applyBorder="1" applyAlignment="1" applyProtection="1">
      <alignment horizontal="center"/>
    </xf>
    <xf numFmtId="0" fontId="10" fillId="2" borderId="6" xfId="0" applyFont="1" applyFill="1" applyBorder="1" applyAlignment="1" applyProtection="1">
      <alignment horizontal="center"/>
    </xf>
    <xf numFmtId="0" fontId="0" fillId="2" borderId="6" xfId="0" applyFill="1" applyBorder="1" applyAlignment="1" applyProtection="1">
      <alignment horizontal="center"/>
    </xf>
    <xf numFmtId="0" fontId="7" fillId="2" borderId="0" xfId="0" applyFont="1" applyFill="1" applyBorder="1" applyAlignment="1" applyProtection="1">
      <alignment horizontal="left"/>
    </xf>
    <xf numFmtId="0" fontId="9" fillId="2" borderId="11" xfId="0" applyFont="1" applyFill="1" applyBorder="1" applyAlignment="1" applyProtection="1">
      <alignment horizontal="center"/>
    </xf>
    <xf numFmtId="0" fontId="0" fillId="2" borderId="17" xfId="0" applyFill="1" applyBorder="1" applyAlignment="1" applyProtection="1">
      <alignment horizontal="center"/>
    </xf>
    <xf numFmtId="0" fontId="7" fillId="2" borderId="0" xfId="0" applyFont="1" applyFill="1" applyAlignment="1" applyProtection="1"/>
    <xf numFmtId="0" fontId="9" fillId="2" borderId="2" xfId="0" applyFont="1" applyFill="1" applyBorder="1" applyProtection="1"/>
    <xf numFmtId="0" fontId="9" fillId="2" borderId="11" xfId="0" applyFont="1" applyFill="1" applyBorder="1" applyProtection="1"/>
    <xf numFmtId="0" fontId="1" fillId="2" borderId="11" xfId="0" applyFont="1" applyFill="1" applyBorder="1" applyAlignment="1" applyProtection="1">
      <alignment horizontal="center"/>
    </xf>
    <xf numFmtId="0" fontId="10" fillId="2" borderId="3" xfId="0" applyFont="1" applyFill="1" applyBorder="1" applyProtection="1"/>
    <xf numFmtId="0" fontId="1" fillId="2" borderId="0" xfId="0" applyFont="1" applyFill="1" applyBorder="1" applyAlignment="1" applyProtection="1"/>
    <xf numFmtId="0" fontId="10" fillId="2" borderId="3" xfId="0" applyFont="1" applyFill="1" applyBorder="1" applyAlignment="1" applyProtection="1"/>
    <xf numFmtId="4" fontId="0" fillId="2" borderId="1" xfId="0" applyNumberFormat="1" applyFill="1" applyBorder="1" applyAlignment="1" applyProtection="1"/>
    <xf numFmtId="0" fontId="10" fillId="2" borderId="4" xfId="0" applyFont="1" applyFill="1" applyBorder="1" applyProtection="1"/>
    <xf numFmtId="0" fontId="10" fillId="2" borderId="10" xfId="0" applyFont="1" applyFill="1" applyBorder="1" applyProtection="1"/>
    <xf numFmtId="0" fontId="0" fillId="2" borderId="4" xfId="0" applyFill="1" applyBorder="1" applyAlignment="1" applyProtection="1"/>
    <xf numFmtId="0" fontId="0" fillId="2" borderId="10" xfId="0" applyFill="1" applyBorder="1" applyAlignment="1" applyProtection="1"/>
    <xf numFmtId="0" fontId="0" fillId="2" borderId="5" xfId="0" applyFill="1" applyBorder="1" applyAlignment="1" applyProtection="1"/>
    <xf numFmtId="0" fontId="0" fillId="2" borderId="31" xfId="0" applyFill="1" applyBorder="1" applyAlignment="1" applyProtection="1">
      <alignment horizontal="center"/>
    </xf>
    <xf numFmtId="0" fontId="0" fillId="2" borderId="31" xfId="0" applyFill="1" applyBorder="1" applyProtection="1"/>
    <xf numFmtId="2" fontId="0" fillId="2" borderId="31" xfId="0" applyNumberFormat="1" applyFill="1" applyBorder="1" applyAlignment="1" applyProtection="1">
      <alignment horizontal="center"/>
    </xf>
    <xf numFmtId="0" fontId="9" fillId="2" borderId="0" xfId="0" applyFont="1" applyFill="1" applyAlignment="1" applyProtection="1"/>
    <xf numFmtId="0" fontId="0" fillId="2" borderId="2" xfId="0" applyFill="1" applyBorder="1" applyAlignment="1" applyProtection="1"/>
    <xf numFmtId="0" fontId="0" fillId="2" borderId="11" xfId="0" applyFill="1" applyBorder="1" applyAlignment="1" applyProtection="1"/>
    <xf numFmtId="164" fontId="0" fillId="2" borderId="12" xfId="0" applyNumberFormat="1" applyFill="1" applyBorder="1" applyAlignment="1" applyProtection="1">
      <alignment horizontal="center"/>
    </xf>
    <xf numFmtId="0" fontId="16" fillId="2" borderId="11" xfId="0" applyFont="1" applyFill="1" applyBorder="1" applyProtection="1"/>
    <xf numFmtId="0" fontId="16" fillId="2" borderId="0" xfId="0" applyFont="1" applyFill="1" applyBorder="1" applyProtection="1"/>
    <xf numFmtId="0" fontId="16" fillId="2" borderId="0" xfId="0" applyFont="1" applyFill="1" applyBorder="1" applyAlignment="1" applyProtection="1">
      <alignment horizontal="center"/>
    </xf>
    <xf numFmtId="0" fontId="10" fillId="2" borderId="0" xfId="0" applyFont="1" applyFill="1" applyBorder="1" applyAlignment="1" applyProtection="1"/>
    <xf numFmtId="2" fontId="10" fillId="2" borderId="1" xfId="0" applyNumberFormat="1" applyFont="1" applyFill="1" applyBorder="1" applyAlignment="1" applyProtection="1">
      <alignment horizontal="center"/>
    </xf>
    <xf numFmtId="9" fontId="0" fillId="4" borderId="15" xfId="3" applyFont="1" applyFill="1" applyBorder="1" applyProtection="1">
      <protection locked="0"/>
    </xf>
    <xf numFmtId="9" fontId="0" fillId="2" borderId="0" xfId="3" applyFont="1" applyFill="1" applyProtection="1"/>
    <xf numFmtId="0" fontId="0" fillId="2" borderId="7" xfId="0" applyFill="1" applyBorder="1" applyAlignment="1" applyProtection="1">
      <alignment horizontal="left"/>
    </xf>
    <xf numFmtId="0" fontId="0" fillId="4" borderId="27" xfId="0" applyFill="1" applyBorder="1" applyAlignment="1" applyProtection="1">
      <alignment horizontal="center"/>
      <protection locked="0"/>
    </xf>
    <xf numFmtId="0" fontId="0" fillId="2" borderId="19" xfId="0" applyNumberFormat="1" applyFill="1" applyBorder="1" applyAlignment="1" applyProtection="1">
      <alignment horizontal="left"/>
    </xf>
    <xf numFmtId="177" fontId="0" fillId="2" borderId="3" xfId="0" applyNumberFormat="1" applyFill="1" applyBorder="1" applyAlignment="1" applyProtection="1">
      <alignment horizontal="left"/>
    </xf>
    <xf numFmtId="0" fontId="58" fillId="2" borderId="0" xfId="0" applyFont="1" applyFill="1" applyAlignment="1" applyProtection="1">
      <alignment horizontal="left"/>
    </xf>
    <xf numFmtId="164" fontId="27" fillId="4" borderId="10" xfId="0" applyNumberFormat="1" applyFont="1" applyFill="1" applyBorder="1" applyProtection="1">
      <protection locked="0"/>
    </xf>
    <xf numFmtId="0" fontId="21" fillId="4" borderId="32"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2" borderId="0" xfId="0" applyFont="1" applyFill="1" applyBorder="1" applyAlignment="1" applyProtection="1">
      <alignment horizontal="center"/>
      <protection hidden="1"/>
    </xf>
    <xf numFmtId="0" fontId="9" fillId="2" borderId="0" xfId="0" applyFont="1" applyFill="1" applyAlignment="1" applyProtection="1">
      <alignment horizontal="left"/>
      <protection hidden="1"/>
    </xf>
    <xf numFmtId="0" fontId="1" fillId="4" borderId="5" xfId="0" applyFont="1" applyFill="1" applyBorder="1" applyAlignment="1" applyProtection="1">
      <alignment horizontal="center"/>
      <protection locked="0"/>
    </xf>
    <xf numFmtId="2" fontId="0" fillId="2" borderId="1" xfId="0" applyNumberFormat="1"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164" fontId="0" fillId="2" borderId="0" xfId="0" applyNumberFormat="1" applyFill="1" applyBorder="1" applyAlignment="1" applyProtection="1">
      <alignment horizontal="center"/>
      <protection hidden="1"/>
    </xf>
    <xf numFmtId="165" fontId="0" fillId="4" borderId="10" xfId="0" applyNumberFormat="1" applyFill="1" applyBorder="1" applyProtection="1">
      <protection locked="0"/>
    </xf>
    <xf numFmtId="0" fontId="1" fillId="4" borderId="10" xfId="0" applyFont="1" applyFill="1" applyBorder="1" applyAlignment="1" applyProtection="1">
      <alignment horizontal="left"/>
      <protection locked="0"/>
    </xf>
    <xf numFmtId="0" fontId="60" fillId="2" borderId="0" xfId="0" applyFont="1" applyFill="1" applyProtection="1"/>
    <xf numFmtId="0" fontId="10" fillId="2" borderId="1" xfId="0" applyFont="1" applyFill="1" applyBorder="1" applyAlignment="1" applyProtection="1">
      <alignment horizontal="center"/>
    </xf>
    <xf numFmtId="2" fontId="0" fillId="2" borderId="0" xfId="0" applyNumberFormat="1" applyFill="1" applyBorder="1" applyAlignment="1" applyProtection="1">
      <alignment horizontal="center"/>
      <protection hidden="1"/>
    </xf>
    <xf numFmtId="0" fontId="9" fillId="2" borderId="4" xfId="0" applyFont="1" applyFill="1" applyBorder="1" applyAlignment="1" applyProtection="1">
      <alignment horizontal="left"/>
    </xf>
    <xf numFmtId="0" fontId="10" fillId="2" borderId="0" xfId="0" applyFont="1" applyFill="1" applyAlignment="1" applyProtection="1">
      <alignment horizontal="left"/>
      <protection hidden="1"/>
    </xf>
    <xf numFmtId="0" fontId="0" fillId="3" borderId="5" xfId="0" applyFill="1" applyBorder="1" applyAlignment="1" applyProtection="1">
      <alignment horizontal="center"/>
    </xf>
    <xf numFmtId="165" fontId="0" fillId="4" borderId="30" xfId="0" applyNumberFormat="1" applyFill="1" applyBorder="1" applyProtection="1">
      <protection locked="0"/>
    </xf>
    <xf numFmtId="2" fontId="0" fillId="2" borderId="10" xfId="0" applyNumberFormat="1" applyFill="1" applyBorder="1" applyAlignment="1" applyProtection="1">
      <alignment horizontal="center"/>
    </xf>
    <xf numFmtId="2" fontId="0" fillId="2" borderId="18" xfId="0" applyNumberFormat="1" applyFill="1" applyBorder="1" applyAlignment="1" applyProtection="1">
      <alignment horizontal="center"/>
    </xf>
    <xf numFmtId="2" fontId="0" fillId="2" borderId="6" xfId="0" applyNumberFormat="1" applyFill="1" applyBorder="1" applyAlignment="1" applyProtection="1">
      <alignment horizontal="center"/>
    </xf>
    <xf numFmtId="2" fontId="0" fillId="2" borderId="17" xfId="0" applyNumberFormat="1" applyFill="1" applyBorder="1" applyAlignment="1" applyProtection="1">
      <alignment horizontal="center"/>
    </xf>
    <xf numFmtId="2" fontId="0" fillId="2" borderId="0" xfId="0" applyNumberFormat="1" applyFill="1" applyAlignment="1" applyProtection="1">
      <alignment horizontal="center"/>
      <protection hidden="1"/>
    </xf>
    <xf numFmtId="0" fontId="9" fillId="7" borderId="0" xfId="0" applyFont="1" applyFill="1"/>
    <xf numFmtId="0" fontId="0" fillId="7" borderId="0" xfId="0" applyFill="1"/>
    <xf numFmtId="0" fontId="9" fillId="7" borderId="6" xfId="0" applyFont="1" applyFill="1" applyBorder="1"/>
    <xf numFmtId="0" fontId="6" fillId="7" borderId="18" xfId="0" applyFont="1" applyFill="1" applyBorder="1"/>
    <xf numFmtId="14" fontId="0" fillId="7" borderId="18" xfId="0" applyNumberFormat="1" applyFill="1" applyBorder="1" applyAlignment="1">
      <alignment horizontal="center"/>
    </xf>
    <xf numFmtId="0" fontId="0" fillId="7" borderId="18" xfId="0" applyFill="1" applyBorder="1" applyAlignment="1">
      <alignment horizontal="center"/>
    </xf>
    <xf numFmtId="0" fontId="0" fillId="4" borderId="15" xfId="0" applyNumberFormat="1" applyFill="1" applyBorder="1" applyAlignment="1" applyProtection="1">
      <alignment horizontal="center"/>
      <protection locked="0"/>
    </xf>
    <xf numFmtId="0" fontId="1" fillId="2" borderId="31" xfId="0" applyFont="1" applyFill="1" applyBorder="1" applyAlignment="1" applyProtection="1">
      <alignment horizontal="center"/>
    </xf>
    <xf numFmtId="0" fontId="0" fillId="2" borderId="0" xfId="0" applyFill="1" applyBorder="1" applyAlignment="1" applyProtection="1">
      <alignment horizontal="center"/>
      <protection locked="0" hidden="1"/>
    </xf>
    <xf numFmtId="0" fontId="9" fillId="2" borderId="33" xfId="0" applyFont="1" applyFill="1" applyBorder="1" applyAlignment="1" applyProtection="1">
      <alignment horizontal="center"/>
      <protection locked="0" hidden="1"/>
    </xf>
    <xf numFmtId="0" fontId="0" fillId="2" borderId="34" xfId="0" applyFill="1" applyBorder="1" applyAlignment="1" applyProtection="1">
      <alignment horizontal="center"/>
      <protection hidden="1"/>
    </xf>
    <xf numFmtId="0" fontId="9" fillId="2" borderId="31" xfId="0" applyFont="1" applyFill="1" applyBorder="1" applyAlignment="1" applyProtection="1">
      <alignment horizontal="center"/>
      <protection locked="0" hidden="1"/>
    </xf>
    <xf numFmtId="0" fontId="9" fillId="2" borderId="0" xfId="0" applyFont="1" applyFill="1" applyBorder="1" applyAlignment="1" applyProtection="1">
      <alignment horizontal="center"/>
      <protection hidden="1"/>
    </xf>
    <xf numFmtId="0" fontId="10" fillId="2" borderId="6" xfId="0" applyFont="1" applyFill="1" applyBorder="1" applyAlignment="1" applyProtection="1">
      <alignment horizontal="center"/>
      <protection hidden="1"/>
    </xf>
    <xf numFmtId="165" fontId="0" fillId="2" borderId="0" xfId="0" applyNumberFormat="1" applyFill="1" applyAlignment="1" applyProtection="1">
      <alignment horizontal="center"/>
      <protection hidden="1"/>
    </xf>
    <xf numFmtId="0" fontId="10" fillId="2" borderId="0" xfId="0" applyFont="1" applyFill="1" applyAlignment="1" applyProtection="1">
      <alignment horizontal="center"/>
      <protection hidden="1"/>
    </xf>
    <xf numFmtId="0" fontId="23" fillId="2" borderId="0" xfId="0" applyFont="1" applyFill="1"/>
    <xf numFmtId="172" fontId="21" fillId="2" borderId="0" xfId="0" applyNumberFormat="1" applyFont="1" applyFill="1" applyAlignment="1" applyProtection="1">
      <alignment horizontal="center"/>
    </xf>
    <xf numFmtId="172" fontId="33" fillId="2" borderId="0" xfId="0" applyNumberFormat="1" applyFont="1" applyFill="1" applyAlignment="1" applyProtection="1">
      <alignment horizontal="center"/>
    </xf>
    <xf numFmtId="172" fontId="0" fillId="2" borderId="0" xfId="0" applyNumberFormat="1" applyFill="1" applyAlignment="1" applyProtection="1">
      <alignment horizontal="center"/>
    </xf>
    <xf numFmtId="0" fontId="10" fillId="2" borderId="0" xfId="0" applyFont="1" applyFill="1" applyAlignment="1">
      <alignment horizontal="left"/>
    </xf>
    <xf numFmtId="0" fontId="16" fillId="2" borderId="0" xfId="0" applyFont="1" applyFill="1"/>
    <xf numFmtId="0" fontId="6" fillId="2" borderId="0" xfId="0" applyFont="1" applyFill="1"/>
    <xf numFmtId="22" fontId="6" fillId="2" borderId="0" xfId="0" applyNumberFormat="1" applyFont="1" applyFill="1"/>
    <xf numFmtId="0" fontId="6" fillId="2" borderId="0" xfId="0" applyNumberFormat="1" applyFont="1" applyFill="1"/>
    <xf numFmtId="0" fontId="16" fillId="2" borderId="0" xfId="0" applyFont="1" applyFill="1" applyBorder="1" applyAlignment="1">
      <alignment horizontal="right"/>
    </xf>
    <xf numFmtId="0" fontId="16" fillId="2" borderId="0" xfId="0" applyFont="1" applyFill="1" applyBorder="1"/>
    <xf numFmtId="0" fontId="16" fillId="2" borderId="0" xfId="0" applyFont="1" applyFill="1" applyAlignment="1">
      <alignment horizontal="left"/>
    </xf>
    <xf numFmtId="0" fontId="9" fillId="3" borderId="31" xfId="0" applyFont="1" applyFill="1" applyBorder="1" applyAlignment="1" applyProtection="1">
      <protection locked="0"/>
    </xf>
    <xf numFmtId="0" fontId="9" fillId="7" borderId="8" xfId="0" applyFont="1" applyFill="1" applyBorder="1" applyAlignment="1" applyProtection="1">
      <protection locked="0"/>
    </xf>
    <xf numFmtId="0" fontId="0" fillId="7" borderId="8" xfId="0" applyFill="1" applyBorder="1"/>
    <xf numFmtId="0" fontId="0" fillId="7" borderId="7" xfId="0" applyFill="1" applyBorder="1"/>
    <xf numFmtId="0" fontId="9" fillId="5" borderId="31" xfId="0" applyFont="1" applyFill="1" applyBorder="1"/>
    <xf numFmtId="0" fontId="9" fillId="7" borderId="8" xfId="0" applyFont="1" applyFill="1" applyBorder="1"/>
    <xf numFmtId="0" fontId="9" fillId="5" borderId="19" xfId="0" applyFont="1" applyFill="1" applyBorder="1"/>
    <xf numFmtId="0" fontId="9" fillId="7" borderId="19" xfId="0" applyFont="1" applyFill="1" applyBorder="1"/>
    <xf numFmtId="3" fontId="0" fillId="6" borderId="15" xfId="0" applyNumberFormat="1" applyFill="1" applyBorder="1" applyAlignment="1" applyProtection="1">
      <alignment horizontal="center"/>
      <protection locked="0"/>
    </xf>
    <xf numFmtId="0" fontId="16" fillId="2" borderId="0" xfId="0" applyFont="1" applyFill="1" applyAlignment="1">
      <alignment horizontal="right"/>
    </xf>
    <xf numFmtId="14" fontId="16" fillId="2" borderId="0" xfId="0" applyNumberFormat="1" applyFont="1" applyFill="1" applyAlignment="1">
      <alignment horizontal="right"/>
    </xf>
    <xf numFmtId="0" fontId="10" fillId="2" borderId="0" xfId="0" applyFont="1" applyFill="1" applyBorder="1" applyAlignment="1">
      <alignment horizontal="right"/>
    </xf>
    <xf numFmtId="0" fontId="10" fillId="2" borderId="0" xfId="0" applyFont="1" applyFill="1"/>
    <xf numFmtId="0" fontId="10" fillId="2" borderId="0" xfId="0" applyFont="1" applyFill="1" applyBorder="1"/>
    <xf numFmtId="0" fontId="16" fillId="2" borderId="0" xfId="0" applyFont="1" applyFill="1" applyBorder="1" applyAlignment="1" applyProtection="1">
      <alignment horizontal="left"/>
      <protection locked="0"/>
    </xf>
    <xf numFmtId="0" fontId="16" fillId="2" borderId="0" xfId="0" applyFont="1" applyFill="1" applyBorder="1" applyAlignment="1" applyProtection="1">
      <alignment horizontal="center"/>
      <protection locked="0"/>
    </xf>
    <xf numFmtId="3" fontId="10" fillId="4" borderId="15" xfId="0" applyNumberFormat="1" applyFont="1" applyFill="1" applyBorder="1" applyAlignment="1" applyProtection="1">
      <alignment horizontal="center"/>
      <protection locked="0"/>
    </xf>
    <xf numFmtId="167" fontId="36" fillId="2" borderId="0" xfId="0" applyNumberFormat="1" applyFont="1" applyFill="1" applyAlignment="1" applyProtection="1">
      <alignment horizontal="left"/>
      <protection hidden="1"/>
    </xf>
    <xf numFmtId="3" fontId="0" fillId="2" borderId="0" xfId="0" applyNumberFormat="1" applyFill="1" applyBorder="1" applyAlignment="1" applyProtection="1">
      <alignment horizontal="center"/>
      <protection hidden="1"/>
    </xf>
    <xf numFmtId="0" fontId="4" fillId="3" borderId="6" xfId="0" applyFont="1" applyFill="1" applyBorder="1" applyAlignment="1" applyProtection="1">
      <alignment horizontal="center"/>
      <protection hidden="1"/>
    </xf>
    <xf numFmtId="0" fontId="9" fillId="2" borderId="3" xfId="0" applyFont="1" applyFill="1" applyBorder="1" applyAlignment="1" applyProtection="1">
      <protection hidden="1"/>
    </xf>
    <xf numFmtId="4" fontId="9" fillId="2" borderId="0" xfId="0" applyNumberFormat="1" applyFont="1" applyFill="1" applyBorder="1" applyAlignment="1" applyProtection="1">
      <alignment horizontal="center"/>
    </xf>
    <xf numFmtId="9" fontId="10" fillId="4" borderId="15" xfId="3" applyFont="1" applyFill="1" applyBorder="1" applyProtection="1">
      <protection locked="0"/>
    </xf>
    <xf numFmtId="9" fontId="10" fillId="4" borderId="23" xfId="3" applyFont="1" applyFill="1" applyBorder="1" applyProtection="1">
      <protection locked="0"/>
    </xf>
    <xf numFmtId="0" fontId="10" fillId="4" borderId="15" xfId="0" applyFont="1" applyFill="1" applyBorder="1" applyProtection="1">
      <protection locked="0"/>
    </xf>
    <xf numFmtId="0" fontId="10" fillId="4" borderId="23" xfId="0" applyFont="1" applyFill="1" applyBorder="1" applyProtection="1">
      <protection locked="0"/>
    </xf>
    <xf numFmtId="0" fontId="13" fillId="2" borderId="0" xfId="0" applyFont="1" applyFill="1" applyBorder="1" applyProtection="1">
      <protection hidden="1"/>
    </xf>
    <xf numFmtId="0" fontId="15" fillId="2" borderId="0" xfId="0" applyFont="1" applyFill="1" applyAlignment="1" applyProtection="1">
      <alignment horizontal="center"/>
    </xf>
    <xf numFmtId="0" fontId="62" fillId="2" borderId="0" xfId="0" applyFont="1" applyFill="1" applyProtection="1"/>
    <xf numFmtId="0" fontId="4" fillId="2" borderId="0" xfId="0" applyFont="1" applyFill="1"/>
    <xf numFmtId="0" fontId="10" fillId="2" borderId="2" xfId="0" applyFont="1" applyFill="1" applyBorder="1"/>
    <xf numFmtId="0" fontId="0" fillId="2" borderId="1" xfId="0" applyFill="1" applyBorder="1"/>
    <xf numFmtId="0" fontId="0" fillId="2" borderId="4" xfId="0" applyFill="1" applyBorder="1"/>
    <xf numFmtId="0" fontId="9" fillId="2" borderId="2" xfId="0" applyFont="1" applyFill="1" applyBorder="1"/>
    <xf numFmtId="0" fontId="9" fillId="2" borderId="4" xfId="0" applyFont="1" applyFill="1" applyBorder="1"/>
    <xf numFmtId="0" fontId="0" fillId="2" borderId="5" xfId="0" applyFill="1" applyBorder="1"/>
    <xf numFmtId="0" fontId="9" fillId="2" borderId="3" xfId="0" applyFont="1" applyFill="1" applyBorder="1"/>
    <xf numFmtId="164" fontId="9" fillId="2" borderId="0" xfId="0" applyNumberFormat="1" applyFont="1" applyFill="1" applyBorder="1" applyProtection="1"/>
    <xf numFmtId="0" fontId="33" fillId="2" borderId="0" xfId="0" applyFont="1" applyFill="1" applyBorder="1" applyAlignment="1" applyProtection="1">
      <alignment horizontal="right"/>
    </xf>
    <xf numFmtId="0" fontId="63" fillId="2" borderId="4" xfId="0" applyFont="1" applyFill="1" applyBorder="1" applyProtection="1"/>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xf numFmtId="172" fontId="18" fillId="2" borderId="0" xfId="0" applyNumberFormat="1" applyFont="1" applyFill="1" applyAlignment="1" applyProtection="1">
      <alignment horizontal="center"/>
    </xf>
    <xf numFmtId="0" fontId="0" fillId="2" borderId="1" xfId="0" applyFill="1" applyBorder="1" applyAlignment="1" applyProtection="1">
      <alignment horizontal="center"/>
      <protection locked="0"/>
    </xf>
    <xf numFmtId="2" fontId="56" fillId="2" borderId="0" xfId="0" applyNumberFormat="1" applyFont="1" applyFill="1" applyAlignment="1" applyProtection="1">
      <alignment horizontal="center"/>
      <protection hidden="1"/>
    </xf>
    <xf numFmtId="2" fontId="56" fillId="2" borderId="0" xfId="0" applyNumberFormat="1" applyFont="1" applyFill="1" applyBorder="1" applyAlignment="1" applyProtection="1">
      <alignment horizontal="center"/>
      <protection hidden="1"/>
    </xf>
    <xf numFmtId="2" fontId="56" fillId="2" borderId="11" xfId="0" applyNumberFormat="1" applyFont="1" applyFill="1" applyBorder="1" applyAlignment="1" applyProtection="1">
      <alignment horizontal="center"/>
      <protection hidden="1"/>
    </xf>
    <xf numFmtId="0" fontId="9" fillId="2" borderId="4" xfId="0" applyFont="1" applyFill="1" applyBorder="1" applyProtection="1"/>
    <xf numFmtId="22" fontId="0" fillId="2" borderId="0" xfId="0" applyNumberFormat="1" applyFill="1" applyAlignment="1" applyProtection="1">
      <alignment horizontal="left"/>
    </xf>
    <xf numFmtId="0" fontId="39" fillId="2" borderId="0" xfId="0" applyFont="1" applyFill="1" applyAlignment="1" applyProtection="1">
      <alignment horizontal="left"/>
      <protection hidden="1"/>
    </xf>
    <xf numFmtId="0" fontId="9" fillId="2" borderId="0" xfId="0" applyFont="1" applyFill="1" applyBorder="1" applyAlignment="1" applyProtection="1">
      <alignment horizontal="left"/>
      <protection hidden="1"/>
    </xf>
    <xf numFmtId="2" fontId="0" fillId="2" borderId="0" xfId="0" applyNumberFormat="1" applyFill="1" applyAlignment="1" applyProtection="1">
      <alignment horizontal="left"/>
      <protection hidden="1"/>
    </xf>
    <xf numFmtId="0" fontId="0" fillId="0" borderId="0" xfId="0" applyFill="1"/>
    <xf numFmtId="0" fontId="9" fillId="2" borderId="0" xfId="0" applyFont="1" applyFill="1" applyBorder="1" applyAlignment="1" applyProtection="1">
      <alignment horizontal="right"/>
      <protection hidden="1"/>
    </xf>
    <xf numFmtId="0" fontId="9" fillId="2" borderId="0" xfId="0" applyFont="1" applyFill="1" applyAlignment="1" applyProtection="1">
      <alignment horizontal="right"/>
      <protection hidden="1"/>
    </xf>
    <xf numFmtId="0" fontId="9" fillId="2" borderId="0" xfId="0" applyFont="1" applyFill="1" applyAlignment="1" applyProtection="1">
      <alignment horizontal="right"/>
    </xf>
    <xf numFmtId="0" fontId="62" fillId="2" borderId="0" xfId="0" applyFont="1" applyFill="1"/>
    <xf numFmtId="0" fontId="18" fillId="2" borderId="11" xfId="0" applyFont="1" applyFill="1" applyBorder="1" applyProtection="1"/>
    <xf numFmtId="0" fontId="21" fillId="2" borderId="11" xfId="0" applyFont="1" applyFill="1" applyBorder="1" applyProtection="1"/>
    <xf numFmtId="0" fontId="21" fillId="2" borderId="11" xfId="0" applyFont="1" applyFill="1" applyBorder="1" applyAlignment="1" applyProtection="1">
      <alignment horizontal="center"/>
    </xf>
    <xf numFmtId="0" fontId="21" fillId="2" borderId="12" xfId="0" applyFont="1" applyFill="1" applyBorder="1" applyAlignment="1" applyProtection="1">
      <alignment horizontal="center"/>
    </xf>
    <xf numFmtId="0" fontId="7" fillId="2" borderId="0" xfId="0" applyFont="1" applyFill="1" applyBorder="1" applyProtection="1"/>
    <xf numFmtId="0" fontId="21" fillId="2" borderId="0" xfId="0" applyFont="1" applyFill="1" applyBorder="1" applyProtection="1"/>
    <xf numFmtId="0" fontId="21" fillId="2" borderId="0" xfId="0" applyFont="1" applyFill="1" applyBorder="1" applyAlignment="1" applyProtection="1">
      <alignment horizontal="center"/>
    </xf>
    <xf numFmtId="0" fontId="21" fillId="2" borderId="1" xfId="0" applyFont="1" applyFill="1" applyBorder="1" applyAlignment="1" applyProtection="1">
      <alignment horizontal="center"/>
    </xf>
    <xf numFmtId="0" fontId="18" fillId="2" borderId="0" xfId="0" applyFont="1" applyFill="1" applyBorder="1" applyProtection="1"/>
    <xf numFmtId="0" fontId="21" fillId="2" borderId="10" xfId="0" applyFont="1" applyFill="1" applyBorder="1" applyProtection="1"/>
    <xf numFmtId="0" fontId="21" fillId="2" borderId="10" xfId="0" applyFont="1" applyFill="1" applyBorder="1" applyAlignment="1" applyProtection="1">
      <alignment horizontal="center"/>
    </xf>
    <xf numFmtId="0" fontId="21" fillId="2" borderId="5" xfId="0" applyFont="1" applyFill="1" applyBorder="1" applyAlignment="1" applyProtection="1">
      <alignment horizontal="center"/>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right"/>
    </xf>
    <xf numFmtId="0" fontId="0" fillId="2" borderId="0" xfId="0" applyFill="1" applyAlignment="1">
      <alignment horizontal="left"/>
    </xf>
    <xf numFmtId="2" fontId="0" fillId="2" borderId="10" xfId="0" applyNumberFormat="1" applyFill="1" applyBorder="1" applyAlignment="1" applyProtection="1">
      <alignment horizontal="center"/>
      <protection hidden="1"/>
    </xf>
    <xf numFmtId="2" fontId="0" fillId="2" borderId="5" xfId="0" applyNumberFormat="1" applyFill="1" applyBorder="1" applyAlignment="1" applyProtection="1">
      <alignment horizontal="center"/>
      <protection hidden="1"/>
    </xf>
    <xf numFmtId="0" fontId="0" fillId="0" borderId="0" xfId="0" applyAlignment="1">
      <alignment horizontal="left"/>
    </xf>
    <xf numFmtId="0" fontId="60" fillId="2" borderId="0" xfId="0" applyFont="1" applyFill="1" applyBorder="1" applyProtection="1"/>
    <xf numFmtId="0" fontId="35" fillId="2" borderId="11" xfId="0" applyFont="1" applyFill="1" applyBorder="1" applyProtection="1"/>
    <xf numFmtId="165" fontId="27" fillId="2" borderId="0" xfId="0" applyNumberFormat="1" applyFont="1" applyFill="1" applyAlignment="1" applyProtection="1"/>
    <xf numFmtId="0" fontId="9" fillId="2" borderId="10" xfId="0" applyFont="1" applyFill="1" applyBorder="1" applyAlignment="1" applyProtection="1">
      <alignment horizontal="center"/>
    </xf>
    <xf numFmtId="0" fontId="1" fillId="2" borderId="17" xfId="0" applyFont="1" applyFill="1" applyBorder="1" applyAlignment="1" applyProtection="1">
      <alignment horizontal="center"/>
    </xf>
    <xf numFmtId="0" fontId="0" fillId="2" borderId="18" xfId="0" applyFill="1" applyBorder="1" applyAlignment="1" applyProtection="1">
      <alignment horizontal="center"/>
      <protection hidden="1"/>
    </xf>
    <xf numFmtId="0" fontId="0" fillId="2" borderId="37" xfId="0" applyFill="1" applyBorder="1" applyAlignment="1" applyProtection="1">
      <alignment horizontal="center"/>
      <protection hidden="1"/>
    </xf>
    <xf numFmtId="0" fontId="65" fillId="2" borderId="0" xfId="0" applyFont="1" applyFill="1" applyBorder="1"/>
    <xf numFmtId="0" fontId="3" fillId="2" borderId="38" xfId="0" applyFont="1" applyFill="1" applyBorder="1"/>
    <xf numFmtId="0" fontId="65" fillId="7" borderId="7" xfId="0" applyFont="1" applyFill="1" applyBorder="1"/>
    <xf numFmtId="0" fontId="9" fillId="3" borderId="31" xfId="0" applyFont="1" applyFill="1" applyBorder="1"/>
    <xf numFmtId="0" fontId="0" fillId="2" borderId="39" xfId="0" applyFill="1" applyBorder="1"/>
    <xf numFmtId="0" fontId="10" fillId="2" borderId="39" xfId="0" applyFont="1" applyFill="1" applyBorder="1"/>
    <xf numFmtId="0" fontId="16" fillId="2" borderId="39" xfId="0" applyFont="1" applyFill="1" applyBorder="1"/>
    <xf numFmtId="0" fontId="3" fillId="2" borderId="0" xfId="0" applyFont="1" applyFill="1" applyBorder="1"/>
    <xf numFmtId="0" fontId="65" fillId="7" borderId="8" xfId="0" applyFont="1" applyFill="1" applyBorder="1"/>
    <xf numFmtId="0" fontId="68" fillId="2" borderId="0" xfId="0" applyFont="1" applyFill="1" applyBorder="1" applyAlignment="1">
      <alignment horizontal="center"/>
    </xf>
    <xf numFmtId="0" fontId="11" fillId="2" borderId="4" xfId="0" applyFont="1" applyFill="1" applyBorder="1" applyProtection="1"/>
    <xf numFmtId="0" fontId="11" fillId="2" borderId="0" xfId="0" applyFont="1" applyFill="1" applyBorder="1" applyAlignment="1" applyProtection="1">
      <alignment horizontal="center"/>
    </xf>
    <xf numFmtId="0" fontId="11" fillId="4" borderId="15" xfId="0" applyFont="1" applyFill="1" applyBorder="1" applyAlignment="1" applyProtection="1">
      <alignment horizontal="center"/>
      <protection locked="0"/>
    </xf>
    <xf numFmtId="0" fontId="11" fillId="4" borderId="23" xfId="0" applyFont="1" applyFill="1" applyBorder="1" applyAlignment="1" applyProtection="1">
      <alignment horizontal="center"/>
      <protection locked="0"/>
    </xf>
    <xf numFmtId="0" fontId="11" fillId="2" borderId="6" xfId="0" applyFont="1" applyFill="1" applyBorder="1" applyAlignment="1" applyProtection="1">
      <alignment horizontal="center"/>
    </xf>
    <xf numFmtId="0" fontId="27" fillId="2" borderId="2" xfId="0" applyFont="1" applyFill="1" applyBorder="1" applyProtection="1"/>
    <xf numFmtId="0" fontId="11" fillId="2" borderId="11" xfId="0" applyFont="1" applyFill="1" applyBorder="1" applyProtection="1"/>
    <xf numFmtId="0" fontId="11" fillId="2" borderId="12" xfId="0" applyFont="1" applyFill="1" applyBorder="1" applyProtection="1"/>
    <xf numFmtId="0" fontId="11" fillId="2" borderId="5"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7" xfId="0" applyFont="1" applyFill="1" applyBorder="1" applyAlignment="1" applyProtection="1">
      <alignment horizontal="center"/>
    </xf>
    <xf numFmtId="0" fontId="11" fillId="2" borderId="4" xfId="0" applyFont="1" applyFill="1" applyBorder="1" applyAlignment="1" applyProtection="1">
      <alignment horizontal="left"/>
    </xf>
    <xf numFmtId="0" fontId="27" fillId="2" borderId="11" xfId="0" applyFont="1" applyFill="1" applyBorder="1" applyProtection="1"/>
    <xf numFmtId="0" fontId="27" fillId="2" borderId="0" xfId="0" applyFont="1" applyFill="1" applyBorder="1" applyAlignment="1" applyProtection="1">
      <alignment horizontal="left"/>
    </xf>
    <xf numFmtId="0" fontId="69" fillId="2" borderId="3" xfId="0" applyFont="1" applyFill="1" applyBorder="1" applyAlignment="1" applyProtection="1">
      <alignment horizontal="center"/>
    </xf>
    <xf numFmtId="0" fontId="11" fillId="2" borderId="1" xfId="0" applyFont="1" applyFill="1" applyBorder="1" applyAlignment="1" applyProtection="1">
      <alignment horizontal="center"/>
    </xf>
    <xf numFmtId="2" fontId="11" fillId="2" borderId="17" xfId="0" applyNumberFormat="1" applyFont="1" applyFill="1" applyBorder="1" applyAlignment="1" applyProtection="1">
      <alignment horizontal="center"/>
    </xf>
    <xf numFmtId="2" fontId="11" fillId="2" borderId="2" xfId="0" applyNumberFormat="1" applyFont="1" applyFill="1" applyBorder="1" applyAlignment="1" applyProtection="1">
      <alignment horizontal="center"/>
    </xf>
    <xf numFmtId="2" fontId="11" fillId="2" borderId="18" xfId="0" applyNumberFormat="1" applyFont="1" applyFill="1" applyBorder="1" applyAlignment="1" applyProtection="1">
      <alignment horizontal="center"/>
    </xf>
    <xf numFmtId="2" fontId="11" fillId="2" borderId="0" xfId="0" applyNumberFormat="1" applyFont="1" applyFill="1" applyBorder="1" applyAlignment="1" applyProtection="1">
      <alignment horizontal="center"/>
    </xf>
    <xf numFmtId="0" fontId="71" fillId="2" borderId="0" xfId="0" applyFont="1" applyFill="1" applyProtection="1"/>
    <xf numFmtId="0" fontId="73" fillId="2" borderId="28" xfId="0" applyFont="1" applyFill="1" applyBorder="1" applyAlignment="1" applyProtection="1">
      <alignment horizontal="center"/>
    </xf>
    <xf numFmtId="2" fontId="27" fillId="3" borderId="28" xfId="0" applyNumberFormat="1" applyFont="1" applyFill="1" applyBorder="1" applyAlignment="1" applyProtection="1">
      <alignment horizontal="center"/>
    </xf>
    <xf numFmtId="0" fontId="27" fillId="2" borderId="28" xfId="0" applyFont="1" applyFill="1" applyBorder="1" applyProtection="1"/>
    <xf numFmtId="0" fontId="69" fillId="2" borderId="0" xfId="0" applyFont="1" applyFill="1" applyBorder="1" applyAlignment="1" applyProtection="1">
      <alignment horizontal="center"/>
    </xf>
    <xf numFmtId="0" fontId="69" fillId="2" borderId="12" xfId="0" applyFont="1" applyFill="1" applyBorder="1" applyAlignment="1" applyProtection="1">
      <alignment horizontal="center"/>
    </xf>
    <xf numFmtId="0" fontId="69" fillId="2" borderId="17" xfId="0" applyFont="1" applyFill="1" applyBorder="1" applyAlignment="1" applyProtection="1">
      <alignment horizontal="center"/>
    </xf>
    <xf numFmtId="0" fontId="18" fillId="2" borderId="3" xfId="0" applyFont="1" applyFill="1" applyBorder="1" applyProtection="1"/>
    <xf numFmtId="164" fontId="21" fillId="2" borderId="0" xfId="0" applyNumberFormat="1" applyFont="1" applyFill="1" applyBorder="1" applyAlignment="1" applyProtection="1">
      <alignment horizontal="center"/>
    </xf>
    <xf numFmtId="0" fontId="21" fillId="2" borderId="1" xfId="0" applyFont="1" applyFill="1" applyBorder="1" applyAlignment="1" applyProtection="1"/>
    <xf numFmtId="0" fontId="18" fillId="2" borderId="4" xfId="0" applyFont="1" applyFill="1" applyBorder="1" applyProtection="1"/>
    <xf numFmtId="0" fontId="21" fillId="2" borderId="10" xfId="0" applyFont="1" applyFill="1" applyBorder="1" applyAlignment="1" applyProtection="1">
      <alignment horizontal="right"/>
    </xf>
    <xf numFmtId="164" fontId="21" fillId="2" borderId="10" xfId="0" applyNumberFormat="1" applyFont="1" applyFill="1" applyBorder="1" applyAlignment="1" applyProtection="1">
      <alignment horizontal="center"/>
    </xf>
    <xf numFmtId="0" fontId="21" fillId="2" borderId="5" xfId="0" applyFont="1" applyFill="1" applyBorder="1" applyAlignment="1" applyProtection="1"/>
    <xf numFmtId="164" fontId="0" fillId="2" borderId="10" xfId="0" applyNumberFormat="1" applyFill="1" applyBorder="1" applyAlignment="1" applyProtection="1">
      <alignment horizontal="center"/>
    </xf>
    <xf numFmtId="0" fontId="0" fillId="0" borderId="5" xfId="0" applyBorder="1" applyAlignment="1">
      <alignment horizontal="center"/>
    </xf>
    <xf numFmtId="0" fontId="24" fillId="2" borderId="39" xfId="0" applyFont="1" applyFill="1" applyBorder="1" applyAlignment="1">
      <alignment horizontal="center"/>
    </xf>
    <xf numFmtId="0" fontId="68" fillId="2" borderId="39" xfId="0" applyFont="1" applyFill="1" applyBorder="1" applyAlignment="1">
      <alignment horizontal="center"/>
    </xf>
    <xf numFmtId="0" fontId="77" fillId="2" borderId="0" xfId="0" applyFont="1" applyFill="1" applyBorder="1"/>
    <xf numFmtId="0" fontId="0" fillId="7" borderId="4" xfId="0" applyFill="1" applyBorder="1"/>
    <xf numFmtId="0" fontId="0" fillId="7" borderId="5" xfId="0" applyFill="1" applyBorder="1"/>
    <xf numFmtId="0" fontId="36" fillId="2" borderId="3" xfId="0" applyFont="1" applyFill="1" applyBorder="1" applyProtection="1"/>
    <xf numFmtId="164" fontId="0" fillId="4" borderId="15"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hidden="1"/>
    </xf>
    <xf numFmtId="0" fontId="4" fillId="2" borderId="10" xfId="0" applyFont="1" applyFill="1" applyBorder="1" applyAlignment="1" applyProtection="1">
      <alignment horizontal="left"/>
    </xf>
    <xf numFmtId="0" fontId="7" fillId="2" borderId="3" xfId="0" applyFont="1" applyFill="1" applyBorder="1" applyProtection="1"/>
    <xf numFmtId="4" fontId="21" fillId="2" borderId="1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0" fontId="56" fillId="2" borderId="0" xfId="0" applyFont="1" applyFill="1" applyBorder="1" applyAlignment="1" applyProtection="1">
      <alignment horizontal="left"/>
    </xf>
    <xf numFmtId="0" fontId="56" fillId="2" borderId="0" xfId="0" applyFont="1" applyFill="1" applyAlignment="1" applyProtection="1">
      <alignment horizontal="left"/>
    </xf>
    <xf numFmtId="0" fontId="78" fillId="2" borderId="0" xfId="0" applyFont="1" applyFill="1"/>
    <xf numFmtId="0" fontId="24" fillId="2" borderId="0" xfId="0" applyFont="1" applyFill="1" applyAlignment="1" applyProtection="1"/>
    <xf numFmtId="172" fontId="0" fillId="2" borderId="0" xfId="0" applyNumberFormat="1" applyFill="1" applyBorder="1" applyAlignment="1" applyProtection="1">
      <alignment horizontal="center"/>
    </xf>
    <xf numFmtId="172" fontId="0" fillId="2" borderId="10" xfId="0" applyNumberFormat="1" applyFill="1" applyBorder="1" applyAlignment="1" applyProtection="1">
      <alignment horizontal="center"/>
    </xf>
    <xf numFmtId="172" fontId="0" fillId="2" borderId="11" xfId="0" applyNumberFormat="1" applyFill="1" applyBorder="1" applyAlignment="1" applyProtection="1">
      <alignment horizontal="center"/>
    </xf>
    <xf numFmtId="4" fontId="0" fillId="2" borderId="0" xfId="0" applyNumberFormat="1" applyFill="1" applyBorder="1" applyAlignment="1" applyProtection="1">
      <alignment horizontal="left"/>
    </xf>
    <xf numFmtId="0" fontId="0" fillId="4" borderId="15" xfId="0" applyFill="1" applyBorder="1" applyAlignment="1" applyProtection="1">
      <alignment horizontal="right"/>
      <protection locked="0"/>
    </xf>
    <xf numFmtId="0" fontId="0" fillId="4" borderId="23" xfId="0" applyFill="1" applyBorder="1" applyAlignment="1" applyProtection="1">
      <alignment horizontal="right"/>
      <protection locked="0"/>
    </xf>
    <xf numFmtId="0" fontId="0" fillId="4" borderId="40" xfId="0" applyFill="1" applyBorder="1" applyAlignment="1" applyProtection="1">
      <alignment horizontal="right"/>
      <protection locked="0"/>
    </xf>
    <xf numFmtId="4" fontId="21" fillId="2" borderId="0" xfId="0" applyNumberFormat="1" applyFont="1" applyFill="1" applyAlignment="1" applyProtection="1">
      <alignment horizontal="center"/>
    </xf>
    <xf numFmtId="0" fontId="32" fillId="2" borderId="0" xfId="0" applyFont="1" applyFill="1" applyBorder="1" applyAlignment="1" applyProtection="1">
      <alignment horizontal="left"/>
    </xf>
    <xf numFmtId="0" fontId="16" fillId="4" borderId="41" xfId="0" applyNumberFormat="1" applyFont="1" applyFill="1" applyBorder="1" applyAlignment="1" applyProtection="1">
      <alignment horizontal="center" vertical="center"/>
      <protection locked="0"/>
    </xf>
    <xf numFmtId="0" fontId="0" fillId="2" borderId="17" xfId="0" applyFill="1" applyBorder="1" applyProtection="1"/>
    <xf numFmtId="0" fontId="0" fillId="5" borderId="3" xfId="0" applyFill="1" applyBorder="1" applyAlignment="1" applyProtection="1">
      <alignment horizontal="center"/>
    </xf>
    <xf numFmtId="0" fontId="0" fillId="5" borderId="1" xfId="0" applyFill="1" applyBorder="1" applyAlignment="1" applyProtection="1">
      <alignment horizontal="center"/>
    </xf>
    <xf numFmtId="1" fontId="0" fillId="5" borderId="3" xfId="0" applyNumberFormat="1" applyFill="1" applyBorder="1" applyAlignment="1" applyProtection="1">
      <alignment horizontal="center"/>
    </xf>
    <xf numFmtId="0" fontId="9" fillId="2" borderId="1" xfId="0" applyFont="1" applyFill="1" applyBorder="1" applyAlignment="1" applyProtection="1">
      <alignment horizontal="center"/>
    </xf>
    <xf numFmtId="0" fontId="0" fillId="5" borderId="42" xfId="0" applyFill="1" applyBorder="1" applyAlignment="1" applyProtection="1">
      <alignment horizontal="center"/>
    </xf>
    <xf numFmtId="0" fontId="0" fillId="5" borderId="43" xfId="0" applyFill="1" applyBorder="1" applyAlignment="1" applyProtection="1">
      <alignment horizontal="center"/>
    </xf>
    <xf numFmtId="0" fontId="0" fillId="2" borderId="42" xfId="0" applyFill="1" applyBorder="1" applyAlignment="1" applyProtection="1">
      <alignment horizontal="center"/>
    </xf>
    <xf numFmtId="0" fontId="0" fillId="2" borderId="43" xfId="0" applyFill="1" applyBorder="1" applyAlignment="1" applyProtection="1">
      <alignment horizontal="center"/>
    </xf>
    <xf numFmtId="0" fontId="60" fillId="2" borderId="0" xfId="0" applyFont="1" applyFill="1" applyAlignment="1" applyProtection="1">
      <alignment horizontal="right"/>
    </xf>
    <xf numFmtId="1" fontId="0" fillId="2" borderId="31" xfId="0" applyNumberFormat="1" applyFill="1" applyBorder="1" applyAlignment="1" applyProtection="1">
      <alignment horizontal="center"/>
    </xf>
    <xf numFmtId="1" fontId="0" fillId="2" borderId="22" xfId="0" applyNumberFormat="1" applyFill="1" applyBorder="1" applyProtection="1"/>
    <xf numFmtId="0" fontId="0" fillId="2" borderId="32" xfId="0" applyFill="1" applyBorder="1" applyProtection="1"/>
    <xf numFmtId="0" fontId="31" fillId="2" borderId="2" xfId="0" applyFont="1" applyFill="1" applyBorder="1" applyAlignment="1" applyProtection="1">
      <alignment horizontal="left"/>
    </xf>
    <xf numFmtId="0" fontId="10" fillId="2" borderId="11" xfId="0" applyFont="1" applyFill="1" applyBorder="1" applyAlignment="1" applyProtection="1">
      <alignment horizontal="left"/>
    </xf>
    <xf numFmtId="0" fontId="31" fillId="2" borderId="11" xfId="0" applyFont="1" applyFill="1" applyBorder="1" applyAlignment="1" applyProtection="1">
      <alignment horizontal="left"/>
    </xf>
    <xf numFmtId="0" fontId="10" fillId="2" borderId="12" xfId="0" applyFont="1" applyFill="1" applyBorder="1" applyAlignment="1" applyProtection="1">
      <alignment horizontal="left"/>
    </xf>
    <xf numFmtId="0" fontId="80" fillId="2" borderId="3" xfId="0" applyFont="1" applyFill="1" applyBorder="1" applyAlignment="1" applyProtection="1">
      <alignment horizontal="left"/>
    </xf>
    <xf numFmtId="0" fontId="80"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5" xfId="0" applyFont="1" applyFill="1" applyBorder="1" applyAlignment="1" applyProtection="1">
      <alignment horizontal="center"/>
    </xf>
    <xf numFmtId="0" fontId="31" fillId="2" borderId="2" xfId="0" applyFont="1" applyFill="1" applyBorder="1" applyProtection="1"/>
    <xf numFmtId="0" fontId="31" fillId="2" borderId="12" xfId="0" applyFont="1" applyFill="1" applyBorder="1" applyAlignment="1" applyProtection="1">
      <alignment horizontal="right"/>
    </xf>
    <xf numFmtId="0" fontId="10" fillId="2" borderId="3" xfId="0" applyFont="1" applyFill="1" applyBorder="1"/>
    <xf numFmtId="0" fontId="0" fillId="4" borderId="15" xfId="0" applyNumberFormat="1" applyFill="1" applyBorder="1" applyAlignment="1" applyProtection="1">
      <alignment horizontal="left"/>
      <protection locked="0"/>
    </xf>
    <xf numFmtId="0" fontId="18" fillId="5" borderId="15" xfId="0" applyFont="1" applyFill="1" applyBorder="1" applyAlignment="1" applyProtection="1">
      <alignment horizontal="center"/>
      <protection locked="0"/>
    </xf>
    <xf numFmtId="0" fontId="16" fillId="7" borderId="0" xfId="0" applyFont="1" applyFill="1" applyAlignment="1" applyProtection="1">
      <alignment horizontal="left"/>
    </xf>
    <xf numFmtId="0" fontId="16" fillId="7" borderId="2" xfId="0" applyFont="1" applyFill="1" applyBorder="1" applyAlignment="1" applyProtection="1">
      <alignment horizontal="left"/>
    </xf>
    <xf numFmtId="0" fontId="16" fillId="7" borderId="11" xfId="0" applyFont="1" applyFill="1" applyBorder="1" applyAlignment="1" applyProtection="1">
      <alignment horizontal="left"/>
    </xf>
    <xf numFmtId="0" fontId="16" fillId="7" borderId="11" xfId="0" applyFont="1" applyFill="1" applyBorder="1" applyProtection="1"/>
    <xf numFmtId="0" fontId="16" fillId="7" borderId="12" xfId="0" applyFont="1" applyFill="1" applyBorder="1" applyProtection="1"/>
    <xf numFmtId="0" fontId="16" fillId="7" borderId="0" xfId="0" applyFont="1" applyFill="1" applyProtection="1"/>
    <xf numFmtId="0" fontId="16" fillId="7" borderId="3" xfId="0" applyFont="1" applyFill="1" applyBorder="1" applyAlignment="1" applyProtection="1">
      <alignment horizontal="left"/>
    </xf>
    <xf numFmtId="0" fontId="16" fillId="7" borderId="0" xfId="0" applyFont="1" applyFill="1" applyBorder="1" applyAlignment="1" applyProtection="1">
      <alignment horizontal="left"/>
    </xf>
    <xf numFmtId="0" fontId="16" fillId="7" borderId="0" xfId="0" applyFont="1" applyFill="1" applyBorder="1" applyProtection="1"/>
    <xf numFmtId="0" fontId="16" fillId="7" borderId="1" xfId="0" applyFont="1" applyFill="1" applyBorder="1" applyProtection="1"/>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10" xfId="0" applyFont="1" applyFill="1" applyBorder="1" applyProtection="1"/>
    <xf numFmtId="0" fontId="16" fillId="7" borderId="5" xfId="0" applyFont="1" applyFill="1" applyBorder="1" applyAlignment="1" applyProtection="1">
      <alignment horizontal="right"/>
    </xf>
    <xf numFmtId="0" fontId="18" fillId="7" borderId="3" xfId="0" applyFont="1" applyFill="1" applyBorder="1" applyAlignment="1" applyProtection="1">
      <alignment horizontal="left"/>
    </xf>
    <xf numFmtId="4" fontId="18" fillId="7" borderId="0" xfId="0" applyNumberFormat="1" applyFont="1" applyFill="1" applyBorder="1" applyAlignment="1" applyProtection="1">
      <alignment horizontal="left"/>
    </xf>
    <xf numFmtId="4" fontId="16" fillId="7" borderId="0" xfId="0" applyNumberFormat="1" applyFont="1" applyFill="1" applyBorder="1" applyAlignment="1" applyProtection="1">
      <alignment horizontal="left"/>
    </xf>
    <xf numFmtId="0" fontId="16" fillId="7" borderId="0" xfId="0" applyFont="1" applyFill="1" applyBorder="1" applyAlignment="1" applyProtection="1">
      <alignment horizontal="right"/>
    </xf>
    <xf numFmtId="0" fontId="16" fillId="7" borderId="5" xfId="0" applyFont="1" applyFill="1" applyBorder="1" applyProtection="1"/>
    <xf numFmtId="0" fontId="16" fillId="7" borderId="0" xfId="0" applyFont="1" applyFill="1" applyBorder="1" applyAlignment="1" applyProtection="1"/>
    <xf numFmtId="49" fontId="16" fillId="7" borderId="0" xfId="0" applyNumberFormat="1" applyFont="1" applyFill="1" applyBorder="1" applyAlignment="1" applyProtection="1">
      <alignment horizontal="left"/>
    </xf>
    <xf numFmtId="0" fontId="16" fillId="7" borderId="17" xfId="0" applyFont="1" applyFill="1" applyBorder="1" applyProtection="1"/>
    <xf numFmtId="0" fontId="16" fillId="7" borderId="18" xfId="0" applyFont="1" applyFill="1" applyBorder="1" applyProtection="1"/>
    <xf numFmtId="0" fontId="9" fillId="7" borderId="0" xfId="0" applyFont="1" applyFill="1" applyProtection="1"/>
    <xf numFmtId="0" fontId="16" fillId="7" borderId="6" xfId="0" applyFont="1" applyFill="1" applyBorder="1" applyProtection="1"/>
    <xf numFmtId="0" fontId="16" fillId="7" borderId="0" xfId="0" applyFont="1" applyFill="1" applyAlignment="1" applyProtection="1">
      <alignment horizontal="center"/>
    </xf>
    <xf numFmtId="0" fontId="18" fillId="7" borderId="0" xfId="0" applyFont="1" applyFill="1" applyProtection="1"/>
    <xf numFmtId="0" fontId="16" fillId="7" borderId="0" xfId="0" applyFont="1" applyFill="1" applyBorder="1" applyAlignment="1" applyProtection="1">
      <alignment horizontal="center"/>
    </xf>
    <xf numFmtId="0" fontId="16" fillId="7" borderId="2" xfId="0" applyFont="1" applyFill="1" applyBorder="1" applyProtection="1"/>
    <xf numFmtId="0" fontId="16" fillId="7" borderId="11" xfId="0" applyFont="1" applyFill="1" applyBorder="1" applyAlignment="1" applyProtection="1">
      <alignment horizontal="center"/>
    </xf>
    <xf numFmtId="0" fontId="16" fillId="7" borderId="3" xfId="0" applyFont="1" applyFill="1" applyBorder="1" applyAlignment="1" applyProtection="1">
      <alignment horizontal="center"/>
    </xf>
    <xf numFmtId="0" fontId="16" fillId="7" borderId="4" xfId="0" applyFont="1" applyFill="1" applyBorder="1" applyAlignment="1" applyProtection="1">
      <alignment horizontal="center"/>
    </xf>
    <xf numFmtId="2" fontId="16" fillId="7" borderId="10" xfId="0" applyNumberFormat="1" applyFont="1" applyFill="1" applyBorder="1" applyAlignment="1" applyProtection="1">
      <alignment horizontal="center"/>
    </xf>
    <xf numFmtId="0" fontId="18" fillId="7" borderId="2" xfId="0" applyFont="1" applyFill="1" applyBorder="1" applyProtection="1"/>
    <xf numFmtId="4" fontId="16" fillId="7" borderId="11" xfId="0" applyNumberFormat="1" applyFont="1" applyFill="1" applyBorder="1" applyProtection="1"/>
    <xf numFmtId="0" fontId="16" fillId="7" borderId="12" xfId="0" applyFont="1" applyFill="1" applyBorder="1" applyAlignment="1" applyProtection="1">
      <alignment horizontal="right"/>
    </xf>
    <xf numFmtId="169" fontId="16" fillId="7" borderId="4" xfId="0" applyNumberFormat="1" applyFont="1" applyFill="1" applyBorder="1" applyAlignment="1" applyProtection="1">
      <alignment horizontal="left"/>
    </xf>
    <xf numFmtId="171" fontId="16" fillId="7" borderId="10" xfId="0" applyNumberFormat="1" applyFont="1" applyFill="1" applyBorder="1" applyAlignment="1" applyProtection="1">
      <alignment horizontal="left"/>
    </xf>
    <xf numFmtId="170" fontId="16" fillId="7" borderId="0" xfId="0" applyNumberFormat="1" applyFont="1" applyFill="1" applyBorder="1" applyAlignment="1" applyProtection="1">
      <alignment horizontal="left"/>
    </xf>
    <xf numFmtId="171" fontId="16" fillId="7" borderId="0" xfId="0" applyNumberFormat="1" applyFont="1" applyFill="1" applyBorder="1" applyAlignment="1" applyProtection="1">
      <alignment horizontal="left"/>
    </xf>
    <xf numFmtId="1" fontId="16" fillId="7" borderId="0" xfId="0" applyNumberFormat="1" applyFont="1" applyFill="1" applyProtection="1"/>
    <xf numFmtId="0" fontId="16" fillId="7" borderId="3" xfId="0" applyFont="1" applyFill="1" applyBorder="1" applyProtection="1"/>
    <xf numFmtId="0" fontId="16" fillId="7" borderId="7" xfId="0" applyFont="1" applyFill="1" applyBorder="1" applyProtection="1"/>
    <xf numFmtId="0" fontId="0" fillId="7" borderId="0" xfId="0" applyFill="1" applyProtection="1"/>
    <xf numFmtId="165" fontId="1" fillId="7" borderId="0" xfId="0" applyNumberFormat="1" applyFont="1" applyFill="1" applyProtection="1"/>
    <xf numFmtId="164" fontId="0" fillId="7" borderId="0" xfId="0" applyNumberFormat="1" applyFill="1" applyProtection="1"/>
    <xf numFmtId="1" fontId="0" fillId="7" borderId="0" xfId="0" applyNumberFormat="1" applyFill="1" applyAlignment="1" applyProtection="1">
      <alignment horizontal="right"/>
    </xf>
    <xf numFmtId="165" fontId="0" fillId="7" borderId="0" xfId="0" applyNumberFormat="1" applyFill="1" applyProtection="1"/>
    <xf numFmtId="0" fontId="0" fillId="7" borderId="0" xfId="0" applyFill="1" applyBorder="1" applyAlignment="1" applyProtection="1">
      <alignment horizontal="left"/>
    </xf>
    <xf numFmtId="171" fontId="10" fillId="7" borderId="0" xfId="0" applyNumberFormat="1" applyFont="1" applyFill="1" applyBorder="1" applyAlignment="1" applyProtection="1">
      <alignment horizontal="left"/>
    </xf>
    <xf numFmtId="22" fontId="0" fillId="7" borderId="0" xfId="0" applyNumberFormat="1" applyFill="1" applyBorder="1" applyProtection="1"/>
    <xf numFmtId="168" fontId="0" fillId="7" borderId="0" xfId="0" applyNumberFormat="1" applyFill="1" applyBorder="1" applyProtection="1"/>
    <xf numFmtId="0" fontId="0" fillId="7" borderId="0" xfId="0" applyFill="1" applyBorder="1" applyProtection="1"/>
    <xf numFmtId="0" fontId="0" fillId="7" borderId="0" xfId="0" applyFill="1" applyBorder="1" applyAlignment="1" applyProtection="1">
      <alignment horizontal="right"/>
    </xf>
    <xf numFmtId="1" fontId="0" fillId="7" borderId="0" xfId="0" applyNumberFormat="1" applyFill="1" applyBorder="1" applyProtection="1"/>
    <xf numFmtId="0" fontId="8" fillId="7" borderId="13" xfId="0" applyFont="1" applyFill="1" applyBorder="1" applyProtection="1"/>
    <xf numFmtId="0" fontId="8" fillId="7" borderId="13" xfId="0" applyFont="1" applyFill="1" applyBorder="1" applyAlignment="1" applyProtection="1">
      <alignment horizontal="center"/>
    </xf>
    <xf numFmtId="0" fontId="8" fillId="7" borderId="13" xfId="0" applyFont="1" applyFill="1" applyBorder="1" applyAlignment="1" applyProtection="1">
      <alignment horizontal="left"/>
    </xf>
    <xf numFmtId="0" fontId="14" fillId="7" borderId="13" xfId="0" applyFont="1" applyFill="1" applyBorder="1" applyProtection="1"/>
    <xf numFmtId="0" fontId="14" fillId="7" borderId="13" xfId="0" applyFont="1" applyFill="1" applyBorder="1" applyAlignment="1" applyProtection="1">
      <alignment horizontal="center"/>
    </xf>
    <xf numFmtId="0" fontId="14" fillId="7" borderId="13" xfId="0" applyFont="1" applyFill="1" applyBorder="1" applyAlignment="1" applyProtection="1">
      <alignment horizontal="right"/>
    </xf>
    <xf numFmtId="0" fontId="11" fillId="7" borderId="13" xfId="0" applyFont="1" applyFill="1" applyBorder="1" applyProtection="1"/>
    <xf numFmtId="0" fontId="0" fillId="7" borderId="13" xfId="0" applyFill="1" applyBorder="1" applyProtection="1"/>
    <xf numFmtId="0" fontId="4" fillId="7" borderId="13" xfId="0" applyFont="1" applyFill="1" applyBorder="1" applyAlignment="1" applyProtection="1">
      <alignment horizontal="right"/>
    </xf>
    <xf numFmtId="0" fontId="4" fillId="7" borderId="0" xfId="0" applyFont="1" applyFill="1" applyProtection="1"/>
    <xf numFmtId="0" fontId="1" fillId="7" borderId="0" xfId="0" applyFont="1" applyFill="1" applyProtection="1"/>
    <xf numFmtId="0" fontId="1" fillId="7" borderId="0" xfId="0" applyFont="1" applyFill="1" applyAlignment="1" applyProtection="1">
      <alignment horizontal="center"/>
    </xf>
    <xf numFmtId="0" fontId="1" fillId="7" borderId="1" xfId="0" applyFont="1" applyFill="1" applyBorder="1" applyAlignment="1" applyProtection="1">
      <alignment horizontal="center"/>
    </xf>
    <xf numFmtId="0" fontId="1" fillId="7" borderId="10" xfId="0" applyFont="1" applyFill="1" applyBorder="1" applyAlignment="1" applyProtection="1">
      <alignment horizontal="center"/>
    </xf>
    <xf numFmtId="0" fontId="1" fillId="7" borderId="5" xfId="0" applyFont="1" applyFill="1" applyBorder="1" applyAlignment="1" applyProtection="1">
      <alignment horizontal="center"/>
    </xf>
    <xf numFmtId="0" fontId="0" fillId="7" borderId="0" xfId="0" applyFill="1" applyAlignment="1" applyProtection="1">
      <alignment horizontal="center"/>
    </xf>
    <xf numFmtId="0" fontId="0" fillId="7" borderId="0" xfId="0" applyFill="1" applyBorder="1" applyAlignment="1" applyProtection="1">
      <alignment horizontal="center"/>
    </xf>
    <xf numFmtId="0" fontId="0" fillId="7" borderId="1" xfId="0" applyFill="1" applyBorder="1" applyAlignment="1" applyProtection="1">
      <alignment horizontal="center"/>
    </xf>
    <xf numFmtId="0" fontId="1" fillId="7" borderId="0" xfId="0" applyFont="1" applyFill="1" applyBorder="1" applyAlignment="1" applyProtection="1">
      <alignment horizontal="center"/>
    </xf>
    <xf numFmtId="0" fontId="0" fillId="7" borderId="0" xfId="0" applyFill="1" applyAlignment="1" applyProtection="1">
      <alignment horizontal="right"/>
    </xf>
    <xf numFmtId="1" fontId="0" fillId="7" borderId="0" xfId="0" applyNumberFormat="1" applyFill="1" applyAlignment="1" applyProtection="1">
      <alignment horizontal="center"/>
    </xf>
    <xf numFmtId="0" fontId="0" fillId="7" borderId="1" xfId="0" applyFill="1" applyBorder="1" applyProtection="1"/>
    <xf numFmtId="3" fontId="1" fillId="7" borderId="0" xfId="0" applyNumberFormat="1" applyFont="1" applyFill="1" applyAlignment="1" applyProtection="1">
      <alignment horizontal="center"/>
    </xf>
    <xf numFmtId="0" fontId="9" fillId="7" borderId="0" xfId="0" applyFont="1" applyFill="1" applyAlignment="1" applyProtection="1">
      <alignment horizontal="left"/>
    </xf>
    <xf numFmtId="165" fontId="0" fillId="7" borderId="0" xfId="0" applyNumberFormat="1" applyFill="1" applyAlignment="1" applyProtection="1">
      <alignment horizontal="center"/>
    </xf>
    <xf numFmtId="165" fontId="0" fillId="7" borderId="1" xfId="0" applyNumberFormat="1" applyFill="1" applyBorder="1" applyAlignment="1" applyProtection="1">
      <alignment horizontal="center"/>
    </xf>
    <xf numFmtId="164" fontId="0" fillId="7" borderId="0" xfId="0" applyNumberFormat="1" applyFill="1" applyAlignment="1" applyProtection="1">
      <alignment horizontal="center"/>
    </xf>
    <xf numFmtId="164" fontId="0" fillId="7" borderId="1" xfId="0" applyNumberFormat="1" applyFill="1" applyBorder="1" applyAlignment="1" applyProtection="1">
      <alignment horizontal="center"/>
    </xf>
    <xf numFmtId="165" fontId="0" fillId="7" borderId="1" xfId="0" applyNumberFormat="1" applyFill="1" applyBorder="1" applyProtection="1"/>
    <xf numFmtId="3" fontId="1" fillId="7" borderId="0" xfId="0" applyNumberFormat="1" applyFont="1" applyFill="1" applyProtection="1"/>
    <xf numFmtId="164" fontId="0" fillId="7" borderId="0" xfId="0" applyNumberFormat="1" applyFill="1" applyAlignment="1" applyProtection="1"/>
    <xf numFmtId="164" fontId="0" fillId="7" borderId="0" xfId="0" applyNumberFormat="1" applyFill="1" applyAlignment="1" applyProtection="1">
      <alignment horizontal="center"/>
      <protection locked="0"/>
    </xf>
    <xf numFmtId="164" fontId="0" fillId="7" borderId="0" xfId="0" applyNumberFormat="1" applyFill="1" applyAlignment="1" applyProtection="1">
      <alignment horizontal="left"/>
      <protection locked="0"/>
    </xf>
    <xf numFmtId="164" fontId="0" fillId="7" borderId="1" xfId="0" applyNumberFormat="1" applyFill="1" applyBorder="1" applyAlignment="1" applyProtection="1">
      <alignment horizontal="center"/>
      <protection locked="0"/>
    </xf>
    <xf numFmtId="3" fontId="9" fillId="7" borderId="0" xfId="0" applyNumberFormat="1" applyFont="1" applyFill="1" applyAlignment="1" applyProtection="1">
      <alignment horizontal="center"/>
    </xf>
    <xf numFmtId="0" fontId="1" fillId="7" borderId="0" xfId="0" applyFont="1" applyFill="1" applyAlignment="1" applyProtection="1">
      <alignment horizontal="left"/>
    </xf>
    <xf numFmtId="0" fontId="0" fillId="7" borderId="0" xfId="0" applyFill="1" applyAlignment="1" applyProtection="1">
      <alignment horizontal="left"/>
    </xf>
    <xf numFmtId="0" fontId="0" fillId="7" borderId="0" xfId="0" quotePrefix="1" applyFill="1" applyAlignment="1" applyProtection="1">
      <alignment horizontal="left"/>
    </xf>
    <xf numFmtId="2" fontId="0" fillId="7" borderId="0" xfId="0" applyNumberFormat="1" applyFill="1" applyProtection="1"/>
    <xf numFmtId="0" fontId="11" fillId="7" borderId="0" xfId="0" applyFont="1" applyFill="1" applyAlignment="1" applyProtection="1">
      <alignment horizontal="right"/>
    </xf>
    <xf numFmtId="0" fontId="11" fillId="7" borderId="0" xfId="0" applyFont="1" applyFill="1" applyAlignment="1" applyProtection="1">
      <alignment horizontal="left"/>
    </xf>
    <xf numFmtId="4" fontId="0" fillId="7" borderId="0" xfId="0" applyNumberFormat="1" applyFill="1" applyAlignment="1" applyProtection="1">
      <alignment horizontal="center"/>
    </xf>
    <xf numFmtId="4" fontId="0" fillId="7" borderId="1" xfId="0" applyNumberFormat="1" applyFill="1" applyBorder="1" applyAlignment="1" applyProtection="1">
      <alignment horizontal="center"/>
    </xf>
    <xf numFmtId="4" fontId="9" fillId="7" borderId="0" xfId="0" applyNumberFormat="1" applyFont="1" applyFill="1" applyAlignment="1" applyProtection="1">
      <alignment horizontal="center"/>
    </xf>
    <xf numFmtId="1" fontId="0" fillId="7" borderId="0" xfId="0" applyNumberFormat="1" applyFill="1" applyProtection="1"/>
    <xf numFmtId="3" fontId="0" fillId="7" borderId="0" xfId="0" applyNumberFormat="1" applyFill="1" applyProtection="1"/>
    <xf numFmtId="3" fontId="9" fillId="7" borderId="13" xfId="0" applyNumberFormat="1" applyFont="1" applyFill="1" applyBorder="1" applyAlignment="1" applyProtection="1">
      <alignment horizontal="center"/>
    </xf>
    <xf numFmtId="0" fontId="11" fillId="7" borderId="0" xfId="0" applyFont="1" applyFill="1" applyProtection="1"/>
    <xf numFmtId="3" fontId="11" fillId="7" borderId="0" xfId="0" applyNumberFormat="1" applyFont="1" applyFill="1" applyProtection="1"/>
    <xf numFmtId="0" fontId="11" fillId="7" borderId="0" xfId="0" applyFont="1" applyFill="1" applyBorder="1" applyProtection="1"/>
    <xf numFmtId="0" fontId="10" fillId="7" borderId="0" xfId="0" applyFont="1" applyFill="1" applyProtection="1"/>
    <xf numFmtId="0" fontId="10" fillId="7" borderId="0" xfId="0" applyFont="1" applyFill="1" applyAlignment="1" applyProtection="1">
      <alignment horizontal="right"/>
    </xf>
    <xf numFmtId="165" fontId="10" fillId="7" borderId="0" xfId="0" applyNumberFormat="1" applyFont="1" applyFill="1" applyAlignment="1" applyProtection="1">
      <alignment horizontal="center"/>
    </xf>
    <xf numFmtId="4" fontId="10" fillId="7" borderId="0" xfId="0" applyNumberFormat="1" applyFont="1" applyFill="1" applyAlignment="1" applyProtection="1">
      <alignment horizontal="center"/>
    </xf>
    <xf numFmtId="164" fontId="10" fillId="7" borderId="0" xfId="0" applyNumberFormat="1" applyFont="1" applyFill="1" applyAlignment="1" applyProtection="1">
      <alignment horizontal="center"/>
    </xf>
    <xf numFmtId="0" fontId="13" fillId="7" borderId="0" xfId="0" applyFont="1" applyFill="1" applyProtection="1"/>
    <xf numFmtId="0" fontId="0" fillId="7" borderId="10" xfId="0" applyFill="1" applyBorder="1" applyProtection="1"/>
    <xf numFmtId="0" fontId="21" fillId="7" borderId="10" xfId="0" applyFont="1" applyFill="1" applyBorder="1" applyProtection="1">
      <protection hidden="1"/>
    </xf>
    <xf numFmtId="0" fontId="6" fillId="7" borderId="0" xfId="0" applyFont="1" applyFill="1" applyAlignment="1" applyProtection="1">
      <alignment horizontal="right"/>
    </xf>
    <xf numFmtId="0" fontId="16" fillId="7" borderId="0" xfId="0" applyFont="1" applyFill="1" applyAlignment="1" applyProtection="1"/>
    <xf numFmtId="0" fontId="21" fillId="7" borderId="0" xfId="0" applyFont="1" applyFill="1" applyProtection="1">
      <protection hidden="1"/>
    </xf>
    <xf numFmtId="0" fontId="10" fillId="7" borderId="0" xfId="0" applyFont="1" applyFill="1" applyAlignment="1" applyProtection="1">
      <alignment horizontal="center"/>
    </xf>
    <xf numFmtId="164" fontId="1" fillId="7" borderId="0" xfId="0" applyNumberFormat="1" applyFont="1" applyFill="1" applyAlignment="1" applyProtection="1">
      <alignment horizontal="center"/>
    </xf>
    <xf numFmtId="0" fontId="27" fillId="7" borderId="0" xfId="0" applyFont="1" applyFill="1" applyProtection="1"/>
    <xf numFmtId="0" fontId="81" fillId="7" borderId="0" xfId="0" applyFont="1" applyFill="1" applyProtection="1"/>
    <xf numFmtId="0" fontId="81" fillId="7" borderId="0" xfId="0" applyFont="1" applyFill="1" applyBorder="1" applyProtection="1"/>
    <xf numFmtId="3" fontId="81" fillId="7" borderId="0" xfId="0" applyNumberFormat="1" applyFont="1" applyFill="1" applyProtection="1"/>
    <xf numFmtId="0" fontId="81" fillId="7" borderId="0" xfId="0" applyFont="1" applyFill="1" applyAlignment="1" applyProtection="1">
      <alignment horizontal="right"/>
    </xf>
    <xf numFmtId="165" fontId="81" fillId="7" borderId="0" xfId="0" applyNumberFormat="1" applyFont="1" applyFill="1" applyAlignment="1" applyProtection="1">
      <alignment horizontal="center"/>
    </xf>
    <xf numFmtId="3" fontId="82" fillId="7" borderId="0" xfId="0" applyNumberFormat="1" applyFont="1" applyFill="1" applyAlignment="1" applyProtection="1">
      <alignment horizontal="center"/>
    </xf>
    <xf numFmtId="4" fontId="81" fillId="7" borderId="0" xfId="0" applyNumberFormat="1" applyFont="1" applyFill="1" applyAlignment="1" applyProtection="1">
      <alignment horizontal="center"/>
    </xf>
    <xf numFmtId="0" fontId="81" fillId="7" borderId="0" xfId="0" applyFont="1" applyFill="1" applyAlignment="1" applyProtection="1">
      <alignment horizontal="center"/>
    </xf>
    <xf numFmtId="0" fontId="82" fillId="7" borderId="0" xfId="0" applyFont="1" applyFill="1" applyProtection="1"/>
    <xf numFmtId="165" fontId="27" fillId="2" borderId="16" xfId="0" applyNumberFormat="1" applyFont="1" applyFill="1" applyBorder="1" applyProtection="1"/>
    <xf numFmtId="0" fontId="11" fillId="4" borderId="10" xfId="0" applyFont="1" applyFill="1" applyBorder="1" applyAlignment="1" applyProtection="1">
      <alignment horizontal="right"/>
      <protection locked="0"/>
    </xf>
    <xf numFmtId="3" fontId="1" fillId="7" borderId="3" xfId="0" applyNumberFormat="1" applyFont="1" applyFill="1" applyBorder="1" applyAlignment="1" applyProtection="1">
      <alignment horizontal="center"/>
    </xf>
    <xf numFmtId="3" fontId="9" fillId="7" borderId="20" xfId="0" applyNumberFormat="1" applyFont="1" applyFill="1" applyBorder="1" applyAlignment="1" applyProtection="1">
      <alignment horizontal="center"/>
    </xf>
    <xf numFmtId="0" fontId="0" fillId="2" borderId="31" xfId="0" applyFill="1" applyBorder="1" applyAlignment="1" applyProtection="1">
      <alignment horizontal="center"/>
      <protection hidden="1"/>
    </xf>
    <xf numFmtId="0" fontId="83" fillId="2" borderId="0" xfId="0" applyFont="1" applyFill="1" applyBorder="1"/>
    <xf numFmtId="164" fontId="0" fillId="2" borderId="0" xfId="0" applyNumberFormat="1" applyFill="1" applyBorder="1" applyAlignment="1" applyProtection="1">
      <alignment horizontal="center"/>
      <protection locked="0" hidden="1"/>
    </xf>
    <xf numFmtId="0" fontId="9" fillId="0" borderId="0" xfId="0" applyFont="1" applyAlignment="1">
      <alignment horizontal="left"/>
    </xf>
    <xf numFmtId="4" fontId="0" fillId="0" borderId="0" xfId="0" applyNumberFormat="1" applyAlignment="1">
      <alignment horizontal="left"/>
    </xf>
    <xf numFmtId="49" fontId="0" fillId="0" borderId="0" xfId="0" applyNumberFormat="1" applyAlignment="1">
      <alignment horizontal="left"/>
    </xf>
    <xf numFmtId="0" fontId="10" fillId="0" borderId="0" xfId="0" applyFont="1" applyAlignment="1">
      <alignment horizontal="left"/>
    </xf>
    <xf numFmtId="4" fontId="10" fillId="0" borderId="0" xfId="0" applyNumberFormat="1" applyFont="1" applyAlignment="1">
      <alignment horizontal="left"/>
    </xf>
    <xf numFmtId="2" fontId="0" fillId="0" borderId="0" xfId="0" applyNumberFormat="1" applyAlignment="1">
      <alignment horizontal="left"/>
    </xf>
    <xf numFmtId="2" fontId="10" fillId="0" borderId="0" xfId="0" applyNumberFormat="1" applyFont="1" applyAlignment="1">
      <alignment horizontal="left"/>
    </xf>
    <xf numFmtId="4" fontId="9" fillId="0" borderId="0" xfId="0" applyNumberFormat="1" applyFont="1" applyAlignment="1">
      <alignment horizontal="left"/>
    </xf>
    <xf numFmtId="0" fontId="18" fillId="7" borderId="2" xfId="0" applyFont="1" applyFill="1" applyBorder="1" applyAlignment="1" applyProtection="1">
      <alignment horizontal="left"/>
    </xf>
    <xf numFmtId="0" fontId="16" fillId="7" borderId="0" xfId="0" applyFont="1" applyFill="1" applyAlignment="1" applyProtection="1">
      <alignment vertical="center"/>
    </xf>
    <xf numFmtId="0" fontId="16" fillId="7" borderId="0" xfId="0" applyFont="1" applyFill="1" applyAlignment="1" applyProtection="1">
      <alignment horizontal="right" vertical="center"/>
    </xf>
    <xf numFmtId="0" fontId="21" fillId="7" borderId="0" xfId="0" applyFont="1" applyFill="1" applyProtection="1"/>
    <xf numFmtId="0" fontId="7" fillId="7" borderId="0" xfId="0" applyFont="1" applyFill="1" applyAlignment="1" applyProtection="1">
      <alignment vertical="center"/>
    </xf>
    <xf numFmtId="4" fontId="16" fillId="7" borderId="2" xfId="0" applyNumberFormat="1" applyFont="1" applyFill="1" applyBorder="1" applyAlignment="1" applyProtection="1">
      <alignment vertical="center"/>
    </xf>
    <xf numFmtId="0" fontId="16" fillId="7" borderId="11" xfId="0" applyFont="1" applyFill="1" applyBorder="1" applyAlignment="1" applyProtection="1">
      <alignment vertical="center"/>
    </xf>
    <xf numFmtId="0" fontId="16" fillId="7" borderId="12" xfId="0" applyFont="1" applyFill="1" applyBorder="1" applyAlignment="1" applyProtection="1">
      <alignment vertical="center"/>
    </xf>
    <xf numFmtId="0" fontId="21" fillId="7" borderId="17" xfId="0" applyFont="1" applyFill="1" applyBorder="1" applyProtection="1">
      <protection locked="0"/>
    </xf>
    <xf numFmtId="0" fontId="16" fillId="7" borderId="3" xfId="0" applyFont="1" applyFill="1" applyBorder="1" applyAlignment="1" applyProtection="1">
      <alignment vertical="center"/>
    </xf>
    <xf numFmtId="0" fontId="16" fillId="7" borderId="0" xfId="0" applyFont="1" applyFill="1" applyBorder="1" applyAlignment="1" applyProtection="1">
      <alignment vertical="center"/>
    </xf>
    <xf numFmtId="0" fontId="16" fillId="7" borderId="1" xfId="0" applyFont="1" applyFill="1" applyBorder="1" applyAlignment="1" applyProtection="1">
      <alignment vertical="center"/>
    </xf>
    <xf numFmtId="0" fontId="21" fillId="7" borderId="18" xfId="0" applyFont="1" applyFill="1" applyBorder="1" applyProtection="1">
      <protection locked="0"/>
    </xf>
    <xf numFmtId="0" fontId="16" fillId="7" borderId="4" xfId="0" applyFont="1" applyFill="1" applyBorder="1" applyAlignment="1" applyProtection="1">
      <alignment vertical="center"/>
    </xf>
    <xf numFmtId="0" fontId="16" fillId="7" borderId="10" xfId="0" applyFont="1" applyFill="1" applyBorder="1" applyAlignment="1" applyProtection="1">
      <alignment vertical="center"/>
    </xf>
    <xf numFmtId="0" fontId="16" fillId="7" borderId="5" xfId="0" applyFont="1" applyFill="1" applyBorder="1" applyAlignment="1" applyProtection="1">
      <alignment vertical="center"/>
    </xf>
    <xf numFmtId="0" fontId="21" fillId="7" borderId="6" xfId="0" applyFont="1" applyFill="1" applyBorder="1" applyProtection="1">
      <protection locked="0"/>
    </xf>
    <xf numFmtId="0" fontId="7" fillId="7" borderId="2" xfId="0" applyFont="1" applyFill="1" applyBorder="1" applyAlignment="1" applyProtection="1">
      <alignment vertical="center"/>
    </xf>
    <xf numFmtId="0" fontId="16" fillId="7" borderId="11" xfId="0" applyFont="1" applyFill="1" applyBorder="1" applyAlignment="1" applyProtection="1">
      <alignment horizontal="right" vertical="center"/>
    </xf>
    <xf numFmtId="0" fontId="21" fillId="7" borderId="17" xfId="0" applyFont="1" applyFill="1" applyBorder="1" applyProtection="1"/>
    <xf numFmtId="0" fontId="21" fillId="7" borderId="18" xfId="0" applyFont="1" applyFill="1" applyBorder="1" applyProtection="1"/>
    <xf numFmtId="0" fontId="16" fillId="7" borderId="44" xfId="0" applyFont="1" applyFill="1" applyBorder="1" applyAlignment="1" applyProtection="1">
      <alignment vertical="center"/>
    </xf>
    <xf numFmtId="0" fontId="16" fillId="7" borderId="29" xfId="0" applyFont="1" applyFill="1" applyBorder="1" applyAlignment="1" applyProtection="1">
      <alignment vertical="center"/>
    </xf>
    <xf numFmtId="0" fontId="18" fillId="7" borderId="41" xfId="0" applyFont="1" applyFill="1" applyBorder="1" applyAlignment="1" applyProtection="1">
      <alignment horizontal="center" vertical="center"/>
    </xf>
    <xf numFmtId="0" fontId="18" fillId="7" borderId="29" xfId="0" applyFont="1" applyFill="1" applyBorder="1" applyAlignment="1" applyProtection="1">
      <alignment vertical="center"/>
    </xf>
    <xf numFmtId="0" fontId="18" fillId="7" borderId="45" xfId="0" applyFont="1" applyFill="1" applyBorder="1" applyAlignment="1" applyProtection="1">
      <alignment horizontal="center" vertical="center"/>
    </xf>
    <xf numFmtId="0" fontId="21" fillId="7" borderId="6" xfId="0" applyFont="1" applyFill="1" applyBorder="1" applyProtection="1"/>
    <xf numFmtId="0" fontId="16" fillId="7" borderId="46" xfId="0" applyFont="1" applyFill="1" applyBorder="1" applyAlignment="1" applyProtection="1">
      <alignment vertical="center"/>
    </xf>
    <xf numFmtId="0" fontId="16" fillId="7" borderId="23" xfId="0" applyFont="1" applyFill="1" applyBorder="1" applyAlignment="1" applyProtection="1">
      <alignment vertical="center"/>
    </xf>
    <xf numFmtId="0" fontId="16" fillId="7" borderId="47" xfId="0" applyFont="1" applyFill="1" applyBorder="1" applyAlignment="1" applyProtection="1">
      <alignment vertical="center"/>
    </xf>
    <xf numFmtId="0" fontId="16" fillId="7" borderId="1" xfId="0" applyFont="1" applyFill="1" applyBorder="1" applyAlignment="1" applyProtection="1">
      <alignment horizontal="center" vertical="center"/>
    </xf>
    <xf numFmtId="0" fontId="16" fillId="7" borderId="41" xfId="0" applyFont="1" applyFill="1" applyBorder="1" applyAlignment="1" applyProtection="1">
      <alignment horizontal="center" vertical="center"/>
    </xf>
    <xf numFmtId="173" fontId="16" fillId="7" borderId="41" xfId="0" applyNumberFormat="1" applyFont="1" applyFill="1" applyBorder="1" applyAlignment="1" applyProtection="1">
      <alignment horizontal="center" vertical="center"/>
    </xf>
    <xf numFmtId="0" fontId="16" fillId="7" borderId="23" xfId="0" applyFont="1" applyFill="1" applyBorder="1" applyAlignment="1" applyProtection="1">
      <alignment horizontal="center" vertical="center"/>
    </xf>
    <xf numFmtId="173" fontId="16" fillId="7" borderId="48" xfId="0" applyNumberFormat="1" applyFont="1" applyFill="1" applyBorder="1" applyAlignment="1" applyProtection="1">
      <alignment horizontal="center" vertical="center"/>
    </xf>
    <xf numFmtId="176" fontId="16" fillId="7" borderId="41" xfId="0" applyNumberFormat="1" applyFont="1" applyFill="1" applyBorder="1" applyAlignment="1" applyProtection="1">
      <alignment horizontal="center" vertical="center"/>
    </xf>
    <xf numFmtId="176" fontId="16" fillId="7" borderId="48" xfId="0" applyNumberFormat="1" applyFont="1" applyFill="1" applyBorder="1" applyAlignment="1" applyProtection="1">
      <alignment horizontal="center" vertical="center"/>
    </xf>
    <xf numFmtId="174" fontId="16" fillId="7" borderId="41" xfId="0" applyNumberFormat="1" applyFont="1" applyFill="1" applyBorder="1" applyAlignment="1" applyProtection="1">
      <alignment horizontal="center" vertical="center"/>
    </xf>
    <xf numFmtId="175" fontId="16" fillId="7" borderId="48" xfId="0" applyNumberFormat="1" applyFont="1" applyFill="1" applyBorder="1" applyAlignment="1" applyProtection="1">
      <alignment horizontal="center" vertical="center"/>
    </xf>
    <xf numFmtId="0" fontId="21" fillId="7" borderId="31" xfId="0" applyFont="1" applyFill="1" applyBorder="1" applyProtection="1"/>
    <xf numFmtId="0" fontId="21" fillId="7" borderId="11" xfId="0" applyFont="1" applyFill="1" applyBorder="1" applyProtection="1"/>
    <xf numFmtId="178" fontId="16" fillId="7" borderId="41" xfId="1" applyNumberFormat="1" applyFont="1" applyFill="1" applyBorder="1" applyAlignment="1" applyProtection="1">
      <alignment horizontal="center" vertical="center"/>
    </xf>
    <xf numFmtId="9" fontId="16" fillId="7" borderId="23" xfId="0" applyNumberFormat="1" applyFont="1" applyFill="1" applyBorder="1" applyAlignment="1" applyProtection="1">
      <alignment horizontal="center" vertical="center"/>
    </xf>
    <xf numFmtId="9" fontId="16" fillId="7" borderId="48" xfId="0" applyNumberFormat="1" applyFont="1" applyFill="1" applyBorder="1" applyAlignment="1" applyProtection="1">
      <alignment horizontal="center" vertical="center"/>
    </xf>
    <xf numFmtId="0" fontId="21" fillId="7" borderId="31" xfId="0" applyFont="1" applyFill="1" applyBorder="1" applyAlignment="1" applyProtection="1">
      <alignment horizontal="center"/>
    </xf>
    <xf numFmtId="0" fontId="21" fillId="7" borderId="7" xfId="0" applyFont="1" applyFill="1" applyBorder="1" applyAlignment="1" applyProtection="1">
      <alignment horizontal="center"/>
    </xf>
    <xf numFmtId="0" fontId="16" fillId="7" borderId="41" xfId="0" applyFont="1" applyFill="1" applyBorder="1" applyAlignment="1" applyProtection="1">
      <alignment horizontal="center"/>
    </xf>
    <xf numFmtId="164" fontId="16" fillId="7" borderId="41" xfId="0" applyNumberFormat="1" applyFont="1" applyFill="1" applyBorder="1" applyAlignment="1" applyProtection="1">
      <alignment horizontal="center" vertical="center"/>
    </xf>
    <xf numFmtId="164" fontId="16" fillId="7" borderId="23" xfId="0" applyNumberFormat="1" applyFont="1" applyFill="1" applyBorder="1" applyAlignment="1" applyProtection="1">
      <alignment horizontal="center" vertical="center"/>
    </xf>
    <xf numFmtId="164" fontId="16" fillId="7" borderId="48" xfId="0" applyNumberFormat="1" applyFont="1" applyFill="1" applyBorder="1" applyAlignment="1" applyProtection="1">
      <alignment horizontal="center" vertical="center"/>
    </xf>
    <xf numFmtId="0" fontId="21" fillId="7" borderId="12" xfId="0" applyFont="1" applyFill="1" applyBorder="1" applyAlignment="1" applyProtection="1">
      <alignment horizontal="center"/>
    </xf>
    <xf numFmtId="0" fontId="21" fillId="7" borderId="1" xfId="0" applyFont="1" applyFill="1" applyBorder="1" applyAlignment="1" applyProtection="1">
      <alignment horizontal="center"/>
    </xf>
    <xf numFmtId="0" fontId="51" fillId="7" borderId="41" xfId="0" applyFont="1" applyFill="1" applyBorder="1" applyAlignment="1" applyProtection="1">
      <alignment horizontal="center"/>
    </xf>
    <xf numFmtId="164" fontId="79" fillId="7" borderId="48" xfId="0" applyNumberFormat="1" applyFont="1" applyFill="1" applyBorder="1" applyAlignment="1" applyProtection="1">
      <alignment horizontal="center" vertical="center"/>
    </xf>
    <xf numFmtId="0" fontId="21" fillId="7" borderId="0" xfId="0" applyFont="1" applyFill="1" applyBorder="1" applyAlignment="1" applyProtection="1">
      <alignment horizontal="left"/>
      <protection locked="0"/>
    </xf>
    <xf numFmtId="0" fontId="18" fillId="7" borderId="49" xfId="0" applyNumberFormat="1" applyFont="1" applyFill="1" applyBorder="1" applyAlignment="1" applyProtection="1">
      <alignment horizontal="center" vertical="center"/>
    </xf>
    <xf numFmtId="0" fontId="18" fillId="7" borderId="50" xfId="0" applyNumberFormat="1" applyFont="1" applyFill="1" applyBorder="1" applyAlignment="1" applyProtection="1">
      <alignment horizontal="center" vertical="center"/>
    </xf>
    <xf numFmtId="164" fontId="18" fillId="7" borderId="51" xfId="0" applyNumberFormat="1" applyFont="1" applyFill="1" applyBorder="1" applyAlignment="1" applyProtection="1">
      <alignment horizontal="center" vertical="center"/>
    </xf>
    <xf numFmtId="164" fontId="18" fillId="7" borderId="52" xfId="0" applyNumberFormat="1" applyFont="1" applyFill="1" applyBorder="1" applyAlignment="1" applyProtection="1">
      <alignment horizontal="center" vertical="center"/>
    </xf>
    <xf numFmtId="0" fontId="16" fillId="7" borderId="53" xfId="0" applyFont="1" applyFill="1" applyBorder="1" applyAlignment="1" applyProtection="1">
      <alignment vertical="center"/>
    </xf>
    <xf numFmtId="0" fontId="16" fillId="7" borderId="54" xfId="0" applyFont="1" applyFill="1" applyBorder="1" applyAlignment="1" applyProtection="1">
      <alignment horizontal="center" vertical="center"/>
    </xf>
    <xf numFmtId="164" fontId="16" fillId="7" borderId="54" xfId="0" applyNumberFormat="1" applyFont="1" applyFill="1" applyBorder="1" applyAlignment="1" applyProtection="1">
      <alignment horizontal="center" vertical="center"/>
    </xf>
    <xf numFmtId="164" fontId="16" fillId="7" borderId="40" xfId="0" applyNumberFormat="1" applyFont="1" applyFill="1" applyBorder="1" applyAlignment="1" applyProtection="1">
      <alignment horizontal="center" vertical="center"/>
    </xf>
    <xf numFmtId="164" fontId="16" fillId="7" borderId="55" xfId="0" applyNumberFormat="1" applyFont="1" applyFill="1" applyBorder="1" applyAlignment="1" applyProtection="1">
      <alignment horizontal="center" vertical="center"/>
    </xf>
    <xf numFmtId="164" fontId="16" fillId="7" borderId="56" xfId="0" applyNumberFormat="1" applyFont="1" applyFill="1" applyBorder="1" applyAlignment="1" applyProtection="1">
      <alignment horizontal="center" vertical="center"/>
    </xf>
    <xf numFmtId="0" fontId="21" fillId="7" borderId="5" xfId="0" applyFont="1" applyFill="1" applyBorder="1" applyAlignment="1" applyProtection="1">
      <alignment horizontal="center"/>
    </xf>
    <xf numFmtId="0" fontId="16" fillId="7" borderId="31" xfId="0" applyFont="1" applyFill="1" applyBorder="1" applyAlignment="1" applyProtection="1">
      <alignment horizontal="center"/>
    </xf>
    <xf numFmtId="0" fontId="16" fillId="7" borderId="0" xfId="0" applyFont="1" applyFill="1" applyAlignment="1" applyProtection="1">
      <alignment horizontal="center" vertical="center"/>
    </xf>
    <xf numFmtId="0" fontId="16" fillId="7" borderId="57" xfId="0" applyFont="1" applyFill="1" applyBorder="1" applyAlignment="1" applyProtection="1">
      <alignment vertical="center"/>
    </xf>
    <xf numFmtId="0" fontId="18" fillId="7" borderId="11"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12" xfId="0" applyFont="1" applyFill="1" applyBorder="1" applyAlignment="1" applyProtection="1">
      <alignment horizontal="right" vertical="center"/>
    </xf>
    <xf numFmtId="0" fontId="16" fillId="7" borderId="58" xfId="0" applyFont="1" applyFill="1" applyBorder="1" applyAlignment="1" applyProtection="1">
      <alignment horizontal="center" vertical="center"/>
    </xf>
    <xf numFmtId="176" fontId="18" fillId="7" borderId="10" xfId="0" applyNumberFormat="1" applyFont="1" applyFill="1" applyBorder="1" applyAlignment="1" applyProtection="1">
      <alignment horizontal="center" vertical="center"/>
    </xf>
    <xf numFmtId="176" fontId="18" fillId="7" borderId="58" xfId="0" applyNumberFormat="1" applyFont="1" applyFill="1" applyBorder="1" applyAlignment="1" applyProtection="1">
      <alignment horizontal="center" vertical="center"/>
    </xf>
    <xf numFmtId="0" fontId="18" fillId="7" borderId="5" xfId="0" applyFont="1" applyFill="1" applyBorder="1" applyAlignment="1" applyProtection="1">
      <alignment horizontal="right" vertical="center"/>
    </xf>
    <xf numFmtId="0" fontId="7" fillId="7" borderId="59" xfId="0" applyFont="1" applyFill="1" applyBorder="1" applyAlignment="1" applyProtection="1">
      <alignment vertical="center"/>
    </xf>
    <xf numFmtId="0" fontId="16" fillId="7" borderId="51" xfId="0" applyFont="1" applyFill="1" applyBorder="1" applyAlignment="1" applyProtection="1">
      <alignment vertical="center"/>
    </xf>
    <xf numFmtId="0" fontId="16" fillId="7" borderId="52" xfId="0" applyFont="1" applyFill="1" applyBorder="1" applyAlignment="1" applyProtection="1">
      <alignment vertical="center"/>
    </xf>
    <xf numFmtId="0" fontId="16" fillId="7" borderId="46" xfId="0" applyFont="1" applyFill="1" applyBorder="1" applyAlignment="1" applyProtection="1">
      <alignment horizontal="left" vertical="center"/>
    </xf>
    <xf numFmtId="0" fontId="18" fillId="7" borderId="49" xfId="0" applyFont="1" applyFill="1" applyBorder="1" applyAlignment="1" applyProtection="1">
      <alignment horizontal="center" vertical="center"/>
    </xf>
    <xf numFmtId="0" fontId="18" fillId="7" borderId="50" xfId="0" applyFont="1" applyFill="1" applyBorder="1" applyAlignment="1" applyProtection="1">
      <alignment horizontal="center" vertical="center"/>
    </xf>
    <xf numFmtId="0" fontId="18" fillId="7" borderId="51" xfId="0" applyFont="1" applyFill="1" applyBorder="1" applyAlignment="1" applyProtection="1">
      <alignment vertical="center"/>
    </xf>
    <xf numFmtId="0" fontId="18" fillId="7" borderId="52" xfId="0" applyFont="1" applyFill="1" applyBorder="1" applyAlignment="1" applyProtection="1">
      <alignment horizontal="center" vertical="center"/>
    </xf>
    <xf numFmtId="0" fontId="18" fillId="7" borderId="19" xfId="0" applyFont="1" applyFill="1" applyBorder="1" applyAlignment="1" applyProtection="1">
      <alignment vertical="center"/>
    </xf>
    <xf numFmtId="0" fontId="16" fillId="7" borderId="8" xfId="0" applyFont="1" applyFill="1" applyBorder="1" applyAlignment="1" applyProtection="1">
      <alignment vertical="center"/>
    </xf>
    <xf numFmtId="0" fontId="16" fillId="7" borderId="60" xfId="0" applyFont="1" applyFill="1" applyBorder="1" applyAlignment="1" applyProtection="1">
      <alignment horizontal="center" vertical="center"/>
    </xf>
    <xf numFmtId="164" fontId="16" fillId="7" borderId="60" xfId="0" applyNumberFormat="1" applyFont="1" applyFill="1" applyBorder="1" applyAlignment="1" applyProtection="1">
      <alignment horizontal="center" vertical="center"/>
    </xf>
    <xf numFmtId="176" fontId="18" fillId="7" borderId="7" xfId="0" applyNumberFormat="1" applyFont="1" applyFill="1" applyBorder="1" applyAlignment="1" applyProtection="1">
      <alignment horizontal="center" vertical="center"/>
    </xf>
    <xf numFmtId="173" fontId="16" fillId="7" borderId="61" xfId="0" applyNumberFormat="1" applyFont="1" applyFill="1" applyBorder="1" applyAlignment="1" applyProtection="1">
      <alignment horizontal="center" vertical="center"/>
    </xf>
    <xf numFmtId="164" fontId="16" fillId="7" borderId="61" xfId="0" applyNumberFormat="1" applyFont="1" applyFill="1" applyBorder="1" applyAlignment="1" applyProtection="1">
      <alignment horizontal="center" vertical="center"/>
    </xf>
    <xf numFmtId="0" fontId="16" fillId="7" borderId="62" xfId="0" applyFont="1" applyFill="1" applyBorder="1" applyAlignment="1" applyProtection="1">
      <alignment horizontal="center" vertical="center"/>
    </xf>
    <xf numFmtId="0" fontId="21" fillId="7" borderId="0" xfId="0" applyFont="1" applyFill="1" applyBorder="1" applyProtection="1"/>
    <xf numFmtId="164" fontId="16" fillId="7" borderId="63" xfId="0" applyNumberFormat="1" applyFont="1" applyFill="1" applyBorder="1" applyAlignment="1" applyProtection="1">
      <alignment horizontal="center" vertical="center"/>
    </xf>
    <xf numFmtId="164" fontId="16" fillId="7" borderId="8" xfId="0" applyNumberFormat="1" applyFont="1" applyFill="1" applyBorder="1" applyAlignment="1" applyProtection="1">
      <alignment horizontal="center" vertical="center"/>
    </xf>
    <xf numFmtId="164" fontId="18" fillId="7" borderId="7" xfId="0" applyNumberFormat="1" applyFont="1" applyFill="1" applyBorder="1" applyAlignment="1" applyProtection="1">
      <alignment horizontal="center" vertical="center"/>
    </xf>
    <xf numFmtId="0" fontId="16" fillId="7" borderId="40" xfId="0" applyFont="1" applyFill="1" applyBorder="1" applyAlignment="1" applyProtection="1">
      <alignment horizontal="center" vertical="center"/>
    </xf>
    <xf numFmtId="0" fontId="16" fillId="7" borderId="57" xfId="0" applyFont="1" applyFill="1" applyBorder="1" applyAlignment="1" applyProtection="1">
      <alignment horizontal="center" vertical="center"/>
    </xf>
    <xf numFmtId="0" fontId="16" fillId="7" borderId="64" xfId="0" applyFont="1" applyFill="1" applyBorder="1" applyAlignment="1" applyProtection="1">
      <alignment horizontal="center" vertical="center"/>
    </xf>
    <xf numFmtId="173" fontId="16" fillId="7" borderId="65" xfId="0" applyNumberFormat="1" applyFont="1" applyFill="1" applyBorder="1" applyAlignment="1" applyProtection="1">
      <alignment horizontal="center" vertical="center"/>
    </xf>
    <xf numFmtId="173" fontId="16" fillId="7" borderId="0" xfId="0" applyNumberFormat="1" applyFont="1" applyFill="1" applyBorder="1" applyAlignment="1" applyProtection="1">
      <alignment horizontal="center" vertical="center"/>
    </xf>
    <xf numFmtId="173" fontId="16" fillId="7" borderId="1" xfId="0" applyNumberFormat="1" applyFont="1" applyFill="1" applyBorder="1" applyAlignment="1" applyProtection="1">
      <alignment vertical="center"/>
    </xf>
    <xf numFmtId="173" fontId="16" fillId="7" borderId="60" xfId="0" applyNumberFormat="1" applyFont="1" applyFill="1" applyBorder="1" applyAlignment="1" applyProtection="1">
      <alignment horizontal="center" vertical="center"/>
    </xf>
    <xf numFmtId="173" fontId="16" fillId="7" borderId="66" xfId="0" applyNumberFormat="1" applyFont="1" applyFill="1" applyBorder="1" applyAlignment="1" applyProtection="1">
      <alignment horizontal="center" vertical="center"/>
    </xf>
    <xf numFmtId="0" fontId="16" fillId="7" borderId="8" xfId="0" applyFont="1" applyFill="1" applyBorder="1" applyAlignment="1" applyProtection="1">
      <alignment horizontal="center" vertical="center"/>
    </xf>
    <xf numFmtId="176" fontId="16" fillId="7" borderId="7" xfId="0" applyNumberFormat="1" applyFont="1" applyFill="1" applyBorder="1" applyAlignment="1" applyProtection="1">
      <alignment horizontal="center" vertical="center"/>
    </xf>
    <xf numFmtId="0" fontId="7" fillId="7" borderId="19" xfId="0" applyFont="1" applyFill="1" applyBorder="1" applyAlignment="1" applyProtection="1">
      <alignment vertical="center"/>
    </xf>
    <xf numFmtId="0" fontId="18" fillId="7" borderId="8" xfId="0" applyFont="1" applyFill="1" applyBorder="1" applyAlignment="1" applyProtection="1">
      <alignment horizontal="center" vertical="center"/>
    </xf>
    <xf numFmtId="173" fontId="16" fillId="4" borderId="0" xfId="0" applyNumberFormat="1" applyFont="1" applyFill="1" applyAlignment="1" applyProtection="1">
      <alignment horizontal="right" vertical="center"/>
      <protection locked="0"/>
    </xf>
    <xf numFmtId="165" fontId="36" fillId="2" borderId="0" xfId="0" applyNumberFormat="1" applyFont="1" applyFill="1" applyBorder="1" applyProtection="1"/>
    <xf numFmtId="0" fontId="9" fillId="5" borderId="7" xfId="0" applyFont="1" applyFill="1" applyBorder="1" applyProtection="1"/>
    <xf numFmtId="0" fontId="9" fillId="5" borderId="31" xfId="0" applyFont="1" applyFill="1" applyBorder="1" applyProtection="1"/>
    <xf numFmtId="0" fontId="9" fillId="2" borderId="3" xfId="0" applyNumberFormat="1" applyFont="1" applyFill="1" applyBorder="1" applyAlignment="1" applyProtection="1">
      <alignment horizontal="center"/>
    </xf>
    <xf numFmtId="2" fontId="9" fillId="2" borderId="1" xfId="0" applyNumberFormat="1" applyFont="1" applyFill="1" applyBorder="1" applyAlignment="1" applyProtection="1">
      <alignment horizontal="left"/>
    </xf>
    <xf numFmtId="2" fontId="9" fillId="2" borderId="18" xfId="0" applyNumberFormat="1" applyFont="1" applyFill="1" applyBorder="1" applyAlignment="1" applyProtection="1">
      <alignment horizontal="left"/>
    </xf>
    <xf numFmtId="0" fontId="9" fillId="2" borderId="1" xfId="0" applyFont="1" applyFill="1" applyBorder="1" applyAlignment="1" applyProtection="1">
      <alignment horizontal="left"/>
    </xf>
    <xf numFmtId="0" fontId="9" fillId="2" borderId="5" xfId="0" applyFont="1" applyFill="1" applyBorder="1" applyAlignment="1" applyProtection="1">
      <alignment horizontal="left"/>
    </xf>
    <xf numFmtId="2" fontId="9" fillId="2" borderId="6" xfId="0" applyNumberFormat="1" applyFont="1" applyFill="1" applyBorder="1" applyAlignment="1" applyProtection="1">
      <alignment horizontal="left"/>
    </xf>
    <xf numFmtId="0" fontId="6" fillId="2" borderId="12" xfId="0" quotePrefix="1" applyFont="1" applyFill="1" applyBorder="1" applyAlignment="1" applyProtection="1">
      <alignment horizontal="left"/>
      <protection hidden="1"/>
    </xf>
    <xf numFmtId="2" fontId="6" fillId="2" borderId="0" xfId="0" applyNumberFormat="1" applyFont="1" applyFill="1" applyBorder="1" applyAlignment="1" applyProtection="1">
      <alignment horizontal="center"/>
      <protection hidden="1"/>
    </xf>
    <xf numFmtId="0" fontId="6" fillId="2" borderId="15" xfId="0" applyFont="1" applyFill="1" applyBorder="1" applyAlignment="1" applyProtection="1">
      <alignment horizontal="center"/>
      <protection locked="0" hidden="1"/>
    </xf>
    <xf numFmtId="0" fontId="6" fillId="2" borderId="23" xfId="0" applyFont="1" applyFill="1" applyBorder="1" applyAlignment="1" applyProtection="1">
      <alignment horizontal="center"/>
      <protection locked="0" hidden="1"/>
    </xf>
    <xf numFmtId="0" fontId="6" fillId="2" borderId="0" xfId="0" applyFont="1" applyFill="1" applyAlignment="1" applyProtection="1">
      <alignment horizontal="center"/>
      <protection hidden="1"/>
    </xf>
    <xf numFmtId="2" fontId="0" fillId="2" borderId="3" xfId="0" applyNumberFormat="1" applyFill="1" applyBorder="1" applyAlignment="1" applyProtection="1">
      <alignment horizontal="center"/>
      <protection hidden="1"/>
    </xf>
    <xf numFmtId="164" fontId="0" fillId="2" borderId="3" xfId="0" applyNumberFormat="1" applyFill="1" applyBorder="1" applyAlignment="1" applyProtection="1">
      <alignment horizontal="center"/>
      <protection hidden="1"/>
    </xf>
    <xf numFmtId="2" fontId="0" fillId="2" borderId="4" xfId="0" applyNumberFormat="1"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8" xfId="0" applyFill="1" applyBorder="1" applyAlignment="1" applyProtection="1">
      <alignment horizontal="center"/>
      <protection hidden="1"/>
    </xf>
    <xf numFmtId="0" fontId="0" fillId="5" borderId="19" xfId="0" applyFill="1" applyBorder="1" applyAlignment="1" applyProtection="1">
      <alignment horizontal="left"/>
      <protection hidden="1"/>
    </xf>
    <xf numFmtId="0" fontId="0" fillId="5" borderId="31" xfId="0" applyFill="1" applyBorder="1" applyAlignment="1" applyProtection="1">
      <alignment horizontal="center"/>
      <protection hidden="1"/>
    </xf>
    <xf numFmtId="0" fontId="6" fillId="2" borderId="11" xfId="0" applyFont="1" applyFill="1" applyBorder="1" applyAlignment="1" applyProtection="1">
      <alignment horizontal="right"/>
      <protection locked="0" hidden="1"/>
    </xf>
    <xf numFmtId="0" fontId="10" fillId="2" borderId="12" xfId="0" applyFont="1" applyFill="1" applyBorder="1" applyAlignment="1" applyProtection="1">
      <alignment horizontal="center"/>
      <protection hidden="1"/>
    </xf>
    <xf numFmtId="0" fontId="9" fillId="5" borderId="31" xfId="0" applyFont="1" applyFill="1" applyBorder="1" applyAlignment="1" applyProtection="1">
      <alignment horizontal="center"/>
    </xf>
    <xf numFmtId="165" fontId="0" fillId="2" borderId="18" xfId="0" applyNumberFormat="1" applyFill="1" applyBorder="1" applyAlignment="1" applyProtection="1">
      <alignment horizontal="center"/>
    </xf>
    <xf numFmtId="0" fontId="10" fillId="2" borderId="10" xfId="0" applyFont="1" applyFill="1" applyBorder="1" applyAlignment="1" applyProtection="1">
      <alignment horizontal="center"/>
      <protection hidden="1"/>
    </xf>
    <xf numFmtId="0" fontId="10" fillId="2" borderId="17" xfId="0" applyFont="1" applyFill="1" applyBorder="1" applyAlignment="1" applyProtection="1">
      <alignment horizontal="center"/>
      <protection hidden="1"/>
    </xf>
    <xf numFmtId="0" fontId="10" fillId="2" borderId="18" xfId="0" applyFont="1" applyFill="1" applyBorder="1" applyAlignment="1" applyProtection="1">
      <alignment horizontal="center"/>
      <protection hidden="1"/>
    </xf>
    <xf numFmtId="0" fontId="10" fillId="2" borderId="18" xfId="0" applyFont="1" applyFill="1" applyBorder="1" applyAlignment="1" applyProtection="1">
      <alignment horizontal="center"/>
      <protection locked="0" hidden="1"/>
    </xf>
    <xf numFmtId="2" fontId="10" fillId="2" borderId="3" xfId="0" applyNumberFormat="1" applyFont="1" applyFill="1" applyBorder="1" applyAlignment="1" applyProtection="1">
      <alignment horizontal="center"/>
      <protection hidden="1"/>
    </xf>
    <xf numFmtId="2" fontId="10" fillId="2" borderId="0" xfId="0" applyNumberFormat="1" applyFont="1" applyFill="1" applyBorder="1" applyAlignment="1" applyProtection="1">
      <alignment horizontal="center"/>
      <protection hidden="1"/>
    </xf>
    <xf numFmtId="2" fontId="10" fillId="2" borderId="1" xfId="0" applyNumberFormat="1" applyFont="1" applyFill="1" applyBorder="1" applyAlignment="1" applyProtection="1">
      <alignment horizontal="center"/>
      <protection hidden="1"/>
    </xf>
    <xf numFmtId="2" fontId="10" fillId="2" borderId="4" xfId="0" applyNumberFormat="1" applyFont="1" applyFill="1" applyBorder="1" applyAlignment="1" applyProtection="1">
      <alignment horizontal="center"/>
      <protection hidden="1"/>
    </xf>
    <xf numFmtId="2" fontId="10" fillId="2" borderId="10" xfId="0" applyNumberFormat="1" applyFont="1" applyFill="1" applyBorder="1" applyAlignment="1" applyProtection="1">
      <alignment horizontal="center"/>
      <protection hidden="1"/>
    </xf>
    <xf numFmtId="2" fontId="10" fillId="2" borderId="5" xfId="0" applyNumberFormat="1" applyFont="1" applyFill="1" applyBorder="1" applyAlignment="1" applyProtection="1">
      <alignment horizontal="center"/>
      <protection hidden="1"/>
    </xf>
    <xf numFmtId="2" fontId="10" fillId="2" borderId="12" xfId="0" applyNumberFormat="1" applyFont="1" applyFill="1" applyBorder="1" applyAlignment="1" applyProtection="1">
      <alignment horizontal="center"/>
      <protection hidden="1"/>
    </xf>
    <xf numFmtId="2" fontId="10" fillId="2" borderId="2" xfId="0" applyNumberFormat="1" applyFont="1" applyFill="1" applyBorder="1" applyAlignment="1" applyProtection="1">
      <alignment horizontal="center"/>
      <protection hidden="1"/>
    </xf>
    <xf numFmtId="2" fontId="10" fillId="2" borderId="11" xfId="0" applyNumberFormat="1" applyFont="1" applyFill="1" applyBorder="1" applyAlignment="1" applyProtection="1">
      <alignment horizontal="center"/>
      <protection hidden="1"/>
    </xf>
    <xf numFmtId="3" fontId="0" fillId="0" borderId="0" xfId="0" applyNumberFormat="1" applyAlignment="1">
      <alignment horizontal="left"/>
    </xf>
    <xf numFmtId="0" fontId="25" fillId="2" borderId="0" xfId="0" applyFont="1" applyFill="1" applyProtection="1">
      <protection hidden="1"/>
    </xf>
    <xf numFmtId="0" fontId="38" fillId="2" borderId="0" xfId="2" applyFill="1" applyAlignment="1" applyProtection="1">
      <alignment horizontal="left"/>
      <protection hidden="1"/>
    </xf>
    <xf numFmtId="0" fontId="9" fillId="2" borderId="0" xfId="0" applyFont="1" applyFill="1" applyProtection="1">
      <protection hidden="1"/>
    </xf>
    <xf numFmtId="0" fontId="57" fillId="2" borderId="0" xfId="0" applyFont="1" applyFill="1" applyProtection="1">
      <protection hidden="1"/>
    </xf>
    <xf numFmtId="22" fontId="56" fillId="2" borderId="0" xfId="0" applyNumberFormat="1" applyFont="1" applyFill="1" applyAlignment="1" applyProtection="1">
      <alignment horizontal="left"/>
    </xf>
    <xf numFmtId="0" fontId="36" fillId="2" borderId="0" xfId="0" applyFont="1" applyFill="1" applyBorder="1" applyAlignment="1" applyProtection="1">
      <alignment wrapText="1"/>
    </xf>
    <xf numFmtId="167" fontId="0" fillId="2" borderId="0" xfId="0" applyNumberFormat="1" applyFill="1" applyBorder="1" applyProtection="1"/>
    <xf numFmtId="167" fontId="9" fillId="2" borderId="0" xfId="0" applyNumberFormat="1" applyFont="1" applyFill="1" applyBorder="1" applyProtection="1"/>
    <xf numFmtId="0" fontId="0" fillId="2" borderId="3" xfId="0" applyFill="1" applyBorder="1" applyAlignment="1" applyProtection="1">
      <alignment horizontal="right"/>
    </xf>
    <xf numFmtId="0" fontId="84" fillId="2" borderId="0" xfId="0" applyFont="1" applyFill="1" applyBorder="1" applyAlignment="1" applyProtection="1">
      <alignment horizontal="right"/>
    </xf>
    <xf numFmtId="3" fontId="0" fillId="6" borderId="67" xfId="0" applyNumberFormat="1" applyFill="1" applyBorder="1" applyAlignment="1" applyProtection="1">
      <alignment horizontal="center"/>
      <protection locked="0"/>
    </xf>
    <xf numFmtId="3" fontId="0" fillId="6" borderId="4" xfId="0" applyNumberFormat="1" applyFill="1" applyBorder="1" applyAlignment="1" applyProtection="1">
      <alignment horizontal="center"/>
      <protection locked="0"/>
    </xf>
    <xf numFmtId="3" fontId="0" fillId="6" borderId="10" xfId="0" applyNumberFormat="1" applyFill="1" applyBorder="1" applyAlignment="1" applyProtection="1">
      <alignment horizontal="center"/>
      <protection locked="0"/>
    </xf>
    <xf numFmtId="0" fontId="0" fillId="2" borderId="0" xfId="0" applyFill="1" applyBorder="1" applyAlignment="1" applyProtection="1">
      <alignment horizontal="center" wrapText="1"/>
    </xf>
    <xf numFmtId="0" fontId="16" fillId="2" borderId="0" xfId="0" applyFont="1" applyFill="1" applyAlignment="1" applyProtection="1"/>
    <xf numFmtId="0" fontId="16" fillId="2" borderId="0" xfId="0" applyFont="1" applyFill="1" applyAlignment="1" applyProtection="1">
      <alignment horizontal="center"/>
    </xf>
    <xf numFmtId="3" fontId="16" fillId="8" borderId="23" xfId="0" applyNumberFormat="1" applyFont="1" applyFill="1" applyBorder="1" applyAlignment="1" applyProtection="1">
      <alignment horizontal="center"/>
      <protection locked="0"/>
    </xf>
    <xf numFmtId="0" fontId="16" fillId="2" borderId="15" xfId="0" applyFont="1" applyFill="1" applyBorder="1" applyAlignment="1" applyProtection="1">
      <alignment horizontal="center"/>
    </xf>
    <xf numFmtId="172" fontId="16" fillId="2" borderId="0" xfId="0" applyNumberFormat="1" applyFont="1" applyFill="1" applyAlignment="1" applyProtection="1">
      <alignment horizontal="center"/>
    </xf>
    <xf numFmtId="0" fontId="87" fillId="2" borderId="0" xfId="0" applyFont="1" applyFill="1" applyProtection="1"/>
    <xf numFmtId="0" fontId="82" fillId="9" borderId="2" xfId="0" applyFont="1" applyFill="1" applyBorder="1" applyProtection="1"/>
    <xf numFmtId="0" fontId="82" fillId="9" borderId="11" xfId="0" applyFont="1" applyFill="1" applyBorder="1" applyProtection="1"/>
    <xf numFmtId="0" fontId="82" fillId="9" borderId="12" xfId="0" applyFont="1" applyFill="1" applyBorder="1" applyProtection="1"/>
    <xf numFmtId="0" fontId="82" fillId="9" borderId="4" xfId="0" applyFont="1" applyFill="1" applyBorder="1" applyProtection="1"/>
    <xf numFmtId="0" fontId="82" fillId="9" borderId="10" xfId="0" applyFont="1" applyFill="1" applyBorder="1" applyProtection="1"/>
    <xf numFmtId="0" fontId="82" fillId="9" borderId="5" xfId="0" applyFont="1" applyFill="1" applyBorder="1" applyProtection="1"/>
    <xf numFmtId="0" fontId="9" fillId="2" borderId="19" xfId="0" applyFont="1" applyFill="1" applyBorder="1" applyAlignment="1" applyProtection="1">
      <alignment horizontal="right"/>
      <protection hidden="1"/>
    </xf>
    <xf numFmtId="0" fontId="9" fillId="2" borderId="7" xfId="0" applyFont="1" applyFill="1" applyBorder="1" applyAlignment="1" applyProtection="1">
      <alignment horizontal="left"/>
      <protection hidden="1"/>
    </xf>
    <xf numFmtId="0" fontId="9" fillId="2" borderId="10" xfId="0" applyFont="1" applyFill="1" applyBorder="1" applyAlignment="1" applyProtection="1">
      <alignment horizontal="right"/>
      <protection hidden="1"/>
    </xf>
    <xf numFmtId="0" fontId="9" fillId="2" borderId="5" xfId="0" applyFont="1" applyFill="1" applyBorder="1" applyAlignment="1" applyProtection="1">
      <alignment horizontal="left"/>
      <protection hidden="1"/>
    </xf>
    <xf numFmtId="0" fontId="9" fillId="2" borderId="19" xfId="0" applyFont="1" applyFill="1" applyBorder="1" applyAlignment="1" applyProtection="1">
      <alignment horizontal="center"/>
      <protection locked="0" hidden="1"/>
    </xf>
    <xf numFmtId="0" fontId="0" fillId="2" borderId="68" xfId="0" applyFill="1" applyBorder="1" applyAlignment="1" applyProtection="1">
      <alignment horizontal="center"/>
      <protection hidden="1"/>
    </xf>
    <xf numFmtId="0" fontId="9" fillId="2" borderId="21" xfId="0" applyFont="1" applyFill="1" applyBorder="1" applyAlignment="1" applyProtection="1">
      <alignment horizontal="center"/>
      <protection locked="0" hidden="1"/>
    </xf>
    <xf numFmtId="164" fontId="0" fillId="2" borderId="37" xfId="0" applyNumberFormat="1" applyFill="1" applyBorder="1" applyAlignment="1" applyProtection="1">
      <alignment horizontal="center"/>
      <protection hidden="1"/>
    </xf>
    <xf numFmtId="0" fontId="0" fillId="2" borderId="69" xfId="0" applyFill="1" applyBorder="1" applyProtection="1"/>
    <xf numFmtId="0" fontId="0" fillId="2" borderId="13" xfId="0" applyFill="1" applyBorder="1" applyProtection="1"/>
    <xf numFmtId="0" fontId="0" fillId="2" borderId="70" xfId="0" applyFill="1" applyBorder="1" applyAlignment="1" applyProtection="1">
      <alignment horizontal="left"/>
      <protection hidden="1"/>
    </xf>
    <xf numFmtId="164" fontId="27" fillId="5" borderId="71" xfId="0" applyNumberFormat="1" applyFont="1" applyFill="1" applyBorder="1" applyAlignment="1" applyProtection="1">
      <alignment horizontal="center"/>
      <protection locked="0" hidden="1"/>
    </xf>
    <xf numFmtId="0" fontId="0" fillId="2" borderId="72" xfId="0" applyFill="1" applyBorder="1" applyAlignment="1" applyProtection="1">
      <alignment horizontal="left"/>
      <protection hidden="1"/>
    </xf>
    <xf numFmtId="0" fontId="0" fillId="2" borderId="2" xfId="0" applyFill="1" applyBorder="1" applyAlignment="1" applyProtection="1">
      <alignment horizontal="center"/>
      <protection hidden="1"/>
    </xf>
    <xf numFmtId="0" fontId="9" fillId="2" borderId="73" xfId="0" applyFont="1" applyFill="1" applyBorder="1" applyAlignment="1" applyProtection="1">
      <alignment horizontal="center"/>
      <protection locked="0" hidden="1"/>
    </xf>
    <xf numFmtId="0" fontId="0" fillId="2" borderId="74" xfId="0" applyFill="1" applyBorder="1" applyAlignment="1" applyProtection="1">
      <alignment horizontal="center"/>
      <protection hidden="1"/>
    </xf>
    <xf numFmtId="0" fontId="0" fillId="2" borderId="73" xfId="0" applyFill="1" applyBorder="1" applyAlignment="1" applyProtection="1">
      <alignment horizontal="center"/>
      <protection hidden="1"/>
    </xf>
    <xf numFmtId="0" fontId="0" fillId="2" borderId="75" xfId="0" applyFill="1" applyBorder="1" applyAlignment="1" applyProtection="1">
      <alignment horizontal="center"/>
      <protection hidden="1"/>
    </xf>
    <xf numFmtId="0" fontId="82" fillId="9" borderId="76" xfId="0" applyFont="1" applyFill="1" applyBorder="1" applyAlignment="1" applyProtection="1">
      <alignment horizontal="center"/>
      <protection hidden="1"/>
    </xf>
    <xf numFmtId="0" fontId="82" fillId="9" borderId="76" xfId="0" applyFont="1" applyFill="1" applyBorder="1" applyProtection="1"/>
    <xf numFmtId="0" fontId="82" fillId="9" borderId="77" xfId="0" applyFont="1" applyFill="1" applyBorder="1" applyProtection="1"/>
    <xf numFmtId="0" fontId="33" fillId="2" borderId="70" xfId="0" applyFont="1" applyFill="1" applyBorder="1" applyAlignment="1" applyProtection="1">
      <alignment horizontal="left"/>
      <protection hidden="1"/>
    </xf>
    <xf numFmtId="0" fontId="0" fillId="2" borderId="26" xfId="0" applyNumberFormat="1" applyFill="1" applyBorder="1" applyAlignment="1" applyProtection="1">
      <alignment horizontal="center"/>
      <protection hidden="1"/>
    </xf>
    <xf numFmtId="0" fontId="0" fillId="2" borderId="78" xfId="0" applyNumberFormat="1" applyFill="1" applyBorder="1" applyAlignment="1" applyProtection="1">
      <alignment horizontal="center"/>
      <protection hidden="1"/>
    </xf>
    <xf numFmtId="0" fontId="0" fillId="2" borderId="79" xfId="0" applyNumberFormat="1" applyFill="1" applyBorder="1" applyAlignment="1" applyProtection="1">
      <alignment horizontal="center"/>
      <protection hidden="1"/>
    </xf>
    <xf numFmtId="0" fontId="9" fillId="2" borderId="80" xfId="0" applyFont="1" applyFill="1" applyBorder="1" applyAlignment="1" applyProtection="1">
      <alignment horizontal="center"/>
      <protection locked="0" hidden="1"/>
    </xf>
    <xf numFmtId="0" fontId="0" fillId="2" borderId="17" xfId="0" applyNumberFormat="1" applyFill="1" applyBorder="1" applyAlignment="1" applyProtection="1">
      <alignment horizontal="center"/>
      <protection hidden="1"/>
    </xf>
    <xf numFmtId="0" fontId="0" fillId="2" borderId="79" xfId="0" applyFill="1" applyBorder="1" applyAlignment="1" applyProtection="1">
      <alignment horizontal="center"/>
      <protection hidden="1"/>
    </xf>
    <xf numFmtId="0" fontId="0" fillId="2" borderId="18" xfId="0" applyNumberFormat="1"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2" borderId="6" xfId="0" applyNumberFormat="1" applyFill="1" applyBorder="1" applyAlignment="1" applyProtection="1">
      <alignment horizontal="center"/>
      <protection hidden="1"/>
    </xf>
    <xf numFmtId="164" fontId="0" fillId="2" borderId="81" xfId="0" applyNumberFormat="1" applyFill="1" applyBorder="1" applyAlignment="1" applyProtection="1">
      <alignment horizontal="center"/>
      <protection hidden="1"/>
    </xf>
    <xf numFmtId="164" fontId="0" fillId="2" borderId="82" xfId="0" applyNumberFormat="1" applyFill="1" applyBorder="1" applyAlignment="1" applyProtection="1">
      <alignment horizontal="center"/>
      <protection hidden="1"/>
    </xf>
    <xf numFmtId="1" fontId="9" fillId="5" borderId="77" xfId="0" applyNumberFormat="1" applyFont="1" applyFill="1" applyBorder="1" applyAlignment="1" applyProtection="1">
      <alignment horizontal="center"/>
    </xf>
    <xf numFmtId="0" fontId="82" fillId="9" borderId="83" xfId="0" applyFont="1" applyFill="1" applyBorder="1" applyAlignment="1" applyProtection="1">
      <alignment horizontal="left"/>
      <protection hidden="1"/>
    </xf>
    <xf numFmtId="0" fontId="11" fillId="2" borderId="0" xfId="0" applyFont="1" applyFill="1" applyAlignment="1" applyProtection="1">
      <alignment horizontal="center"/>
      <protection locked="0" hidden="1"/>
    </xf>
    <xf numFmtId="0" fontId="11" fillId="2" borderId="84" xfId="0" applyFont="1" applyFill="1" applyBorder="1" applyAlignment="1" applyProtection="1">
      <alignment horizontal="center"/>
    </xf>
    <xf numFmtId="0" fontId="33" fillId="2" borderId="35" xfId="0" applyFont="1" applyFill="1" applyBorder="1" applyAlignment="1" applyProtection="1">
      <alignment horizontal="left"/>
      <protection hidden="1"/>
    </xf>
    <xf numFmtId="0" fontId="11" fillId="9" borderId="83" xfId="0" applyFont="1" applyFill="1" applyBorder="1" applyAlignment="1" applyProtection="1">
      <alignment horizontal="center"/>
    </xf>
    <xf numFmtId="0" fontId="26" fillId="9" borderId="77" xfId="0" applyFont="1" applyFill="1" applyBorder="1" applyAlignment="1" applyProtection="1">
      <alignment horizontal="center"/>
      <protection hidden="1"/>
    </xf>
    <xf numFmtId="0" fontId="26" fillId="2" borderId="39" xfId="0" applyFont="1" applyFill="1" applyBorder="1" applyAlignment="1" applyProtection="1">
      <alignment horizontal="right"/>
      <protection hidden="1"/>
    </xf>
    <xf numFmtId="0" fontId="0" fillId="2" borderId="37" xfId="0" applyFill="1" applyBorder="1" applyAlignment="1" applyProtection="1">
      <alignment horizontal="left"/>
      <protection hidden="1"/>
    </xf>
    <xf numFmtId="0" fontId="33" fillId="2" borderId="16" xfId="0" applyFont="1" applyFill="1" applyBorder="1" applyAlignment="1" applyProtection="1">
      <alignment horizontal="left"/>
      <protection hidden="1"/>
    </xf>
    <xf numFmtId="0" fontId="27" fillId="2" borderId="85"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hidden="1"/>
    </xf>
    <xf numFmtId="0" fontId="88" fillId="2" borderId="36" xfId="0" applyFont="1" applyFill="1" applyBorder="1" applyAlignment="1" applyProtection="1">
      <alignment horizontal="center"/>
      <protection hidden="1"/>
    </xf>
    <xf numFmtId="0" fontId="9" fillId="2" borderId="17" xfId="0" applyFont="1" applyFill="1" applyBorder="1" applyAlignment="1" applyProtection="1">
      <alignment horizontal="center"/>
      <protection locked="0" hidden="1"/>
    </xf>
    <xf numFmtId="0" fontId="9" fillId="2" borderId="2"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locked="0" hidden="1"/>
    </xf>
    <xf numFmtId="0" fontId="9" fillId="2" borderId="86" xfId="0" applyFont="1" applyFill="1" applyBorder="1" applyAlignment="1" applyProtection="1">
      <alignment horizontal="center"/>
      <protection locked="0" hidden="1"/>
    </xf>
    <xf numFmtId="164" fontId="11" fillId="2" borderId="85" xfId="0" applyNumberFormat="1" applyFont="1" applyFill="1" applyBorder="1" applyAlignment="1" applyProtection="1">
      <alignment horizontal="center"/>
      <protection locked="0" hidden="1"/>
    </xf>
    <xf numFmtId="165" fontId="11" fillId="2" borderId="1" xfId="0" applyNumberFormat="1" applyFont="1" applyFill="1" applyBorder="1" applyAlignment="1" applyProtection="1">
      <alignment horizontal="center"/>
      <protection hidden="1"/>
    </xf>
    <xf numFmtId="0" fontId="0" fillId="2" borderId="17" xfId="0" applyFill="1" applyBorder="1" applyAlignment="1" applyProtection="1">
      <alignment horizontal="center"/>
      <protection hidden="1"/>
    </xf>
    <xf numFmtId="164" fontId="0" fillId="2" borderId="2" xfId="0" applyNumberFormat="1" applyFill="1" applyBorder="1" applyAlignment="1" applyProtection="1">
      <alignment horizontal="center"/>
      <protection hidden="1"/>
    </xf>
    <xf numFmtId="164" fontId="0" fillId="2" borderId="12" xfId="0" applyNumberFormat="1" applyFill="1" applyBorder="1" applyAlignment="1" applyProtection="1">
      <alignment horizontal="center"/>
      <protection hidden="1"/>
    </xf>
    <xf numFmtId="164" fontId="11" fillId="2" borderId="11" xfId="0" applyNumberFormat="1" applyFont="1" applyFill="1" applyBorder="1" applyAlignment="1" applyProtection="1">
      <alignment horizontal="center"/>
      <protection locked="0" hidden="1"/>
    </xf>
    <xf numFmtId="0" fontId="0" fillId="2" borderId="12" xfId="0" applyNumberFormat="1" applyFill="1" applyBorder="1" applyAlignment="1" applyProtection="1">
      <alignment horizontal="center"/>
      <protection hidden="1"/>
    </xf>
    <xf numFmtId="164" fontId="11" fillId="2" borderId="39" xfId="0" applyNumberFormat="1" applyFont="1" applyFill="1" applyBorder="1" applyAlignment="1" applyProtection="1">
      <alignment horizontal="center"/>
      <protection locked="0" hidden="1"/>
    </xf>
    <xf numFmtId="164" fontId="11" fillId="2" borderId="0" xfId="0" applyNumberFormat="1" applyFont="1" applyFill="1" applyBorder="1" applyAlignment="1" applyProtection="1">
      <alignment horizontal="center"/>
      <protection locked="0" hidden="1"/>
    </xf>
    <xf numFmtId="164" fontId="11" fillId="2" borderId="72" xfId="0" applyNumberFormat="1" applyFont="1" applyFill="1" applyBorder="1" applyAlignment="1" applyProtection="1">
      <alignment horizontal="center"/>
      <protection locked="0" hidden="1"/>
    </xf>
    <xf numFmtId="164" fontId="0" fillId="2" borderId="4" xfId="0" applyNumberFormat="1" applyFill="1" applyBorder="1" applyAlignment="1" applyProtection="1">
      <alignment horizontal="center"/>
      <protection hidden="1"/>
    </xf>
    <xf numFmtId="164" fontId="0" fillId="2" borderId="5" xfId="0" applyNumberFormat="1" applyFill="1" applyBorder="1" applyAlignment="1" applyProtection="1">
      <alignment horizontal="center"/>
      <protection hidden="1"/>
    </xf>
    <xf numFmtId="164" fontId="11" fillId="2" borderId="10" xfId="0" applyNumberFormat="1" applyFont="1" applyFill="1" applyBorder="1" applyAlignment="1" applyProtection="1">
      <alignment horizontal="center"/>
      <protection locked="0" hidden="1"/>
    </xf>
    <xf numFmtId="0" fontId="11" fillId="2" borderId="69" xfId="0" applyFont="1" applyFill="1" applyBorder="1" applyAlignment="1" applyProtection="1">
      <alignment horizontal="center"/>
      <protection locked="0" hidden="1"/>
    </xf>
    <xf numFmtId="0" fontId="0" fillId="2" borderId="87" xfId="0" applyFill="1" applyBorder="1" applyAlignment="1" applyProtection="1">
      <alignment horizontal="center"/>
      <protection hidden="1"/>
    </xf>
    <xf numFmtId="0" fontId="9" fillId="5" borderId="76" xfId="0" applyFont="1" applyFill="1" applyBorder="1" applyAlignment="1" applyProtection="1">
      <alignment horizontal="center"/>
      <protection locked="0" hidden="1"/>
    </xf>
    <xf numFmtId="0" fontId="27" fillId="5" borderId="20" xfId="0" applyFont="1" applyFill="1" applyBorder="1" applyAlignment="1" applyProtection="1">
      <alignment horizontal="center"/>
      <protection hidden="1"/>
    </xf>
    <xf numFmtId="164" fontId="27" fillId="5" borderId="87" xfId="0" applyNumberFormat="1" applyFont="1" applyFill="1" applyBorder="1" applyAlignment="1" applyProtection="1">
      <alignment horizontal="center"/>
      <protection locked="0" hidden="1"/>
    </xf>
    <xf numFmtId="0" fontId="11" fillId="2" borderId="0" xfId="0" applyFont="1" applyFill="1"/>
    <xf numFmtId="0" fontId="11" fillId="2" borderId="0" xfId="0" applyFont="1" applyFill="1" applyAlignment="1" applyProtection="1">
      <alignment horizontal="center"/>
      <protection hidden="1"/>
    </xf>
    <xf numFmtId="0" fontId="16" fillId="8" borderId="23" xfId="0" applyFont="1" applyFill="1" applyBorder="1" applyAlignment="1" applyProtection="1">
      <alignment horizontal="center"/>
      <protection locked="0"/>
    </xf>
    <xf numFmtId="0" fontId="11" fillId="2" borderId="3" xfId="0" applyFont="1" applyFill="1" applyBorder="1" applyAlignment="1" applyProtection="1">
      <alignment horizontal="center"/>
      <protection locked="0" hidden="1"/>
    </xf>
    <xf numFmtId="0" fontId="27" fillId="2" borderId="4" xfId="0" applyFont="1" applyFill="1" applyBorder="1" applyAlignment="1" applyProtection="1">
      <alignment horizontal="center"/>
      <protection hidden="1"/>
    </xf>
    <xf numFmtId="0" fontId="1" fillId="2" borderId="10" xfId="0" applyFont="1" applyFill="1" applyBorder="1" applyAlignment="1" applyProtection="1">
      <alignment horizontal="center"/>
      <protection hidden="1"/>
    </xf>
    <xf numFmtId="0" fontId="27" fillId="2" borderId="19" xfId="0" applyFont="1" applyFill="1" applyBorder="1" applyAlignment="1" applyProtection="1">
      <alignment horizontal="center"/>
      <protection locked="0" hidden="1"/>
    </xf>
    <xf numFmtId="0" fontId="27" fillId="2" borderId="8" xfId="0" applyFont="1" applyFill="1" applyBorder="1" applyAlignment="1" applyProtection="1">
      <alignment horizontal="left"/>
      <protection locked="0" hidden="1"/>
    </xf>
    <xf numFmtId="0" fontId="9" fillId="2" borderId="7" xfId="0" applyFont="1" applyFill="1" applyBorder="1" applyAlignment="1" applyProtection="1">
      <alignment horizontal="center"/>
      <protection hidden="1"/>
    </xf>
    <xf numFmtId="2" fontId="11" fillId="2" borderId="0" xfId="0" applyNumberFormat="1" applyFont="1" applyFill="1" applyBorder="1" applyAlignment="1" applyProtection="1">
      <alignment horizontal="center"/>
      <protection locked="0" hidden="1"/>
    </xf>
    <xf numFmtId="2" fontId="9" fillId="2" borderId="20" xfId="0" applyNumberFormat="1" applyFont="1" applyFill="1" applyBorder="1" applyAlignment="1" applyProtection="1">
      <alignment horizontal="center"/>
      <protection hidden="1"/>
    </xf>
    <xf numFmtId="0" fontId="6" fillId="7" borderId="18" xfId="0" applyFont="1" applyFill="1" applyBorder="1" applyAlignment="1">
      <alignment horizontal="left"/>
    </xf>
    <xf numFmtId="0" fontId="0" fillId="7" borderId="14" xfId="0" applyFill="1" applyBorder="1" applyAlignment="1">
      <alignment horizontal="center"/>
    </xf>
    <xf numFmtId="14" fontId="0" fillId="7" borderId="14" xfId="0" applyNumberFormat="1" applyFill="1" applyBorder="1" applyAlignment="1">
      <alignment horizontal="center"/>
    </xf>
    <xf numFmtId="164" fontId="0" fillId="7" borderId="18" xfId="0" applyNumberFormat="1" applyFill="1" applyBorder="1" applyAlignment="1">
      <alignment horizontal="center"/>
    </xf>
    <xf numFmtId="164" fontId="0" fillId="2" borderId="1" xfId="0" applyNumberFormat="1" applyFill="1" applyBorder="1" applyAlignment="1" applyProtection="1">
      <alignment horizontal="center"/>
    </xf>
    <xf numFmtId="164" fontId="0" fillId="2" borderId="5" xfId="0" applyNumberFormat="1" applyFill="1" applyBorder="1" applyAlignment="1" applyProtection="1">
      <alignment horizontal="center"/>
    </xf>
    <xf numFmtId="0" fontId="33" fillId="2" borderId="0" xfId="0" applyFont="1" applyFill="1" applyBorder="1" applyAlignment="1" applyProtection="1">
      <alignment horizontal="center"/>
    </xf>
    <xf numFmtId="164" fontId="0" fillId="2" borderId="0" xfId="0" applyNumberFormat="1" applyFill="1" applyAlignment="1" applyProtection="1">
      <alignment horizontal="center"/>
    </xf>
    <xf numFmtId="164" fontId="0" fillId="2" borderId="4" xfId="0" applyNumberFormat="1" applyFill="1" applyBorder="1" applyAlignment="1" applyProtection="1">
      <alignment horizontal="center"/>
    </xf>
    <xf numFmtId="0" fontId="17" fillId="2" borderId="0" xfId="0" applyFont="1" applyFill="1" applyAlignment="1" applyProtection="1"/>
    <xf numFmtId="0" fontId="0" fillId="2" borderId="15" xfId="0" applyFill="1" applyBorder="1" applyAlignment="1" applyProtection="1">
      <alignment horizontal="left"/>
    </xf>
    <xf numFmtId="165" fontId="0" fillId="2" borderId="15" xfId="0" applyNumberFormat="1" applyFill="1" applyBorder="1" applyAlignment="1" applyProtection="1">
      <alignment horizontal="left"/>
    </xf>
    <xf numFmtId="0" fontId="0" fillId="2" borderId="23" xfId="0" applyFill="1" applyBorder="1" applyAlignment="1" applyProtection="1">
      <alignment horizontal="left"/>
    </xf>
    <xf numFmtId="0" fontId="18" fillId="2" borderId="2" xfId="0" applyFont="1" applyFill="1" applyBorder="1" applyAlignment="1" applyProtection="1">
      <alignment horizontal="center"/>
    </xf>
    <xf numFmtId="0" fontId="0" fillId="2" borderId="8" xfId="0" applyFill="1" applyBorder="1" applyAlignment="1" applyProtection="1">
      <alignment horizontal="right"/>
    </xf>
    <xf numFmtId="0" fontId="6" fillId="7" borderId="14" xfId="0" applyFont="1" applyFill="1" applyBorder="1"/>
    <xf numFmtId="167" fontId="0" fillId="2" borderId="0" xfId="0" applyNumberFormat="1" applyFill="1" applyAlignment="1" applyProtection="1">
      <alignment horizontal="center"/>
    </xf>
    <xf numFmtId="0" fontId="9" fillId="2" borderId="0" xfId="0" applyFont="1" applyFill="1" applyAlignment="1" applyProtection="1">
      <alignment horizontal="left"/>
    </xf>
    <xf numFmtId="167" fontId="9" fillId="2" borderId="0" xfId="0" applyNumberFormat="1" applyFont="1" applyFill="1" applyAlignment="1" applyProtection="1">
      <alignment horizontal="center"/>
    </xf>
    <xf numFmtId="167" fontId="0" fillId="2" borderId="1" xfId="0" applyNumberFormat="1" applyFill="1" applyBorder="1" applyAlignment="1" applyProtection="1">
      <alignment horizontal="center"/>
    </xf>
    <xf numFmtId="167" fontId="0" fillId="2" borderId="5" xfId="0" applyNumberFormat="1" applyFill="1" applyBorder="1" applyAlignment="1" applyProtection="1">
      <alignment horizontal="center"/>
    </xf>
    <xf numFmtId="167" fontId="0" fillId="2" borderId="12" xfId="0" applyNumberFormat="1" applyFill="1" applyBorder="1" applyAlignment="1" applyProtection="1">
      <alignment horizontal="center"/>
    </xf>
    <xf numFmtId="167" fontId="0" fillId="2" borderId="2" xfId="0" applyNumberFormat="1" applyFill="1" applyBorder="1" applyAlignment="1" applyProtection="1">
      <alignment horizontal="center"/>
    </xf>
    <xf numFmtId="167" fontId="0" fillId="2" borderId="3" xfId="0" applyNumberFormat="1" applyFill="1" applyBorder="1" applyAlignment="1" applyProtection="1">
      <alignment horizontal="center"/>
    </xf>
    <xf numFmtId="167" fontId="0" fillId="2" borderId="4" xfId="0" applyNumberFormat="1" applyFill="1" applyBorder="1" applyAlignment="1" applyProtection="1">
      <alignment horizontal="center"/>
    </xf>
    <xf numFmtId="0" fontId="0" fillId="0" borderId="0" xfId="0" applyAlignment="1">
      <alignment horizontal="center"/>
    </xf>
    <xf numFmtId="0" fontId="32"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32" fillId="2" borderId="0" xfId="0" applyFont="1" applyFill="1" applyAlignment="1" applyProtection="1">
      <alignment horizontal="left"/>
      <protection hidden="1"/>
    </xf>
    <xf numFmtId="164" fontId="10" fillId="2" borderId="17" xfId="0" applyNumberFormat="1" applyFont="1"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164" fontId="10" fillId="2" borderId="18" xfId="0" applyNumberFormat="1" applyFont="1" applyFill="1" applyBorder="1" applyAlignment="1">
      <alignment horizontal="center"/>
    </xf>
    <xf numFmtId="0" fontId="0" fillId="2" borderId="2" xfId="0" applyFill="1" applyBorder="1" applyAlignment="1">
      <alignment horizontal="center"/>
    </xf>
    <xf numFmtId="0" fontId="0" fillId="2" borderId="11" xfId="0" applyFill="1" applyBorder="1" applyAlignment="1">
      <alignment horizontal="center"/>
    </xf>
    <xf numFmtId="0" fontId="91" fillId="9" borderId="2" xfId="0" applyFont="1" applyFill="1" applyBorder="1"/>
    <xf numFmtId="0" fontId="91" fillId="9" borderId="11" xfId="0" applyFont="1" applyFill="1" applyBorder="1" applyAlignment="1">
      <alignment horizontal="center"/>
    </xf>
    <xf numFmtId="0" fontId="82" fillId="9" borderId="12" xfId="0" applyFont="1" applyFill="1" applyBorder="1" applyAlignment="1">
      <alignment horizontal="center"/>
    </xf>
    <xf numFmtId="0" fontId="81" fillId="9" borderId="4" xfId="0" applyFont="1" applyFill="1" applyBorder="1"/>
    <xf numFmtId="0" fontId="81" fillId="9" borderId="10" xfId="0" applyFont="1" applyFill="1" applyBorder="1" applyAlignment="1">
      <alignment horizontal="center"/>
    </xf>
    <xf numFmtId="0" fontId="81" fillId="9" borderId="5" xfId="0" applyFont="1" applyFill="1" applyBorder="1" applyAlignment="1">
      <alignment horizontal="center"/>
    </xf>
    <xf numFmtId="2" fontId="0" fillId="5" borderId="17" xfId="0" applyNumberFormat="1" applyFill="1" applyBorder="1" applyAlignment="1">
      <alignment horizontal="center"/>
    </xf>
    <xf numFmtId="0" fontId="9" fillId="2" borderId="18" xfId="0" applyFont="1" applyFill="1" applyBorder="1" applyAlignment="1" applyProtection="1">
      <alignment horizontal="center"/>
    </xf>
    <xf numFmtId="0" fontId="9" fillId="2" borderId="6" xfId="0" applyFont="1" applyFill="1" applyBorder="1" applyAlignment="1" applyProtection="1">
      <alignment horizontal="center"/>
    </xf>
    <xf numFmtId="1" fontId="10" fillId="2" borderId="7" xfId="0" applyNumberFormat="1" applyFont="1" applyFill="1" applyBorder="1" applyProtection="1"/>
    <xf numFmtId="2" fontId="0" fillId="2" borderId="11" xfId="0" applyNumberFormat="1" applyFill="1" applyBorder="1" applyAlignment="1">
      <alignment horizontal="center"/>
    </xf>
    <xf numFmtId="0" fontId="91" fillId="9" borderId="11" xfId="0" applyFont="1" applyFill="1" applyBorder="1"/>
    <xf numFmtId="0" fontId="81" fillId="9" borderId="10" xfId="0" applyFont="1" applyFill="1" applyBorder="1"/>
    <xf numFmtId="164" fontId="10" fillId="2" borderId="3" xfId="0" applyNumberFormat="1" applyFont="1" applyFill="1" applyBorder="1" applyAlignment="1">
      <alignment horizontal="center"/>
    </xf>
    <xf numFmtId="0" fontId="0" fillId="10" borderId="15" xfId="0" applyFill="1" applyBorder="1" applyAlignment="1" applyProtection="1">
      <alignment horizontal="center"/>
      <protection locked="0"/>
    </xf>
    <xf numFmtId="0" fontId="9" fillId="2" borderId="0" xfId="0" applyFont="1" applyFill="1" applyAlignment="1" applyProtection="1">
      <alignment horizontal="center"/>
      <protection hidden="1"/>
    </xf>
    <xf numFmtId="0" fontId="32" fillId="2" borderId="0" xfId="0" applyFont="1" applyFill="1" applyBorder="1" applyAlignment="1" applyProtection="1">
      <alignment horizontal="left"/>
      <protection hidden="1"/>
    </xf>
    <xf numFmtId="0" fontId="6" fillId="2" borderId="0" xfId="0" applyFont="1" applyFill="1" applyBorder="1" applyAlignment="1" applyProtection="1">
      <alignment horizontal="left"/>
      <protection hidden="1"/>
    </xf>
    <xf numFmtId="0" fontId="6" fillId="2" borderId="0" xfId="0" applyFont="1" applyFill="1" applyAlignment="1">
      <alignment horizontal="center"/>
    </xf>
    <xf numFmtId="0" fontId="6" fillId="0" borderId="0" xfId="0" applyFont="1" applyAlignment="1">
      <alignment horizontal="center"/>
    </xf>
    <xf numFmtId="0" fontId="32" fillId="2" borderId="0" xfId="0" applyFont="1" applyFill="1" applyAlignment="1">
      <alignment horizontal="center"/>
    </xf>
    <xf numFmtId="0" fontId="6" fillId="4" borderId="15" xfId="0" applyFont="1" applyFill="1" applyBorder="1" applyAlignment="1" applyProtection="1">
      <alignment horizontal="left"/>
      <protection locked="0"/>
    </xf>
    <xf numFmtId="0" fontId="24" fillId="2" borderId="0" xfId="0" applyFont="1" applyFill="1" applyAlignment="1" applyProtection="1">
      <alignment horizontal="center"/>
      <protection hidden="1"/>
    </xf>
    <xf numFmtId="0" fontId="39" fillId="2" borderId="0" xfId="0" applyFont="1" applyFill="1" applyAlignment="1" applyProtection="1">
      <alignment horizontal="center"/>
      <protection hidden="1"/>
    </xf>
    <xf numFmtId="0" fontId="6" fillId="4" borderId="15" xfId="0" applyFont="1" applyFill="1" applyBorder="1" applyAlignment="1" applyProtection="1">
      <alignment horizontal="center"/>
      <protection locked="0"/>
    </xf>
    <xf numFmtId="22" fontId="0" fillId="2" borderId="0" xfId="0" applyNumberFormat="1" applyFill="1" applyAlignment="1" applyProtection="1">
      <alignment horizontal="center"/>
    </xf>
    <xf numFmtId="0" fontId="32" fillId="11" borderId="0" xfId="0" applyFont="1" applyFill="1" applyBorder="1" applyAlignment="1" applyProtection="1">
      <alignment horizontal="center"/>
      <protection hidden="1"/>
    </xf>
    <xf numFmtId="0" fontId="32" fillId="2" borderId="0" xfId="0" applyFont="1" applyFill="1" applyBorder="1"/>
    <xf numFmtId="0" fontId="32" fillId="2" borderId="0" xfId="0" applyFont="1" applyFill="1" applyBorder="1" applyAlignment="1" applyProtection="1">
      <alignment horizontal="center"/>
      <protection hidden="1"/>
    </xf>
    <xf numFmtId="0" fontId="0" fillId="11" borderId="3" xfId="0" applyFill="1" applyBorder="1"/>
    <xf numFmtId="0" fontId="0" fillId="11" borderId="0" xfId="0" applyFill="1" applyBorder="1" applyAlignment="1" applyProtection="1">
      <alignment horizontal="center"/>
      <protection hidden="1"/>
    </xf>
    <xf numFmtId="0" fontId="0" fillId="11" borderId="0" xfId="0" applyFill="1" applyBorder="1"/>
    <xf numFmtId="0" fontId="0" fillId="11" borderId="1" xfId="0" applyFill="1" applyBorder="1" applyAlignment="1">
      <alignment horizontal="left"/>
    </xf>
    <xf numFmtId="2" fontId="0" fillId="11" borderId="0" xfId="0" applyNumberFormat="1" applyFill="1" applyBorder="1" applyAlignment="1" applyProtection="1">
      <alignment horizontal="center"/>
      <protection hidden="1"/>
    </xf>
    <xf numFmtId="0" fontId="32" fillId="11" borderId="0" xfId="0" applyFont="1" applyFill="1" applyBorder="1" applyAlignment="1" applyProtection="1">
      <alignment horizontal="left"/>
      <protection hidden="1"/>
    </xf>
    <xf numFmtId="0" fontId="32" fillId="11" borderId="0" xfId="0" applyFont="1" applyFill="1" applyBorder="1"/>
    <xf numFmtId="0" fontId="0" fillId="11" borderId="0" xfId="0" applyFill="1" applyBorder="1" applyAlignment="1" applyProtection="1">
      <alignment horizontal="left"/>
      <protection hidden="1"/>
    </xf>
    <xf numFmtId="0" fontId="6" fillId="11" borderId="0" xfId="0" applyFont="1" applyFill="1" applyBorder="1"/>
    <xf numFmtId="1" fontId="16" fillId="11" borderId="1" xfId="0" applyNumberFormat="1" applyFont="1" applyFill="1" applyBorder="1" applyAlignment="1">
      <alignment horizontal="left"/>
    </xf>
    <xf numFmtId="0" fontId="0" fillId="11" borderId="0" xfId="0" applyFill="1"/>
    <xf numFmtId="0" fontId="0" fillId="11" borderId="0" xfId="0" applyFill="1" applyAlignment="1" applyProtection="1">
      <alignment horizontal="left"/>
      <protection hidden="1"/>
    </xf>
    <xf numFmtId="0" fontId="9" fillId="11" borderId="0" xfId="0" applyFont="1" applyFill="1" applyBorder="1" applyAlignment="1" applyProtection="1">
      <alignment horizontal="left"/>
    </xf>
    <xf numFmtId="0" fontId="9" fillId="11" borderId="0" xfId="0" applyFont="1" applyFill="1" applyBorder="1" applyAlignment="1" applyProtection="1">
      <alignment horizontal="right"/>
    </xf>
    <xf numFmtId="0" fontId="0" fillId="11" borderId="1" xfId="0" applyFill="1" applyBorder="1"/>
    <xf numFmtId="0" fontId="0" fillId="11" borderId="0" xfId="0" applyFill="1" applyBorder="1" applyProtection="1"/>
    <xf numFmtId="0" fontId="0" fillId="2" borderId="0" xfId="0" applyFill="1" applyBorder="1" applyAlignment="1">
      <alignment horizontal="left"/>
    </xf>
    <xf numFmtId="0" fontId="0" fillId="11" borderId="3" xfId="0" applyFill="1" applyBorder="1" applyProtection="1"/>
    <xf numFmtId="0" fontId="0" fillId="2" borderId="11" xfId="0" applyFill="1" applyBorder="1" applyAlignment="1" applyProtection="1">
      <alignment horizontal="left"/>
      <protection hidden="1"/>
    </xf>
    <xf numFmtId="2" fontId="0" fillId="2" borderId="11" xfId="0" applyNumberFormat="1" applyFill="1" applyBorder="1" applyAlignment="1" applyProtection="1">
      <alignment horizontal="center"/>
      <protection hidden="1"/>
    </xf>
    <xf numFmtId="0" fontId="0" fillId="11" borderId="11" xfId="0" applyFill="1" applyBorder="1"/>
    <xf numFmtId="0" fontId="0" fillId="11" borderId="12" xfId="0" applyFill="1" applyBorder="1"/>
    <xf numFmtId="0" fontId="6" fillId="2" borderId="0" xfId="0" applyFont="1" applyFill="1" applyBorder="1" applyAlignment="1">
      <alignment horizontal="center"/>
    </xf>
    <xf numFmtId="2" fontId="1"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left"/>
      <protection hidden="1"/>
    </xf>
    <xf numFmtId="2" fontId="0" fillId="2" borderId="0" xfId="0" applyNumberFormat="1" applyFill="1" applyBorder="1" applyAlignment="1" applyProtection="1">
      <alignment horizontal="left"/>
      <protection hidden="1"/>
    </xf>
    <xf numFmtId="0" fontId="78" fillId="2" borderId="0" xfId="0" applyFont="1" applyFill="1" applyBorder="1"/>
    <xf numFmtId="0" fontId="6" fillId="2" borderId="10" xfId="0" applyFont="1" applyFill="1" applyBorder="1" applyAlignment="1">
      <alignment horizontal="center"/>
    </xf>
    <xf numFmtId="0" fontId="0" fillId="2" borderId="10" xfId="0" applyFill="1" applyBorder="1" applyAlignment="1" applyProtection="1">
      <alignment horizontal="left"/>
      <protection hidden="1"/>
    </xf>
    <xf numFmtId="0" fontId="0" fillId="11" borderId="10" xfId="0" applyFill="1" applyBorder="1"/>
    <xf numFmtId="164" fontId="0" fillId="2" borderId="0" xfId="0" applyNumberFormat="1" applyFill="1" applyAlignment="1">
      <alignment horizontal="center"/>
    </xf>
    <xf numFmtId="164" fontId="0" fillId="2" borderId="0" xfId="0" applyNumberFormat="1" applyFill="1" applyBorder="1" applyAlignment="1">
      <alignment horizontal="center"/>
    </xf>
    <xf numFmtId="0" fontId="0" fillId="2" borderId="10" xfId="0" applyFill="1" applyBorder="1" applyAlignment="1">
      <alignment horizontal="left"/>
    </xf>
    <xf numFmtId="0" fontId="0" fillId="11" borderId="2" xfId="0" applyFill="1" applyBorder="1"/>
    <xf numFmtId="2" fontId="0" fillId="11" borderId="11" xfId="0" applyNumberFormat="1" applyFill="1" applyBorder="1" applyAlignment="1" applyProtection="1">
      <alignment horizontal="center"/>
      <protection hidden="1"/>
    </xf>
    <xf numFmtId="0" fontId="0" fillId="11" borderId="12" xfId="0" applyFill="1" applyBorder="1" applyAlignment="1">
      <alignment horizontal="left"/>
    </xf>
    <xf numFmtId="0" fontId="9" fillId="11" borderId="0" xfId="0" applyFont="1" applyFill="1" applyBorder="1" applyAlignment="1" applyProtection="1">
      <alignment horizontal="center"/>
      <protection hidden="1"/>
    </xf>
    <xf numFmtId="0" fontId="0" fillId="11" borderId="5" xfId="0" applyFill="1" applyBorder="1" applyAlignment="1">
      <alignment horizontal="left"/>
    </xf>
    <xf numFmtId="0" fontId="0" fillId="11" borderId="4" xfId="0" applyFill="1" applyBorder="1"/>
    <xf numFmtId="2" fontId="0" fillId="11" borderId="10" xfId="0" applyNumberFormat="1" applyFill="1" applyBorder="1" applyAlignment="1" applyProtection="1">
      <alignment horizontal="center"/>
      <protection hidden="1"/>
    </xf>
    <xf numFmtId="0" fontId="0" fillId="11" borderId="0" xfId="0" applyFill="1" applyAlignment="1" applyProtection="1">
      <alignment horizontal="center"/>
      <protection hidden="1"/>
    </xf>
    <xf numFmtId="0" fontId="16" fillId="2" borderId="0" xfId="0" applyFont="1" applyFill="1" applyAlignment="1" applyProtection="1">
      <alignment horizontal="center"/>
      <protection hidden="1"/>
    </xf>
    <xf numFmtId="1" fontId="16" fillId="2" borderId="0" xfId="0" applyNumberFormat="1" applyFont="1" applyFill="1" applyAlignment="1" applyProtection="1">
      <alignment horizontal="left"/>
      <protection hidden="1"/>
    </xf>
    <xf numFmtId="2" fontId="0" fillId="11" borderId="0" xfId="0" applyNumberFormat="1" applyFill="1" applyBorder="1" applyAlignment="1" applyProtection="1">
      <alignment horizontal="left"/>
      <protection hidden="1"/>
    </xf>
    <xf numFmtId="2" fontId="0" fillId="11" borderId="0" xfId="0" applyNumberFormat="1" applyFill="1" applyAlignment="1" applyProtection="1">
      <alignment horizontal="left"/>
      <protection hidden="1"/>
    </xf>
    <xf numFmtId="0" fontId="9" fillId="3" borderId="15" xfId="0" applyFont="1" applyFill="1" applyBorder="1" applyAlignment="1" applyProtection="1">
      <alignment horizontal="center"/>
      <protection hidden="1"/>
    </xf>
    <xf numFmtId="0" fontId="32" fillId="11" borderId="1" xfId="0" applyFont="1" applyFill="1" applyBorder="1" applyAlignment="1" applyProtection="1">
      <alignment horizontal="left"/>
      <protection hidden="1"/>
    </xf>
    <xf numFmtId="0" fontId="0" fillId="11" borderId="1" xfId="0" applyFill="1" applyBorder="1" applyAlignment="1" applyProtection="1">
      <alignment horizontal="left"/>
      <protection hidden="1"/>
    </xf>
    <xf numFmtId="2" fontId="0" fillId="11" borderId="1" xfId="0" applyNumberFormat="1" applyFill="1" applyBorder="1" applyAlignment="1" applyProtection="1">
      <alignment horizontal="center"/>
      <protection hidden="1"/>
    </xf>
    <xf numFmtId="2" fontId="0" fillId="11" borderId="12" xfId="0" applyNumberFormat="1" applyFill="1" applyBorder="1" applyAlignment="1" applyProtection="1">
      <alignment horizontal="center"/>
      <protection hidden="1"/>
    </xf>
    <xf numFmtId="0" fontId="0" fillId="11" borderId="1" xfId="0" applyFill="1" applyBorder="1" applyAlignment="1" applyProtection="1">
      <alignment horizontal="center"/>
      <protection hidden="1"/>
    </xf>
    <xf numFmtId="2" fontId="0" fillId="11" borderId="1" xfId="0" applyNumberFormat="1" applyFill="1" applyBorder="1" applyAlignment="1" applyProtection="1">
      <alignment horizontal="left"/>
      <protection hidden="1"/>
    </xf>
    <xf numFmtId="2" fontId="0" fillId="11" borderId="5" xfId="0" applyNumberFormat="1" applyFill="1" applyBorder="1" applyAlignment="1" applyProtection="1">
      <alignment horizontal="center"/>
      <protection hidden="1"/>
    </xf>
    <xf numFmtId="0" fontId="97" fillId="2" borderId="0" xfId="0" applyFont="1" applyFill="1" applyBorder="1" applyAlignment="1" applyProtection="1">
      <alignment horizontal="right"/>
      <protection hidden="1"/>
    </xf>
    <xf numFmtId="0" fontId="9" fillId="5" borderId="15" xfId="0" applyFont="1" applyFill="1" applyBorder="1" applyAlignment="1" applyProtection="1">
      <alignment horizontal="left"/>
      <protection hidden="1"/>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hidden="1"/>
    </xf>
    <xf numFmtId="2" fontId="0" fillId="2" borderId="11" xfId="0" applyNumberFormat="1" applyFill="1" applyBorder="1" applyAlignment="1" applyProtection="1">
      <alignment horizontal="center"/>
      <protection locked="0" hidden="1"/>
    </xf>
    <xf numFmtId="2" fontId="1" fillId="2" borderId="0" xfId="0" applyNumberFormat="1" applyFont="1" applyFill="1" applyBorder="1" applyAlignment="1" applyProtection="1">
      <alignment horizontal="center"/>
      <protection locked="0" hidden="1"/>
    </xf>
    <xf numFmtId="2" fontId="0" fillId="2" borderId="0" xfId="0" applyNumberFormat="1" applyFill="1" applyBorder="1" applyAlignment="1" applyProtection="1">
      <alignment horizontal="center"/>
      <protection locked="0" hidden="1"/>
    </xf>
    <xf numFmtId="2" fontId="0" fillId="2" borderId="10" xfId="0" applyNumberFormat="1" applyFill="1" applyBorder="1" applyAlignment="1" applyProtection="1">
      <alignment horizontal="center"/>
      <protection locked="0" hidden="1"/>
    </xf>
    <xf numFmtId="164" fontId="0" fillId="2" borderId="0"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locked="0" hidden="1"/>
    </xf>
    <xf numFmtId="0" fontId="0" fillId="0" borderId="0" xfId="0" applyAlignment="1" applyProtection="1">
      <alignment horizontal="center"/>
      <protection locked="0"/>
    </xf>
    <xf numFmtId="1" fontId="0" fillId="2" borderId="0" xfId="0" applyNumberFormat="1" applyFill="1" applyAlignment="1" applyProtection="1">
      <alignment horizontal="center"/>
      <protection locked="0"/>
    </xf>
    <xf numFmtId="0" fontId="32" fillId="2" borderId="0" xfId="0" applyFont="1" applyFill="1" applyBorder="1" applyAlignment="1" applyProtection="1">
      <alignment horizontal="center"/>
      <protection locked="0" hidden="1"/>
    </xf>
    <xf numFmtId="0" fontId="0" fillId="0" borderId="0" xfId="0" applyFill="1" applyBorder="1" applyProtection="1"/>
    <xf numFmtId="0" fontId="6" fillId="2" borderId="0" xfId="0" applyFont="1" applyFill="1" applyBorder="1" applyAlignment="1" applyProtection="1">
      <alignment horizontal="center"/>
      <protection hidden="1"/>
    </xf>
    <xf numFmtId="0" fontId="0" fillId="11" borderId="1" xfId="0" applyFill="1" applyBorder="1" applyAlignment="1" applyProtection="1">
      <alignment horizontal="left"/>
    </xf>
    <xf numFmtId="0" fontId="0" fillId="11" borderId="0" xfId="0" applyFill="1" applyProtection="1"/>
    <xf numFmtId="0" fontId="78" fillId="2" borderId="0" xfId="0" applyFont="1" applyFill="1" applyProtection="1"/>
    <xf numFmtId="0" fontId="0" fillId="0" borderId="0" xfId="0" applyFill="1" applyProtection="1"/>
    <xf numFmtId="0" fontId="6" fillId="2" borderId="29" xfId="0" applyFont="1" applyFill="1" applyBorder="1" applyAlignment="1" applyProtection="1">
      <alignment horizontal="left"/>
      <protection hidden="1"/>
    </xf>
    <xf numFmtId="164" fontId="0" fillId="2" borderId="29" xfId="0" applyNumberFormat="1" applyFill="1" applyBorder="1" applyAlignment="1" applyProtection="1">
      <alignment horizontal="center"/>
      <protection hidden="1"/>
    </xf>
    <xf numFmtId="0" fontId="0" fillId="2" borderId="29" xfId="0" applyFill="1" applyBorder="1" applyAlignment="1" applyProtection="1">
      <alignment horizontal="center"/>
      <protection hidden="1"/>
    </xf>
    <xf numFmtId="164" fontId="10" fillId="2" borderId="6" xfId="0" applyNumberFormat="1" applyFont="1" applyFill="1" applyBorder="1" applyAlignment="1" applyProtection="1">
      <alignment horizontal="center"/>
    </xf>
    <xf numFmtId="0" fontId="0" fillId="5" borderId="6" xfId="0" applyFill="1" applyBorder="1" applyAlignment="1" applyProtection="1">
      <alignment horizontal="center"/>
    </xf>
    <xf numFmtId="164" fontId="10" fillId="2" borderId="4" xfId="0" applyNumberFormat="1" applyFont="1" applyFill="1" applyBorder="1" applyAlignment="1" applyProtection="1">
      <alignment horizontal="center"/>
    </xf>
    <xf numFmtId="0" fontId="0" fillId="0" borderId="0" xfId="0" applyProtection="1"/>
    <xf numFmtId="0" fontId="0" fillId="5" borderId="18" xfId="0" applyFill="1" applyBorder="1" applyAlignment="1" applyProtection="1">
      <alignment horizontal="center"/>
    </xf>
    <xf numFmtId="0" fontId="6" fillId="11" borderId="0" xfId="0" applyFont="1" applyFill="1" applyBorder="1" applyProtection="1"/>
    <xf numFmtId="164" fontId="10" fillId="2" borderId="18" xfId="0" applyNumberFormat="1" applyFont="1" applyFill="1" applyBorder="1" applyAlignment="1" applyProtection="1">
      <alignment horizontal="center"/>
    </xf>
    <xf numFmtId="164" fontId="10" fillId="2" borderId="3" xfId="0" applyNumberFormat="1" applyFont="1" applyFill="1" applyBorder="1" applyAlignment="1" applyProtection="1">
      <alignment horizontal="center"/>
    </xf>
    <xf numFmtId="0" fontId="0" fillId="5" borderId="6" xfId="0" applyFill="1" applyBorder="1" applyProtection="1"/>
    <xf numFmtId="0" fontId="81" fillId="9" borderId="4" xfId="0" applyFont="1" applyFill="1" applyBorder="1" applyProtection="1"/>
    <xf numFmtId="0" fontId="81" fillId="9" borderId="10" xfId="0" applyFont="1" applyFill="1" applyBorder="1" applyAlignment="1" applyProtection="1">
      <alignment horizontal="center"/>
    </xf>
    <xf numFmtId="0" fontId="81" fillId="9" borderId="5" xfId="0" applyFont="1" applyFill="1" applyBorder="1" applyAlignment="1" applyProtection="1">
      <alignment horizontal="center"/>
    </xf>
    <xf numFmtId="0" fontId="81" fillId="9" borderId="10" xfId="0" applyFont="1" applyFill="1" applyBorder="1" applyProtection="1"/>
    <xf numFmtId="0" fontId="10" fillId="2" borderId="12" xfId="0" applyFont="1" applyFill="1" applyBorder="1" applyAlignment="1" applyProtection="1">
      <alignment horizontal="center"/>
    </xf>
    <xf numFmtId="0" fontId="0" fillId="5" borderId="0" xfId="0" applyFill="1" applyBorder="1" applyAlignment="1" applyProtection="1">
      <alignment horizontal="center"/>
    </xf>
    <xf numFmtId="0" fontId="0" fillId="5" borderId="17" xfId="0" applyFill="1" applyBorder="1" applyAlignment="1" applyProtection="1">
      <alignment horizontal="center"/>
    </xf>
    <xf numFmtId="0" fontId="10" fillId="5" borderId="1" xfId="0" applyFont="1" applyFill="1" applyBorder="1" applyAlignment="1" applyProtection="1">
      <alignment horizontal="center"/>
    </xf>
    <xf numFmtId="0" fontId="33" fillId="5" borderId="4" xfId="0" applyFont="1" applyFill="1" applyBorder="1" applyAlignment="1" applyProtection="1">
      <alignment horizontal="center"/>
    </xf>
    <xf numFmtId="0" fontId="0" fillId="5" borderId="10" xfId="0" applyFill="1" applyBorder="1" applyAlignment="1" applyProtection="1">
      <alignment horizontal="center"/>
    </xf>
    <xf numFmtId="0" fontId="10" fillId="5" borderId="5" xfId="0" applyFont="1" applyFill="1" applyBorder="1" applyAlignment="1" applyProtection="1">
      <alignment horizontal="center"/>
    </xf>
    <xf numFmtId="0" fontId="0" fillId="5" borderId="2" xfId="0" applyFill="1" applyBorder="1" applyAlignment="1" applyProtection="1">
      <alignment horizontal="center"/>
    </xf>
    <xf numFmtId="0" fontId="0" fillId="5" borderId="11" xfId="0" applyFill="1" applyBorder="1" applyAlignment="1" applyProtection="1">
      <alignment horizontal="center"/>
    </xf>
    <xf numFmtId="0" fontId="0" fillId="5" borderId="17" xfId="0" quotePrefix="1" applyFill="1" applyBorder="1" applyAlignment="1" applyProtection="1">
      <alignment horizontal="center"/>
    </xf>
    <xf numFmtId="0" fontId="81" fillId="2" borderId="3" xfId="0" applyFont="1" applyFill="1" applyBorder="1" applyAlignment="1" applyProtection="1">
      <alignment horizontal="center"/>
    </xf>
    <xf numFmtId="0" fontId="81" fillId="2" borderId="4" xfId="0" applyFont="1" applyFill="1" applyBorder="1" applyAlignment="1" applyProtection="1">
      <alignment horizontal="center"/>
    </xf>
    <xf numFmtId="0" fontId="81" fillId="2" borderId="17" xfId="0" applyFont="1" applyFill="1" applyBorder="1" applyAlignment="1" applyProtection="1">
      <alignment horizontal="center"/>
    </xf>
    <xf numFmtId="0" fontId="81" fillId="2" borderId="6" xfId="0" applyFont="1" applyFill="1" applyBorder="1" applyAlignment="1" applyProtection="1">
      <alignment horizontal="center"/>
    </xf>
    <xf numFmtId="0" fontId="0" fillId="5" borderId="2" xfId="0" applyFill="1" applyBorder="1" applyProtection="1"/>
    <xf numFmtId="0" fontId="0" fillId="5" borderId="12" xfId="0" applyFill="1" applyBorder="1" applyProtection="1"/>
    <xf numFmtId="0" fontId="0" fillId="5" borderId="5" xfId="0" applyFill="1" applyBorder="1" applyProtection="1"/>
    <xf numFmtId="0" fontId="9" fillId="5" borderId="4" xfId="0" applyFont="1" applyFill="1" applyBorder="1" applyProtection="1"/>
    <xf numFmtId="0" fontId="9" fillId="5" borderId="6" xfId="0" applyFont="1" applyFill="1" applyBorder="1" applyAlignment="1" applyProtection="1">
      <alignment horizontal="center"/>
    </xf>
    <xf numFmtId="0" fontId="79" fillId="2" borderId="0" xfId="0" applyFont="1" applyFill="1" applyBorder="1" applyAlignment="1" applyProtection="1">
      <alignment horizontal="left"/>
      <protection hidden="1"/>
    </xf>
    <xf numFmtId="0" fontId="79" fillId="2" borderId="0" xfId="0" applyFont="1" applyFill="1" applyAlignment="1" applyProtection="1">
      <alignment horizontal="left"/>
      <protection hidden="1"/>
    </xf>
    <xf numFmtId="2" fontId="36" fillId="2" borderId="0" xfId="0" applyNumberFormat="1" applyFont="1" applyFill="1" applyBorder="1" applyAlignment="1">
      <alignment horizontal="center"/>
    </xf>
    <xf numFmtId="0" fontId="86" fillId="2" borderId="0" xfId="0" applyFont="1" applyFill="1" applyBorder="1" applyAlignment="1" applyProtection="1">
      <alignment horizontal="right"/>
    </xf>
    <xf numFmtId="165" fontId="0" fillId="4" borderId="23" xfId="0" applyNumberFormat="1" applyFill="1" applyBorder="1" applyProtection="1">
      <protection locked="0"/>
    </xf>
    <xf numFmtId="2" fontId="0" fillId="4" borderId="23" xfId="0" applyNumberFormat="1" applyFill="1" applyBorder="1" applyAlignment="1" applyProtection="1">
      <alignment horizontal="center"/>
      <protection locked="0"/>
    </xf>
    <xf numFmtId="4" fontId="0" fillId="4" borderId="23" xfId="0" applyNumberFormat="1" applyFill="1" applyBorder="1" applyProtection="1">
      <protection locked="0"/>
    </xf>
    <xf numFmtId="0" fontId="0" fillId="3" borderId="47" xfId="0" applyFill="1" applyBorder="1" applyAlignment="1" applyProtection="1">
      <alignment horizontal="center"/>
      <protection locked="0"/>
    </xf>
    <xf numFmtId="2" fontId="0" fillId="4" borderId="32" xfId="0" applyNumberFormat="1" applyFill="1" applyBorder="1" applyAlignment="1" applyProtection="1">
      <alignment horizontal="center"/>
      <protection locked="0"/>
    </xf>
    <xf numFmtId="2" fontId="0" fillId="4" borderId="88" xfId="0" applyNumberFormat="1" applyFill="1" applyBorder="1" applyAlignment="1" applyProtection="1">
      <alignment horizontal="center"/>
      <protection locked="0"/>
    </xf>
    <xf numFmtId="2" fontId="10" fillId="2" borderId="32" xfId="0" applyNumberFormat="1" applyFont="1" applyFill="1" applyBorder="1" applyAlignment="1" applyProtection="1">
      <alignment horizontal="center"/>
    </xf>
    <xf numFmtId="164" fontId="0" fillId="2" borderId="2" xfId="0" applyNumberFormat="1" applyFill="1" applyBorder="1" applyAlignment="1" applyProtection="1">
      <alignment horizontal="right"/>
    </xf>
    <xf numFmtId="0" fontId="0" fillId="2" borderId="31" xfId="0" applyFill="1" applyBorder="1" applyAlignment="1" applyProtection="1">
      <alignment horizontal="center"/>
      <protection locked="0"/>
    </xf>
    <xf numFmtId="0" fontId="0" fillId="2" borderId="2" xfId="0" applyFill="1" applyBorder="1"/>
    <xf numFmtId="0" fontId="0" fillId="2" borderId="31" xfId="0" applyFill="1" applyBorder="1" applyProtection="1">
      <protection hidden="1"/>
    </xf>
    <xf numFmtId="0" fontId="9" fillId="2" borderId="19" xfId="0" applyFont="1" applyFill="1" applyBorder="1" applyProtection="1"/>
    <xf numFmtId="0" fontId="9" fillId="5" borderId="19" xfId="0" applyFont="1" applyFill="1" applyBorder="1" applyAlignment="1" applyProtection="1">
      <alignment horizontal="right"/>
    </xf>
    <xf numFmtId="0" fontId="9" fillId="5" borderId="8" xfId="0" applyFont="1" applyFill="1" applyBorder="1" applyAlignment="1" applyProtection="1">
      <alignment horizontal="right"/>
    </xf>
    <xf numFmtId="0" fontId="9" fillId="5" borderId="7" xfId="0" applyFont="1" applyFill="1" applyBorder="1" applyAlignment="1" applyProtection="1">
      <alignment horizontal="center"/>
    </xf>
    <xf numFmtId="0" fontId="0" fillId="3" borderId="10" xfId="0" applyFill="1" applyBorder="1" applyAlignment="1" applyProtection="1">
      <alignment horizontal="center"/>
    </xf>
    <xf numFmtId="0" fontId="1" fillId="2" borderId="0" xfId="0" applyFont="1" applyFill="1"/>
    <xf numFmtId="164" fontId="1" fillId="2" borderId="0" xfId="0" applyNumberFormat="1" applyFont="1" applyFill="1" applyProtection="1"/>
    <xf numFmtId="0" fontId="1" fillId="2" borderId="11" xfId="0" applyFont="1" applyFill="1" applyBorder="1"/>
    <xf numFmtId="2" fontId="1" fillId="2" borderId="12" xfId="0" applyNumberFormat="1" applyFont="1" applyFill="1" applyBorder="1"/>
    <xf numFmtId="0" fontId="1" fillId="2" borderId="10" xfId="0" applyFont="1" applyFill="1" applyBorder="1"/>
    <xf numFmtId="0" fontId="1" fillId="2" borderId="5" xfId="0" applyFont="1" applyFill="1" applyBorder="1"/>
    <xf numFmtId="0" fontId="1" fillId="2" borderId="0" xfId="0" applyFont="1" applyFill="1" applyBorder="1"/>
    <xf numFmtId="0" fontId="1" fillId="2" borderId="1" xfId="0" applyFont="1" applyFill="1" applyBorder="1"/>
    <xf numFmtId="2" fontId="1" fillId="2" borderId="5" xfId="0" applyNumberFormat="1" applyFont="1" applyFill="1" applyBorder="1" applyProtection="1"/>
    <xf numFmtId="2" fontId="1" fillId="2" borderId="1" xfId="0" applyNumberFormat="1" applyFont="1" applyFill="1" applyBorder="1"/>
    <xf numFmtId="2" fontId="1" fillId="2" borderId="5" xfId="0" applyNumberFormat="1" applyFont="1" applyFill="1" applyBorder="1"/>
    <xf numFmtId="0" fontId="1" fillId="2" borderId="3" xfId="0" applyFont="1" applyFill="1" applyBorder="1"/>
    <xf numFmtId="0" fontId="15" fillId="2" borderId="0" xfId="0" applyFont="1" applyFill="1" applyProtection="1"/>
    <xf numFmtId="165" fontId="15" fillId="2" borderId="0" xfId="0" applyNumberFormat="1" applyFont="1" applyFill="1" applyProtection="1"/>
    <xf numFmtId="164" fontId="15" fillId="2" borderId="0" xfId="0" applyNumberFormat="1" applyFont="1" applyFill="1" applyProtection="1"/>
    <xf numFmtId="2" fontId="1" fillId="2" borderId="0" xfId="0" applyNumberFormat="1" applyFont="1" applyFill="1"/>
    <xf numFmtId="0" fontId="1" fillId="2" borderId="3" xfId="0" applyFont="1" applyFill="1" applyBorder="1" applyProtection="1"/>
    <xf numFmtId="0" fontId="1" fillId="2" borderId="1" xfId="0" applyFont="1" applyFill="1" applyBorder="1" applyProtection="1"/>
    <xf numFmtId="164" fontId="59" fillId="2" borderId="11" xfId="0" applyNumberFormat="1" applyFont="1" applyFill="1" applyBorder="1" applyProtection="1"/>
    <xf numFmtId="4" fontId="0" fillId="2" borderId="11" xfId="0" applyNumberFormat="1" applyFill="1" applyBorder="1" applyAlignment="1" applyProtection="1">
      <alignment horizontal="center"/>
      <protection hidden="1"/>
    </xf>
    <xf numFmtId="4" fontId="0" fillId="2" borderId="11" xfId="0" applyNumberFormat="1" applyFill="1" applyBorder="1" applyAlignment="1" applyProtection="1">
      <alignment horizontal="center"/>
    </xf>
    <xf numFmtId="0" fontId="10" fillId="2" borderId="0" xfId="0" applyFont="1" applyFill="1" applyBorder="1" applyAlignment="1" applyProtection="1">
      <alignment horizontal="left"/>
      <protection locked="0"/>
    </xf>
    <xf numFmtId="0" fontId="100" fillId="2" borderId="0" xfId="0" applyFont="1" applyFill="1" applyBorder="1" applyProtection="1"/>
    <xf numFmtId="0" fontId="0" fillId="2" borderId="0" xfId="0" applyFill="1" applyBorder="1" applyProtection="1">
      <protection hidden="1"/>
    </xf>
    <xf numFmtId="0" fontId="0" fillId="5" borderId="11" xfId="0" applyFill="1" applyBorder="1" applyProtection="1"/>
    <xf numFmtId="0" fontId="0" fillId="5" borderId="10" xfId="0" applyFill="1" applyBorder="1" applyProtection="1"/>
    <xf numFmtId="0" fontId="0" fillId="5" borderId="0" xfId="0" applyFill="1" applyBorder="1" applyProtection="1"/>
    <xf numFmtId="0" fontId="9" fillId="5" borderId="2" xfId="0" applyFont="1" applyFill="1" applyBorder="1" applyProtection="1"/>
    <xf numFmtId="0" fontId="9" fillId="5" borderId="11" xfId="0" applyFont="1" applyFill="1" applyBorder="1" applyProtection="1"/>
    <xf numFmtId="0" fontId="10" fillId="5" borderId="2" xfId="0" applyFont="1" applyFill="1" applyBorder="1" applyProtection="1"/>
    <xf numFmtId="0" fontId="0" fillId="5" borderId="4" xfId="0" applyFill="1" applyBorder="1" applyProtection="1"/>
    <xf numFmtId="0" fontId="9" fillId="5" borderId="12" xfId="0" applyFont="1" applyFill="1" applyBorder="1" applyProtection="1"/>
    <xf numFmtId="0" fontId="9" fillId="5" borderId="10" xfId="0" applyFont="1" applyFill="1" applyBorder="1" applyProtection="1"/>
    <xf numFmtId="0" fontId="9" fillId="5" borderId="5" xfId="0" applyFont="1" applyFill="1" applyBorder="1" applyProtection="1"/>
    <xf numFmtId="0" fontId="0" fillId="5" borderId="8" xfId="0" applyFill="1" applyBorder="1" applyProtection="1"/>
    <xf numFmtId="0" fontId="9" fillId="5" borderId="19" xfId="0" applyFont="1" applyFill="1" applyBorder="1" applyProtection="1"/>
    <xf numFmtId="2" fontId="0" fillId="2" borderId="18" xfId="0" applyNumberFormat="1" applyFill="1" applyBorder="1" applyAlignment="1" applyProtection="1">
      <alignment horizontal="center"/>
      <protection locked="0"/>
    </xf>
    <xf numFmtId="0" fontId="9" fillId="2" borderId="10" xfId="0" applyFont="1" applyFill="1" applyBorder="1" applyProtection="1"/>
    <xf numFmtId="0" fontId="9" fillId="5" borderId="17" xfId="0" applyFont="1" applyFill="1" applyBorder="1" applyProtection="1">
      <protection locked="0"/>
    </xf>
    <xf numFmtId="0" fontId="9" fillId="5" borderId="12" xfId="0" applyFont="1" applyFill="1" applyBorder="1" applyAlignment="1" applyProtection="1">
      <alignment horizontal="center"/>
    </xf>
    <xf numFmtId="0" fontId="9" fillId="5" borderId="31" xfId="0" applyFont="1" applyFill="1" applyBorder="1" applyAlignment="1" applyProtection="1">
      <alignment horizontal="center"/>
      <protection locked="0"/>
    </xf>
    <xf numFmtId="0" fontId="9" fillId="5" borderId="17" xfId="0" applyFont="1" applyFill="1" applyBorder="1" applyAlignment="1" applyProtection="1">
      <alignment horizontal="center"/>
    </xf>
    <xf numFmtId="0" fontId="101" fillId="2" borderId="0" xfId="0" applyFont="1" applyFill="1" applyProtection="1"/>
    <xf numFmtId="0" fontId="0" fillId="5" borderId="18" xfId="0" applyFill="1" applyBorder="1" applyAlignment="1" applyProtection="1">
      <alignment horizontal="center"/>
      <protection locked="0"/>
    </xf>
    <xf numFmtId="0" fontId="63" fillId="5" borderId="6" xfId="0" applyFont="1" applyFill="1" applyBorder="1" applyProtection="1"/>
    <xf numFmtId="0" fontId="63" fillId="5" borderId="0" xfId="0" applyFont="1" applyFill="1" applyBorder="1" applyAlignment="1" applyProtection="1">
      <alignment horizontal="center"/>
    </xf>
    <xf numFmtId="0" fontId="63" fillId="5" borderId="1" xfId="0" applyFont="1" applyFill="1" applyBorder="1" applyAlignment="1" applyProtection="1">
      <alignment horizontal="center"/>
    </xf>
    <xf numFmtId="0" fontId="9" fillId="2" borderId="3" xfId="0" applyFont="1" applyFill="1" applyBorder="1" applyAlignment="1" applyProtection="1">
      <alignment horizontal="right"/>
    </xf>
    <xf numFmtId="0" fontId="9" fillId="2" borderId="17" xfId="0" applyFont="1" applyFill="1" applyBorder="1" applyAlignment="1" applyProtection="1">
      <alignment horizontal="right"/>
    </xf>
    <xf numFmtId="0" fontId="9" fillId="2" borderId="18" xfId="0" applyFont="1" applyFill="1" applyBorder="1" applyAlignment="1" applyProtection="1">
      <alignment horizontal="right"/>
    </xf>
    <xf numFmtId="0" fontId="10" fillId="2" borderId="12" xfId="0" applyFont="1" applyFill="1" applyBorder="1" applyAlignment="1" applyProtection="1">
      <alignment horizontal="center" wrapText="1"/>
    </xf>
    <xf numFmtId="0" fontId="0" fillId="2" borderId="10" xfId="0" applyFill="1" applyBorder="1" applyAlignment="1" applyProtection="1">
      <alignment horizontal="right"/>
    </xf>
    <xf numFmtId="167" fontId="0" fillId="2" borderId="0" xfId="0" applyNumberFormat="1" applyFill="1" applyProtection="1"/>
    <xf numFmtId="0" fontId="3" fillId="2" borderId="0" xfId="0" applyFont="1" applyFill="1" applyBorder="1" applyAlignment="1" applyProtection="1">
      <alignment horizontal="right"/>
    </xf>
    <xf numFmtId="167" fontId="3" fillId="2" borderId="0" xfId="0" applyNumberFormat="1" applyFont="1" applyFill="1" applyBorder="1" applyAlignment="1" applyProtection="1">
      <alignment horizontal="right"/>
    </xf>
    <xf numFmtId="167" fontId="3" fillId="2" borderId="0" xfId="0" applyNumberFormat="1" applyFont="1" applyFill="1" applyBorder="1" applyProtection="1"/>
    <xf numFmtId="167" fontId="102" fillId="2" borderId="0" xfId="0" applyNumberFormat="1" applyFont="1" applyFill="1" applyBorder="1" applyProtection="1"/>
    <xf numFmtId="0" fontId="102" fillId="2" borderId="0" xfId="0" applyFont="1" applyFill="1" applyBorder="1" applyProtection="1"/>
    <xf numFmtId="0" fontId="102" fillId="2" borderId="0" xfId="0" applyFont="1" applyFill="1" applyBorder="1" applyAlignment="1" applyProtection="1">
      <alignment horizontal="right"/>
    </xf>
    <xf numFmtId="167" fontId="10" fillId="2" borderId="0" xfId="0" applyNumberFormat="1" applyFont="1" applyFill="1" applyBorder="1" applyProtection="1"/>
    <xf numFmtId="0" fontId="33" fillId="2" borderId="10" xfId="0" applyFont="1" applyFill="1" applyBorder="1" applyAlignment="1" applyProtection="1">
      <alignment horizontal="right"/>
    </xf>
    <xf numFmtId="164" fontId="102" fillId="2" borderId="0" xfId="0" applyNumberFormat="1" applyFont="1" applyFill="1" applyBorder="1" applyProtection="1"/>
    <xf numFmtId="164" fontId="3" fillId="2" borderId="0" xfId="0" applyNumberFormat="1" applyFont="1" applyFill="1" applyBorder="1" applyProtection="1"/>
    <xf numFmtId="0" fontId="1" fillId="2" borderId="5" xfId="0" applyFont="1" applyFill="1" applyBorder="1" applyProtection="1"/>
    <xf numFmtId="0" fontId="3" fillId="2" borderId="1" xfId="0" applyFont="1" applyFill="1" applyBorder="1" applyProtection="1"/>
    <xf numFmtId="0" fontId="102" fillId="2" borderId="1" xfId="0" applyFont="1" applyFill="1" applyBorder="1" applyProtection="1"/>
    <xf numFmtId="167" fontId="9" fillId="2" borderId="10" xfId="0" applyNumberFormat="1" applyFont="1" applyFill="1" applyBorder="1" applyProtection="1"/>
    <xf numFmtId="0" fontId="9" fillId="5" borderId="8" xfId="0" applyFont="1" applyFill="1" applyBorder="1" applyProtection="1"/>
    <xf numFmtId="0" fontId="1" fillId="5" borderId="8" xfId="0" applyFont="1" applyFill="1" applyBorder="1" applyProtection="1"/>
    <xf numFmtId="0" fontId="1" fillId="5" borderId="7" xfId="0" applyFont="1" applyFill="1" applyBorder="1" applyProtection="1"/>
    <xf numFmtId="2" fontId="0" fillId="5" borderId="8" xfId="0" applyNumberFormat="1" applyFill="1" applyBorder="1"/>
    <xf numFmtId="0" fontId="0" fillId="5" borderId="7" xfId="0" applyFill="1" applyBorder="1" applyProtection="1"/>
    <xf numFmtId="167" fontId="10" fillId="2" borderId="10" xfId="0" applyNumberFormat="1" applyFont="1" applyFill="1" applyBorder="1" applyAlignment="1" applyProtection="1">
      <alignment horizontal="right"/>
    </xf>
    <xf numFmtId="0" fontId="10" fillId="2" borderId="0" xfId="0" applyFont="1" applyFill="1" applyBorder="1" applyAlignment="1" applyProtection="1">
      <alignment horizontal="right"/>
    </xf>
    <xf numFmtId="167" fontId="0" fillId="2" borderId="1" xfId="0" applyNumberFormat="1" applyFill="1" applyBorder="1" applyProtection="1"/>
    <xf numFmtId="3" fontId="0" fillId="6" borderId="67" xfId="0" applyNumberFormat="1" applyFill="1" applyBorder="1" applyAlignment="1" applyProtection="1">
      <alignment horizontal="left"/>
      <protection locked="0"/>
    </xf>
    <xf numFmtId="4" fontId="0" fillId="6" borderId="32" xfId="0" applyNumberFormat="1" applyFill="1" applyBorder="1" applyAlignment="1" applyProtection="1">
      <alignment horizontal="center"/>
      <protection locked="0"/>
    </xf>
    <xf numFmtId="4" fontId="0" fillId="6" borderId="89" xfId="0" applyNumberFormat="1" applyFill="1" applyBorder="1" applyAlignment="1" applyProtection="1">
      <alignment horizontal="center"/>
      <protection locked="0"/>
    </xf>
    <xf numFmtId="4" fontId="0" fillId="6" borderId="90" xfId="0" applyNumberFormat="1" applyFill="1" applyBorder="1" applyAlignment="1" applyProtection="1">
      <alignment horizontal="center"/>
      <protection locked="0"/>
    </xf>
    <xf numFmtId="4" fontId="0" fillId="6" borderId="91" xfId="0" applyNumberFormat="1" applyFill="1" applyBorder="1" applyAlignment="1" applyProtection="1">
      <alignment horizontal="center"/>
      <protection locked="0"/>
    </xf>
    <xf numFmtId="165" fontId="0" fillId="6" borderId="15" xfId="0" applyNumberFormat="1" applyFill="1" applyBorder="1" applyAlignment="1" applyProtection="1">
      <alignment horizontal="center"/>
      <protection locked="0"/>
    </xf>
    <xf numFmtId="165" fontId="0" fillId="6" borderId="10" xfId="0" applyNumberFormat="1" applyFill="1" applyBorder="1" applyAlignment="1" applyProtection="1">
      <alignment horizontal="center"/>
      <protection locked="0"/>
    </xf>
    <xf numFmtId="0" fontId="0" fillId="2" borderId="15" xfId="0" applyFill="1" applyBorder="1" applyProtection="1"/>
    <xf numFmtId="0" fontId="0" fillId="2" borderId="67" xfId="0" applyFill="1" applyBorder="1" applyProtection="1"/>
    <xf numFmtId="0" fontId="24" fillId="2" borderId="3" xfId="0" applyFont="1" applyFill="1" applyBorder="1" applyAlignment="1" applyProtection="1">
      <alignment vertical="top"/>
    </xf>
    <xf numFmtId="0" fontId="103" fillId="2" borderId="0" xfId="0" applyFont="1" applyFill="1"/>
    <xf numFmtId="0" fontId="104" fillId="2" borderId="0" xfId="0" applyFont="1" applyFill="1" applyBorder="1"/>
    <xf numFmtId="0" fontId="104" fillId="2" borderId="0" xfId="0" applyFont="1" applyFill="1"/>
    <xf numFmtId="0" fontId="105" fillId="2" borderId="0" xfId="0" applyFont="1" applyFill="1" applyBorder="1" applyAlignment="1">
      <alignment horizontal="center"/>
    </xf>
    <xf numFmtId="0" fontId="13" fillId="2" borderId="0" xfId="0" applyFont="1" applyFill="1"/>
    <xf numFmtId="0" fontId="13" fillId="2" borderId="0" xfId="0" applyFont="1" applyFill="1" applyBorder="1"/>
    <xf numFmtId="0" fontId="106" fillId="2" borderId="0" xfId="0" applyFont="1" applyFill="1" applyBorder="1"/>
    <xf numFmtId="0" fontId="106" fillId="2" borderId="0" xfId="0" applyFont="1" applyFill="1"/>
    <xf numFmtId="0" fontId="15" fillId="2" borderId="0" xfId="0" applyFont="1" applyFill="1" applyBorder="1" applyAlignment="1">
      <alignment horizontal="center"/>
    </xf>
    <xf numFmtId="0" fontId="104" fillId="2" borderId="38" xfId="0" applyFont="1" applyFill="1" applyBorder="1"/>
    <xf numFmtId="0" fontId="15" fillId="2" borderId="92" xfId="0" applyFont="1" applyFill="1" applyBorder="1" applyAlignment="1">
      <alignment horizontal="center"/>
    </xf>
    <xf numFmtId="0" fontId="104" fillId="2" borderId="0" xfId="0" applyFont="1" applyFill="1" applyBorder="1" applyAlignment="1">
      <alignment horizontal="center"/>
    </xf>
    <xf numFmtId="0" fontId="104" fillId="0" borderId="0" xfId="0" applyFont="1"/>
    <xf numFmtId="0" fontId="7" fillId="7" borderId="0" xfId="0" applyFont="1" applyFill="1" applyProtection="1"/>
    <xf numFmtId="164" fontId="16" fillId="7" borderId="0" xfId="0" applyNumberFormat="1" applyFont="1" applyFill="1" applyAlignment="1" applyProtection="1">
      <alignment horizontal="right"/>
    </xf>
    <xf numFmtId="164" fontId="16" fillId="7" borderId="0" xfId="0" applyNumberFormat="1" applyFont="1" applyFill="1" applyAlignment="1" applyProtection="1">
      <alignment horizontal="left"/>
    </xf>
    <xf numFmtId="0" fontId="51" fillId="7" borderId="0" xfId="0" applyFont="1" applyFill="1" applyAlignment="1" applyProtection="1">
      <alignment horizontal="left"/>
    </xf>
    <xf numFmtId="0" fontId="107" fillId="7" borderId="0" xfId="0" applyFont="1" applyFill="1" applyProtection="1"/>
    <xf numFmtId="0" fontId="77" fillId="7" borderId="0" xfId="0" applyFont="1" applyFill="1" applyProtection="1"/>
    <xf numFmtId="0" fontId="107" fillId="7" borderId="0" xfId="0" applyFont="1" applyFill="1" applyAlignment="1" applyProtection="1">
      <alignment horizontal="center"/>
    </xf>
    <xf numFmtId="2" fontId="107" fillId="7" borderId="0" xfId="0" applyNumberFormat="1" applyFont="1" applyFill="1" applyAlignment="1" applyProtection="1">
      <alignment horizontal="left"/>
    </xf>
    <xf numFmtId="0" fontId="18" fillId="7" borderId="11" xfId="0" applyFont="1" applyFill="1" applyBorder="1" applyProtection="1"/>
    <xf numFmtId="0" fontId="18" fillId="7" borderId="3" xfId="0" applyFont="1" applyFill="1" applyBorder="1" applyProtection="1"/>
    <xf numFmtId="0" fontId="18" fillId="7" borderId="4" xfId="0" applyFont="1" applyFill="1" applyBorder="1" applyProtection="1"/>
    <xf numFmtId="0" fontId="18" fillId="7" borderId="10" xfId="0" applyFont="1" applyFill="1" applyBorder="1" applyProtection="1"/>
    <xf numFmtId="0" fontId="16" fillId="7" borderId="8" xfId="0" applyFont="1" applyFill="1" applyBorder="1" applyProtection="1"/>
    <xf numFmtId="0" fontId="0" fillId="12" borderId="31" xfId="0" applyFill="1" applyBorder="1"/>
    <xf numFmtId="0" fontId="0" fillId="12" borderId="31" xfId="0" applyFill="1" applyBorder="1" applyAlignment="1">
      <alignment horizontal="center"/>
    </xf>
    <xf numFmtId="3" fontId="9" fillId="2" borderId="0" xfId="0" applyNumberFormat="1" applyFont="1" applyFill="1" applyBorder="1" applyAlignment="1" applyProtection="1">
      <alignment horizontal="right"/>
    </xf>
    <xf numFmtId="165" fontId="0" fillId="2" borderId="0" xfId="0" applyNumberFormat="1" applyFill="1" applyBorder="1" applyAlignment="1" applyProtection="1">
      <alignment horizontal="center"/>
    </xf>
    <xf numFmtId="4" fontId="0" fillId="12" borderId="31" xfId="0" applyNumberFormat="1" applyFill="1" applyBorder="1" applyAlignment="1">
      <alignment horizontal="center"/>
    </xf>
    <xf numFmtId="0" fontId="32" fillId="2" borderId="93" xfId="0" applyFont="1" applyFill="1" applyBorder="1" applyAlignment="1">
      <alignment horizontal="center"/>
    </xf>
    <xf numFmtId="0" fontId="32" fillId="2" borderId="94" xfId="0" applyFont="1" applyFill="1" applyBorder="1" applyAlignment="1">
      <alignment horizontal="center"/>
    </xf>
    <xf numFmtId="0" fontId="32" fillId="2" borderId="95" xfId="0" applyFont="1" applyFill="1" applyBorder="1" applyAlignment="1">
      <alignment horizontal="center"/>
    </xf>
    <xf numFmtId="0" fontId="0" fillId="4" borderId="32" xfId="0" applyFill="1" applyBorder="1" applyAlignment="1" applyProtection="1">
      <alignment horizontal="center"/>
      <protection locked="0"/>
    </xf>
    <xf numFmtId="0" fontId="16" fillId="7" borderId="0" xfId="0" applyFont="1" applyFill="1" applyAlignment="1" applyProtection="1">
      <alignment horizontal="right"/>
    </xf>
    <xf numFmtId="0" fontId="6" fillId="2" borderId="0" xfId="0" applyFont="1" applyFill="1" applyBorder="1" applyAlignment="1" applyProtection="1">
      <alignment horizontal="left"/>
    </xf>
    <xf numFmtId="0" fontId="6" fillId="2" borderId="40" xfId="0" applyFont="1" applyFill="1" applyBorder="1" applyAlignment="1" applyProtection="1">
      <alignment horizontal="left"/>
    </xf>
    <xf numFmtId="0" fontId="3" fillId="2" borderId="0" xfId="0" applyFont="1" applyFill="1" applyBorder="1" applyAlignment="1" applyProtection="1">
      <alignment horizontal="left"/>
    </xf>
    <xf numFmtId="9" fontId="11" fillId="4" borderId="10" xfId="3" applyFont="1" applyFill="1" applyBorder="1" applyAlignment="1" applyProtection="1">
      <alignment horizontal="center"/>
      <protection locked="0"/>
    </xf>
    <xf numFmtId="9" fontId="11" fillId="2" borderId="0" xfId="0" applyNumberFormat="1" applyFont="1" applyFill="1" applyProtection="1"/>
    <xf numFmtId="0" fontId="11" fillId="2" borderId="0" xfId="0" applyFont="1" applyFill="1" applyAlignment="1" applyProtection="1">
      <alignment horizontal="right"/>
      <protection locked="0"/>
    </xf>
    <xf numFmtId="0" fontId="11" fillId="2" borderId="10" xfId="0" applyFont="1" applyFill="1" applyBorder="1" applyAlignment="1" applyProtection="1">
      <alignment horizontal="right"/>
      <protection locked="0"/>
    </xf>
    <xf numFmtId="0" fontId="10" fillId="2" borderId="1" xfId="0" applyFont="1" applyFill="1" applyBorder="1" applyAlignment="1">
      <alignment horizontal="center"/>
    </xf>
    <xf numFmtId="0" fontId="0" fillId="2" borderId="1" xfId="0" applyFill="1" applyBorder="1" applyAlignment="1">
      <alignment horizontal="center"/>
    </xf>
    <xf numFmtId="0" fontId="10" fillId="2" borderId="10" xfId="0" applyFont="1" applyFill="1" applyBorder="1" applyAlignment="1" applyProtection="1">
      <alignment horizontal="center"/>
    </xf>
    <xf numFmtId="0" fontId="10" fillId="2" borderId="5" xfId="0" applyFont="1" applyFill="1" applyBorder="1" applyAlignment="1" applyProtection="1">
      <alignment horizontal="center"/>
    </xf>
    <xf numFmtId="0" fontId="10" fillId="2" borderId="4" xfId="0" applyFont="1" applyFill="1" applyBorder="1" applyAlignment="1" applyProtection="1"/>
    <xf numFmtId="1" fontId="0" fillId="7" borderId="1" xfId="0" applyNumberFormat="1" applyFill="1" applyBorder="1" applyAlignment="1" applyProtection="1">
      <alignment horizontal="center"/>
    </xf>
    <xf numFmtId="164" fontId="9" fillId="7" borderId="0" xfId="0" applyNumberFormat="1" applyFont="1" applyFill="1" applyAlignment="1" applyProtection="1">
      <alignment horizontal="center"/>
    </xf>
    <xf numFmtId="165" fontId="0" fillId="4" borderId="15" xfId="0" applyNumberFormat="1" applyFill="1" applyBorder="1" applyProtection="1"/>
    <xf numFmtId="0" fontId="6" fillId="7" borderId="3" xfId="0" applyFont="1" applyFill="1" applyBorder="1" applyAlignment="1" applyProtection="1">
      <alignment horizontal="left"/>
    </xf>
    <xf numFmtId="0" fontId="0" fillId="5" borderId="49" xfId="0" applyFill="1" applyBorder="1" applyAlignment="1" applyProtection="1">
      <alignment horizontal="right"/>
    </xf>
    <xf numFmtId="0" fontId="0" fillId="5" borderId="96" xfId="0" applyFill="1" applyBorder="1" applyAlignment="1" applyProtection="1">
      <alignment horizontal="left"/>
    </xf>
    <xf numFmtId="164" fontId="0" fillId="4" borderId="61" xfId="0" applyNumberFormat="1" applyFill="1" applyBorder="1" applyAlignment="1" applyProtection="1">
      <alignment horizontal="right"/>
    </xf>
    <xf numFmtId="0" fontId="0" fillId="4" borderId="65" xfId="0" applyFill="1" applyBorder="1" applyAlignment="1" applyProtection="1">
      <alignment horizontal="left"/>
    </xf>
    <xf numFmtId="0" fontId="0" fillId="4" borderId="56" xfId="0" applyFill="1" applyBorder="1" applyAlignment="1" applyProtection="1">
      <alignment horizontal="left"/>
    </xf>
    <xf numFmtId="0" fontId="0" fillId="4" borderId="97" xfId="0" applyFill="1" applyBorder="1" applyAlignment="1" applyProtection="1">
      <alignment horizontal="left"/>
    </xf>
    <xf numFmtId="164" fontId="0" fillId="4" borderId="98" xfId="0" applyNumberFormat="1" applyFill="1" applyBorder="1" applyAlignment="1" applyProtection="1">
      <alignment horizontal="right"/>
    </xf>
    <xf numFmtId="0" fontId="0" fillId="4" borderId="99" xfId="0" applyFill="1" applyBorder="1" applyAlignment="1" applyProtection="1">
      <alignment horizontal="left"/>
    </xf>
    <xf numFmtId="0" fontId="0" fillId="7" borderId="6" xfId="0" applyFill="1" applyBorder="1" applyAlignment="1">
      <alignment horizontal="center"/>
    </xf>
    <xf numFmtId="0" fontId="6" fillId="7" borderId="6" xfId="0" applyFont="1" applyFill="1" applyBorder="1"/>
    <xf numFmtId="14" fontId="0" fillId="7" borderId="6" xfId="0" applyNumberFormat="1" applyFill="1" applyBorder="1" applyAlignment="1">
      <alignment horizontal="center"/>
    </xf>
    <xf numFmtId="164" fontId="0" fillId="7" borderId="6" xfId="0" applyNumberFormat="1" applyFill="1" applyBorder="1" applyAlignment="1">
      <alignment horizontal="center"/>
    </xf>
    <xf numFmtId="0" fontId="16" fillId="7" borderId="67" xfId="0" applyFont="1" applyFill="1" applyBorder="1" applyAlignment="1" applyProtection="1">
      <alignment vertical="center"/>
    </xf>
    <xf numFmtId="0" fontId="16" fillId="7" borderId="27" xfId="0" applyFont="1" applyFill="1" applyBorder="1" applyAlignment="1" applyProtection="1">
      <alignment horizontal="center" vertical="center"/>
    </xf>
    <xf numFmtId="178" fontId="16" fillId="7" borderId="27" xfId="1" applyNumberFormat="1" applyFont="1" applyFill="1" applyBorder="1" applyAlignment="1" applyProtection="1">
      <alignment horizontal="center" vertical="center"/>
    </xf>
    <xf numFmtId="9" fontId="16" fillId="7" borderId="15" xfId="0" applyNumberFormat="1" applyFont="1" applyFill="1" applyBorder="1" applyAlignment="1" applyProtection="1">
      <alignment horizontal="center" vertical="center"/>
    </xf>
    <xf numFmtId="9" fontId="16" fillId="7" borderId="100" xfId="0" applyNumberFormat="1" applyFont="1" applyFill="1" applyBorder="1" applyAlignment="1" applyProtection="1">
      <alignment horizontal="center" vertical="center"/>
    </xf>
    <xf numFmtId="165" fontId="1" fillId="2" borderId="0" xfId="0" applyNumberFormat="1" applyFont="1" applyFill="1" applyAlignment="1" applyProtection="1">
      <alignment horizontal="left"/>
    </xf>
    <xf numFmtId="0" fontId="10" fillId="11" borderId="2" xfId="0" applyFont="1" applyFill="1" applyBorder="1" applyAlignment="1" applyProtection="1">
      <alignment horizontal="left"/>
    </xf>
    <xf numFmtId="0" fontId="10" fillId="11" borderId="3" xfId="0" applyFont="1" applyFill="1" applyBorder="1" applyAlignment="1" applyProtection="1">
      <alignment horizontal="left"/>
    </xf>
    <xf numFmtId="0" fontId="10" fillId="11" borderId="4" xfId="0" applyFont="1" applyFill="1" applyBorder="1" applyAlignment="1" applyProtection="1">
      <alignment horizontal="left"/>
    </xf>
    <xf numFmtId="0" fontId="0" fillId="11" borderId="11" xfId="0" applyFill="1" applyBorder="1" applyAlignment="1" applyProtection="1">
      <alignment horizontal="left"/>
      <protection locked="0"/>
    </xf>
    <xf numFmtId="0" fontId="10" fillId="11" borderId="12" xfId="0" applyFont="1" applyFill="1" applyBorder="1" applyAlignment="1" applyProtection="1">
      <alignment horizontal="left"/>
      <protection locked="0"/>
    </xf>
    <xf numFmtId="0" fontId="10" fillId="11" borderId="0" xfId="0" applyFont="1" applyFill="1" applyBorder="1" applyAlignment="1" applyProtection="1">
      <alignment horizontal="left"/>
    </xf>
    <xf numFmtId="0" fontId="10" fillId="11" borderId="1" xfId="0" applyFont="1" applyFill="1" applyBorder="1" applyAlignment="1" applyProtection="1">
      <alignment horizontal="left"/>
    </xf>
    <xf numFmtId="0" fontId="0" fillId="11" borderId="10" xfId="0" applyFill="1" applyBorder="1" applyAlignment="1" applyProtection="1">
      <alignment horizontal="left"/>
    </xf>
    <xf numFmtId="0" fontId="0" fillId="11" borderId="5" xfId="0" applyFill="1" applyBorder="1" applyAlignment="1" applyProtection="1">
      <alignment horizontal="left"/>
    </xf>
    <xf numFmtId="165" fontId="18" fillId="2" borderId="0" xfId="0" applyNumberFormat="1" applyFont="1" applyFill="1" applyAlignment="1" applyProtection="1">
      <alignment horizontal="left"/>
    </xf>
    <xf numFmtId="165" fontId="1" fillId="7" borderId="0" xfId="0" applyNumberFormat="1" applyFont="1" applyFill="1" applyAlignment="1" applyProtection="1">
      <alignment horizontal="left"/>
    </xf>
    <xf numFmtId="0" fontId="4" fillId="2" borderId="3" xfId="0" applyFont="1" applyFill="1" applyBorder="1" applyAlignment="1" applyProtection="1">
      <protection hidden="1"/>
    </xf>
    <xf numFmtId="0" fontId="1" fillId="2" borderId="1" xfId="0" applyFont="1" applyFill="1" applyBorder="1" applyAlignment="1" applyProtection="1">
      <alignment horizontal="left"/>
      <protection hidden="1"/>
    </xf>
    <xf numFmtId="0" fontId="49" fillId="2" borderId="18" xfId="0" applyFont="1" applyFill="1" applyBorder="1" applyAlignment="1" applyProtection="1">
      <alignment horizontal="center"/>
    </xf>
    <xf numFmtId="0" fontId="0" fillId="2" borderId="10" xfId="0" applyFill="1" applyBorder="1" applyAlignment="1">
      <alignment horizontal="right"/>
    </xf>
    <xf numFmtId="0" fontId="9" fillId="2" borderId="10" xfId="0" applyFont="1" applyFill="1" applyBorder="1" applyAlignment="1" applyProtection="1">
      <alignment horizontal="left"/>
    </xf>
    <xf numFmtId="4" fontId="1" fillId="4" borderId="10" xfId="0" applyNumberFormat="1" applyFont="1" applyFill="1" applyBorder="1" applyAlignment="1" applyProtection="1">
      <alignment horizontal="center"/>
      <protection locked="0"/>
    </xf>
    <xf numFmtId="0" fontId="111" fillId="2" borderId="101" xfId="0" applyFont="1" applyFill="1" applyBorder="1"/>
    <xf numFmtId="0" fontId="111" fillId="2" borderId="0" xfId="0" applyFont="1" applyFill="1"/>
    <xf numFmtId="0" fontId="36" fillId="2" borderId="83" xfId="0" applyFont="1" applyFill="1" applyBorder="1" applyAlignment="1" applyProtection="1">
      <alignment horizontal="center"/>
      <protection hidden="1"/>
    </xf>
    <xf numFmtId="0" fontId="36" fillId="2" borderId="102" xfId="0" applyFont="1" applyFill="1" applyBorder="1" applyAlignment="1" applyProtection="1">
      <alignment horizontal="center"/>
      <protection hidden="1"/>
    </xf>
    <xf numFmtId="0" fontId="36" fillId="2" borderId="103" xfId="0" applyFont="1" applyFill="1" applyBorder="1" applyAlignment="1" applyProtection="1">
      <alignment horizontal="center"/>
      <protection hidden="1"/>
    </xf>
    <xf numFmtId="0" fontId="36" fillId="2" borderId="104" xfId="0" applyFont="1" applyFill="1" applyBorder="1" applyAlignment="1" applyProtection="1">
      <alignment horizontal="center"/>
      <protection hidden="1"/>
    </xf>
    <xf numFmtId="0" fontId="111" fillId="2" borderId="0" xfId="0" applyFont="1" applyFill="1" applyAlignment="1" applyProtection="1">
      <alignment horizontal="center"/>
      <protection hidden="1"/>
    </xf>
    <xf numFmtId="0" fontId="58" fillId="2" borderId="26" xfId="0" applyFont="1" applyFill="1" applyBorder="1" applyAlignment="1" applyProtection="1">
      <alignment horizontal="center"/>
      <protection hidden="1"/>
    </xf>
    <xf numFmtId="0" fontId="58" fillId="2" borderId="6" xfId="0" applyFont="1" applyFill="1" applyBorder="1" applyAlignment="1" applyProtection="1">
      <alignment horizontal="center"/>
      <protection hidden="1"/>
    </xf>
    <xf numFmtId="0" fontId="58" fillId="2" borderId="82" xfId="0" applyFont="1" applyFill="1" applyBorder="1" applyAlignment="1" applyProtection="1">
      <alignment horizontal="center"/>
      <protection hidden="1"/>
    </xf>
    <xf numFmtId="167" fontId="111" fillId="2" borderId="79" xfId="0" applyNumberFormat="1" applyFont="1" applyFill="1" applyBorder="1" applyAlignment="1" applyProtection="1">
      <alignment horizontal="center"/>
      <protection hidden="1"/>
    </xf>
    <xf numFmtId="0" fontId="111" fillId="2" borderId="18" xfId="0" applyFont="1" applyFill="1" applyBorder="1" applyAlignment="1" applyProtection="1">
      <alignment horizontal="center"/>
      <protection hidden="1"/>
    </xf>
    <xf numFmtId="0" fontId="111" fillId="2" borderId="37" xfId="0" applyFont="1" applyFill="1" applyBorder="1" applyAlignment="1" applyProtection="1">
      <alignment horizontal="center"/>
      <protection hidden="1"/>
    </xf>
    <xf numFmtId="0" fontId="113" fillId="2" borderId="0" xfId="0" applyFont="1" applyFill="1" applyAlignment="1" applyProtection="1">
      <alignment horizontal="center"/>
      <protection hidden="1"/>
    </xf>
    <xf numFmtId="167" fontId="111" fillId="2" borderId="105" xfId="0" applyNumberFormat="1" applyFont="1" applyFill="1" applyBorder="1" applyAlignment="1" applyProtection="1">
      <alignment horizontal="center"/>
      <protection hidden="1"/>
    </xf>
    <xf numFmtId="0" fontId="36" fillId="2" borderId="14" xfId="0" applyFont="1" applyFill="1" applyBorder="1" applyAlignment="1" applyProtection="1">
      <alignment horizontal="center"/>
      <protection hidden="1"/>
    </xf>
    <xf numFmtId="0" fontId="36" fillId="2" borderId="87" xfId="0" applyFont="1" applyFill="1" applyBorder="1" applyAlignment="1" applyProtection="1">
      <alignment horizontal="center"/>
      <protection hidden="1"/>
    </xf>
    <xf numFmtId="0" fontId="111" fillId="2" borderId="106" xfId="0" applyFont="1" applyFill="1" applyBorder="1"/>
    <xf numFmtId="0" fontId="114" fillId="2" borderId="0" xfId="0" applyFont="1" applyFill="1"/>
    <xf numFmtId="0" fontId="115" fillId="2" borderId="0" xfId="0" applyFont="1" applyFill="1"/>
    <xf numFmtId="0" fontId="56" fillId="2" borderId="0" xfId="0" applyFont="1" applyFill="1"/>
    <xf numFmtId="0" fontId="116" fillId="2" borderId="0" xfId="0" applyFont="1" applyFill="1"/>
    <xf numFmtId="0" fontId="115" fillId="2" borderId="107" xfId="0" applyFont="1" applyFill="1" applyBorder="1"/>
    <xf numFmtId="0" fontId="115" fillId="2" borderId="108" xfId="0" applyFont="1" applyFill="1" applyBorder="1"/>
    <xf numFmtId="0" fontId="117" fillId="2" borderId="38" xfId="0" applyFont="1" applyFill="1" applyBorder="1"/>
    <xf numFmtId="0" fontId="115" fillId="2" borderId="38" xfId="0" applyFont="1" applyFill="1" applyBorder="1"/>
    <xf numFmtId="1" fontId="115" fillId="2" borderId="38" xfId="0" applyNumberFormat="1" applyFont="1" applyFill="1" applyBorder="1"/>
    <xf numFmtId="2" fontId="115" fillId="2" borderId="38" xfId="0" applyNumberFormat="1" applyFont="1" applyFill="1" applyBorder="1"/>
    <xf numFmtId="166" fontId="115" fillId="2" borderId="38" xfId="0" applyNumberFormat="1" applyFont="1" applyFill="1" applyBorder="1"/>
    <xf numFmtId="0" fontId="56" fillId="2" borderId="38" xfId="0" applyFont="1" applyFill="1" applyBorder="1"/>
    <xf numFmtId="0" fontId="115" fillId="2" borderId="101" xfId="0" applyFont="1" applyFill="1" applyBorder="1"/>
    <xf numFmtId="0" fontId="115" fillId="2" borderId="109" xfId="0" applyFont="1" applyFill="1" applyBorder="1"/>
    <xf numFmtId="0" fontId="115" fillId="0" borderId="0" xfId="0" applyFont="1"/>
    <xf numFmtId="0" fontId="10" fillId="2" borderId="11" xfId="0" applyFont="1" applyFill="1" applyBorder="1" applyProtection="1"/>
    <xf numFmtId="4" fontId="9" fillId="3" borderId="0" xfId="0" applyNumberFormat="1" applyFont="1" applyFill="1" applyBorder="1" applyAlignment="1" applyProtection="1">
      <alignment horizontal="center"/>
    </xf>
    <xf numFmtId="164" fontId="9" fillId="2" borderId="0" xfId="0" applyNumberFormat="1" applyFont="1" applyFill="1" applyBorder="1" applyAlignment="1" applyProtection="1">
      <alignment horizontal="center"/>
      <protection hidden="1"/>
    </xf>
    <xf numFmtId="0" fontId="6" fillId="2" borderId="11" xfId="0" quotePrefix="1" applyFont="1" applyFill="1" applyBorder="1" applyAlignment="1" applyProtection="1">
      <alignment horizontal="left"/>
      <protection hidden="1"/>
    </xf>
    <xf numFmtId="0" fontId="49" fillId="2" borderId="11" xfId="0" applyFont="1"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35" fillId="2" borderId="0" xfId="0" applyFont="1" applyFill="1"/>
    <xf numFmtId="0" fontId="79" fillId="2" borderId="0" xfId="0" applyFont="1" applyFill="1"/>
    <xf numFmtId="0" fontId="113" fillId="2" borderId="78" xfId="0" applyFont="1" applyFill="1" applyBorder="1" applyAlignment="1" applyProtection="1">
      <alignment horizontal="center"/>
      <protection hidden="1"/>
    </xf>
    <xf numFmtId="0" fontId="111" fillId="0" borderId="0" xfId="0" applyFont="1"/>
    <xf numFmtId="0" fontId="56" fillId="2" borderId="107" xfId="0" applyFont="1" applyFill="1" applyBorder="1"/>
    <xf numFmtId="2" fontId="56" fillId="2" borderId="38" xfId="0" applyNumberFormat="1" applyFont="1" applyFill="1" applyBorder="1"/>
    <xf numFmtId="0" fontId="56" fillId="2" borderId="109" xfId="0" applyFont="1" applyFill="1" applyBorder="1"/>
    <xf numFmtId="0" fontId="56" fillId="0" borderId="0" xfId="0" applyFont="1"/>
    <xf numFmtId="3" fontId="16" fillId="4" borderId="15" xfId="0" applyNumberFormat="1" applyFont="1" applyFill="1" applyBorder="1" applyAlignment="1" applyProtection="1">
      <alignment horizontal="center"/>
      <protection locked="0"/>
    </xf>
    <xf numFmtId="3" fontId="21" fillId="4" borderId="23" xfId="0" applyNumberFormat="1" applyFont="1" applyFill="1" applyBorder="1" applyAlignment="1" applyProtection="1">
      <alignment horizontal="center"/>
      <protection locked="0"/>
    </xf>
    <xf numFmtId="3" fontId="21" fillId="2" borderId="0" xfId="0" applyNumberFormat="1" applyFont="1" applyFill="1" applyAlignment="1" applyProtection="1">
      <alignment horizontal="center"/>
    </xf>
    <xf numFmtId="3" fontId="21" fillId="4" borderId="15" xfId="0" applyNumberFormat="1" applyFont="1" applyFill="1" applyBorder="1" applyAlignment="1" applyProtection="1">
      <alignment horizontal="center"/>
      <protection locked="0"/>
    </xf>
    <xf numFmtId="3" fontId="21" fillId="4" borderId="23" xfId="0" quotePrefix="1" applyNumberFormat="1" applyFont="1" applyFill="1" applyBorder="1" applyAlignment="1" applyProtection="1">
      <alignment horizontal="center"/>
      <protection locked="0"/>
    </xf>
    <xf numFmtId="3" fontId="21" fillId="2" borderId="0" xfId="0" applyNumberFormat="1" applyFont="1" applyFill="1" applyBorder="1" applyAlignment="1" applyProtection="1">
      <alignment horizontal="center"/>
      <protection locked="0"/>
    </xf>
    <xf numFmtId="3" fontId="21" fillId="4" borderId="0" xfId="0" quotePrefix="1" applyNumberFormat="1" applyFont="1" applyFill="1" applyBorder="1" applyAlignment="1" applyProtection="1">
      <alignment horizontal="center"/>
      <protection locked="0"/>
    </xf>
    <xf numFmtId="3" fontId="21" fillId="4" borderId="0" xfId="0" applyNumberFormat="1" applyFont="1" applyFill="1" applyBorder="1" applyAlignment="1" applyProtection="1">
      <alignment horizontal="center"/>
      <protection locked="0"/>
    </xf>
    <xf numFmtId="3" fontId="21" fillId="4" borderId="15" xfId="0" quotePrefix="1" applyNumberFormat="1" applyFont="1" applyFill="1" applyBorder="1" applyAlignment="1" applyProtection="1">
      <alignment horizontal="center"/>
      <protection locked="0"/>
    </xf>
    <xf numFmtId="3" fontId="21" fillId="6" borderId="15" xfId="0" quotePrefix="1" applyNumberFormat="1" applyFont="1" applyFill="1" applyBorder="1" applyAlignment="1" applyProtection="1">
      <alignment horizontal="center"/>
      <protection locked="0"/>
    </xf>
    <xf numFmtId="3" fontId="21" fillId="6" borderId="23" xfId="0" quotePrefix="1" applyNumberFormat="1" applyFont="1" applyFill="1" applyBorder="1" applyAlignment="1" applyProtection="1">
      <alignment horizontal="center"/>
      <protection locked="0"/>
    </xf>
    <xf numFmtId="3" fontId="21" fillId="6" borderId="15" xfId="0" applyNumberFormat="1" applyFont="1" applyFill="1" applyBorder="1" applyAlignment="1" applyProtection="1">
      <alignment horizontal="center"/>
      <protection locked="0"/>
    </xf>
    <xf numFmtId="3" fontId="21" fillId="6" borderId="23" xfId="0" applyNumberFormat="1" applyFont="1" applyFill="1" applyBorder="1" applyAlignment="1" applyProtection="1">
      <alignment horizontal="center"/>
      <protection locked="0"/>
    </xf>
    <xf numFmtId="3" fontId="21" fillId="6" borderId="0" xfId="0" applyNumberFormat="1" applyFont="1" applyFill="1" applyBorder="1" applyAlignment="1" applyProtection="1">
      <alignment horizontal="center"/>
      <protection locked="0"/>
    </xf>
    <xf numFmtId="3" fontId="16" fillId="8" borderId="29" xfId="0" applyNumberFormat="1" applyFont="1" applyFill="1" applyBorder="1" applyAlignment="1" applyProtection="1">
      <alignment horizontal="center"/>
      <protection locked="0"/>
    </xf>
    <xf numFmtId="0" fontId="19" fillId="2" borderId="0" xfId="0" applyFont="1" applyFill="1" applyAlignment="1" applyProtection="1"/>
    <xf numFmtId="2" fontId="0" fillId="11" borderId="0" xfId="0" applyNumberFormat="1" applyFill="1" applyBorder="1" applyAlignment="1" applyProtection="1">
      <alignment horizontal="center"/>
    </xf>
    <xf numFmtId="0" fontId="0" fillId="2" borderId="10" xfId="0" applyFill="1" applyBorder="1" applyAlignment="1" applyProtection="1">
      <alignment horizontal="right"/>
      <protection hidden="1"/>
    </xf>
    <xf numFmtId="2" fontId="0" fillId="2" borderId="0" xfId="0" applyNumberFormat="1" applyFill="1" applyBorder="1" applyAlignment="1" applyProtection="1">
      <alignment horizontal="right"/>
      <protection hidden="1"/>
    </xf>
    <xf numFmtId="165" fontId="21" fillId="2" borderId="0" xfId="0" quotePrefix="1" applyNumberFormat="1" applyFont="1" applyFill="1" applyAlignment="1" applyProtection="1">
      <alignment horizontal="center"/>
    </xf>
    <xf numFmtId="0" fontId="1" fillId="6" borderId="8" xfId="0" applyFont="1" applyFill="1" applyBorder="1" applyAlignment="1" applyProtection="1">
      <protection locked="0"/>
    </xf>
    <xf numFmtId="4" fontId="57" fillId="7" borderId="0" xfId="0" applyNumberFormat="1" applyFont="1" applyFill="1"/>
    <xf numFmtId="3" fontId="0" fillId="7" borderId="0" xfId="0" applyNumberFormat="1" applyFill="1" applyAlignment="1">
      <alignment horizontal="center"/>
    </xf>
    <xf numFmtId="0" fontId="1" fillId="2" borderId="1" xfId="0" applyFont="1" applyFill="1" applyBorder="1" applyAlignment="1" applyProtection="1">
      <alignment horizontal="center"/>
      <protection hidden="1"/>
    </xf>
    <xf numFmtId="0" fontId="0" fillId="2" borderId="1" xfId="0" applyFill="1" applyBorder="1" applyAlignment="1" applyProtection="1">
      <alignment horizontal="center"/>
      <protection locked="0" hidden="1"/>
    </xf>
    <xf numFmtId="0" fontId="10" fillId="2" borderId="5" xfId="0" applyFont="1" applyFill="1" applyBorder="1" applyAlignment="1" applyProtection="1">
      <alignment horizontal="center"/>
      <protection hidden="1"/>
    </xf>
    <xf numFmtId="0" fontId="9" fillId="2" borderId="3" xfId="0" applyFont="1" applyFill="1" applyBorder="1" applyAlignment="1" applyProtection="1">
      <alignment horizontal="left"/>
      <protection hidden="1"/>
    </xf>
    <xf numFmtId="0" fontId="10" fillId="2" borderId="3" xfId="0" applyFont="1" applyFill="1" applyBorder="1" applyAlignment="1" applyProtection="1">
      <alignment horizontal="left"/>
      <protection hidden="1"/>
    </xf>
    <xf numFmtId="0" fontId="1" fillId="2" borderId="3" xfId="0" applyFont="1" applyFill="1" applyBorder="1" applyAlignment="1" applyProtection="1">
      <alignment horizontal="center"/>
      <protection hidden="1"/>
    </xf>
    <xf numFmtId="0" fontId="0" fillId="2" borderId="3" xfId="0" applyFill="1" applyBorder="1" applyAlignment="1" applyProtection="1">
      <alignment horizontal="center"/>
      <protection locked="0" hidden="1"/>
    </xf>
    <xf numFmtId="0" fontId="10" fillId="2" borderId="4" xfId="0" applyFont="1" applyFill="1" applyBorder="1" applyAlignment="1" applyProtection="1">
      <alignment horizontal="left"/>
      <protection hidden="1"/>
    </xf>
    <xf numFmtId="0" fontId="6" fillId="2" borderId="12" xfId="0" applyFont="1" applyFill="1" applyBorder="1" applyAlignment="1" applyProtection="1">
      <alignment horizontal="center"/>
      <protection locked="0" hidden="1"/>
    </xf>
    <xf numFmtId="0" fontId="10" fillId="2" borderId="3" xfId="0" applyFont="1" applyFill="1" applyBorder="1" applyAlignment="1" applyProtection="1">
      <alignment horizontal="center"/>
      <protection locked="0" hidden="1"/>
    </xf>
    <xf numFmtId="0" fontId="6" fillId="2" borderId="1" xfId="0" applyFont="1" applyFill="1" applyBorder="1" applyAlignment="1" applyProtection="1">
      <alignment horizontal="center"/>
      <protection locked="0" hidden="1"/>
    </xf>
    <xf numFmtId="0" fontId="6" fillId="2" borderId="5" xfId="0" applyFont="1" applyFill="1" applyBorder="1" applyAlignment="1" applyProtection="1">
      <alignment horizontal="center"/>
      <protection locked="0" hidden="1"/>
    </xf>
    <xf numFmtId="0" fontId="9" fillId="2" borderId="2" xfId="0" applyFont="1" applyFill="1" applyBorder="1" applyAlignment="1" applyProtection="1">
      <alignment horizontal="left"/>
      <protection hidden="1"/>
    </xf>
    <xf numFmtId="0" fontId="0" fillId="2" borderId="3"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18" fillId="7" borderId="31" xfId="0" applyFont="1" applyFill="1" applyBorder="1" applyAlignment="1" applyProtection="1">
      <alignment horizontal="center"/>
      <protection locked="0"/>
    </xf>
    <xf numFmtId="0" fontId="9" fillId="5" borderId="3" xfId="0" applyFont="1" applyFill="1" applyBorder="1" applyProtection="1"/>
    <xf numFmtId="0" fontId="0" fillId="5" borderId="1" xfId="0" applyFill="1" applyBorder="1" applyProtection="1"/>
    <xf numFmtId="0" fontId="0" fillId="2" borderId="2" xfId="0" applyFill="1" applyBorder="1" applyProtection="1">
      <protection locked="0"/>
    </xf>
    <xf numFmtId="0" fontId="0" fillId="2" borderId="3" xfId="0" applyFill="1" applyBorder="1" applyProtection="1">
      <protection locked="0"/>
    </xf>
    <xf numFmtId="0" fontId="0" fillId="2" borderId="12" xfId="0" applyFill="1" applyBorder="1" applyProtection="1">
      <protection locked="0"/>
    </xf>
    <xf numFmtId="0" fontId="0" fillId="2" borderId="1" xfId="0" applyFill="1" applyBorder="1" applyProtection="1">
      <protection locked="0"/>
    </xf>
    <xf numFmtId="0" fontId="0" fillId="2" borderId="5" xfId="0" applyFill="1" applyBorder="1" applyProtection="1">
      <protection locked="0"/>
    </xf>
    <xf numFmtId="0" fontId="0" fillId="2" borderId="5" xfId="0" applyFill="1" applyBorder="1" applyAlignment="1">
      <alignment horizontal="center"/>
    </xf>
    <xf numFmtId="0" fontId="0" fillId="4" borderId="0" xfId="0" applyFill="1" applyBorder="1" applyAlignment="1" applyProtection="1">
      <alignment horizontal="center"/>
      <protection locked="0"/>
    </xf>
    <xf numFmtId="14" fontId="0" fillId="7" borderId="0" xfId="0" applyNumberFormat="1" applyFill="1" applyAlignment="1">
      <alignment horizontal="center"/>
    </xf>
    <xf numFmtId="0" fontId="16" fillId="2" borderId="0" xfId="0" applyFont="1" applyFill="1" applyAlignment="1" applyProtection="1">
      <alignment horizontal="left"/>
      <protection hidden="1"/>
    </xf>
    <xf numFmtId="0" fontId="18" fillId="2" borderId="2" xfId="0" applyFont="1" applyFill="1" applyBorder="1" applyAlignment="1" applyProtection="1">
      <alignment horizontal="left"/>
      <protection hidden="1"/>
    </xf>
    <xf numFmtId="0" fontId="18" fillId="2" borderId="3" xfId="0" applyFont="1" applyFill="1" applyBorder="1" applyAlignment="1" applyProtection="1">
      <alignment horizontal="left"/>
      <protection hidden="1"/>
    </xf>
    <xf numFmtId="0" fontId="16" fillId="2" borderId="5" xfId="0" applyFont="1" applyFill="1" applyBorder="1" applyAlignment="1" applyProtection="1">
      <alignment horizontal="left"/>
      <protection hidden="1"/>
    </xf>
    <xf numFmtId="0" fontId="16" fillId="2" borderId="10" xfId="0" applyFont="1" applyFill="1" applyBorder="1" applyAlignment="1" applyProtection="1">
      <alignment horizontal="left"/>
    </xf>
    <xf numFmtId="0" fontId="21" fillId="2" borderId="0" xfId="0" applyFont="1" applyFill="1" applyAlignment="1" applyProtection="1">
      <alignment horizontal="center"/>
      <protection hidden="1"/>
    </xf>
    <xf numFmtId="172" fontId="26" fillId="2" borderId="0" xfId="0" applyNumberFormat="1" applyFont="1" applyFill="1" applyAlignment="1" applyProtection="1">
      <alignment horizontal="center"/>
    </xf>
    <xf numFmtId="172" fontId="95" fillId="2" borderId="0" xfId="0" applyNumberFormat="1" applyFont="1" applyFill="1" applyAlignment="1" applyProtection="1">
      <alignment horizontal="center"/>
    </xf>
    <xf numFmtId="0" fontId="16" fillId="2" borderId="3" xfId="0" applyFont="1" applyFill="1" applyBorder="1" applyAlignment="1" applyProtection="1">
      <alignment horizontal="left"/>
      <protection locked="0"/>
    </xf>
    <xf numFmtId="4" fontId="10" fillId="2" borderId="0" xfId="0" applyNumberFormat="1" applyFont="1" applyFill="1" applyBorder="1" applyAlignment="1" applyProtection="1">
      <alignment horizontal="center"/>
    </xf>
    <xf numFmtId="0" fontId="33" fillId="2" borderId="2" xfId="0" applyFont="1" applyFill="1" applyBorder="1" applyAlignment="1" applyProtection="1">
      <alignment horizontal="right"/>
    </xf>
    <xf numFmtId="0" fontId="33" fillId="2" borderId="4" xfId="0" applyFont="1" applyFill="1" applyBorder="1" applyAlignment="1" applyProtection="1">
      <alignment horizontal="right"/>
    </xf>
    <xf numFmtId="0" fontId="120" fillId="2" borderId="0" xfId="0" applyFont="1" applyFill="1" applyBorder="1" applyProtection="1"/>
    <xf numFmtId="0" fontId="27" fillId="2" borderId="0" xfId="0" applyFont="1" applyFill="1" applyAlignment="1" applyProtection="1">
      <alignment horizontal="left"/>
    </xf>
    <xf numFmtId="0" fontId="18" fillId="2" borderId="0" xfId="0" applyFont="1" applyFill="1" applyBorder="1" applyAlignment="1">
      <alignment horizontal="left"/>
    </xf>
    <xf numFmtId="0" fontId="9" fillId="2" borderId="19" xfId="0" applyFont="1" applyFill="1" applyBorder="1" applyAlignment="1" applyProtection="1">
      <alignment horizontal="left"/>
    </xf>
    <xf numFmtId="0" fontId="10" fillId="2" borderId="2" xfId="0" applyFont="1" applyFill="1" applyBorder="1" applyAlignment="1" applyProtection="1">
      <alignment horizontal="left"/>
    </xf>
    <xf numFmtId="0" fontId="121" fillId="2" borderId="0" xfId="0" applyFont="1" applyFill="1" applyBorder="1" applyAlignment="1" applyProtection="1">
      <alignment horizontal="left"/>
    </xf>
    <xf numFmtId="49" fontId="0" fillId="2" borderId="0" xfId="0" applyNumberFormat="1" applyFill="1" applyAlignment="1" applyProtection="1">
      <alignment horizontal="left"/>
    </xf>
    <xf numFmtId="0" fontId="6" fillId="2" borderId="6" xfId="0" applyFont="1" applyFill="1" applyBorder="1" applyAlignment="1" applyProtection="1">
      <alignment horizontal="left"/>
      <protection locked="0"/>
    </xf>
    <xf numFmtId="0" fontId="9" fillId="2" borderId="31" xfId="0" applyFont="1" applyFill="1" applyBorder="1" applyAlignment="1" applyProtection="1">
      <alignment horizontal="left"/>
    </xf>
    <xf numFmtId="165" fontId="7" fillId="7" borderId="31" xfId="0" applyNumberFormat="1" applyFont="1" applyFill="1" applyBorder="1" applyAlignment="1" applyProtection="1">
      <alignment horizontal="center"/>
      <protection locked="0"/>
    </xf>
    <xf numFmtId="0" fontId="18" fillId="2" borderId="3" xfId="0" applyFont="1" applyFill="1" applyBorder="1" applyAlignment="1" applyProtection="1">
      <alignment horizontal="center"/>
    </xf>
    <xf numFmtId="0" fontId="0" fillId="2" borderId="2" xfId="0" applyFill="1" applyBorder="1" applyAlignment="1" applyProtection="1">
      <alignment horizontal="left"/>
      <protection locked="0"/>
    </xf>
    <xf numFmtId="0" fontId="0" fillId="2" borderId="3" xfId="0" applyFill="1" applyBorder="1" applyAlignment="1" applyProtection="1">
      <alignment horizontal="left"/>
      <protection locked="0"/>
    </xf>
    <xf numFmtId="0" fontId="0" fillId="2" borderId="4" xfId="0" applyFill="1" applyBorder="1" applyAlignment="1" applyProtection="1">
      <alignment horizontal="left"/>
      <protection locked="0"/>
    </xf>
    <xf numFmtId="0" fontId="6" fillId="2" borderId="3" xfId="0" applyFont="1" applyFill="1" applyBorder="1" applyAlignment="1" applyProtection="1">
      <alignment horizontal="left"/>
      <protection locked="0"/>
    </xf>
    <xf numFmtId="0" fontId="6" fillId="2" borderId="4" xfId="0" applyFont="1" applyFill="1" applyBorder="1" applyAlignment="1" applyProtection="1">
      <alignment horizontal="left"/>
      <protection locked="0"/>
    </xf>
    <xf numFmtId="0" fontId="32" fillId="2" borderId="19" xfId="0" applyFont="1" applyFill="1" applyBorder="1" applyAlignment="1" applyProtection="1">
      <alignment horizontal="left"/>
      <protection locked="0"/>
    </xf>
    <xf numFmtId="0" fontId="9" fillId="2" borderId="8" xfId="0" applyFont="1" applyFill="1" applyBorder="1" applyAlignment="1" applyProtection="1">
      <alignment horizontal="center"/>
    </xf>
    <xf numFmtId="0" fontId="9" fillId="2" borderId="12" xfId="0" applyFont="1" applyFill="1" applyBorder="1" applyAlignment="1" applyProtection="1">
      <alignment horizontal="left"/>
    </xf>
    <xf numFmtId="0" fontId="0" fillId="2" borderId="12" xfId="0" applyFill="1" applyBorder="1" applyAlignment="1" applyProtection="1">
      <alignment horizontal="left"/>
      <protection locked="0"/>
    </xf>
    <xf numFmtId="0" fontId="10" fillId="2" borderId="3" xfId="0" applyFont="1" applyFill="1" applyBorder="1" applyAlignment="1" applyProtection="1">
      <alignment horizontal="left"/>
      <protection locked="0"/>
    </xf>
    <xf numFmtId="0" fontId="0" fillId="2" borderId="10" xfId="0" applyFill="1" applyBorder="1" applyAlignment="1" applyProtection="1">
      <alignment horizontal="left"/>
      <protection locked="0"/>
    </xf>
    <xf numFmtId="0" fontId="120" fillId="7" borderId="10" xfId="0" applyFont="1" applyFill="1" applyBorder="1" applyAlignment="1" applyProtection="1">
      <alignment horizontal="right"/>
    </xf>
    <xf numFmtId="0" fontId="18" fillId="7" borderId="0" xfId="0" applyFont="1" applyFill="1" applyAlignment="1" applyProtection="1">
      <alignment horizontal="left"/>
    </xf>
    <xf numFmtId="173" fontId="122" fillId="7" borderId="1" xfId="0" applyNumberFormat="1" applyFont="1" applyFill="1" applyBorder="1" applyAlignment="1" applyProtection="1">
      <alignment horizontal="right" vertical="center"/>
      <protection locked="0"/>
    </xf>
    <xf numFmtId="173" fontId="16" fillId="4" borderId="31" xfId="0" applyNumberFormat="1" applyFont="1" applyFill="1" applyBorder="1" applyAlignment="1" applyProtection="1">
      <alignment horizontal="center" vertical="center"/>
      <protection locked="0"/>
    </xf>
    <xf numFmtId="0" fontId="21" fillId="7" borderId="0" xfId="0" applyFont="1" applyFill="1" applyAlignment="1" applyProtection="1">
      <alignment horizontal="center"/>
    </xf>
    <xf numFmtId="0" fontId="21" fillId="7" borderId="8" xfId="0" applyFont="1" applyFill="1" applyBorder="1" applyAlignment="1" applyProtection="1">
      <alignment horizontal="center"/>
    </xf>
    <xf numFmtId="0" fontId="21" fillId="7" borderId="11" xfId="0" applyFont="1" applyFill="1" applyBorder="1" applyAlignment="1" applyProtection="1">
      <alignment horizontal="left"/>
      <protection locked="0"/>
    </xf>
    <xf numFmtId="0" fontId="21" fillId="7" borderId="10" xfId="0" applyFont="1" applyFill="1" applyBorder="1" applyAlignment="1" applyProtection="1">
      <alignment horizontal="left"/>
      <protection locked="0"/>
    </xf>
    <xf numFmtId="0" fontId="21" fillId="7" borderId="1" xfId="0" applyFont="1" applyFill="1" applyBorder="1" applyAlignment="1" applyProtection="1">
      <alignment horizontal="left"/>
    </xf>
    <xf numFmtId="0" fontId="21" fillId="7" borderId="5" xfId="0" applyFont="1" applyFill="1" applyBorder="1" applyAlignment="1" applyProtection="1">
      <alignment horizontal="left"/>
    </xf>
    <xf numFmtId="0" fontId="21" fillId="7" borderId="19" xfId="0" applyFont="1" applyFill="1" applyBorder="1" applyAlignment="1" applyProtection="1">
      <alignment horizontal="center"/>
    </xf>
    <xf numFmtId="0" fontId="16" fillId="7" borderId="95" xfId="0" applyFont="1" applyFill="1" applyBorder="1" applyAlignment="1" applyProtection="1">
      <alignment horizontal="center" vertical="center"/>
    </xf>
    <xf numFmtId="173" fontId="16" fillId="7" borderId="88" xfId="0" applyNumberFormat="1" applyFont="1" applyFill="1" applyBorder="1" applyAlignment="1" applyProtection="1">
      <alignment horizontal="center" vertical="center"/>
    </xf>
    <xf numFmtId="0" fontId="18" fillId="7" borderId="110" xfId="0" applyFont="1" applyFill="1" applyBorder="1" applyAlignment="1" applyProtection="1">
      <alignment horizontal="center" vertical="center"/>
    </xf>
    <xf numFmtId="0" fontId="16" fillId="4" borderId="27" xfId="0" applyNumberFormat="1" applyFont="1" applyFill="1" applyBorder="1" applyAlignment="1" applyProtection="1">
      <alignment horizontal="center" vertical="center"/>
      <protection locked="0"/>
    </xf>
    <xf numFmtId="173" fontId="16" fillId="4" borderId="41" xfId="0" applyNumberFormat="1"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xf>
    <xf numFmtId="0" fontId="121" fillId="2" borderId="0" xfId="0" applyFont="1" applyFill="1" applyAlignment="1" applyProtection="1">
      <alignment horizontal="right"/>
      <protection hidden="1"/>
    </xf>
    <xf numFmtId="0" fontId="121" fillId="2" borderId="0" xfId="0" applyFont="1" applyFill="1" applyAlignment="1" applyProtection="1">
      <alignment horizontal="right"/>
    </xf>
    <xf numFmtId="0" fontId="118" fillId="2" borderId="0" xfId="0" applyFont="1" applyFill="1" applyBorder="1" applyAlignment="1" applyProtection="1">
      <alignment horizontal="right"/>
    </xf>
    <xf numFmtId="0" fontId="9" fillId="2" borderId="4" xfId="0" applyFont="1" applyFill="1" applyBorder="1" applyAlignment="1" applyProtection="1">
      <alignment horizontal="left"/>
      <protection hidden="1"/>
    </xf>
    <xf numFmtId="0" fontId="11" fillId="2" borderId="17" xfId="0" applyFont="1" applyFill="1" applyBorder="1" applyProtection="1"/>
    <xf numFmtId="4" fontId="10" fillId="2" borderId="5" xfId="0" applyNumberFormat="1" applyFont="1" applyFill="1" applyBorder="1" applyAlignment="1" applyProtection="1">
      <alignment horizontal="center"/>
      <protection locked="0" hidden="1"/>
    </xf>
    <xf numFmtId="0" fontId="6" fillId="2" borderId="1" xfId="0" applyFont="1" applyFill="1" applyBorder="1" applyAlignment="1" applyProtection="1">
      <alignment horizontal="right"/>
      <protection hidden="1"/>
    </xf>
    <xf numFmtId="0" fontId="3" fillId="2" borderId="13" xfId="0" applyFont="1" applyFill="1" applyBorder="1" applyAlignment="1" applyProtection="1">
      <alignment horizontal="left"/>
      <protection hidden="1"/>
    </xf>
    <xf numFmtId="0" fontId="6" fillId="2" borderId="17"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6" fillId="2" borderId="0" xfId="0" applyFont="1" applyFill="1" applyAlignment="1" applyProtection="1">
      <alignment horizontal="center" wrapText="1"/>
      <protection hidden="1"/>
    </xf>
    <xf numFmtId="4" fontId="10" fillId="2" borderId="0" xfId="0" applyNumberFormat="1" applyFont="1" applyFill="1" applyBorder="1" applyAlignment="1" applyProtection="1">
      <alignment horizontal="center"/>
      <protection locked="0" hidden="1"/>
    </xf>
    <xf numFmtId="0" fontId="118" fillId="2" borderId="0" xfId="0" applyFont="1" applyFill="1" applyBorder="1" applyAlignment="1" applyProtection="1">
      <alignment horizontal="center"/>
      <protection locked="0"/>
    </xf>
    <xf numFmtId="0" fontId="13" fillId="2" borderId="0" xfId="0" applyFont="1" applyFill="1" applyAlignment="1" applyProtection="1">
      <alignment horizontal="right"/>
    </xf>
    <xf numFmtId="0" fontId="18" fillId="2" borderId="0" xfId="0" applyFont="1" applyFill="1" applyBorder="1" applyAlignment="1">
      <alignment horizontal="center"/>
    </xf>
    <xf numFmtId="0" fontId="0" fillId="2" borderId="0" xfId="0" applyFill="1" applyAlignment="1">
      <alignment wrapText="1"/>
    </xf>
    <xf numFmtId="0" fontId="0" fillId="2" borderId="0" xfId="0" applyFill="1" applyAlignment="1">
      <alignment horizontal="center" wrapText="1"/>
    </xf>
    <xf numFmtId="0" fontId="18" fillId="2" borderId="17" xfId="0" applyFont="1" applyFill="1" applyBorder="1" applyAlignment="1">
      <alignment horizontal="center"/>
    </xf>
    <xf numFmtId="0" fontId="18" fillId="2" borderId="18" xfId="0" applyFont="1" applyFill="1" applyBorder="1" applyAlignment="1">
      <alignment horizontal="center"/>
    </xf>
    <xf numFmtId="0" fontId="18" fillId="2" borderId="6" xfId="0" applyFont="1" applyFill="1" applyBorder="1" applyAlignment="1">
      <alignment horizontal="center"/>
    </xf>
    <xf numFmtId="0" fontId="0" fillId="2" borderId="50" xfId="0" applyFill="1" applyBorder="1" applyAlignment="1">
      <alignment horizontal="center"/>
    </xf>
    <xf numFmtId="0" fontId="0" fillId="2" borderId="96" xfId="0" applyFill="1" applyBorder="1" applyAlignment="1">
      <alignment horizontal="center"/>
    </xf>
    <xf numFmtId="0" fontId="0" fillId="2" borderId="41" xfId="0" applyFill="1" applyBorder="1" applyAlignment="1">
      <alignment horizontal="center"/>
    </xf>
    <xf numFmtId="0" fontId="0" fillId="2" borderId="65" xfId="0" applyFill="1" applyBorder="1" applyAlignment="1">
      <alignment horizontal="center"/>
    </xf>
    <xf numFmtId="0" fontId="0" fillId="2" borderId="54" xfId="0" applyFill="1" applyBorder="1" applyAlignment="1">
      <alignment horizontal="center"/>
    </xf>
    <xf numFmtId="0" fontId="0" fillId="2" borderId="97" xfId="0" applyFill="1" applyBorder="1" applyAlignment="1">
      <alignment horizontal="center"/>
    </xf>
    <xf numFmtId="0" fontId="16" fillId="2" borderId="49" xfId="0" applyFont="1" applyFill="1" applyBorder="1"/>
    <xf numFmtId="0" fontId="16" fillId="2" borderId="61" xfId="0" applyFont="1" applyFill="1" applyBorder="1"/>
    <xf numFmtId="0" fontId="16" fillId="2" borderId="56" xfId="0" applyFont="1" applyFill="1" applyBorder="1"/>
    <xf numFmtId="0" fontId="18" fillId="2" borderId="111" xfId="0" applyFont="1" applyFill="1" applyBorder="1"/>
    <xf numFmtId="0" fontId="18" fillId="2" borderId="57" xfId="0" applyFont="1" applyFill="1" applyBorder="1" applyAlignment="1">
      <alignment horizontal="center"/>
    </xf>
    <xf numFmtId="0" fontId="18" fillId="2" borderId="64" xfId="0" applyFont="1" applyFill="1" applyBorder="1" applyAlignment="1">
      <alignment horizontal="center"/>
    </xf>
    <xf numFmtId="0" fontId="18" fillId="2" borderId="43" xfId="0" applyFont="1" applyFill="1" applyBorder="1"/>
    <xf numFmtId="0" fontId="18" fillId="2" borderId="94" xfId="0" applyFont="1" applyFill="1" applyBorder="1" applyAlignment="1">
      <alignment horizontal="center"/>
    </xf>
    <xf numFmtId="0" fontId="18" fillId="2" borderId="42" xfId="0" applyFont="1" applyFill="1" applyBorder="1" applyAlignment="1">
      <alignment horizontal="center"/>
    </xf>
    <xf numFmtId="0" fontId="18" fillId="2" borderId="112" xfId="0" applyFont="1" applyFill="1" applyBorder="1"/>
    <xf numFmtId="0" fontId="18" fillId="2" borderId="58" xfId="0" applyFont="1" applyFill="1" applyBorder="1" applyAlignment="1">
      <alignment horizontal="center"/>
    </xf>
    <xf numFmtId="0" fontId="18" fillId="2" borderId="91" xfId="0" applyFont="1" applyFill="1" applyBorder="1" applyAlignment="1">
      <alignment horizontal="center"/>
    </xf>
    <xf numFmtId="4" fontId="0" fillId="2" borderId="0" xfId="0" applyNumberFormat="1" applyFill="1" applyAlignment="1">
      <alignment horizontal="center" wrapText="1"/>
    </xf>
    <xf numFmtId="0" fontId="18" fillId="11" borderId="19" xfId="0" applyFont="1" applyFill="1" applyBorder="1" applyAlignment="1">
      <alignment wrapText="1"/>
    </xf>
    <xf numFmtId="0" fontId="0" fillId="11" borderId="8" xfId="0" applyFill="1" applyBorder="1" applyAlignment="1">
      <alignment horizontal="center" wrapText="1"/>
    </xf>
    <xf numFmtId="0" fontId="0" fillId="2" borderId="64" xfId="0" applyFill="1" applyBorder="1" applyAlignment="1">
      <alignment horizontal="center"/>
    </xf>
    <xf numFmtId="0" fontId="0" fillId="2" borderId="42" xfId="0" applyFill="1" applyBorder="1" applyAlignment="1">
      <alignment horizontal="center"/>
    </xf>
    <xf numFmtId="0" fontId="16" fillId="2" borderId="18" xfId="0" applyFont="1" applyFill="1" applyBorder="1" applyAlignment="1">
      <alignment horizontal="center"/>
    </xf>
    <xf numFmtId="0" fontId="16" fillId="2" borderId="3" xfId="0" applyFont="1" applyFill="1" applyBorder="1"/>
    <xf numFmtId="4" fontId="16" fillId="2" borderId="50" xfId="0" applyNumberFormat="1" applyFont="1" applyFill="1" applyBorder="1" applyAlignment="1">
      <alignment horizontal="center"/>
    </xf>
    <xf numFmtId="178" fontId="16" fillId="2" borderId="96" xfId="3" applyNumberFormat="1" applyFont="1" applyFill="1" applyBorder="1" applyAlignment="1">
      <alignment horizontal="center"/>
    </xf>
    <xf numFmtId="4" fontId="16" fillId="2" borderId="41" xfId="0" applyNumberFormat="1" applyFont="1" applyFill="1" applyBorder="1" applyAlignment="1">
      <alignment horizontal="center"/>
    </xf>
    <xf numFmtId="178" fontId="16" fillId="2" borderId="65" xfId="3" applyNumberFormat="1" applyFont="1" applyFill="1" applyBorder="1" applyAlignment="1">
      <alignment horizontal="center"/>
    </xf>
    <xf numFmtId="4" fontId="16" fillId="2" borderId="54" xfId="0" applyNumberFormat="1" applyFont="1" applyFill="1" applyBorder="1" applyAlignment="1">
      <alignment horizontal="center"/>
    </xf>
    <xf numFmtId="178" fontId="16" fillId="2" borderId="97" xfId="3" applyNumberFormat="1" applyFont="1" applyFill="1" applyBorder="1" applyAlignment="1">
      <alignment horizontal="center"/>
    </xf>
    <xf numFmtId="165" fontId="16" fillId="2" borderId="50" xfId="0" applyNumberFormat="1" applyFont="1" applyFill="1" applyBorder="1" applyAlignment="1">
      <alignment horizontal="center"/>
    </xf>
    <xf numFmtId="165" fontId="16" fillId="2" borderId="41" xfId="0" applyNumberFormat="1" applyFont="1" applyFill="1" applyBorder="1" applyAlignment="1">
      <alignment horizontal="center"/>
    </xf>
    <xf numFmtId="165" fontId="16" fillId="2" borderId="54" xfId="0" applyNumberFormat="1" applyFont="1" applyFill="1" applyBorder="1" applyAlignment="1">
      <alignment horizontal="center"/>
    </xf>
    <xf numFmtId="178" fontId="16" fillId="11" borderId="31" xfId="0" applyNumberFormat="1" applyFont="1" applyFill="1" applyBorder="1" applyAlignment="1">
      <alignment horizontal="center" wrapText="1"/>
    </xf>
    <xf numFmtId="165" fontId="16" fillId="11" borderId="31" xfId="0" applyNumberFormat="1" applyFont="1" applyFill="1" applyBorder="1" applyAlignment="1">
      <alignment horizontal="center" wrapText="1"/>
    </xf>
    <xf numFmtId="0" fontId="16" fillId="2" borderId="46" xfId="0" applyFont="1" applyFill="1" applyBorder="1"/>
    <xf numFmtId="178" fontId="18" fillId="12" borderId="113" xfId="0" applyNumberFormat="1" applyFont="1" applyFill="1" applyBorder="1" applyAlignment="1">
      <alignment horizontal="left" wrapText="1"/>
    </xf>
    <xf numFmtId="4" fontId="18" fillId="12" borderId="114" xfId="0" applyNumberFormat="1" applyFont="1" applyFill="1" applyBorder="1" applyAlignment="1">
      <alignment horizontal="right" wrapText="1"/>
    </xf>
    <xf numFmtId="0" fontId="16" fillId="2" borderId="50" xfId="0" applyFont="1" applyFill="1" applyBorder="1" applyAlignment="1">
      <alignment horizontal="center"/>
    </xf>
    <xf numFmtId="165" fontId="16" fillId="5" borderId="50" xfId="0" applyNumberFormat="1" applyFont="1" applyFill="1" applyBorder="1" applyAlignment="1">
      <alignment horizontal="center"/>
    </xf>
    <xf numFmtId="0" fontId="16" fillId="2" borderId="41" xfId="0" applyFont="1" applyFill="1" applyBorder="1" applyAlignment="1">
      <alignment horizontal="center"/>
    </xf>
    <xf numFmtId="165" fontId="16" fillId="5" borderId="41" xfId="0" applyNumberFormat="1" applyFont="1" applyFill="1" applyBorder="1" applyAlignment="1">
      <alignment horizontal="center"/>
    </xf>
    <xf numFmtId="0" fontId="16" fillId="2" borderId="47" xfId="0" applyFont="1" applyFill="1" applyBorder="1" applyAlignment="1">
      <alignment horizontal="center"/>
    </xf>
    <xf numFmtId="0" fontId="16" fillId="2" borderId="115" xfId="0" applyFont="1" applyFill="1" applyBorder="1" applyAlignment="1">
      <alignment horizontal="center"/>
    </xf>
    <xf numFmtId="165" fontId="16" fillId="5" borderId="54" xfId="0" applyNumberFormat="1" applyFont="1" applyFill="1" applyBorder="1" applyAlignment="1">
      <alignment horizontal="center"/>
    </xf>
    <xf numFmtId="165" fontId="16" fillId="5" borderId="96" xfId="0" applyNumberFormat="1" applyFont="1" applyFill="1" applyBorder="1" applyAlignment="1">
      <alignment horizontal="center"/>
    </xf>
    <xf numFmtId="165" fontId="16" fillId="5" borderId="65" xfId="0" applyNumberFormat="1" applyFont="1" applyFill="1" applyBorder="1" applyAlignment="1">
      <alignment horizontal="center"/>
    </xf>
    <xf numFmtId="0" fontId="16" fillId="2" borderId="40" xfId="0" applyFont="1" applyFill="1" applyBorder="1" applyAlignment="1">
      <alignment horizontal="center"/>
    </xf>
    <xf numFmtId="165" fontId="16" fillId="5" borderId="97" xfId="0" applyNumberFormat="1" applyFont="1" applyFill="1" applyBorder="1" applyAlignment="1">
      <alignment horizontal="center"/>
    </xf>
    <xf numFmtId="0" fontId="0" fillId="2" borderId="97" xfId="0" applyFill="1" applyBorder="1" applyAlignment="1">
      <alignment wrapText="1"/>
    </xf>
    <xf numFmtId="178" fontId="16" fillId="2" borderId="0" xfId="3" applyNumberFormat="1" applyFont="1" applyFill="1" applyBorder="1" applyAlignment="1">
      <alignment horizontal="center"/>
    </xf>
    <xf numFmtId="0" fontId="18" fillId="2" borderId="111" xfId="0" applyFont="1" applyFill="1" applyBorder="1" applyAlignment="1">
      <alignment horizontal="center"/>
    </xf>
    <xf numFmtId="0" fontId="18" fillId="2" borderId="43" xfId="0" applyFont="1" applyFill="1" applyBorder="1" applyAlignment="1">
      <alignment horizontal="center"/>
    </xf>
    <xf numFmtId="0" fontId="18" fillId="2" borderId="112" xfId="0" applyFont="1" applyFill="1" applyBorder="1" applyAlignment="1">
      <alignment horizontal="center"/>
    </xf>
    <xf numFmtId="0" fontId="0" fillId="2" borderId="49" xfId="0" applyFill="1" applyBorder="1" applyAlignment="1">
      <alignment horizontal="center"/>
    </xf>
    <xf numFmtId="0" fontId="0" fillId="2" borderId="61" xfId="0" applyFill="1" applyBorder="1" applyAlignment="1">
      <alignment horizontal="center"/>
    </xf>
    <xf numFmtId="0" fontId="0" fillId="2" borderId="56" xfId="0" applyFill="1" applyBorder="1" applyAlignment="1">
      <alignment horizontal="center"/>
    </xf>
    <xf numFmtId="0" fontId="123" fillId="2" borderId="0" xfId="0" applyFont="1" applyFill="1"/>
    <xf numFmtId="22" fontId="123" fillId="2" borderId="0" xfId="0" applyNumberFormat="1" applyFont="1" applyFill="1"/>
    <xf numFmtId="0" fontId="123" fillId="2" borderId="0" xfId="0" applyFont="1" applyFill="1" applyAlignment="1">
      <alignment horizontal="right"/>
    </xf>
    <xf numFmtId="1" fontId="123" fillId="2" borderId="0" xfId="0" applyNumberFormat="1" applyFont="1" applyFill="1" applyAlignment="1">
      <alignment horizontal="right"/>
    </xf>
    <xf numFmtId="0" fontId="0" fillId="2" borderId="0" xfId="0" applyFill="1" applyBorder="1" applyAlignment="1">
      <alignment horizontal="center" wrapText="1"/>
    </xf>
    <xf numFmtId="0" fontId="16" fillId="2" borderId="2" xfId="0" applyFont="1" applyFill="1" applyBorder="1"/>
    <xf numFmtId="0" fontId="0" fillId="2" borderId="11" xfId="0" applyFill="1" applyBorder="1" applyAlignment="1">
      <alignment horizontal="center" wrapText="1"/>
    </xf>
    <xf numFmtId="0" fontId="0" fillId="2" borderId="12" xfId="0" applyFill="1" applyBorder="1" applyAlignment="1">
      <alignment horizontal="center" wrapText="1"/>
    </xf>
    <xf numFmtId="0" fontId="0" fillId="2" borderId="1" xfId="0" applyFill="1" applyBorder="1" applyAlignment="1">
      <alignment horizontal="center" wrapText="1"/>
    </xf>
    <xf numFmtId="0" fontId="16" fillId="2" borderId="4" xfId="0" applyFont="1" applyFill="1" applyBorder="1"/>
    <xf numFmtId="0" fontId="0" fillId="2" borderId="10" xfId="0" applyFill="1" applyBorder="1" applyAlignment="1">
      <alignment horizontal="center" wrapText="1"/>
    </xf>
    <xf numFmtId="0" fontId="0" fillId="2" borderId="5" xfId="0" applyFill="1" applyBorder="1" applyAlignment="1">
      <alignment horizontal="center" wrapText="1"/>
    </xf>
    <xf numFmtId="165" fontId="16" fillId="7" borderId="41" xfId="0" applyNumberFormat="1" applyFont="1" applyFill="1" applyBorder="1" applyAlignment="1" applyProtection="1">
      <alignment horizontal="center"/>
      <protection locked="0"/>
    </xf>
    <xf numFmtId="165" fontId="16" fillId="7" borderId="54" xfId="0" applyNumberFormat="1" applyFont="1" applyFill="1" applyBorder="1" applyAlignment="1" applyProtection="1">
      <alignment horizontal="center"/>
      <protection locked="0"/>
    </xf>
    <xf numFmtId="0" fontId="16" fillId="2" borderId="15" xfId="0" applyFont="1" applyFill="1" applyBorder="1" applyAlignment="1">
      <alignment horizontal="center"/>
    </xf>
    <xf numFmtId="0" fontId="16" fillId="2" borderId="46" xfId="0" applyFont="1" applyFill="1" applyBorder="1" applyAlignment="1">
      <alignment horizontal="center"/>
    </xf>
    <xf numFmtId="0" fontId="0" fillId="2" borderId="65" xfId="0" applyFill="1" applyBorder="1" applyAlignment="1">
      <alignment wrapText="1"/>
    </xf>
    <xf numFmtId="4" fontId="16" fillId="2" borderId="27" xfId="0" applyNumberFormat="1" applyFont="1" applyFill="1" applyBorder="1" applyAlignment="1">
      <alignment horizontal="center"/>
    </xf>
    <xf numFmtId="165" fontId="16" fillId="2" borderId="27" xfId="0" applyNumberFormat="1" applyFont="1" applyFill="1" applyBorder="1" applyAlignment="1">
      <alignment horizontal="center"/>
    </xf>
    <xf numFmtId="178" fontId="16" fillId="2" borderId="89" xfId="3" applyNumberFormat="1" applyFont="1" applyFill="1" applyBorder="1" applyAlignment="1">
      <alignment horizontal="center"/>
    </xf>
    <xf numFmtId="0" fontId="18" fillId="2" borderId="8" xfId="0" applyFont="1" applyFill="1" applyBorder="1" applyAlignment="1">
      <alignment horizontal="left" wrapText="1"/>
    </xf>
    <xf numFmtId="0" fontId="0" fillId="2" borderId="60" xfId="0" applyFill="1" applyBorder="1" applyAlignment="1">
      <alignment horizontal="center" wrapText="1"/>
    </xf>
    <xf numFmtId="0" fontId="0" fillId="2" borderId="66" xfId="0" applyFill="1" applyBorder="1" applyAlignment="1">
      <alignment horizontal="center" wrapText="1"/>
    </xf>
    <xf numFmtId="0" fontId="16" fillId="2" borderId="44" xfId="0" applyFont="1" applyFill="1" applyBorder="1" applyAlignment="1">
      <alignment horizontal="center"/>
    </xf>
    <xf numFmtId="165" fontId="16" fillId="7" borderId="110" xfId="0" applyNumberFormat="1" applyFont="1" applyFill="1" applyBorder="1" applyAlignment="1" applyProtection="1">
      <alignment horizontal="center"/>
      <protection locked="0"/>
    </xf>
    <xf numFmtId="0" fontId="0" fillId="2" borderId="116" xfId="0" applyFill="1" applyBorder="1" applyAlignment="1">
      <alignment wrapText="1"/>
    </xf>
    <xf numFmtId="0" fontId="0" fillId="2" borderId="11" xfId="0" applyFill="1" applyBorder="1" applyAlignment="1">
      <alignment wrapText="1"/>
    </xf>
    <xf numFmtId="165" fontId="16" fillId="7" borderId="117" xfId="0" applyNumberFormat="1" applyFont="1" applyFill="1" applyBorder="1" applyAlignment="1" applyProtection="1">
      <alignment horizontal="center"/>
      <protection locked="0"/>
    </xf>
    <xf numFmtId="165" fontId="16" fillId="7" borderId="118" xfId="0" applyNumberFormat="1" applyFont="1" applyFill="1" applyBorder="1" applyAlignment="1" applyProtection="1">
      <alignment horizontal="center"/>
      <protection locked="0"/>
    </xf>
    <xf numFmtId="0" fontId="16" fillId="2" borderId="17" xfId="0" applyFont="1" applyFill="1" applyBorder="1" applyAlignment="1">
      <alignment horizontal="center"/>
    </xf>
    <xf numFmtId="0" fontId="16" fillId="2" borderId="6" xfId="0" applyFont="1" applyFill="1" applyBorder="1" applyAlignment="1">
      <alignment horizontal="center"/>
    </xf>
    <xf numFmtId="0" fontId="16" fillId="2" borderId="31" xfId="0" applyFont="1" applyFill="1" applyBorder="1" applyAlignment="1">
      <alignment horizontal="center" wrapText="1"/>
    </xf>
    <xf numFmtId="165" fontId="16" fillId="7" borderId="117" xfId="0" applyNumberFormat="1" applyFont="1" applyFill="1" applyBorder="1" applyAlignment="1" applyProtection="1">
      <alignment horizontal="left"/>
      <protection locked="0"/>
    </xf>
    <xf numFmtId="165" fontId="16" fillId="7" borderId="97" xfId="0" applyNumberFormat="1" applyFont="1" applyFill="1" applyBorder="1" applyAlignment="1" applyProtection="1">
      <alignment horizontal="left"/>
      <protection locked="0"/>
    </xf>
    <xf numFmtId="0" fontId="16" fillId="2" borderId="6" xfId="0" applyFont="1" applyFill="1" applyBorder="1" applyAlignment="1">
      <alignment horizontal="center" wrapText="1"/>
    </xf>
    <xf numFmtId="165" fontId="16" fillId="7" borderId="119" xfId="0" applyNumberFormat="1" applyFont="1" applyFill="1" applyBorder="1" applyAlignment="1" applyProtection="1">
      <alignment horizontal="center"/>
      <protection locked="0"/>
    </xf>
    <xf numFmtId="0" fontId="16" fillId="2" borderId="22" xfId="0" applyFont="1" applyFill="1" applyBorder="1" applyAlignment="1">
      <alignment horizontal="center"/>
    </xf>
    <xf numFmtId="165" fontId="16" fillId="7" borderId="115" xfId="0" applyNumberFormat="1" applyFont="1" applyFill="1" applyBorder="1" applyAlignment="1" applyProtection="1">
      <alignment horizontal="left"/>
      <protection locked="0"/>
    </xf>
    <xf numFmtId="0" fontId="16" fillId="2" borderId="120" xfId="0" applyFont="1" applyFill="1" applyBorder="1" applyAlignment="1">
      <alignment horizontal="center"/>
    </xf>
    <xf numFmtId="0" fontId="16" fillId="2" borderId="121" xfId="0" applyFont="1" applyFill="1" applyBorder="1" applyAlignment="1">
      <alignment horizontal="center"/>
    </xf>
    <xf numFmtId="0" fontId="16" fillId="2" borderId="119" xfId="0" applyFont="1" applyFill="1" applyBorder="1" applyAlignment="1">
      <alignment horizontal="center"/>
    </xf>
    <xf numFmtId="0" fontId="16" fillId="2" borderId="31" xfId="0" applyFont="1" applyFill="1" applyBorder="1" applyAlignment="1">
      <alignment horizontal="center"/>
    </xf>
    <xf numFmtId="0" fontId="16" fillId="2" borderId="33" xfId="0" applyFont="1" applyFill="1" applyBorder="1" applyAlignment="1">
      <alignment horizontal="center"/>
    </xf>
    <xf numFmtId="165" fontId="16" fillId="7" borderId="60" xfId="0" applyNumberFormat="1" applyFont="1" applyFill="1" applyBorder="1" applyAlignment="1" applyProtection="1">
      <alignment horizontal="center"/>
      <protection locked="0"/>
    </xf>
    <xf numFmtId="165" fontId="16" fillId="5" borderId="66" xfId="0" applyNumberFormat="1" applyFont="1" applyFill="1" applyBorder="1" applyAlignment="1">
      <alignment horizontal="center"/>
    </xf>
    <xf numFmtId="165" fontId="16" fillId="2" borderId="60" xfId="0" applyNumberFormat="1" applyFont="1" applyFill="1" applyBorder="1" applyAlignment="1">
      <alignment horizontal="center"/>
    </xf>
    <xf numFmtId="178" fontId="16" fillId="2" borderId="66" xfId="3" applyNumberFormat="1" applyFont="1" applyFill="1" applyBorder="1" applyAlignment="1">
      <alignment horizontal="center"/>
    </xf>
    <xf numFmtId="4" fontId="16" fillId="2" borderId="60" xfId="0" applyNumberFormat="1" applyFont="1" applyFill="1" applyBorder="1" applyAlignment="1">
      <alignment horizontal="center"/>
    </xf>
    <xf numFmtId="0" fontId="16" fillId="2" borderId="12" xfId="0" applyFont="1" applyFill="1" applyBorder="1" applyAlignment="1">
      <alignment horizontal="center" wrapText="1"/>
    </xf>
    <xf numFmtId="0" fontId="16" fillId="2" borderId="1" xfId="0" applyFont="1" applyFill="1" applyBorder="1" applyAlignment="1">
      <alignment horizontal="center" wrapText="1"/>
    </xf>
    <xf numFmtId="0" fontId="16" fillId="2" borderId="1" xfId="0" applyFont="1" applyFill="1" applyBorder="1" applyAlignment="1">
      <alignment horizontal="center"/>
    </xf>
    <xf numFmtId="0" fontId="16" fillId="2" borderId="5" xfId="0" applyFont="1" applyFill="1" applyBorder="1" applyAlignment="1">
      <alignment horizontal="center"/>
    </xf>
    <xf numFmtId="0" fontId="124" fillId="7" borderId="31" xfId="0" applyFont="1" applyFill="1" applyBorder="1" applyAlignment="1" applyProtection="1">
      <alignment horizontal="center"/>
      <protection locked="0"/>
    </xf>
    <xf numFmtId="0" fontId="85" fillId="2" borderId="0" xfId="0" applyFont="1" applyFill="1" applyAlignment="1" applyProtection="1">
      <alignment horizontal="right"/>
    </xf>
    <xf numFmtId="0" fontId="16" fillId="7" borderId="15" xfId="0" applyFont="1" applyFill="1" applyBorder="1" applyProtection="1">
      <protection locked="0"/>
    </xf>
    <xf numFmtId="0" fontId="16" fillId="7" borderId="40" xfId="0" applyFont="1" applyFill="1" applyBorder="1" applyProtection="1">
      <protection locked="0"/>
    </xf>
    <xf numFmtId="0" fontId="16" fillId="7" borderId="19" xfId="0" applyFont="1" applyFill="1" applyBorder="1" applyProtection="1">
      <protection locked="0"/>
    </xf>
    <xf numFmtId="0" fontId="16" fillId="7" borderId="67" xfId="0" applyFont="1" applyFill="1" applyBorder="1" applyProtection="1">
      <protection locked="0"/>
    </xf>
    <xf numFmtId="0" fontId="125" fillId="7" borderId="0" xfId="0" applyFont="1" applyFill="1" applyBorder="1" applyProtection="1"/>
    <xf numFmtId="0" fontId="125" fillId="7" borderId="0" xfId="0" applyFont="1" applyFill="1" applyBorder="1" applyAlignment="1" applyProtection="1">
      <alignment horizontal="right"/>
    </xf>
    <xf numFmtId="1" fontId="125" fillId="7" borderId="0" xfId="0" applyNumberFormat="1" applyFont="1" applyFill="1" applyBorder="1" applyAlignment="1" applyProtection="1">
      <alignment horizontal="center"/>
    </xf>
    <xf numFmtId="3" fontId="125" fillId="7" borderId="0" xfId="0" applyNumberFormat="1" applyFont="1" applyFill="1" applyBorder="1" applyAlignment="1" applyProtection="1">
      <alignment horizontal="center"/>
    </xf>
    <xf numFmtId="165" fontId="125" fillId="7" borderId="0" xfId="0" applyNumberFormat="1" applyFont="1" applyFill="1" applyBorder="1" applyAlignment="1" applyProtection="1">
      <alignment horizontal="center"/>
    </xf>
    <xf numFmtId="165" fontId="126" fillId="7" borderId="0" xfId="0" applyNumberFormat="1" applyFont="1" applyFill="1" applyBorder="1" applyAlignment="1" applyProtection="1">
      <alignment horizontal="center"/>
    </xf>
    <xf numFmtId="9" fontId="125" fillId="7" borderId="0" xfId="3" applyFont="1" applyFill="1" applyBorder="1" applyAlignment="1" applyProtection="1">
      <alignment horizontal="center"/>
    </xf>
    <xf numFmtId="165" fontId="125" fillId="7" borderId="0" xfId="0" applyNumberFormat="1" applyFont="1" applyFill="1" applyBorder="1" applyProtection="1"/>
    <xf numFmtId="0" fontId="0" fillId="4" borderId="0" xfId="0" applyNumberFormat="1" applyFill="1" applyBorder="1" applyAlignment="1" applyProtection="1">
      <alignment horizontal="center"/>
      <protection locked="0"/>
    </xf>
    <xf numFmtId="0" fontId="0" fillId="2" borderId="2" xfId="0" applyFill="1" applyBorder="1" applyAlignment="1" applyProtection="1">
      <alignment horizontal="right"/>
    </xf>
    <xf numFmtId="0" fontId="116" fillId="2" borderId="10" xfId="0" applyFont="1" applyFill="1" applyBorder="1" applyAlignment="1" applyProtection="1">
      <alignment horizontal="center"/>
      <protection locked="0"/>
    </xf>
    <xf numFmtId="0" fontId="116" fillId="2" borderId="0" xfId="0" applyFont="1" applyFill="1" applyAlignment="1" applyProtection="1">
      <alignment horizontal="center"/>
      <protection locked="0"/>
    </xf>
    <xf numFmtId="17" fontId="0" fillId="2" borderId="0" xfId="0" applyNumberFormat="1" applyFill="1" applyBorder="1" applyAlignment="1" applyProtection="1">
      <alignment horizontal="center"/>
    </xf>
    <xf numFmtId="17" fontId="0" fillId="2" borderId="1" xfId="0" applyNumberFormat="1" applyFill="1" applyBorder="1" applyAlignment="1" applyProtection="1">
      <alignment horizontal="center"/>
    </xf>
    <xf numFmtId="0" fontId="1" fillId="2" borderId="18" xfId="0" applyFont="1" applyFill="1" applyBorder="1" applyAlignment="1" applyProtection="1">
      <alignment horizontal="center"/>
    </xf>
    <xf numFmtId="0" fontId="1" fillId="2" borderId="6" xfId="0" applyFont="1" applyFill="1" applyBorder="1" applyAlignment="1" applyProtection="1">
      <alignment horizontal="center"/>
    </xf>
    <xf numFmtId="0" fontId="10" fillId="7" borderId="1" xfId="0" applyFont="1" applyFill="1" applyBorder="1" applyAlignment="1" applyProtection="1">
      <alignment horizontal="center"/>
    </xf>
    <xf numFmtId="0" fontId="32" fillId="5" borderId="7" xfId="0" applyFont="1" applyFill="1" applyBorder="1" applyAlignment="1" applyProtection="1">
      <alignment horizontal="center"/>
    </xf>
    <xf numFmtId="0" fontId="10" fillId="2" borderId="19" xfId="0" applyFont="1" applyFill="1" applyBorder="1" applyAlignment="1" applyProtection="1">
      <alignment horizontal="left"/>
    </xf>
    <xf numFmtId="0" fontId="10" fillId="5" borderId="3" xfId="0" applyFont="1" applyFill="1" applyBorder="1" applyAlignment="1" applyProtection="1">
      <alignment horizontal="left"/>
    </xf>
    <xf numFmtId="0" fontId="33" fillId="5" borderId="4" xfId="0" applyFont="1" applyFill="1" applyBorder="1" applyAlignment="1" applyProtection="1">
      <alignment horizontal="left"/>
    </xf>
    <xf numFmtId="0" fontId="10" fillId="2" borderId="0" xfId="0" applyFont="1" applyFill="1" applyProtection="1">
      <protection hidden="1"/>
    </xf>
    <xf numFmtId="0" fontId="0" fillId="2" borderId="0" xfId="0" applyFill="1" applyAlignment="1" applyProtection="1">
      <alignment horizontal="center"/>
    </xf>
    <xf numFmtId="0" fontId="9" fillId="13" borderId="0" xfId="0" applyFont="1" applyFill="1" applyBorder="1" applyAlignment="1" applyProtection="1">
      <alignment horizontal="center"/>
    </xf>
    <xf numFmtId="0" fontId="129" fillId="15" borderId="27" xfId="0" applyFont="1" applyFill="1" applyBorder="1" applyAlignment="1">
      <alignment horizontal="center" wrapText="1"/>
    </xf>
    <xf numFmtId="0" fontId="129" fillId="14" borderId="27" xfId="0" applyFont="1" applyFill="1" applyBorder="1" applyAlignment="1">
      <alignment horizontal="center" wrapText="1"/>
    </xf>
    <xf numFmtId="0" fontId="18" fillId="16" borderId="0" xfId="0" applyFont="1" applyFill="1" applyAlignment="1" applyProtection="1">
      <alignment horizontal="left" wrapText="1"/>
      <protection locked="0"/>
    </xf>
    <xf numFmtId="0" fontId="129" fillId="7" borderId="27" xfId="0" applyFont="1" applyFill="1" applyBorder="1" applyAlignment="1">
      <alignment horizontal="center" wrapText="1"/>
    </xf>
    <xf numFmtId="0" fontId="130" fillId="17" borderId="41" xfId="0" applyFont="1" applyFill="1" applyBorder="1" applyAlignment="1">
      <alignment wrapText="1"/>
    </xf>
    <xf numFmtId="0" fontId="18" fillId="18" borderId="41" xfId="0" applyFont="1" applyFill="1" applyBorder="1" applyAlignment="1">
      <alignment wrapText="1"/>
    </xf>
    <xf numFmtId="0" fontId="18" fillId="19" borderId="41" xfId="0" applyFont="1" applyFill="1" applyBorder="1" applyAlignment="1">
      <alignment wrapText="1"/>
    </xf>
    <xf numFmtId="0" fontId="16" fillId="0" borderId="0" xfId="0" applyFont="1" applyAlignment="1">
      <alignment wrapText="1"/>
    </xf>
    <xf numFmtId="0" fontId="16" fillId="0" borderId="0" xfId="0" applyFont="1" applyAlignment="1">
      <alignment horizontal="left" wrapText="1"/>
    </xf>
    <xf numFmtId="0" fontId="18" fillId="0" borderId="0" xfId="0" applyFont="1" applyAlignment="1">
      <alignment wrapText="1"/>
    </xf>
    <xf numFmtId="0" fontId="57" fillId="20" borderId="41" xfId="0" applyFont="1" applyFill="1" applyBorder="1" applyAlignment="1">
      <alignment horizontal="center" wrapText="1"/>
    </xf>
    <xf numFmtId="0" fontId="129" fillId="14" borderId="41" xfId="0" applyFont="1" applyFill="1" applyBorder="1" applyAlignment="1">
      <alignment horizontal="center" wrapText="1"/>
    </xf>
    <xf numFmtId="0" fontId="10" fillId="20" borderId="41" xfId="0" applyFont="1" applyFill="1" applyBorder="1" applyAlignment="1">
      <alignment horizontal="center" wrapText="1"/>
    </xf>
    <xf numFmtId="0" fontId="57" fillId="7" borderId="41" xfId="0" applyFont="1" applyFill="1" applyBorder="1" applyAlignment="1">
      <alignment horizontal="left" wrapText="1"/>
    </xf>
    <xf numFmtId="0" fontId="16" fillId="17" borderId="41" xfId="0" applyFont="1" applyFill="1" applyBorder="1" applyAlignment="1">
      <alignment wrapText="1"/>
    </xf>
    <xf numFmtId="0" fontId="16" fillId="18" borderId="41" xfId="0" applyFont="1" applyFill="1" applyBorder="1" applyAlignment="1">
      <alignment wrapText="1"/>
    </xf>
    <xf numFmtId="0" fontId="16" fillId="19" borderId="41" xfId="0" applyFont="1" applyFill="1" applyBorder="1" applyAlignment="1">
      <alignment wrapText="1"/>
    </xf>
    <xf numFmtId="0" fontId="131" fillId="7" borderId="41" xfId="0" applyFont="1" applyFill="1" applyBorder="1" applyAlignment="1">
      <alignment horizontal="center" wrapText="1"/>
    </xf>
    <xf numFmtId="0" fontId="131" fillId="14" borderId="41" xfId="0" applyFont="1" applyFill="1" applyBorder="1" applyAlignment="1">
      <alignment horizontal="center" wrapText="1"/>
    </xf>
    <xf numFmtId="0" fontId="75" fillId="17" borderId="41" xfId="0" applyFont="1" applyFill="1" applyBorder="1" applyAlignment="1">
      <alignment wrapText="1"/>
    </xf>
    <xf numFmtId="0" fontId="75" fillId="18" borderId="41" xfId="0" applyFont="1" applyFill="1" applyBorder="1" applyAlignment="1">
      <alignment wrapText="1"/>
    </xf>
    <xf numFmtId="0" fontId="75" fillId="19" borderId="41" xfId="0" applyFont="1" applyFill="1" applyBorder="1" applyAlignment="1">
      <alignment wrapText="1"/>
    </xf>
    <xf numFmtId="0" fontId="75" fillId="0" borderId="0" xfId="0" applyFont="1" applyAlignment="1">
      <alignment wrapText="1"/>
    </xf>
    <xf numFmtId="0" fontId="62" fillId="7" borderId="41" xfId="0" applyFont="1" applyFill="1" applyBorder="1" applyAlignment="1">
      <alignment horizontal="center" wrapText="1"/>
    </xf>
    <xf numFmtId="0" fontId="62" fillId="14" borderId="41" xfId="0" applyFont="1" applyFill="1" applyBorder="1" applyAlignment="1">
      <alignment horizontal="center" wrapText="1"/>
    </xf>
    <xf numFmtId="0" fontId="62" fillId="7" borderId="41" xfId="0" applyFont="1" applyFill="1" applyBorder="1" applyAlignment="1">
      <alignment horizontal="left" wrapText="1"/>
    </xf>
    <xf numFmtId="0" fontId="16" fillId="20" borderId="41" xfId="0" applyFont="1" applyFill="1" applyBorder="1" applyAlignment="1">
      <alignment wrapText="1"/>
    </xf>
    <xf numFmtId="0" fontId="16" fillId="17" borderId="41" xfId="0" quotePrefix="1" applyFont="1" applyFill="1" applyBorder="1" applyAlignment="1">
      <alignment wrapText="1"/>
    </xf>
    <xf numFmtId="0" fontId="16" fillId="17" borderId="27" xfId="0" applyFont="1" applyFill="1" applyBorder="1" applyAlignment="1">
      <alignment wrapText="1"/>
    </xf>
    <xf numFmtId="0" fontId="16" fillId="18" borderId="27" xfId="0" applyFont="1" applyFill="1" applyBorder="1" applyAlignment="1">
      <alignment wrapText="1"/>
    </xf>
    <xf numFmtId="180" fontId="16" fillId="17" borderId="41" xfId="1" applyNumberFormat="1" applyFont="1" applyFill="1" applyBorder="1" applyAlignment="1">
      <alignment wrapText="1"/>
    </xf>
    <xf numFmtId="180" fontId="16" fillId="18" borderId="41" xfId="1" applyNumberFormat="1" applyFont="1" applyFill="1" applyBorder="1" applyAlignment="1">
      <alignment wrapText="1"/>
    </xf>
    <xf numFmtId="180" fontId="16" fillId="19" borderId="41" xfId="1" applyNumberFormat="1" applyFont="1" applyFill="1" applyBorder="1" applyAlignment="1">
      <alignment wrapText="1"/>
    </xf>
    <xf numFmtId="180" fontId="16" fillId="0" borderId="0" xfId="1" applyNumberFormat="1" applyFont="1" applyAlignment="1">
      <alignment wrapText="1"/>
    </xf>
    <xf numFmtId="164" fontId="16" fillId="17" borderId="41" xfId="0" applyNumberFormat="1" applyFont="1" applyFill="1" applyBorder="1" applyAlignment="1">
      <alignment wrapText="1"/>
    </xf>
    <xf numFmtId="164" fontId="16" fillId="18" borderId="41" xfId="0" applyNumberFormat="1" applyFont="1" applyFill="1" applyBorder="1" applyAlignment="1">
      <alignment wrapText="1"/>
    </xf>
    <xf numFmtId="0" fontId="16" fillId="17" borderId="27" xfId="0" quotePrefix="1" applyFont="1" applyFill="1" applyBorder="1" applyAlignment="1">
      <alignment wrapText="1"/>
    </xf>
    <xf numFmtId="0" fontId="16" fillId="19" borderId="27" xfId="0" applyFont="1" applyFill="1" applyBorder="1" applyAlignment="1">
      <alignment wrapText="1"/>
    </xf>
    <xf numFmtId="0" fontId="16" fillId="19" borderId="110" xfId="0" applyFont="1" applyFill="1" applyBorder="1" applyAlignment="1">
      <alignment wrapText="1"/>
    </xf>
    <xf numFmtId="0" fontId="16" fillId="0" borderId="0" xfId="0" applyFont="1" applyBorder="1" applyAlignment="1">
      <alignment wrapText="1"/>
    </xf>
    <xf numFmtId="0" fontId="62" fillId="14" borderId="110" xfId="0" applyFont="1" applyFill="1" applyBorder="1" applyAlignment="1">
      <alignment horizontal="center" wrapText="1"/>
    </xf>
    <xf numFmtId="0" fontId="16" fillId="17" borderId="110" xfId="0" applyFont="1" applyFill="1" applyBorder="1" applyAlignment="1">
      <alignment wrapText="1"/>
    </xf>
    <xf numFmtId="0" fontId="16" fillId="18" borderId="110" xfId="0" applyFont="1" applyFill="1" applyBorder="1" applyAlignment="1">
      <alignment wrapText="1"/>
    </xf>
    <xf numFmtId="0" fontId="62" fillId="14" borderId="27" xfId="0" applyFont="1" applyFill="1" applyBorder="1" applyAlignment="1">
      <alignment horizontal="center" wrapText="1"/>
    </xf>
    <xf numFmtId="0" fontId="62" fillId="14" borderId="54" xfId="0" applyFont="1" applyFill="1" applyBorder="1" applyAlignment="1">
      <alignment horizontal="center" wrapText="1"/>
    </xf>
    <xf numFmtId="0" fontId="16" fillId="17" borderId="54" xfId="0" applyFont="1" applyFill="1" applyBorder="1" applyAlignment="1">
      <alignment wrapText="1"/>
    </xf>
    <xf numFmtId="0" fontId="16" fillId="18" borderId="54" xfId="0" applyFont="1" applyFill="1" applyBorder="1" applyAlignment="1">
      <alignment wrapText="1"/>
    </xf>
    <xf numFmtId="0" fontId="16" fillId="19" borderId="54" xfId="0" applyFont="1" applyFill="1" applyBorder="1" applyAlignment="1">
      <alignment wrapText="1"/>
    </xf>
    <xf numFmtId="0" fontId="16" fillId="18" borderId="41" xfId="0" quotePrefix="1" applyFont="1" applyFill="1" applyBorder="1" applyAlignment="1">
      <alignment wrapText="1"/>
    </xf>
    <xf numFmtId="0" fontId="16" fillId="19" borderId="41" xfId="0" quotePrefix="1" applyFont="1" applyFill="1" applyBorder="1" applyAlignment="1">
      <alignment wrapText="1"/>
    </xf>
    <xf numFmtId="1" fontId="0" fillId="4" borderId="15" xfId="0" applyNumberFormat="1" applyFill="1" applyBorder="1" applyAlignment="1" applyProtection="1">
      <alignment horizontal="left"/>
      <protection locked="0"/>
    </xf>
    <xf numFmtId="0" fontId="16" fillId="7" borderId="0" xfId="0" applyFont="1" applyFill="1" applyProtection="1"/>
    <xf numFmtId="49" fontId="16" fillId="7" borderId="0" xfId="0" applyNumberFormat="1" applyFont="1" applyFill="1" applyBorder="1" applyAlignment="1" applyProtection="1">
      <alignment horizontal="left"/>
    </xf>
    <xf numFmtId="14" fontId="16" fillId="20" borderId="41" xfId="0" quotePrefix="1" applyNumberFormat="1" applyFont="1" applyFill="1" applyBorder="1" applyAlignment="1">
      <alignment wrapText="1"/>
    </xf>
    <xf numFmtId="0" fontId="0" fillId="4" borderId="15" xfId="0" applyNumberForma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4" fontId="0" fillId="2" borderId="0" xfId="0" applyNumberFormat="1" applyFill="1" applyBorder="1" applyAlignment="1" applyProtection="1"/>
    <xf numFmtId="0" fontId="16" fillId="7" borderId="19" xfId="0" applyFont="1" applyFill="1" applyBorder="1" applyAlignment="1" applyProtection="1">
      <alignment horizontal="left"/>
    </xf>
    <xf numFmtId="0" fontId="16" fillId="7" borderId="0" xfId="0" applyFont="1" applyFill="1" applyProtection="1"/>
    <xf numFmtId="0" fontId="0" fillId="2" borderId="0" xfId="0" applyFill="1" applyAlignment="1" applyProtection="1">
      <alignment horizontal="center"/>
    </xf>
    <xf numFmtId="0" fontId="10" fillId="2" borderId="0" xfId="0" applyFont="1" applyFill="1" applyAlignment="1" applyProtection="1">
      <alignment horizontal="right"/>
      <protection hidden="1"/>
    </xf>
    <xf numFmtId="0" fontId="0" fillId="4" borderId="23" xfId="0" applyNumberFormat="1" applyFill="1" applyBorder="1" applyAlignment="1" applyProtection="1">
      <alignment horizontal="center"/>
      <protection locked="0"/>
    </xf>
    <xf numFmtId="4" fontId="18" fillId="7" borderId="3" xfId="0" applyNumberFormat="1" applyFont="1" applyFill="1" applyBorder="1" applyAlignment="1" applyProtection="1">
      <alignment horizontal="left"/>
    </xf>
    <xf numFmtId="0" fontId="10" fillId="2" borderId="0" xfId="0" applyFont="1" applyFill="1" applyAlignment="1" applyProtection="1">
      <alignment horizontal="right"/>
    </xf>
    <xf numFmtId="49" fontId="18" fillId="7" borderId="0" xfId="0" applyNumberFormat="1" applyFont="1" applyFill="1" applyProtection="1"/>
    <xf numFmtId="0" fontId="133" fillId="2" borderId="0" xfId="0" applyFont="1" applyFill="1" applyBorder="1" applyAlignment="1" applyProtection="1">
      <alignment horizontal="center"/>
    </xf>
    <xf numFmtId="0" fontId="132" fillId="2" borderId="0" xfId="0" applyFont="1" applyFill="1" applyBorder="1" applyAlignment="1" applyProtection="1">
      <alignment horizontal="center"/>
    </xf>
    <xf numFmtId="0" fontId="135" fillId="2" borderId="0" xfId="0" applyFont="1" applyFill="1" applyBorder="1" applyAlignment="1" applyProtection="1">
      <alignment horizontal="right"/>
    </xf>
    <xf numFmtId="0" fontId="16" fillId="2" borderId="1" xfId="0" applyFont="1" applyFill="1" applyBorder="1" applyAlignment="1" applyProtection="1">
      <alignment horizontal="right"/>
    </xf>
    <xf numFmtId="0" fontId="10" fillId="2" borderId="4" xfId="0" applyFont="1" applyFill="1" applyBorder="1"/>
    <xf numFmtId="0" fontId="51" fillId="7" borderId="0" xfId="0" applyFont="1" applyFill="1" applyAlignment="1" applyProtection="1">
      <alignment horizontal="left" vertical="center"/>
    </xf>
    <xf numFmtId="0" fontId="32" fillId="7" borderId="0" xfId="0" applyFont="1" applyFill="1" applyAlignment="1" applyProtection="1">
      <alignment horizontal="left" vertical="center"/>
    </xf>
    <xf numFmtId="0" fontId="18" fillId="7" borderId="0" xfId="0" applyFont="1" applyFill="1" applyBorder="1" applyProtection="1"/>
    <xf numFmtId="0" fontId="18" fillId="7" borderId="11" xfId="0" applyFont="1" applyFill="1" applyBorder="1" applyAlignment="1" applyProtection="1">
      <alignment horizontal="left"/>
    </xf>
    <xf numFmtId="0" fontId="18" fillId="7" borderId="11" xfId="0" applyFont="1" applyFill="1" applyBorder="1" applyAlignment="1" applyProtection="1">
      <alignment horizontal="right"/>
    </xf>
    <xf numFmtId="0" fontId="18" fillId="7" borderId="0" xfId="0" applyFont="1" applyFill="1" applyBorder="1" applyAlignment="1" applyProtection="1">
      <alignment horizontal="right"/>
    </xf>
    <xf numFmtId="0" fontId="18" fillId="7" borderId="10" xfId="0" applyFont="1" applyFill="1" applyBorder="1" applyAlignment="1" applyProtection="1">
      <alignment horizontal="center"/>
    </xf>
    <xf numFmtId="0" fontId="18" fillId="7" borderId="10" xfId="0" applyFont="1" applyFill="1" applyBorder="1" applyAlignment="1" applyProtection="1">
      <alignment horizontal="right"/>
    </xf>
    <xf numFmtId="4" fontId="16" fillId="7" borderId="0" xfId="0" applyNumberFormat="1" applyFont="1" applyFill="1" applyBorder="1" applyProtection="1"/>
    <xf numFmtId="0" fontId="96" fillId="7" borderId="0" xfId="0" applyFont="1" applyFill="1" applyBorder="1" applyProtection="1"/>
    <xf numFmtId="165" fontId="10" fillId="4" borderId="15" xfId="0" applyNumberFormat="1" applyFont="1" applyFill="1" applyBorder="1" applyAlignment="1" applyProtection="1">
      <alignment horizontal="center"/>
      <protection locked="0"/>
    </xf>
    <xf numFmtId="0" fontId="1" fillId="2" borderId="2" xfId="0" applyFont="1" applyFill="1" applyBorder="1" applyProtection="1"/>
    <xf numFmtId="0" fontId="1" fillId="2" borderId="11" xfId="0" applyFont="1" applyFill="1" applyBorder="1" applyProtection="1"/>
    <xf numFmtId="0" fontId="1" fillId="2" borderId="4" xfId="0" applyFont="1" applyFill="1" applyBorder="1" applyProtection="1"/>
    <xf numFmtId="164" fontId="1" fillId="2" borderId="10" xfId="0" applyNumberFormat="1" applyFont="1" applyFill="1" applyBorder="1" applyProtection="1"/>
    <xf numFmtId="2" fontId="0" fillId="2" borderId="10" xfId="0" applyNumberFormat="1" applyFill="1" applyBorder="1" applyAlignment="1" applyProtection="1"/>
    <xf numFmtId="4" fontId="0" fillId="2" borderId="10" xfId="0" applyNumberFormat="1" applyFill="1" applyBorder="1" applyAlignment="1" applyProtection="1">
      <alignment horizontal="center"/>
    </xf>
    <xf numFmtId="2" fontId="11" fillId="2" borderId="1" xfId="0" applyNumberFormat="1" applyFont="1" applyFill="1" applyBorder="1" applyAlignment="1" applyProtection="1">
      <alignment horizontal="center"/>
    </xf>
    <xf numFmtId="0" fontId="137" fillId="20" borderId="15" xfId="0" applyFont="1" applyFill="1" applyBorder="1" applyAlignment="1" applyProtection="1">
      <alignment horizontal="center"/>
      <protection locked="0"/>
    </xf>
    <xf numFmtId="0" fontId="119" fillId="2" borderId="11" xfId="0" applyFont="1" applyFill="1" applyBorder="1" applyAlignment="1" applyProtection="1">
      <alignment textRotation="90"/>
    </xf>
    <xf numFmtId="0" fontId="0" fillId="3" borderId="93" xfId="0" applyFill="1" applyBorder="1" applyAlignment="1" applyProtection="1">
      <alignment horizontal="center"/>
      <protection locked="0"/>
    </xf>
    <xf numFmtId="2" fontId="0" fillId="4" borderId="0" xfId="0" applyNumberFormat="1" applyFill="1" applyBorder="1" applyAlignment="1" applyProtection="1">
      <alignment horizontal="center"/>
      <protection locked="0"/>
    </xf>
    <xf numFmtId="0" fontId="136" fillId="2" borderId="10" xfId="0" quotePrefix="1" applyFont="1" applyFill="1" applyBorder="1" applyProtection="1"/>
    <xf numFmtId="0" fontId="32" fillId="2" borderId="0" xfId="0" applyFont="1" applyFill="1" applyBorder="1" applyAlignment="1" applyProtection="1"/>
    <xf numFmtId="2" fontId="0" fillId="2" borderId="3" xfId="0" applyNumberFormat="1" applyFill="1" applyBorder="1" applyAlignment="1" applyProtection="1">
      <alignment horizontal="center"/>
    </xf>
    <xf numFmtId="0" fontId="10" fillId="2" borderId="2" xfId="0" applyFont="1" applyFill="1" applyBorder="1" applyAlignment="1" applyProtection="1">
      <alignment horizontal="center"/>
    </xf>
    <xf numFmtId="167" fontId="0" fillId="2" borderId="11" xfId="0" applyNumberFormat="1" applyFill="1" applyBorder="1" applyAlignment="1" applyProtection="1">
      <alignment horizontal="center"/>
    </xf>
    <xf numFmtId="167" fontId="0" fillId="2" borderId="10" xfId="0" applyNumberFormat="1" applyFill="1" applyBorder="1" applyAlignment="1" applyProtection="1">
      <alignment horizontal="center"/>
    </xf>
    <xf numFmtId="2" fontId="10" fillId="4" borderId="15" xfId="0" applyNumberFormat="1" applyFont="1" applyFill="1" applyBorder="1" applyAlignment="1" applyProtection="1">
      <alignment horizontal="center"/>
      <protection locked="0"/>
    </xf>
    <xf numFmtId="0" fontId="0" fillId="2" borderId="10" xfId="0" applyFill="1" applyBorder="1" applyProtection="1">
      <protection locked="0"/>
    </xf>
    <xf numFmtId="0" fontId="0" fillId="2" borderId="12" xfId="0" applyFill="1" applyBorder="1" applyAlignment="1" applyProtection="1"/>
    <xf numFmtId="4" fontId="0" fillId="2" borderId="3" xfId="0" applyNumberFormat="1" applyFill="1" applyBorder="1" applyAlignment="1" applyProtection="1">
      <alignment horizontal="center"/>
    </xf>
    <xf numFmtId="164" fontId="16" fillId="7" borderId="0" xfId="0" applyNumberFormat="1" applyFont="1" applyFill="1" applyProtection="1"/>
    <xf numFmtId="2" fontId="0" fillId="2" borderId="0" xfId="0" applyNumberFormat="1" applyFill="1" applyAlignment="1" applyProtection="1">
      <alignment horizontal="center"/>
    </xf>
    <xf numFmtId="0" fontId="10" fillId="2" borderId="0" xfId="0" quotePrefix="1" applyFont="1" applyFill="1" applyBorder="1" applyAlignment="1" applyProtection="1">
      <alignment horizontal="right"/>
    </xf>
    <xf numFmtId="0" fontId="10" fillId="2" borderId="0" xfId="0" quotePrefix="1" applyFont="1" applyFill="1" applyBorder="1" applyAlignment="1" applyProtection="1">
      <alignment horizontal="center"/>
    </xf>
    <xf numFmtId="0" fontId="135" fillId="2" borderId="0" xfId="0" applyFont="1" applyFill="1" applyBorder="1" applyProtection="1"/>
    <xf numFmtId="165" fontId="36" fillId="2" borderId="10" xfId="0" applyNumberFormat="1" applyFont="1" applyFill="1" applyBorder="1" applyProtection="1"/>
    <xf numFmtId="0" fontId="10" fillId="2" borderId="11" xfId="0" applyFont="1" applyFill="1" applyBorder="1" applyAlignment="1" applyProtection="1">
      <alignment horizontal="center"/>
    </xf>
    <xf numFmtId="0" fontId="32" fillId="2" borderId="11" xfId="0" applyFont="1" applyFill="1" applyBorder="1" applyAlignment="1" applyProtection="1"/>
    <xf numFmtId="0" fontId="0" fillId="3" borderId="15" xfId="0" applyFill="1" applyBorder="1" applyAlignment="1" applyProtection="1">
      <alignment horizontal="center"/>
      <protection locked="0"/>
    </xf>
    <xf numFmtId="0" fontId="0" fillId="3" borderId="23" xfId="0" applyFill="1" applyBorder="1" applyAlignment="1" applyProtection="1">
      <alignment horizontal="center"/>
      <protection locked="0"/>
    </xf>
    <xf numFmtId="165" fontId="36" fillId="2" borderId="11" xfId="0" applyNumberFormat="1" applyFont="1" applyFill="1" applyBorder="1" applyProtection="1"/>
    <xf numFmtId="0" fontId="36" fillId="2" borderId="10" xfId="0" applyFont="1" applyFill="1" applyBorder="1" applyAlignment="1" applyProtection="1">
      <alignment horizontal="left"/>
    </xf>
    <xf numFmtId="0" fontId="59" fillId="2" borderId="11" xfId="0" applyFont="1" applyFill="1" applyBorder="1" applyProtection="1"/>
    <xf numFmtId="0" fontId="16" fillId="2" borderId="5" xfId="0" applyFont="1" applyFill="1" applyBorder="1" applyAlignment="1" applyProtection="1">
      <alignment horizontal="right"/>
    </xf>
    <xf numFmtId="0" fontId="60" fillId="2" borderId="11" xfId="0" applyFont="1" applyFill="1" applyBorder="1" applyProtection="1"/>
    <xf numFmtId="164" fontId="0" fillId="2" borderId="29" xfId="0" applyNumberFormat="1" applyFill="1" applyBorder="1" applyProtection="1"/>
    <xf numFmtId="0" fontId="32" fillId="11" borderId="0" xfId="0" applyFont="1" applyFill="1" applyBorder="1" applyAlignment="1" applyProtection="1">
      <alignment horizontal="center"/>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18" fillId="2" borderId="0" xfId="0" applyFont="1" applyFill="1" applyBorder="1" applyAlignment="1" applyProtection="1">
      <alignment horizontal="left"/>
      <protection hidden="1"/>
    </xf>
    <xf numFmtId="49" fontId="16" fillId="7" borderId="0" xfId="0" applyNumberFormat="1" applyFont="1" applyFill="1" applyBorder="1" applyAlignment="1" applyProtection="1">
      <alignment horizontal="left"/>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0" xfId="0" applyFont="1" applyFill="1" applyProtection="1"/>
    <xf numFmtId="0" fontId="0" fillId="4" borderId="15" xfId="0" applyFill="1" applyBorder="1" applyAlignment="1" applyProtection="1">
      <alignment horizontal="center"/>
      <protection locked="0"/>
    </xf>
    <xf numFmtId="0" fontId="16" fillId="7" borderId="0" xfId="0" applyFont="1" applyFill="1" applyProtection="1"/>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26" fillId="2" borderId="0" xfId="0" applyFont="1" applyFill="1" applyBorder="1" applyAlignment="1" applyProtection="1">
      <alignment horizontal="left"/>
      <protection hidden="1"/>
    </xf>
    <xf numFmtId="0" fontId="18" fillId="2" borderId="0" xfId="0" applyFont="1" applyFill="1" applyAlignment="1" applyProtection="1">
      <alignment horizontal="center"/>
      <protection hidden="1"/>
    </xf>
    <xf numFmtId="0" fontId="18" fillId="11" borderId="0" xfId="0" applyFont="1" applyFill="1" applyBorder="1" applyAlignment="1" applyProtection="1">
      <alignment horizontal="center"/>
      <protection hidden="1"/>
    </xf>
    <xf numFmtId="0" fontId="95" fillId="11"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32" fillId="11" borderId="0" xfId="0" applyFont="1" applyFill="1" applyAlignment="1" applyProtection="1">
      <alignment horizontal="center" wrapText="1"/>
      <protection hidden="1"/>
    </xf>
    <xf numFmtId="0" fontId="95" fillId="11" borderId="1" xfId="0" applyFont="1" applyFill="1" applyBorder="1" applyAlignment="1" applyProtection="1">
      <alignment horizontal="left"/>
      <protection hidden="1"/>
    </xf>
    <xf numFmtId="0" fontId="0" fillId="2" borderId="12" xfId="0" applyFill="1" applyBorder="1"/>
    <xf numFmtId="1" fontId="16" fillId="2" borderId="0" xfId="0" applyNumberFormat="1" applyFont="1" applyFill="1" applyBorder="1" applyAlignment="1" applyProtection="1">
      <alignment horizontal="left"/>
      <protection hidden="1"/>
    </xf>
    <xf numFmtId="22" fontId="0" fillId="2" borderId="0" xfId="0" applyNumberFormat="1" applyFill="1" applyBorder="1" applyAlignment="1" applyProtection="1">
      <alignment horizontal="left"/>
    </xf>
    <xf numFmtId="0" fontId="16" fillId="2" borderId="0" xfId="0" applyFont="1" applyFill="1" applyBorder="1" applyAlignment="1" applyProtection="1">
      <alignment horizontal="center"/>
      <protection hidden="1"/>
    </xf>
    <xf numFmtId="0" fontId="116" fillId="2" borderId="0" xfId="0" applyFont="1" applyFill="1" applyBorder="1" applyAlignment="1" applyProtection="1">
      <alignment horizontal="center"/>
      <protection locked="0"/>
    </xf>
    <xf numFmtId="0" fontId="99" fillId="2" borderId="0" xfId="0" applyFont="1" applyFill="1" applyAlignment="1" applyProtection="1">
      <alignment horizontal="left"/>
      <protection hidden="1"/>
    </xf>
    <xf numFmtId="0" fontId="10" fillId="11" borderId="0" xfId="0" applyFont="1" applyFill="1" applyBorder="1"/>
    <xf numFmtId="0" fontId="21" fillId="2" borderId="10" xfId="0" applyFont="1" applyFill="1" applyBorder="1" applyAlignment="1" applyProtection="1">
      <alignment horizontal="left"/>
    </xf>
    <xf numFmtId="0" fontId="21" fillId="2" borderId="0" xfId="0" applyFont="1" applyFill="1" applyBorder="1" applyAlignment="1" applyProtection="1"/>
    <xf numFmtId="0" fontId="16" fillId="2" borderId="3" xfId="0" applyFont="1" applyFill="1" applyBorder="1" applyProtection="1"/>
    <xf numFmtId="0" fontId="21" fillId="2" borderId="3" xfId="0" applyFont="1" applyFill="1" applyBorder="1" applyAlignment="1" applyProtection="1">
      <alignment horizontal="center"/>
    </xf>
    <xf numFmtId="0" fontId="21" fillId="2" borderId="3" xfId="0" applyFont="1" applyFill="1" applyBorder="1" applyAlignment="1" applyProtection="1"/>
    <xf numFmtId="3" fontId="16" fillId="4" borderId="100" xfId="0" applyNumberFormat="1" applyFont="1" applyFill="1" applyBorder="1" applyAlignment="1" applyProtection="1">
      <alignment horizontal="center"/>
      <protection locked="0"/>
    </xf>
    <xf numFmtId="0" fontId="18" fillId="2" borderId="3" xfId="0" applyFont="1" applyFill="1" applyBorder="1" applyAlignment="1" applyProtection="1"/>
    <xf numFmtId="0" fontId="21" fillId="2" borderId="0" xfId="0" quotePrefix="1" applyFont="1" applyFill="1" applyBorder="1" applyAlignment="1" applyProtection="1">
      <alignment horizontal="center"/>
    </xf>
    <xf numFmtId="0" fontId="21" fillId="2" borderId="3" xfId="0" applyFont="1" applyFill="1" applyBorder="1" applyAlignment="1" applyProtection="1">
      <alignment horizontal="left"/>
    </xf>
    <xf numFmtId="3" fontId="21" fillId="2" borderId="0" xfId="0" applyNumberFormat="1" applyFont="1" applyFill="1" applyBorder="1" applyAlignment="1" applyProtection="1">
      <alignment horizontal="center"/>
    </xf>
    <xf numFmtId="3" fontId="16" fillId="4" borderId="48" xfId="0" applyNumberFormat="1" applyFont="1" applyFill="1" applyBorder="1" applyAlignment="1" applyProtection="1">
      <alignment horizontal="center"/>
      <protection locked="0"/>
    </xf>
    <xf numFmtId="0" fontId="16" fillId="2" borderId="3" xfId="0" applyFont="1" applyFill="1" applyBorder="1" applyAlignment="1" applyProtection="1">
      <alignment horizontal="center"/>
    </xf>
    <xf numFmtId="3" fontId="16" fillId="2" borderId="1" xfId="0" applyNumberFormat="1" applyFont="1" applyFill="1" applyBorder="1" applyAlignment="1" applyProtection="1">
      <alignment horizontal="center"/>
    </xf>
    <xf numFmtId="0" fontId="16" fillId="2" borderId="3" xfId="0" applyFont="1" applyFill="1" applyBorder="1" applyAlignment="1" applyProtection="1">
      <alignment horizontal="left"/>
    </xf>
    <xf numFmtId="0" fontId="16" fillId="2" borderId="3" xfId="0" quotePrefix="1" applyFont="1" applyFill="1" applyBorder="1" applyProtection="1"/>
    <xf numFmtId="3" fontId="16" fillId="2" borderId="45" xfId="0" applyNumberFormat="1" applyFont="1" applyFill="1" applyBorder="1" applyAlignment="1" applyProtection="1">
      <alignment horizontal="center"/>
    </xf>
    <xf numFmtId="3" fontId="16" fillId="4" borderId="100" xfId="0" quotePrefix="1" applyNumberFormat="1" applyFont="1" applyFill="1" applyBorder="1" applyAlignment="1" applyProtection="1">
      <alignment horizontal="center"/>
      <protection locked="0"/>
    </xf>
    <xf numFmtId="0" fontId="16" fillId="2" borderId="3" xfId="0" applyFont="1" applyFill="1" applyBorder="1" applyAlignment="1" applyProtection="1"/>
    <xf numFmtId="0" fontId="16" fillId="2" borderId="0" xfId="0" applyFont="1" applyFill="1" applyBorder="1" applyAlignment="1" applyProtection="1"/>
    <xf numFmtId="3" fontId="16" fillId="4" borderId="48" xfId="0" quotePrefix="1" applyNumberFormat="1" applyFont="1" applyFill="1" applyBorder="1" applyAlignment="1" applyProtection="1">
      <alignment horizontal="center"/>
      <protection locked="0"/>
    </xf>
    <xf numFmtId="3" fontId="16" fillId="4" borderId="1" xfId="0" quotePrefix="1" applyNumberFormat="1" applyFont="1" applyFill="1" applyBorder="1" applyAlignment="1" applyProtection="1">
      <alignment horizontal="center"/>
      <protection locked="0"/>
    </xf>
    <xf numFmtId="3" fontId="0" fillId="4" borderId="45" xfId="0" applyNumberFormat="1" applyFill="1" applyBorder="1" applyAlignment="1" applyProtection="1">
      <alignment horizontal="center"/>
      <protection locked="0"/>
    </xf>
    <xf numFmtId="3" fontId="0" fillId="2" borderId="45" xfId="0" applyNumberFormat="1" applyFill="1" applyBorder="1" applyAlignment="1" applyProtection="1">
      <alignment horizontal="center"/>
    </xf>
    <xf numFmtId="3" fontId="0" fillId="4" borderId="100"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3" fontId="0" fillId="2" borderId="1" xfId="0" applyNumberFormat="1" applyFill="1" applyBorder="1" applyAlignment="1" applyProtection="1">
      <alignment horizontal="center"/>
    </xf>
    <xf numFmtId="0" fontId="16" fillId="2" borderId="1" xfId="0" applyFont="1" applyFill="1" applyBorder="1" applyAlignment="1" applyProtection="1">
      <alignment horizontal="center"/>
    </xf>
    <xf numFmtId="3" fontId="0" fillId="4" borderId="1" xfId="0" applyNumberFormat="1" applyFill="1" applyBorder="1" applyAlignment="1" applyProtection="1">
      <alignment horizontal="center"/>
      <protection locked="0"/>
    </xf>
    <xf numFmtId="3" fontId="0" fillId="4" borderId="48" xfId="0" quotePrefix="1" applyNumberFormat="1" applyFill="1" applyBorder="1" applyAlignment="1" applyProtection="1">
      <alignment horizontal="center"/>
      <protection locked="0"/>
    </xf>
    <xf numFmtId="0" fontId="24" fillId="2" borderId="2" xfId="0" applyFont="1" applyFill="1" applyBorder="1" applyAlignment="1" applyProtection="1">
      <alignment vertical="top"/>
    </xf>
    <xf numFmtId="0" fontId="0" fillId="2" borderId="11" xfId="0" applyFill="1" applyBorder="1" applyAlignment="1" applyProtection="1">
      <alignment horizontal="center" wrapText="1"/>
    </xf>
    <xf numFmtId="0" fontId="0" fillId="7" borderId="11" xfId="0" applyFill="1" applyBorder="1" applyProtection="1"/>
    <xf numFmtId="0" fontId="0" fillId="7" borderId="12" xfId="0" applyFill="1" applyBorder="1" applyProtection="1"/>
    <xf numFmtId="0" fontId="16" fillId="7" borderId="10" xfId="0" applyFont="1" applyFill="1" applyBorder="1" applyAlignment="1" applyProtection="1">
      <alignment horizontal="right"/>
    </xf>
    <xf numFmtId="0" fontId="0" fillId="7" borderId="5" xfId="0" applyFill="1" applyBorder="1" applyProtection="1"/>
    <xf numFmtId="0" fontId="6" fillId="7" borderId="0" xfId="0" applyFont="1" applyFill="1" applyBorder="1" applyAlignment="1" applyProtection="1">
      <alignment horizontal="right"/>
    </xf>
    <xf numFmtId="0" fontId="10" fillId="2" borderId="4" xfId="0" applyFont="1" applyFill="1" applyBorder="1" applyAlignment="1" applyProtection="1">
      <alignment horizontal="center"/>
    </xf>
    <xf numFmtId="164" fontId="0" fillId="2" borderId="17" xfId="0" applyNumberFormat="1" applyFill="1" applyBorder="1" applyAlignment="1" applyProtection="1">
      <alignment horizontal="center"/>
    </xf>
    <xf numFmtId="0" fontId="57" fillId="2" borderId="0" xfId="0" quotePrefix="1" applyFont="1" applyFill="1" applyProtection="1">
      <protection hidden="1"/>
    </xf>
    <xf numFmtId="4" fontId="10" fillId="7" borderId="0" xfId="0" applyNumberFormat="1" applyFont="1" applyFill="1" applyProtection="1"/>
    <xf numFmtId="3" fontId="139" fillId="7" borderId="0" xfId="0" applyNumberFormat="1" applyFont="1" applyFill="1" applyAlignment="1" applyProtection="1">
      <alignment horizontal="center"/>
    </xf>
    <xf numFmtId="1" fontId="9" fillId="7" borderId="0" xfId="0" applyNumberFormat="1" applyFont="1" applyFill="1" applyBorder="1" applyProtection="1"/>
    <xf numFmtId="0" fontId="9" fillId="7" borderId="0" xfId="0" applyFont="1" applyFill="1" applyAlignment="1" applyProtection="1">
      <alignment horizontal="center"/>
    </xf>
    <xf numFmtId="164" fontId="9" fillId="7" borderId="0" xfId="0" applyNumberFormat="1" applyFont="1" applyFill="1" applyProtection="1"/>
    <xf numFmtId="164" fontId="139" fillId="7" borderId="0" xfId="0" applyNumberFormat="1" applyFont="1" applyFill="1" applyProtection="1"/>
    <xf numFmtId="2" fontId="0" fillId="2" borderId="11" xfId="0" applyNumberFormat="1" applyFill="1" applyBorder="1" applyAlignment="1" applyProtection="1">
      <alignment horizontal="center"/>
    </xf>
    <xf numFmtId="2" fontId="0" fillId="12" borderId="31" xfId="0" applyNumberFormat="1" applyFill="1" applyBorder="1" applyAlignment="1">
      <alignment horizontal="center"/>
    </xf>
    <xf numFmtId="2" fontId="10" fillId="5" borderId="17" xfId="0" applyNumberFormat="1" applyFont="1" applyFill="1" applyBorder="1" applyAlignment="1">
      <alignment horizontal="center"/>
    </xf>
    <xf numFmtId="165" fontId="1" fillId="7" borderId="0" xfId="0" applyNumberFormat="1" applyFont="1" applyFill="1" applyAlignment="1" applyProtection="1">
      <alignment horizontal="center"/>
    </xf>
    <xf numFmtId="165" fontId="9" fillId="7" borderId="0" xfId="0" applyNumberFormat="1" applyFont="1" applyFill="1" applyAlignment="1" applyProtection="1">
      <alignment horizontal="center"/>
    </xf>
    <xf numFmtId="165" fontId="9" fillId="7" borderId="13" xfId="0" applyNumberFormat="1" applyFont="1" applyFill="1" applyBorder="1" applyAlignment="1" applyProtection="1">
      <alignment horizontal="center"/>
    </xf>
    <xf numFmtId="165" fontId="27" fillId="2" borderId="0" xfId="0" applyNumberFormat="1" applyFont="1" applyFill="1" applyBorder="1" applyProtection="1"/>
    <xf numFmtId="0" fontId="10" fillId="2" borderId="3" xfId="0" applyFont="1" applyFill="1" applyBorder="1" applyAlignment="1" applyProtection="1">
      <alignment horizontal="center"/>
    </xf>
    <xf numFmtId="164" fontId="0" fillId="2" borderId="3" xfId="0" applyNumberFormat="1" applyFill="1" applyBorder="1" applyAlignment="1" applyProtection="1">
      <alignment horizontal="center"/>
    </xf>
    <xf numFmtId="164" fontId="27" fillId="2" borderId="10" xfId="0" applyNumberFormat="1" applyFont="1" applyFill="1" applyBorder="1" applyProtection="1"/>
    <xf numFmtId="0" fontId="18" fillId="7" borderId="0" xfId="0" applyFont="1" applyFill="1" applyAlignment="1" applyProtection="1">
      <alignment vertical="center"/>
    </xf>
    <xf numFmtId="0" fontId="16" fillId="7" borderId="0" xfId="0" applyFont="1" applyFill="1" applyProtection="1"/>
    <xf numFmtId="0" fontId="0" fillId="7" borderId="0" xfId="0" applyFill="1" applyAlignment="1" applyProtection="1">
      <alignment horizontal="center"/>
    </xf>
    <xf numFmtId="0" fontId="0" fillId="2" borderId="0" xfId="0" applyFill="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18" fillId="2" borderId="0" xfId="0" applyFont="1" applyFill="1" applyAlignment="1" applyProtection="1">
      <alignment horizontal="center"/>
    </xf>
    <xf numFmtId="0" fontId="19" fillId="2" borderId="0" xfId="0" applyFont="1" applyFill="1" applyAlignment="1" applyProtection="1">
      <alignment horizontal="right"/>
    </xf>
    <xf numFmtId="0" fontId="16" fillId="7" borderId="0" xfId="0" applyFont="1" applyFill="1" applyBorder="1" applyAlignment="1" applyProtection="1">
      <alignment horizontal="center" vertical="center"/>
      <protection hidden="1"/>
    </xf>
    <xf numFmtId="165" fontId="16" fillId="7" borderId="0" xfId="0" applyNumberFormat="1" applyFont="1" applyFill="1" applyBorder="1" applyAlignment="1" applyProtection="1">
      <alignment horizontal="center"/>
    </xf>
    <xf numFmtId="2" fontId="16" fillId="7" borderId="0" xfId="0" applyNumberFormat="1" applyFont="1" applyFill="1" applyBorder="1" applyAlignment="1" applyProtection="1">
      <alignment horizontal="center"/>
    </xf>
    <xf numFmtId="164" fontId="16" fillId="7" borderId="0" xfId="0" applyNumberFormat="1" applyFont="1" applyFill="1" applyBorder="1" applyAlignment="1" applyProtection="1">
      <alignment horizontal="center"/>
    </xf>
    <xf numFmtId="0" fontId="16" fillId="7" borderId="0" xfId="0" applyFont="1" applyFill="1" applyProtection="1"/>
    <xf numFmtId="0" fontId="16" fillId="7" borderId="17" xfId="0" applyFont="1" applyFill="1" applyBorder="1" applyAlignment="1" applyProtection="1">
      <alignment horizontal="center"/>
    </xf>
    <xf numFmtId="0" fontId="16" fillId="7" borderId="6" xfId="0" applyFont="1" applyFill="1" applyBorder="1" applyAlignment="1" applyProtection="1">
      <alignment horizontal="center"/>
    </xf>
    <xf numFmtId="0" fontId="16" fillId="7" borderId="2" xfId="0" applyFont="1" applyFill="1" applyBorder="1" applyAlignment="1" applyProtection="1">
      <alignment horizontal="right"/>
    </xf>
    <xf numFmtId="164" fontId="16" fillId="7" borderId="11" xfId="0" applyNumberFormat="1" applyFont="1" applyFill="1" applyBorder="1" applyProtection="1"/>
    <xf numFmtId="0" fontId="16" fillId="7" borderId="3" xfId="0" applyFont="1" applyFill="1" applyBorder="1" applyAlignment="1" applyProtection="1">
      <alignment horizontal="right"/>
    </xf>
    <xf numFmtId="0" fontId="16" fillId="7" borderId="4" xfId="0" applyFont="1" applyFill="1" applyBorder="1" applyProtection="1"/>
    <xf numFmtId="164" fontId="16" fillId="7" borderId="0" xfId="0" applyNumberFormat="1" applyFont="1" applyFill="1" applyBorder="1" applyProtection="1"/>
    <xf numFmtId="0" fontId="16" fillId="21" borderId="19" xfId="0" applyFont="1" applyFill="1" applyBorder="1" applyProtection="1"/>
    <xf numFmtId="0" fontId="66" fillId="7" borderId="0" xfId="0" applyFont="1" applyFill="1" applyProtection="1"/>
    <xf numFmtId="0" fontId="142" fillId="14" borderId="0" xfId="0" applyFont="1" applyFill="1" applyProtection="1"/>
    <xf numFmtId="0" fontId="141" fillId="14" borderId="0" xfId="0" applyFont="1" applyFill="1" applyProtection="1"/>
    <xf numFmtId="0" fontId="141" fillId="14" borderId="0" xfId="0" applyFont="1" applyFill="1" applyBorder="1" applyProtection="1"/>
    <xf numFmtId="0" fontId="0" fillId="7" borderId="1" xfId="0" applyFill="1" applyBorder="1" applyAlignment="1" applyProtection="1">
      <alignment horizontal="right"/>
    </xf>
    <xf numFmtId="0" fontId="142" fillId="7" borderId="0" xfId="0" applyFont="1" applyFill="1" applyProtection="1"/>
    <xf numFmtId="164" fontId="18" fillId="7" borderId="0" xfId="0" applyNumberFormat="1" applyFont="1" applyFill="1" applyAlignment="1" applyProtection="1">
      <alignment horizontal="right"/>
      <protection hidden="1"/>
    </xf>
    <xf numFmtId="0" fontId="34" fillId="2" borderId="0" xfId="0" applyFont="1" applyFill="1"/>
    <xf numFmtId="3" fontId="0" fillId="7" borderId="0" xfId="0" applyNumberFormat="1" applyFill="1" applyAlignment="1" applyProtection="1">
      <alignment horizontal="center"/>
    </xf>
    <xf numFmtId="3" fontId="0" fillId="7" borderId="1" xfId="0" applyNumberFormat="1" applyFill="1" applyBorder="1" applyAlignment="1" applyProtection="1">
      <alignment horizontal="center"/>
    </xf>
    <xf numFmtId="0" fontId="144" fillId="2" borderId="0" xfId="0" applyFont="1" applyFill="1" applyBorder="1" applyAlignment="1" applyProtection="1">
      <alignment horizontal="center"/>
    </xf>
    <xf numFmtId="2" fontId="144" fillId="2" borderId="0" xfId="0" applyNumberFormat="1" applyFont="1" applyFill="1" applyBorder="1" applyAlignment="1" applyProtection="1">
      <alignment horizontal="left"/>
    </xf>
    <xf numFmtId="165" fontId="11" fillId="4" borderId="10" xfId="0" applyNumberFormat="1" applyFont="1" applyFill="1" applyBorder="1" applyAlignment="1" applyProtection="1">
      <alignment horizontal="center"/>
      <protection locked="0"/>
    </xf>
    <xf numFmtId="2" fontId="11" fillId="2" borderId="0" xfId="0" applyNumberFormat="1" applyFont="1" applyFill="1" applyProtection="1"/>
    <xf numFmtId="164" fontId="10" fillId="7" borderId="10" xfId="0" applyNumberFormat="1" applyFont="1" applyFill="1" applyBorder="1" applyAlignment="1" applyProtection="1">
      <alignment horizontal="center"/>
    </xf>
    <xf numFmtId="2" fontId="11" fillId="4" borderId="10" xfId="0" applyNumberFormat="1" applyFont="1" applyFill="1" applyBorder="1" applyAlignment="1" applyProtection="1">
      <alignment horizontal="center"/>
      <protection locked="0"/>
    </xf>
    <xf numFmtId="0" fontId="16" fillId="2" borderId="0" xfId="0" applyFont="1" applyFill="1" applyBorder="1" applyAlignment="1" applyProtection="1">
      <alignment horizontal="right"/>
    </xf>
    <xf numFmtId="165" fontId="3" fillId="2" borderId="10" xfId="0" applyNumberFormat="1" applyFont="1" applyFill="1" applyBorder="1" applyProtection="1"/>
    <xf numFmtId="0" fontId="10" fillId="2" borderId="2" xfId="0" applyFont="1" applyFill="1" applyBorder="1" applyProtection="1"/>
    <xf numFmtId="0" fontId="10" fillId="2" borderId="3" xfId="0" quotePrefix="1" applyFont="1" applyFill="1" applyBorder="1" applyProtection="1"/>
    <xf numFmtId="164" fontId="0" fillId="7" borderId="123" xfId="0" applyNumberFormat="1" applyFill="1" applyBorder="1" applyAlignment="1" applyProtection="1">
      <alignment horizontal="center"/>
    </xf>
    <xf numFmtId="2" fontId="0" fillId="2" borderId="2" xfId="0" applyNumberFormat="1" applyFill="1" applyBorder="1" applyAlignment="1" applyProtection="1">
      <alignment horizontal="center"/>
    </xf>
    <xf numFmtId="2" fontId="0" fillId="2" borderId="123" xfId="0" applyNumberFormat="1" applyFill="1" applyBorder="1" applyAlignment="1" applyProtection="1">
      <alignment horizontal="center"/>
    </xf>
    <xf numFmtId="2" fontId="10" fillId="2" borderId="10" xfId="0" applyNumberFormat="1" applyFont="1" applyFill="1" applyBorder="1" applyAlignment="1" applyProtection="1">
      <alignment horizontal="center"/>
    </xf>
    <xf numFmtId="0" fontId="0" fillId="2" borderId="123" xfId="0" applyFill="1" applyBorder="1" applyAlignment="1" applyProtection="1">
      <alignment horizontal="center"/>
    </xf>
    <xf numFmtId="2" fontId="0" fillId="2" borderId="4" xfId="0" applyNumberFormat="1" applyFill="1" applyBorder="1" applyAlignment="1" applyProtection="1">
      <alignment horizontal="center"/>
    </xf>
    <xf numFmtId="167" fontId="0" fillId="2" borderId="18" xfId="0" applyNumberFormat="1" applyFill="1" applyBorder="1" applyAlignment="1" applyProtection="1">
      <alignment horizontal="center"/>
    </xf>
    <xf numFmtId="167" fontId="0" fillId="2" borderId="17" xfId="0" applyNumberFormat="1" applyFill="1" applyBorder="1" applyAlignment="1" applyProtection="1">
      <alignment horizontal="center"/>
    </xf>
    <xf numFmtId="167" fontId="0" fillId="2" borderId="6" xfId="0" applyNumberFormat="1" applyFill="1" applyBorder="1" applyAlignment="1" applyProtection="1">
      <alignment horizontal="center"/>
    </xf>
    <xf numFmtId="0" fontId="66" fillId="7" borderId="0" xfId="0" applyFont="1" applyFill="1" applyProtection="1"/>
    <xf numFmtId="0" fontId="16" fillId="7" borderId="0" xfId="0" applyFont="1" applyFill="1" applyProtection="1"/>
    <xf numFmtId="0" fontId="10" fillId="7" borderId="0" xfId="0" applyFont="1" applyFill="1" applyBorder="1" applyAlignment="1" applyProtection="1">
      <alignment horizontal="left"/>
    </xf>
    <xf numFmtId="1" fontId="10" fillId="7" borderId="0" xfId="0" applyNumberFormat="1" applyFont="1" applyFill="1" applyAlignment="1" applyProtection="1">
      <alignment horizontal="right"/>
    </xf>
    <xf numFmtId="0" fontId="10" fillId="7" borderId="0" xfId="0" applyFont="1" applyFill="1" applyBorder="1" applyProtection="1"/>
    <xf numFmtId="165" fontId="9" fillId="7" borderId="0" xfId="0" applyNumberFormat="1" applyFont="1" applyFill="1" applyAlignment="1" applyProtection="1">
      <alignment horizontal="left"/>
    </xf>
    <xf numFmtId="0" fontId="10" fillId="7" borderId="0" xfId="0" applyFont="1" applyFill="1" applyBorder="1" applyAlignment="1" applyProtection="1">
      <alignment horizontal="right"/>
    </xf>
    <xf numFmtId="0" fontId="10" fillId="7" borderId="13" xfId="0" applyFont="1" applyFill="1" applyBorder="1" applyProtection="1"/>
    <xf numFmtId="0" fontId="10" fillId="7" borderId="13" xfId="0" applyFont="1" applyFill="1" applyBorder="1" applyAlignment="1" applyProtection="1">
      <alignment horizontal="center"/>
    </xf>
    <xf numFmtId="0" fontId="10" fillId="7" borderId="13" xfId="0" applyFont="1" applyFill="1" applyBorder="1" applyAlignment="1" applyProtection="1">
      <alignment horizontal="right"/>
    </xf>
    <xf numFmtId="165" fontId="10" fillId="7" borderId="0" xfId="0" applyNumberFormat="1" applyFont="1" applyFill="1" applyBorder="1" applyAlignment="1" applyProtection="1">
      <alignment horizontal="center"/>
    </xf>
    <xf numFmtId="0" fontId="10" fillId="7" borderId="0" xfId="0" applyFont="1" applyFill="1" applyAlignment="1" applyProtection="1">
      <alignment horizontal="center"/>
    </xf>
    <xf numFmtId="1" fontId="0" fillId="2" borderId="0" xfId="0" applyNumberFormat="1" applyFill="1" applyAlignment="1" applyProtection="1">
      <alignment horizontal="right"/>
    </xf>
    <xf numFmtId="0" fontId="16" fillId="7" borderId="0" xfId="0" applyFont="1" applyFill="1" applyProtection="1"/>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0" fontId="10" fillId="7" borderId="0" xfId="0" applyFont="1" applyFill="1" applyAlignment="1" applyProtection="1">
      <alignment horizontal="center"/>
    </xf>
    <xf numFmtId="0" fontId="66" fillId="7" borderId="0" xfId="0" applyFont="1" applyFill="1" applyAlignment="1" applyProtection="1">
      <alignment horizontal="center"/>
    </xf>
    <xf numFmtId="0" fontId="10" fillId="7" borderId="0" xfId="0" applyFont="1" applyFill="1" applyBorder="1" applyAlignment="1" applyProtection="1">
      <alignment horizontal="center"/>
    </xf>
    <xf numFmtId="0" fontId="9" fillId="7" borderId="0" xfId="0" applyFont="1" applyFill="1" applyBorder="1" applyAlignment="1" applyProtection="1">
      <alignment horizontal="center"/>
    </xf>
    <xf numFmtId="0" fontId="10" fillId="7" borderId="31" xfId="0" applyFont="1" applyFill="1" applyBorder="1" applyAlignment="1" applyProtection="1">
      <alignment horizontal="center"/>
    </xf>
    <xf numFmtId="0" fontId="10" fillId="7" borderId="120" xfId="0" applyFont="1" applyFill="1" applyBorder="1" applyAlignment="1" applyProtection="1">
      <alignment horizontal="center"/>
    </xf>
    <xf numFmtId="0" fontId="10" fillId="7" borderId="121" xfId="0" applyFont="1" applyFill="1" applyBorder="1" applyAlignment="1" applyProtection="1">
      <alignment horizontal="center"/>
    </xf>
    <xf numFmtId="0" fontId="10" fillId="7" borderId="121" xfId="0" applyFont="1" applyFill="1" applyBorder="1" applyProtection="1"/>
    <xf numFmtId="0" fontId="10" fillId="7" borderId="124" xfId="0" applyFont="1" applyFill="1" applyBorder="1" applyAlignment="1" applyProtection="1">
      <alignment horizontal="center"/>
    </xf>
    <xf numFmtId="3" fontId="10" fillId="7" borderId="121" xfId="0" applyNumberFormat="1" applyFont="1" applyFill="1" applyBorder="1" applyAlignment="1" applyProtection="1">
      <alignment horizontal="center"/>
    </xf>
    <xf numFmtId="164" fontId="10" fillId="7" borderId="121" xfId="0" applyNumberFormat="1" applyFont="1" applyFill="1" applyBorder="1" applyAlignment="1" applyProtection="1">
      <alignment horizontal="center"/>
    </xf>
    <xf numFmtId="0" fontId="135" fillId="7" borderId="121" xfId="0" applyFont="1" applyFill="1" applyBorder="1" applyProtection="1"/>
    <xf numFmtId="0" fontId="62" fillId="7" borderId="0" xfId="0" applyFont="1" applyFill="1" applyBorder="1" applyAlignment="1" applyProtection="1">
      <alignment horizontal="left" vertical="center"/>
      <protection hidden="1"/>
    </xf>
    <xf numFmtId="0" fontId="62" fillId="7" borderId="3" xfId="0" applyFont="1" applyFill="1" applyBorder="1" applyAlignment="1" applyProtection="1">
      <alignment horizontal="left" vertical="center"/>
      <protection hidden="1"/>
    </xf>
    <xf numFmtId="0" fontId="0" fillId="2" borderId="0" xfId="0" applyFill="1" applyAlignment="1" applyProtection="1">
      <alignment horizontal="center"/>
    </xf>
    <xf numFmtId="0" fontId="62" fillId="7" borderId="0" xfId="0" applyFont="1" applyFill="1" applyAlignment="1" applyProtection="1">
      <alignment horizontal="center"/>
    </xf>
    <xf numFmtId="0" fontId="16" fillId="21" borderId="2" xfId="0" applyFont="1" applyFill="1" applyBorder="1" applyAlignment="1" applyProtection="1">
      <alignment horizontal="left"/>
    </xf>
    <xf numFmtId="0" fontId="16" fillId="21" borderId="11" xfId="0" applyFont="1" applyFill="1" applyBorder="1" applyAlignment="1" applyProtection="1">
      <alignment horizontal="left"/>
    </xf>
    <xf numFmtId="0" fontId="62" fillId="7" borderId="3" xfId="0" applyFont="1" applyFill="1" applyBorder="1" applyAlignment="1" applyProtection="1">
      <alignment horizontal="left" vertical="center"/>
    </xf>
    <xf numFmtId="0" fontId="62" fillId="7" borderId="123" xfId="0" applyFont="1" applyFill="1" applyBorder="1" applyAlignment="1" applyProtection="1">
      <alignment horizontal="center" vertical="center"/>
    </xf>
    <xf numFmtId="0" fontId="62" fillId="7" borderId="4" xfId="0" applyFont="1" applyFill="1" applyBorder="1" applyAlignment="1" applyProtection="1">
      <alignment horizontal="left" vertical="center"/>
    </xf>
    <xf numFmtId="0" fontId="62" fillId="7" borderId="5" xfId="0" applyFont="1" applyFill="1" applyBorder="1" applyAlignment="1" applyProtection="1">
      <alignment horizontal="center" vertical="center"/>
    </xf>
    <xf numFmtId="0" fontId="16" fillId="7" borderId="123" xfId="0" applyFont="1" applyFill="1" applyBorder="1" applyProtection="1"/>
    <xf numFmtId="0" fontId="18" fillId="7" borderId="3" xfId="0" applyFont="1" applyFill="1" applyBorder="1" applyAlignment="1" applyProtection="1">
      <alignment horizontal="center"/>
    </xf>
    <xf numFmtId="2" fontId="18" fillId="7" borderId="0" xfId="0" applyNumberFormat="1" applyFont="1" applyFill="1" applyProtection="1"/>
    <xf numFmtId="164" fontId="18" fillId="7" borderId="0" xfId="0" applyNumberFormat="1" applyFont="1" applyFill="1" applyProtection="1"/>
    <xf numFmtId="0" fontId="6" fillId="7" borderId="0" xfId="0" applyFont="1" applyFill="1" applyAlignment="1" applyProtection="1">
      <alignment horizontal="center"/>
    </xf>
    <xf numFmtId="1" fontId="18" fillId="7" borderId="0" xfId="0" applyNumberFormat="1" applyFont="1" applyFill="1" applyProtection="1"/>
    <xf numFmtId="0" fontId="51" fillId="7" borderId="11" xfId="0" applyFont="1" applyFill="1" applyBorder="1" applyAlignment="1" applyProtection="1">
      <alignment horizontal="center"/>
    </xf>
    <xf numFmtId="0" fontId="6" fillId="7" borderId="0" xfId="0" applyFont="1" applyFill="1" applyAlignment="1" applyProtection="1">
      <alignment horizontal="left" vertical="center"/>
    </xf>
    <xf numFmtId="2" fontId="10" fillId="7" borderId="121" xfId="0" applyNumberFormat="1" applyFont="1" applyFill="1" applyBorder="1" applyAlignment="1" applyProtection="1">
      <alignment horizontal="center"/>
    </xf>
    <xf numFmtId="4" fontId="9" fillId="7" borderId="2" xfId="0" applyNumberFormat="1" applyFont="1" applyFill="1" applyBorder="1" applyProtection="1"/>
    <xf numFmtId="0" fontId="10" fillId="7" borderId="11" xfId="0" applyFont="1" applyFill="1" applyBorder="1" applyProtection="1"/>
    <xf numFmtId="165" fontId="10" fillId="7" borderId="11" xfId="0" applyNumberFormat="1" applyFont="1" applyFill="1" applyBorder="1" applyAlignment="1" applyProtection="1">
      <alignment horizontal="center"/>
    </xf>
    <xf numFmtId="0" fontId="10" fillId="7" borderId="12" xfId="0" applyFont="1" applyFill="1" applyBorder="1" applyProtection="1"/>
    <xf numFmtId="0" fontId="9" fillId="7" borderId="4" xfId="0" applyFont="1" applyFill="1" applyBorder="1" applyProtection="1"/>
    <xf numFmtId="0" fontId="10" fillId="7" borderId="10" xfId="0" applyFont="1" applyFill="1" applyBorder="1" applyProtection="1"/>
    <xf numFmtId="165" fontId="10" fillId="7" borderId="10" xfId="0" applyNumberFormat="1" applyFont="1" applyFill="1" applyBorder="1" applyAlignment="1" applyProtection="1">
      <alignment horizontal="center"/>
    </xf>
    <xf numFmtId="0" fontId="10" fillId="7" borderId="5" xfId="0" applyFont="1" applyFill="1" applyBorder="1" applyProtection="1"/>
    <xf numFmtId="0" fontId="18" fillId="7" borderId="7" xfId="0" applyFont="1" applyFill="1" applyBorder="1" applyProtection="1"/>
    <xf numFmtId="0" fontId="18" fillId="7" borderId="8" xfId="0" applyFont="1" applyFill="1" applyBorder="1" applyAlignment="1" applyProtection="1">
      <alignment vertical="center"/>
    </xf>
    <xf numFmtId="0" fontId="18" fillId="7" borderId="7" xfId="0" applyFont="1" applyFill="1" applyBorder="1" applyAlignment="1" applyProtection="1">
      <alignment vertical="center"/>
    </xf>
    <xf numFmtId="0" fontId="3" fillId="2" borderId="0" xfId="0" applyFont="1" applyFill="1" applyAlignment="1" applyProtection="1">
      <alignment horizontal="right"/>
    </xf>
    <xf numFmtId="165" fontId="0" fillId="4" borderId="23" xfId="0" applyNumberFormat="1" applyFill="1" applyBorder="1" applyAlignment="1" applyProtection="1">
      <alignment horizontal="center"/>
      <protection locked="0"/>
    </xf>
    <xf numFmtId="164" fontId="16" fillId="7" borderId="0" xfId="0" applyNumberFormat="1" applyFont="1" applyFill="1" applyBorder="1" applyAlignment="1" applyProtection="1">
      <alignment horizontal="right"/>
    </xf>
    <xf numFmtId="164" fontId="18" fillId="7" borderId="10"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3" fontId="0" fillId="4" borderId="48" xfId="0" applyNumberFormat="1" applyFill="1" applyBorder="1" applyAlignment="1" applyProtection="1">
      <alignment horizontal="center"/>
      <protection locked="0"/>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 fillId="0" borderId="0" xfId="0" applyFont="1"/>
    <xf numFmtId="0" fontId="145" fillId="0" borderId="0" xfId="0" applyFont="1"/>
    <xf numFmtId="0" fontId="95" fillId="2" borderId="0" xfId="0" applyFont="1" applyFill="1" applyBorder="1" applyAlignment="1" applyProtection="1">
      <alignment horizontal="center"/>
      <protection hidden="1"/>
    </xf>
    <xf numFmtId="0" fontId="18" fillId="2" borderId="0" xfId="0" applyFont="1" applyFill="1" applyBorder="1" applyAlignment="1" applyProtection="1">
      <alignment horizontal="right"/>
      <protection hidden="1"/>
    </xf>
    <xf numFmtId="0" fontId="16" fillId="2" borderId="0" xfId="0" applyFont="1" applyFill="1" applyBorder="1" applyAlignment="1" applyProtection="1">
      <alignment horizontal="left"/>
      <protection hidden="1"/>
    </xf>
    <xf numFmtId="0" fontId="16" fillId="2" borderId="10" xfId="0" applyFont="1" applyFill="1" applyBorder="1" applyAlignment="1" applyProtection="1">
      <alignment horizontal="left"/>
      <protection hidden="1"/>
    </xf>
    <xf numFmtId="0" fontId="95" fillId="2" borderId="12" xfId="0" applyFont="1" applyFill="1" applyBorder="1" applyAlignment="1" applyProtection="1">
      <alignment horizontal="center"/>
      <protection hidden="1"/>
    </xf>
    <xf numFmtId="0" fontId="18" fillId="2" borderId="123" xfId="0" applyFont="1" applyFill="1" applyBorder="1" applyAlignment="1" applyProtection="1">
      <alignment horizontal="right"/>
      <protection hidden="1"/>
    </xf>
    <xf numFmtId="0" fontId="21" fillId="2" borderId="123" xfId="0" applyFont="1" applyFill="1" applyBorder="1" applyAlignment="1" applyProtection="1">
      <alignment horizontal="center"/>
      <protection hidden="1"/>
    </xf>
    <xf numFmtId="0" fontId="16" fillId="2" borderId="123" xfId="0" applyFont="1" applyFill="1" applyBorder="1" applyAlignment="1" applyProtection="1">
      <alignment horizontal="left"/>
      <protection hidden="1"/>
    </xf>
    <xf numFmtId="0" fontId="0" fillId="2" borderId="123" xfId="0" applyFill="1" applyBorder="1" applyAlignment="1" applyProtection="1">
      <alignment horizontal="center"/>
      <protection hidden="1"/>
    </xf>
    <xf numFmtId="0" fontId="1" fillId="0" borderId="0" xfId="0" applyFont="1"/>
    <xf numFmtId="0" fontId="146" fillId="0" borderId="0" xfId="0" applyFont="1" applyAlignment="1">
      <alignment horizontal="center"/>
    </xf>
    <xf numFmtId="0" fontId="135" fillId="0" borderId="0" xfId="0" applyFont="1" applyAlignment="1">
      <alignment horizontal="center"/>
    </xf>
    <xf numFmtId="165" fontId="3" fillId="7" borderId="0" xfId="0" applyNumberFormat="1" applyFont="1" applyFill="1" applyAlignment="1" applyProtection="1">
      <alignment horizontal="center"/>
    </xf>
    <xf numFmtId="164" fontId="3" fillId="7" borderId="10" xfId="0" applyNumberFormat="1" applyFont="1" applyFill="1" applyBorder="1" applyAlignment="1" applyProtection="1">
      <alignment horizontal="center"/>
    </xf>
    <xf numFmtId="0" fontId="147" fillId="0" borderId="0" xfId="0" applyFont="1" applyAlignment="1">
      <alignment wrapText="1"/>
    </xf>
    <xf numFmtId="0" fontId="147" fillId="0" borderId="0" xfId="0" applyFont="1"/>
    <xf numFmtId="0" fontId="85" fillId="0" borderId="0" xfId="0" applyFont="1"/>
    <xf numFmtId="0" fontId="85" fillId="24" borderId="31" xfId="0" applyFont="1" applyFill="1" applyBorder="1" applyAlignment="1">
      <alignment wrapText="1"/>
    </xf>
    <xf numFmtId="0" fontId="85" fillId="0" borderId="0" xfId="0" applyFont="1" applyAlignment="1">
      <alignment wrapText="1"/>
    </xf>
    <xf numFmtId="1" fontId="85" fillId="0" borderId="0" xfId="0" applyNumberFormat="1" applyFont="1"/>
    <xf numFmtId="2" fontId="85" fillId="0" borderId="0" xfId="0" applyNumberFormat="1" applyFont="1"/>
    <xf numFmtId="0" fontId="85" fillId="0" borderId="11" xfId="0" applyFont="1" applyBorder="1"/>
    <xf numFmtId="164" fontId="85" fillId="0" borderId="0" xfId="0" applyNumberFormat="1" applyFont="1"/>
    <xf numFmtId="0" fontId="0" fillId="2" borderId="0" xfId="0" applyFill="1" applyAlignment="1" applyProtection="1">
      <alignment horizontal="center"/>
    </xf>
    <xf numFmtId="0" fontId="85" fillId="0" borderId="19" xfId="0" applyFont="1" applyFill="1" applyBorder="1" applyAlignment="1" applyProtection="1">
      <protection locked="0"/>
    </xf>
    <xf numFmtId="0" fontId="85" fillId="0" borderId="19" xfId="0" applyFont="1" applyBorder="1" applyProtection="1">
      <protection locked="0"/>
    </xf>
    <xf numFmtId="0" fontId="85" fillId="0" borderId="19" xfId="0" applyFont="1" applyBorder="1" applyAlignment="1" applyProtection="1">
      <alignment horizontal="left"/>
      <protection locked="0"/>
    </xf>
    <xf numFmtId="0" fontId="85" fillId="0" borderId="0" xfId="0" applyFont="1" applyBorder="1" applyAlignment="1">
      <alignment horizontal="left"/>
    </xf>
    <xf numFmtId="0" fontId="85" fillId="0" borderId="0" xfId="0" applyFont="1" applyBorder="1"/>
    <xf numFmtId="0" fontId="85" fillId="0" borderId="123" xfId="0" applyFont="1" applyBorder="1"/>
    <xf numFmtId="0" fontId="85" fillId="0" borderId="8" xfId="0" applyFont="1" applyBorder="1" applyAlignment="1">
      <alignment horizontal="left"/>
    </xf>
    <xf numFmtId="0" fontId="85" fillId="0" borderId="8" xfId="0" applyFont="1" applyBorder="1"/>
    <xf numFmtId="0" fontId="85" fillId="0" borderId="7" xfId="0" applyFont="1" applyBorder="1"/>
    <xf numFmtId="0" fontId="85" fillId="24" borderId="31" xfId="4" applyFont="1" applyFill="1" applyBorder="1" applyAlignment="1">
      <alignment wrapText="1"/>
    </xf>
    <xf numFmtId="0" fontId="85" fillId="0" borderId="3" xfId="0" applyFont="1" applyBorder="1" applyProtection="1">
      <protection locked="0"/>
    </xf>
    <xf numFmtId="0" fontId="3" fillId="2" borderId="2" xfId="0" applyFont="1" applyFill="1" applyBorder="1" applyAlignment="1" applyProtection="1">
      <alignment horizontal="left"/>
    </xf>
    <xf numFmtId="0" fontId="3" fillId="2" borderId="4" xfId="0" applyFont="1" applyFill="1" applyBorder="1" applyAlignment="1" applyProtection="1">
      <alignment horizontal="left"/>
    </xf>
    <xf numFmtId="0" fontId="147" fillId="0" borderId="0" xfId="0" applyFont="1" applyAlignment="1">
      <alignment horizontal="left"/>
    </xf>
    <xf numFmtId="0" fontId="3" fillId="2" borderId="0" xfId="0" applyFont="1" applyFill="1" applyProtection="1"/>
    <xf numFmtId="0" fontId="6" fillId="2" borderId="0" xfId="0" applyFont="1" applyFill="1" applyAlignment="1" applyProtection="1">
      <alignment horizontal="right"/>
    </xf>
    <xf numFmtId="2" fontId="6" fillId="4" borderId="100" xfId="0" applyNumberFormat="1" applyFont="1" applyFill="1" applyBorder="1" applyAlignment="1" applyProtection="1">
      <alignment horizontal="center"/>
      <protection locked="0"/>
    </xf>
    <xf numFmtId="0" fontId="6" fillId="2" borderId="17"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10" fillId="2" borderId="0" xfId="0" applyFont="1" applyFill="1" applyBorder="1" applyAlignment="1" applyProtection="1"/>
    <xf numFmtId="0" fontId="0" fillId="2" borderId="123" xfId="0" applyFill="1" applyBorder="1" applyProtection="1"/>
    <xf numFmtId="0" fontId="9" fillId="5" borderId="8" xfId="0" applyFont="1" applyFill="1" applyBorder="1" applyAlignment="1" applyProtection="1">
      <alignment horizontal="center"/>
    </xf>
    <xf numFmtId="0" fontId="9" fillId="2" borderId="5" xfId="0" applyFont="1" applyFill="1" applyBorder="1" applyProtection="1"/>
    <xf numFmtId="14" fontId="0" fillId="7" borderId="10" xfId="0" applyNumberFormat="1" applyFill="1" applyBorder="1" applyAlignment="1">
      <alignment horizontal="center"/>
    </xf>
    <xf numFmtId="0" fontId="16" fillId="2" borderId="3" xfId="0" applyFont="1" applyFill="1" applyBorder="1" applyAlignment="1" applyProtection="1">
      <alignment horizontal="left"/>
      <protection locked="0" hidden="1"/>
    </xf>
    <xf numFmtId="0" fontId="18" fillId="2" borderId="3" xfId="0" applyFont="1" applyFill="1" applyBorder="1" applyAlignment="1" applyProtection="1">
      <alignment horizontal="left"/>
      <protection locked="0" hidden="1"/>
    </xf>
    <xf numFmtId="0" fontId="16" fillId="2" borderId="4" xfId="0" applyFont="1" applyFill="1" applyBorder="1" applyAlignment="1" applyProtection="1">
      <alignment horizontal="left"/>
      <protection locked="0" hidden="1"/>
    </xf>
    <xf numFmtId="0" fontId="135" fillId="2" borderId="0" xfId="0" applyFont="1" applyFill="1" applyProtection="1">
      <protection hidden="1"/>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1" fontId="0" fillId="2" borderId="0" xfId="0" applyNumberFormat="1" applyFill="1" applyAlignment="1" applyProtection="1">
      <alignment horizontal="center"/>
    </xf>
    <xf numFmtId="1" fontId="3" fillId="2" borderId="0" xfId="0" applyNumberFormat="1" applyFont="1" applyFill="1" applyAlignment="1" applyProtection="1">
      <alignment horizontal="left"/>
      <protection locked="0"/>
    </xf>
    <xf numFmtId="1" fontId="3" fillId="2" borderId="2" xfId="0" applyNumberFormat="1"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1" fontId="3" fillId="2" borderId="3"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xf>
    <xf numFmtId="0" fontId="3" fillId="2" borderId="123" xfId="0" applyFont="1" applyFill="1" applyBorder="1" applyAlignment="1" applyProtection="1">
      <alignment horizontal="center"/>
    </xf>
    <xf numFmtId="0" fontId="0" fillId="2" borderId="4" xfId="0"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3" fillId="2" borderId="10" xfId="0" applyFont="1" applyFill="1" applyBorder="1" applyAlignment="1" applyProtection="1">
      <alignment horizontal="center"/>
    </xf>
    <xf numFmtId="0" fontId="3" fillId="2" borderId="5" xfId="0" applyFont="1" applyFill="1" applyBorder="1" applyAlignment="1" applyProtection="1">
      <alignment horizontal="center"/>
    </xf>
    <xf numFmtId="0" fontId="149" fillId="2" borderId="0" xfId="0" applyFont="1" applyFill="1" applyBorder="1" applyAlignment="1" applyProtection="1">
      <alignment horizontal="center"/>
    </xf>
    <xf numFmtId="0" fontId="1" fillId="2" borderId="19" xfId="0" applyFont="1" applyFill="1" applyBorder="1"/>
    <xf numFmtId="0" fontId="1" fillId="2" borderId="8" xfId="0" applyFont="1" applyFill="1" applyBorder="1"/>
    <xf numFmtId="0" fontId="1" fillId="2" borderId="8" xfId="0" applyFont="1" applyFill="1" applyBorder="1" applyAlignment="1">
      <alignment horizontal="right"/>
    </xf>
    <xf numFmtId="0" fontId="0" fillId="2" borderId="123" xfId="0" applyFill="1" applyBorder="1"/>
    <xf numFmtId="1" fontId="3" fillId="2" borderId="4" xfId="0" applyNumberFormat="1" applyFont="1" applyFill="1" applyBorder="1" applyAlignment="1" applyProtection="1">
      <alignment horizontal="center"/>
      <protection locked="0"/>
    </xf>
    <xf numFmtId="0" fontId="91" fillId="9" borderId="0" xfId="0" applyFont="1" applyFill="1" applyBorder="1" applyAlignment="1">
      <alignment horizontal="center"/>
    </xf>
    <xf numFmtId="0" fontId="82" fillId="9" borderId="123" xfId="0" applyFont="1" applyFill="1" applyBorder="1" applyAlignment="1">
      <alignment horizontal="center"/>
    </xf>
    <xf numFmtId="0" fontId="91" fillId="9" borderId="3" xfId="0" applyFont="1" applyFill="1" applyBorder="1"/>
    <xf numFmtId="0" fontId="0" fillId="2" borderId="12" xfId="0" applyFill="1" applyBorder="1" applyAlignment="1">
      <alignment horizontal="center"/>
    </xf>
    <xf numFmtId="0" fontId="0" fillId="2" borderId="3" xfId="0" applyFill="1" applyBorder="1" applyAlignment="1">
      <alignment horizontal="center"/>
    </xf>
    <xf numFmtId="0" fontId="0" fillId="2" borderId="123" xfId="0" applyFill="1" applyBorder="1" applyAlignment="1">
      <alignment horizontal="center"/>
    </xf>
    <xf numFmtId="0" fontId="0" fillId="2" borderId="4" xfId="0" applyFill="1" applyBorder="1" applyAlignment="1">
      <alignment horizontal="center"/>
    </xf>
    <xf numFmtId="0" fontId="150" fillId="20" borderId="19" xfId="0" applyFont="1" applyFill="1" applyBorder="1" applyAlignment="1">
      <alignment horizontal="left"/>
    </xf>
    <xf numFmtId="22" fontId="6" fillId="25" borderId="0" xfId="0" applyNumberFormat="1" applyFont="1" applyFill="1" applyAlignment="1" applyProtection="1">
      <alignment horizontal="left"/>
      <protection locked="0"/>
    </xf>
    <xf numFmtId="49" fontId="0" fillId="4" borderId="15" xfId="0" applyNumberFormat="1" applyFill="1" applyBorder="1" applyAlignment="1" applyProtection="1">
      <protection locked="0"/>
    </xf>
    <xf numFmtId="0" fontId="38" fillId="4" borderId="23" xfId="2" applyNumberFormat="1" applyFill="1" applyBorder="1" applyAlignment="1" applyProtection="1">
      <protection locked="0"/>
    </xf>
    <xf numFmtId="4" fontId="10" fillId="4" borderId="23" xfId="0" applyNumberFormat="1" applyFont="1" applyFill="1" applyBorder="1" applyAlignment="1" applyProtection="1">
      <protection locked="0"/>
    </xf>
    <xf numFmtId="4" fontId="0" fillId="4" borderId="23" xfId="0" applyNumberFormat="1" applyFill="1" applyBorder="1" applyAlignment="1" applyProtection="1">
      <protection locked="0"/>
    </xf>
    <xf numFmtId="0" fontId="38" fillId="2" borderId="0" xfId="2" applyFill="1" applyAlignment="1" applyProtection="1">
      <alignment horizontal="left"/>
      <protection hidden="1"/>
    </xf>
    <xf numFmtId="0" fontId="38" fillId="2" borderId="0" xfId="2" applyFill="1" applyAlignment="1" applyProtection="1"/>
    <xf numFmtId="0" fontId="0" fillId="2" borderId="0" xfId="0" applyFill="1"/>
    <xf numFmtId="1" fontId="10" fillId="4" borderId="15" xfId="0" applyNumberFormat="1" applyFont="1" applyFill="1" applyBorder="1" applyAlignment="1" applyProtection="1">
      <alignment horizontal="left"/>
      <protection locked="0"/>
    </xf>
    <xf numFmtId="1" fontId="0" fillId="4" borderId="15" xfId="0" applyNumberFormat="1" applyFill="1" applyBorder="1" applyAlignment="1" applyProtection="1">
      <alignment horizontal="left"/>
      <protection locked="0"/>
    </xf>
    <xf numFmtId="4" fontId="10" fillId="4" borderId="15" xfId="0" applyNumberFormat="1" applyFont="1" applyFill="1" applyBorder="1" applyAlignment="1" applyProtection="1">
      <protection locked="0"/>
    </xf>
    <xf numFmtId="0" fontId="9" fillId="2" borderId="15" xfId="0" applyFont="1" applyFill="1" applyBorder="1" applyAlignment="1" applyProtection="1">
      <alignment horizontal="left"/>
      <protection locked="0"/>
    </xf>
    <xf numFmtId="0" fontId="9" fillId="2" borderId="15" xfId="0" applyFont="1" applyFill="1" applyBorder="1" applyAlignment="1" applyProtection="1">
      <alignment horizontal="left"/>
    </xf>
    <xf numFmtId="169" fontId="10" fillId="2" borderId="0" xfId="0" applyNumberFormat="1" applyFont="1" applyFill="1" applyBorder="1" applyAlignment="1" applyProtection="1">
      <alignment horizontal="left"/>
    </xf>
    <xf numFmtId="49" fontId="38" fillId="4" borderId="15" xfId="2" applyNumberFormat="1" applyFill="1" applyBorder="1" applyAlignment="1" applyProtection="1">
      <alignment horizontal="left"/>
      <protection locked="0"/>
    </xf>
    <xf numFmtId="49" fontId="0" fillId="4" borderId="15" xfId="0" applyNumberFormat="1" applyFill="1" applyBorder="1" applyAlignment="1" applyProtection="1">
      <alignment horizontal="left"/>
      <protection locked="0"/>
    </xf>
    <xf numFmtId="4" fontId="0" fillId="4" borderId="15" xfId="0" applyNumberFormat="1" applyFill="1" applyBorder="1" applyAlignment="1" applyProtection="1">
      <alignment horizontal="left"/>
      <protection locked="0"/>
    </xf>
    <xf numFmtId="49" fontId="10" fillId="4" borderId="15" xfId="0" applyNumberFormat="1" applyFont="1" applyFill="1" applyBorder="1" applyAlignment="1" applyProtection="1">
      <alignment horizontal="left"/>
      <protection locked="0"/>
    </xf>
    <xf numFmtId="4" fontId="9" fillId="4" borderId="15" xfId="0" applyNumberFormat="1" applyFon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0" fontId="0" fillId="4" borderId="15" xfId="0" applyNumberFormat="1" applyFill="1" applyBorder="1" applyAlignment="1" applyProtection="1">
      <alignment horizontal="left"/>
      <protection locked="0"/>
    </xf>
    <xf numFmtId="4" fontId="10" fillId="4" borderId="15" xfId="0" applyNumberFormat="1" applyFont="1" applyFill="1" applyBorder="1" applyAlignment="1" applyProtection="1">
      <alignment horizontal="left"/>
      <protection locked="0"/>
    </xf>
    <xf numFmtId="0" fontId="6" fillId="2" borderId="11" xfId="0" applyFont="1" applyFill="1" applyBorder="1" applyAlignment="1" applyProtection="1">
      <alignment horizontal="right" wrapText="1"/>
    </xf>
    <xf numFmtId="0" fontId="6" fillId="2" borderId="0" xfId="0" applyFont="1" applyFill="1" applyBorder="1" applyAlignment="1" applyProtection="1">
      <alignment horizontal="right" wrapText="1"/>
    </xf>
    <xf numFmtId="165" fontId="0" fillId="4" borderId="23" xfId="0" applyNumberFormat="1" applyFill="1" applyBorder="1" applyAlignment="1" applyProtection="1">
      <protection locked="0"/>
    </xf>
    <xf numFmtId="165" fontId="0" fillId="4" borderId="48" xfId="0" applyNumberFormat="1" applyFill="1" applyBorder="1" applyAlignment="1" applyProtection="1">
      <protection locked="0"/>
    </xf>
    <xf numFmtId="0" fontId="0" fillId="2" borderId="0" xfId="0" applyNumberFormat="1" applyFill="1" applyBorder="1" applyAlignment="1" applyProtection="1"/>
    <xf numFmtId="4" fontId="0" fillId="2" borderId="0" xfId="0" applyNumberFormat="1" applyFill="1" applyBorder="1" applyAlignment="1" applyProtection="1"/>
    <xf numFmtId="0" fontId="3" fillId="4" borderId="15" xfId="0" applyFont="1" applyFill="1" applyBorder="1" applyAlignment="1" applyProtection="1">
      <protection locked="0"/>
    </xf>
    <xf numFmtId="0" fontId="3" fillId="4" borderId="100" xfId="0" applyFont="1" applyFill="1" applyBorder="1" applyAlignment="1" applyProtection="1">
      <protection locked="0"/>
    </xf>
    <xf numFmtId="4" fontId="6" fillId="4" borderId="15" xfId="0" applyNumberFormat="1" applyFont="1" applyFill="1" applyBorder="1" applyAlignment="1" applyProtection="1">
      <alignment horizontal="left"/>
      <protection locked="0"/>
    </xf>
    <xf numFmtId="4" fontId="6" fillId="4" borderId="100" xfId="0" applyNumberFormat="1" applyFont="1" applyFill="1" applyBorder="1" applyAlignment="1" applyProtection="1">
      <alignment horizontal="left"/>
      <protection locked="0"/>
    </xf>
    <xf numFmtId="49" fontId="9" fillId="4" borderId="15" xfId="0" applyNumberFormat="1" applyFont="1" applyFill="1" applyBorder="1" applyAlignment="1" applyProtection="1">
      <alignment horizontal="left"/>
      <protection locked="0"/>
    </xf>
    <xf numFmtId="0" fontId="9" fillId="2" borderId="0" xfId="0" applyFont="1" applyFill="1" applyBorder="1" applyAlignment="1" applyProtection="1">
      <alignment horizontal="left" vertical="top" wrapText="1"/>
    </xf>
    <xf numFmtId="165" fontId="16" fillId="2" borderId="0" xfId="0" applyNumberFormat="1" applyFont="1" applyFill="1" applyBorder="1" applyAlignment="1" applyProtection="1">
      <alignment horizontal="right" wrapText="1"/>
    </xf>
    <xf numFmtId="0" fontId="16" fillId="2" borderId="0" xfId="0" applyFont="1" applyFill="1" applyBorder="1" applyAlignment="1" applyProtection="1">
      <alignment horizontal="right" wrapText="1"/>
    </xf>
    <xf numFmtId="0" fontId="16" fillId="2" borderId="1" xfId="0" applyFont="1" applyFill="1" applyBorder="1" applyAlignment="1" applyProtection="1">
      <alignment horizontal="right" wrapText="1"/>
    </xf>
    <xf numFmtId="0" fontId="9" fillId="2" borderId="11" xfId="0" applyFont="1" applyFill="1" applyBorder="1" applyAlignment="1" applyProtection="1">
      <alignment horizontal="left" wrapText="1"/>
    </xf>
    <xf numFmtId="0" fontId="9" fillId="2" borderId="0" xfId="0" applyFont="1" applyFill="1" applyBorder="1" applyAlignment="1" applyProtection="1">
      <alignment horizontal="left" wrapText="1"/>
    </xf>
    <xf numFmtId="49" fontId="0" fillId="4" borderId="0" xfId="0" applyNumberFormat="1" applyFill="1" applyBorder="1" applyAlignment="1" applyProtection="1">
      <alignment horizontal="left"/>
      <protection locked="0"/>
    </xf>
    <xf numFmtId="49" fontId="140" fillId="4" borderId="15" xfId="2" applyNumberFormat="1" applyFont="1" applyFill="1" applyBorder="1" applyAlignment="1" applyProtection="1">
      <alignment horizontal="left"/>
      <protection locked="0"/>
    </xf>
    <xf numFmtId="164" fontId="0" fillId="2" borderId="0" xfId="0" applyNumberFormat="1" applyFill="1" applyAlignment="1" applyProtection="1">
      <alignment horizontal="left"/>
    </xf>
    <xf numFmtId="164" fontId="0" fillId="2" borderId="1" xfId="0" applyNumberFormat="1" applyFill="1" applyBorder="1" applyAlignment="1" applyProtection="1">
      <alignment horizontal="left"/>
    </xf>
    <xf numFmtId="0" fontId="6" fillId="2" borderId="11" xfId="0" applyFont="1" applyFill="1" applyBorder="1" applyAlignment="1" applyProtection="1">
      <alignment horizontal="center" textRotation="90"/>
    </xf>
    <xf numFmtId="0" fontId="6" fillId="2" borderId="0" xfId="0" applyFont="1" applyFill="1" applyBorder="1" applyAlignment="1" applyProtection="1">
      <alignment horizontal="center" textRotation="90"/>
    </xf>
    <xf numFmtId="0" fontId="6" fillId="2" borderId="10" xfId="0" applyFont="1" applyFill="1" applyBorder="1" applyAlignment="1" applyProtection="1">
      <alignment horizontal="center" textRotation="90"/>
    </xf>
    <xf numFmtId="4" fontId="16" fillId="4" borderId="15" xfId="0" applyNumberFormat="1" applyFont="1" applyFill="1" applyBorder="1" applyAlignment="1" applyProtection="1">
      <alignment horizontal="left"/>
      <protection locked="0"/>
    </xf>
    <xf numFmtId="4" fontId="16" fillId="4" borderId="100" xfId="0" applyNumberFormat="1" applyFont="1" applyFill="1" applyBorder="1" applyAlignment="1" applyProtection="1">
      <alignment horizontal="left"/>
      <protection locked="0"/>
    </xf>
    <xf numFmtId="4" fontId="16" fillId="4" borderId="23" xfId="0" applyNumberFormat="1" applyFont="1" applyFill="1" applyBorder="1" applyAlignment="1" applyProtection="1">
      <alignment horizontal="left"/>
      <protection locked="0"/>
    </xf>
    <xf numFmtId="4" fontId="16" fillId="4" borderId="48" xfId="0" applyNumberFormat="1" applyFont="1" applyFill="1" applyBorder="1" applyAlignment="1" applyProtection="1">
      <alignment horizontal="left"/>
      <protection locked="0"/>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0" fontId="119" fillId="2" borderId="11" xfId="0" applyFont="1" applyFill="1" applyBorder="1" applyAlignment="1" applyProtection="1">
      <alignment horizontal="center" textRotation="90"/>
    </xf>
    <xf numFmtId="0" fontId="119" fillId="2" borderId="0" xfId="0" applyFont="1" applyFill="1" applyBorder="1" applyAlignment="1" applyProtection="1">
      <alignment horizontal="center" textRotation="90"/>
    </xf>
    <xf numFmtId="0" fontId="119" fillId="2" borderId="10" xfId="0" applyFont="1" applyFill="1" applyBorder="1" applyAlignment="1" applyProtection="1">
      <alignment horizontal="center" textRotation="90"/>
    </xf>
    <xf numFmtId="165" fontId="16" fillId="4" borderId="23" xfId="0" applyNumberFormat="1" applyFont="1" applyFill="1" applyBorder="1" applyAlignment="1" applyProtection="1">
      <alignment horizontal="left"/>
      <protection locked="0"/>
    </xf>
    <xf numFmtId="165" fontId="16" fillId="4" borderId="48" xfId="0" applyNumberFormat="1" applyFont="1" applyFill="1" applyBorder="1" applyAlignment="1" applyProtection="1">
      <alignment horizontal="left"/>
      <protection locked="0"/>
    </xf>
    <xf numFmtId="165" fontId="16" fillId="4" borderId="15" xfId="0" applyNumberFormat="1" applyFont="1" applyFill="1" applyBorder="1" applyAlignment="1" applyProtection="1">
      <alignment horizontal="left"/>
      <protection locked="0"/>
    </xf>
    <xf numFmtId="165" fontId="16" fillId="4" borderId="100" xfId="0" applyNumberFormat="1" applyFont="1" applyFill="1" applyBorder="1" applyAlignment="1" applyProtection="1">
      <alignment horizontal="left"/>
      <protection locked="0"/>
    </xf>
    <xf numFmtId="0" fontId="10" fillId="2" borderId="19" xfId="0" applyFont="1" applyFill="1" applyBorder="1" applyAlignment="1" applyProtection="1">
      <alignment horizontal="left"/>
    </xf>
    <xf numFmtId="0" fontId="10" fillId="2" borderId="7" xfId="0" applyFont="1" applyFill="1" applyBorder="1" applyAlignment="1" applyProtection="1">
      <alignment horizontal="left"/>
    </xf>
    <xf numFmtId="0" fontId="3" fillId="2" borderId="2" xfId="0" applyFont="1" applyFill="1" applyBorder="1" applyAlignment="1" applyProtection="1"/>
    <xf numFmtId="0" fontId="3" fillId="2" borderId="4" xfId="0" applyFont="1" applyFill="1" applyBorder="1" applyAlignment="1" applyProtection="1"/>
    <xf numFmtId="0" fontId="3" fillId="2" borderId="2" xfId="0" applyFont="1" applyFill="1" applyBorder="1" applyAlignment="1" applyProtection="1">
      <alignment horizontal="center"/>
    </xf>
    <xf numFmtId="0" fontId="3" fillId="2" borderId="4" xfId="0" applyFont="1" applyFill="1" applyBorder="1" applyAlignment="1" applyProtection="1">
      <alignment horizontal="center"/>
    </xf>
    <xf numFmtId="0" fontId="6" fillId="2" borderId="11" xfId="0" applyFont="1" applyFill="1" applyBorder="1" applyAlignment="1">
      <alignment horizontal="center" textRotation="90"/>
    </xf>
    <xf numFmtId="0" fontId="6" fillId="2" borderId="0" xfId="0" applyFont="1" applyFill="1" applyBorder="1" applyAlignment="1">
      <alignment horizontal="center" textRotation="90"/>
    </xf>
    <xf numFmtId="0" fontId="32" fillId="2" borderId="0" xfId="0" applyFont="1" applyFill="1" applyAlignment="1" applyProtection="1">
      <alignment horizontal="center" wrapText="1"/>
      <protection hidden="1"/>
    </xf>
    <xf numFmtId="0" fontId="32" fillId="2" borderId="0" xfId="0" applyFont="1" applyFill="1" applyBorder="1" applyAlignment="1" applyProtection="1">
      <alignment horizontal="left" wrapText="1"/>
      <protection hidden="1"/>
    </xf>
    <xf numFmtId="0" fontId="32" fillId="2" borderId="0" xfId="0" applyFont="1" applyFill="1" applyAlignment="1" applyProtection="1">
      <alignment horizontal="left" wrapText="1"/>
      <protection hidden="1"/>
    </xf>
    <xf numFmtId="0" fontId="32" fillId="2" borderId="1" xfId="0" applyFont="1" applyFill="1" applyBorder="1" applyAlignment="1" applyProtection="1">
      <alignment horizontal="left" wrapText="1"/>
      <protection hidden="1"/>
    </xf>
    <xf numFmtId="0" fontId="0" fillId="3" borderId="19"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32" fillId="2" borderId="11" xfId="0" applyFont="1" applyFill="1" applyBorder="1" applyAlignment="1">
      <alignment horizontal="center" textRotation="90"/>
    </xf>
    <xf numFmtId="0" fontId="0" fillId="0" borderId="0" xfId="0" applyBorder="1"/>
    <xf numFmtId="0" fontId="32" fillId="2" borderId="2" xfId="0" applyFont="1" applyFill="1" applyBorder="1" applyAlignment="1">
      <alignment horizontal="center" textRotation="90"/>
    </xf>
    <xf numFmtId="0" fontId="32" fillId="2" borderId="3" xfId="0" applyFont="1" applyFill="1" applyBorder="1" applyAlignment="1">
      <alignment horizontal="center" textRotation="90"/>
    </xf>
    <xf numFmtId="0" fontId="32" fillId="2" borderId="11" xfId="0" applyFont="1" applyFill="1" applyBorder="1" applyAlignment="1">
      <alignment horizontal="left" textRotation="90"/>
    </xf>
    <xf numFmtId="0" fontId="32" fillId="2" borderId="0" xfId="0" applyFont="1" applyFill="1" applyBorder="1" applyAlignment="1">
      <alignment horizontal="left" textRotation="90"/>
    </xf>
    <xf numFmtId="0" fontId="32" fillId="2" borderId="0" xfId="0" applyFont="1" applyFill="1" applyBorder="1" applyAlignment="1">
      <alignment horizontal="center" textRotation="90"/>
    </xf>
    <xf numFmtId="0" fontId="6" fillId="4" borderId="19" xfId="0" applyFont="1" applyFill="1" applyBorder="1" applyAlignment="1" applyProtection="1">
      <alignment horizontal="left"/>
      <protection locked="0"/>
    </xf>
    <xf numFmtId="0" fontId="6" fillId="4" borderId="8" xfId="0" applyFont="1" applyFill="1" applyBorder="1" applyAlignment="1" applyProtection="1">
      <alignment horizontal="left"/>
      <protection locked="0"/>
    </xf>
    <xf numFmtId="0" fontId="6" fillId="4" borderId="7" xfId="0" applyFont="1" applyFill="1" applyBorder="1" applyAlignment="1" applyProtection="1">
      <alignment horizontal="left"/>
      <protection locked="0"/>
    </xf>
    <xf numFmtId="179" fontId="79" fillId="2" borderId="122" xfId="0" applyNumberFormat="1" applyFont="1" applyFill="1" applyBorder="1" applyAlignment="1" applyProtection="1">
      <alignment horizontal="left"/>
      <protection hidden="1"/>
    </xf>
    <xf numFmtId="179" fontId="79" fillId="2" borderId="35" xfId="0" applyNumberFormat="1" applyFont="1" applyFill="1" applyBorder="1" applyAlignment="1" applyProtection="1">
      <alignment horizontal="left"/>
      <protection hidden="1"/>
    </xf>
    <xf numFmtId="4" fontId="10" fillId="2" borderId="35" xfId="0" applyNumberFormat="1" applyFont="1" applyFill="1" applyBorder="1" applyAlignment="1" applyProtection="1">
      <alignment horizontal="center"/>
      <protection locked="0" hidden="1"/>
    </xf>
    <xf numFmtId="4" fontId="10" fillId="2" borderId="36" xfId="0" applyNumberFormat="1" applyFont="1" applyFill="1" applyBorder="1" applyAlignment="1" applyProtection="1">
      <alignment horizontal="center"/>
      <protection locked="0" hidden="1"/>
    </xf>
    <xf numFmtId="0" fontId="4" fillId="4" borderId="20" xfId="0" applyFont="1" applyFill="1" applyBorder="1" applyAlignment="1" applyProtection="1">
      <protection locked="0"/>
    </xf>
    <xf numFmtId="0" fontId="4" fillId="4" borderId="13" xfId="0" applyFont="1" applyFill="1" applyBorder="1" applyAlignment="1" applyProtection="1">
      <protection locked="0"/>
    </xf>
    <xf numFmtId="0" fontId="4" fillId="4" borderId="25" xfId="0" applyFont="1" applyFill="1" applyBorder="1" applyAlignment="1" applyProtection="1">
      <protection locked="0"/>
    </xf>
    <xf numFmtId="0" fontId="4" fillId="4" borderId="4" xfId="0" applyFont="1" applyFill="1" applyBorder="1" applyAlignment="1" applyProtection="1">
      <protection locked="0"/>
    </xf>
    <xf numFmtId="0" fontId="4" fillId="4" borderId="10" xfId="0" applyFont="1" applyFill="1" applyBorder="1" applyAlignment="1" applyProtection="1">
      <protection locked="0"/>
    </xf>
    <xf numFmtId="0" fontId="4" fillId="4" borderId="5" xfId="0" applyFont="1" applyFill="1" applyBorder="1" applyAlignment="1" applyProtection="1">
      <protection locked="0"/>
    </xf>
    <xf numFmtId="0" fontId="4" fillId="4" borderId="19" xfId="0" applyFont="1" applyFill="1" applyBorder="1" applyAlignment="1" applyProtection="1">
      <alignment horizontal="left"/>
      <protection locked="0"/>
    </xf>
    <xf numFmtId="0" fontId="4" fillId="4" borderId="8" xfId="0" applyFont="1" applyFill="1" applyBorder="1" applyAlignment="1" applyProtection="1">
      <alignment horizontal="left"/>
      <protection locked="0"/>
    </xf>
    <xf numFmtId="0" fontId="4" fillId="4" borderId="7" xfId="0" applyFont="1" applyFill="1" applyBorder="1" applyAlignment="1" applyProtection="1">
      <alignment horizontal="left"/>
      <protection locked="0"/>
    </xf>
    <xf numFmtId="0" fontId="4" fillId="4" borderId="0" xfId="0" applyFont="1" applyFill="1" applyBorder="1" applyAlignment="1" applyProtection="1">
      <protection locked="0"/>
    </xf>
    <xf numFmtId="0" fontId="4" fillId="4" borderId="4" xfId="0" applyFont="1" applyFill="1" applyBorder="1" applyAlignment="1" applyProtection="1">
      <alignment horizontal="left"/>
      <protection locked="0"/>
    </xf>
    <xf numFmtId="0" fontId="4" fillId="4" borderId="10" xfId="0" applyFont="1" applyFill="1" applyBorder="1" applyAlignment="1" applyProtection="1">
      <alignment horizontal="left"/>
      <protection locked="0"/>
    </xf>
    <xf numFmtId="0" fontId="4" fillId="4" borderId="5" xfId="0" applyFont="1" applyFill="1" applyBorder="1" applyAlignment="1" applyProtection="1">
      <alignment horizontal="left"/>
      <protection locked="0"/>
    </xf>
    <xf numFmtId="0" fontId="4" fillId="4" borderId="3" xfId="0" applyFont="1" applyFill="1" applyBorder="1" applyAlignment="1" applyProtection="1">
      <protection locked="0"/>
    </xf>
    <xf numFmtId="0" fontId="4" fillId="4" borderId="1" xfId="0" applyFont="1" applyFill="1" applyBorder="1" applyAlignment="1" applyProtection="1">
      <protection locked="0"/>
    </xf>
    <xf numFmtId="179" fontId="79" fillId="2" borderId="4" xfId="0" applyNumberFormat="1" applyFont="1" applyFill="1" applyBorder="1" applyAlignment="1" applyProtection="1">
      <alignment horizontal="left"/>
      <protection hidden="1"/>
    </xf>
    <xf numFmtId="179" fontId="79" fillId="2" borderId="10" xfId="0" applyNumberFormat="1" applyFont="1" applyFill="1" applyBorder="1" applyAlignment="1" applyProtection="1">
      <alignment horizontal="left"/>
      <protection hidden="1"/>
    </xf>
    <xf numFmtId="0" fontId="0" fillId="5" borderId="19" xfId="0" applyFill="1" applyBorder="1" applyAlignment="1" applyProtection="1">
      <alignment horizontal="center"/>
      <protection hidden="1"/>
    </xf>
    <xf numFmtId="0" fontId="0" fillId="5" borderId="7" xfId="0" applyFill="1" applyBorder="1" applyAlignment="1" applyProtection="1">
      <alignment horizontal="center"/>
      <protection hidden="1"/>
    </xf>
    <xf numFmtId="0" fontId="4" fillId="4" borderId="20"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4" fillId="4" borderId="25" xfId="0" applyFont="1" applyFill="1" applyBorder="1" applyAlignment="1" applyProtection="1">
      <alignment horizontal="left"/>
      <protection locked="0"/>
    </xf>
    <xf numFmtId="169" fontId="10" fillId="2" borderId="0" xfId="0" applyNumberFormat="1" applyFont="1" applyFill="1" applyBorder="1" applyAlignment="1" applyProtection="1">
      <alignment horizontal="left" shrinkToFit="1"/>
    </xf>
    <xf numFmtId="179" fontId="120" fillId="2" borderId="122" xfId="0" applyNumberFormat="1" applyFont="1" applyFill="1" applyBorder="1" applyAlignment="1" applyProtection="1">
      <alignment horizontal="left"/>
      <protection hidden="1"/>
    </xf>
    <xf numFmtId="179" fontId="120" fillId="2" borderId="35" xfId="0" applyNumberFormat="1" applyFont="1" applyFill="1" applyBorder="1" applyAlignment="1" applyProtection="1">
      <alignment horizontal="left"/>
      <protection hidden="1"/>
    </xf>
    <xf numFmtId="179" fontId="120" fillId="2" borderId="36" xfId="0" applyNumberFormat="1" applyFont="1" applyFill="1" applyBorder="1" applyAlignment="1" applyProtection="1">
      <alignment horizontal="left"/>
      <protection hidden="1"/>
    </xf>
    <xf numFmtId="179" fontId="79" fillId="2" borderId="36" xfId="0" applyNumberFormat="1" applyFont="1" applyFill="1" applyBorder="1" applyAlignment="1" applyProtection="1">
      <alignment horizontal="left"/>
      <protection hidden="1"/>
    </xf>
    <xf numFmtId="0" fontId="16" fillId="4" borderId="10" xfId="0" applyFont="1" applyFill="1" applyBorder="1" applyAlignment="1" applyProtection="1">
      <alignment horizontal="left"/>
      <protection locked="0"/>
    </xf>
    <xf numFmtId="0" fontId="6" fillId="4" borderId="35" xfId="0" applyFont="1" applyFill="1" applyBorder="1" applyAlignment="1" applyProtection="1">
      <alignment horizontal="left"/>
      <protection locked="0"/>
    </xf>
    <xf numFmtId="0" fontId="16" fillId="4" borderId="0" xfId="0" applyFont="1" applyFill="1" applyBorder="1" applyAlignment="1" applyProtection="1">
      <alignment horizontal="left"/>
      <protection locked="0"/>
    </xf>
    <xf numFmtId="179" fontId="36" fillId="2" borderId="122" xfId="0" applyNumberFormat="1" applyFont="1" applyFill="1" applyBorder="1" applyAlignment="1" applyProtection="1">
      <alignment horizontal="left"/>
      <protection hidden="1"/>
    </xf>
    <xf numFmtId="179" fontId="36" fillId="2" borderId="35" xfId="0" applyNumberFormat="1" applyFont="1" applyFill="1" applyBorder="1" applyAlignment="1" applyProtection="1">
      <alignment horizontal="left"/>
      <protection hidden="1"/>
    </xf>
    <xf numFmtId="179" fontId="36" fillId="2" borderId="36" xfId="0" applyNumberFormat="1" applyFont="1" applyFill="1" applyBorder="1" applyAlignment="1" applyProtection="1">
      <alignment horizontal="left"/>
      <protection hidden="1"/>
    </xf>
    <xf numFmtId="179" fontId="135" fillId="2" borderId="122" xfId="0" applyNumberFormat="1" applyFont="1" applyFill="1" applyBorder="1" applyAlignment="1" applyProtection="1">
      <alignment horizontal="left"/>
      <protection hidden="1"/>
    </xf>
    <xf numFmtId="179" fontId="135" fillId="2" borderId="35" xfId="0" applyNumberFormat="1" applyFont="1" applyFill="1" applyBorder="1" applyAlignment="1" applyProtection="1">
      <alignment horizontal="left"/>
      <protection hidden="1"/>
    </xf>
    <xf numFmtId="179" fontId="135" fillId="2" borderId="36" xfId="0" applyNumberFormat="1" applyFont="1" applyFill="1" applyBorder="1" applyAlignment="1" applyProtection="1">
      <alignment horizontal="left"/>
      <protection hidden="1"/>
    </xf>
    <xf numFmtId="0" fontId="18" fillId="4" borderId="19" xfId="0" applyFont="1" applyFill="1" applyBorder="1" applyAlignment="1" applyProtection="1">
      <alignment horizontal="left"/>
      <protection locked="0"/>
    </xf>
    <xf numFmtId="0" fontId="18" fillId="4" borderId="8" xfId="0" applyFont="1" applyFill="1" applyBorder="1" applyAlignment="1" applyProtection="1">
      <alignment horizontal="left"/>
      <protection locked="0"/>
    </xf>
    <xf numFmtId="0" fontId="18" fillId="4" borderId="7" xfId="0" applyFont="1" applyFill="1" applyBorder="1" applyAlignment="1" applyProtection="1">
      <alignment horizontal="left"/>
      <protection locked="0"/>
    </xf>
    <xf numFmtId="0" fontId="16" fillId="7" borderId="0" xfId="0" applyNumberFormat="1" applyFont="1" applyFill="1" applyBorder="1" applyAlignment="1" applyProtection="1">
      <alignment horizontal="left"/>
    </xf>
    <xf numFmtId="0" fontId="16" fillId="7" borderId="123" xfId="0" applyNumberFormat="1" applyFont="1" applyFill="1" applyBorder="1" applyAlignment="1" applyProtection="1">
      <alignment horizontal="left"/>
    </xf>
    <xf numFmtId="0" fontId="18" fillId="7" borderId="0" xfId="0" applyFont="1" applyFill="1" applyAlignment="1" applyProtection="1">
      <alignment horizontal="left" wrapText="1"/>
    </xf>
    <xf numFmtId="0" fontId="6" fillId="7" borderId="10" xfId="0" applyFont="1" applyFill="1" applyBorder="1" applyAlignment="1" applyProtection="1">
      <alignment horizontal="left" vertical="center"/>
    </xf>
    <xf numFmtId="0" fontId="6" fillId="7" borderId="8" xfId="0" applyFont="1" applyFill="1" applyBorder="1" applyAlignment="1" applyProtection="1">
      <alignment horizontal="left" vertical="center"/>
    </xf>
    <xf numFmtId="0" fontId="6" fillId="7" borderId="7" xfId="0" applyFont="1" applyFill="1" applyBorder="1" applyAlignment="1" applyProtection="1">
      <alignment horizontal="left" vertical="center"/>
    </xf>
    <xf numFmtId="4" fontId="107" fillId="7" borderId="10" xfId="0" applyNumberFormat="1" applyFont="1" applyFill="1" applyBorder="1" applyAlignment="1" applyProtection="1">
      <alignment horizontal="center"/>
    </xf>
    <xf numFmtId="4" fontId="107" fillId="7" borderId="5" xfId="0" applyNumberFormat="1" applyFont="1" applyFill="1" applyBorder="1" applyAlignment="1" applyProtection="1">
      <alignment horizontal="center"/>
    </xf>
    <xf numFmtId="3" fontId="18" fillId="7" borderId="0" xfId="0" applyNumberFormat="1" applyFont="1" applyFill="1" applyProtection="1"/>
    <xf numFmtId="2" fontId="107" fillId="7" borderId="0" xfId="0" applyNumberFormat="1" applyFont="1" applyFill="1" applyBorder="1" applyAlignment="1" applyProtection="1">
      <alignment horizontal="center"/>
    </xf>
    <xf numFmtId="2" fontId="107" fillId="7" borderId="123" xfId="0" applyNumberFormat="1" applyFont="1" applyFill="1" applyBorder="1" applyAlignment="1" applyProtection="1">
      <alignment horizontal="center"/>
    </xf>
    <xf numFmtId="0" fontId="107" fillId="7" borderId="0" xfId="0" applyFont="1" applyFill="1" applyBorder="1" applyAlignment="1" applyProtection="1">
      <alignment horizontal="center"/>
    </xf>
    <xf numFmtId="0" fontId="107" fillId="7" borderId="123" xfId="0" applyFont="1" applyFill="1" applyBorder="1" applyAlignment="1" applyProtection="1">
      <alignment horizontal="center"/>
    </xf>
    <xf numFmtId="164" fontId="108" fillId="7" borderId="0" xfId="0" applyNumberFormat="1" applyFont="1" applyFill="1" applyBorder="1" applyAlignment="1" applyProtection="1">
      <alignment horizontal="center" vertical="center"/>
    </xf>
    <xf numFmtId="164" fontId="108" fillId="7" borderId="123" xfId="0" applyNumberFormat="1" applyFont="1" applyFill="1" applyBorder="1" applyAlignment="1" applyProtection="1">
      <alignment horizontal="center" vertical="center"/>
    </xf>
    <xf numFmtId="164" fontId="18" fillId="7" borderId="10" xfId="0" applyNumberFormat="1" applyFont="1" applyFill="1" applyBorder="1" applyAlignment="1" applyProtection="1">
      <alignment vertical="center"/>
    </xf>
    <xf numFmtId="164" fontId="18" fillId="7" borderId="11" xfId="0" applyNumberFormat="1" applyFont="1" applyFill="1" applyBorder="1" applyProtection="1"/>
    <xf numFmtId="165" fontId="18" fillId="7" borderId="0" xfId="0" applyNumberFormat="1" applyFont="1" applyFill="1" applyBorder="1" applyAlignment="1" applyProtection="1">
      <alignment horizontal="center"/>
    </xf>
    <xf numFmtId="165" fontId="18" fillId="7" borderId="123" xfId="0" applyNumberFormat="1" applyFont="1" applyFill="1" applyBorder="1" applyAlignment="1" applyProtection="1">
      <alignment horizontal="center"/>
    </xf>
    <xf numFmtId="165" fontId="107" fillId="7" borderId="0" xfId="0" applyNumberFormat="1" applyFont="1" applyFill="1" applyBorder="1" applyAlignment="1" applyProtection="1">
      <alignment horizontal="center"/>
    </xf>
    <xf numFmtId="165" fontId="107" fillId="7" borderId="123" xfId="0" applyNumberFormat="1" applyFont="1" applyFill="1" applyBorder="1" applyAlignment="1" applyProtection="1">
      <alignment horizontal="center"/>
    </xf>
    <xf numFmtId="165" fontId="107" fillId="7" borderId="11" xfId="0" applyNumberFormat="1" applyFont="1" applyFill="1" applyBorder="1" applyAlignment="1" applyProtection="1">
      <alignment horizontal="center"/>
    </xf>
    <xf numFmtId="165" fontId="107" fillId="7" borderId="12" xfId="0" applyNumberFormat="1" applyFont="1" applyFill="1" applyBorder="1" applyAlignment="1" applyProtection="1">
      <alignment horizontal="center"/>
    </xf>
    <xf numFmtId="164" fontId="18" fillId="7" borderId="0" xfId="0" applyNumberFormat="1" applyFont="1" applyFill="1" applyBorder="1" applyAlignment="1" applyProtection="1">
      <alignment horizontal="center"/>
    </xf>
    <xf numFmtId="164" fontId="18" fillId="7" borderId="123" xfId="0" applyNumberFormat="1" applyFont="1" applyFill="1" applyBorder="1" applyAlignment="1" applyProtection="1">
      <alignment horizontal="center"/>
    </xf>
    <xf numFmtId="164" fontId="18" fillId="7" borderId="0" xfId="0" applyNumberFormat="1" applyFont="1" applyFill="1" applyAlignment="1" applyProtection="1">
      <alignment horizontal="right"/>
    </xf>
    <xf numFmtId="164" fontId="18" fillId="7" borderId="4" xfId="0" applyNumberFormat="1" applyFont="1" applyFill="1" applyBorder="1" applyAlignment="1" applyProtection="1">
      <alignment horizontal="center"/>
    </xf>
    <xf numFmtId="164" fontId="18" fillId="7" borderId="5" xfId="0" applyNumberFormat="1" applyFont="1" applyFill="1" applyBorder="1" applyAlignment="1" applyProtection="1">
      <alignment horizontal="center"/>
    </xf>
    <xf numFmtId="2" fontId="62" fillId="7" borderId="2" xfId="0" applyNumberFormat="1" applyFont="1" applyFill="1" applyBorder="1" applyAlignment="1" applyProtection="1">
      <alignment horizontal="center"/>
    </xf>
    <xf numFmtId="2" fontId="62" fillId="7" borderId="11" xfId="0" applyNumberFormat="1" applyFont="1" applyFill="1" applyBorder="1" applyAlignment="1" applyProtection="1">
      <alignment horizontal="center"/>
    </xf>
    <xf numFmtId="2" fontId="62" fillId="7" borderId="12" xfId="0" applyNumberFormat="1" applyFont="1" applyFill="1" applyBorder="1" applyAlignment="1" applyProtection="1">
      <alignment horizontal="center"/>
    </xf>
    <xf numFmtId="0" fontId="16" fillId="21" borderId="2" xfId="0" applyFont="1" applyFill="1" applyBorder="1" applyAlignment="1" applyProtection="1">
      <alignment horizontal="center"/>
    </xf>
    <xf numFmtId="0" fontId="16" fillId="21" borderId="12" xfId="0" applyFont="1" applyFill="1" applyBorder="1" applyAlignment="1" applyProtection="1">
      <alignment horizontal="center"/>
    </xf>
    <xf numFmtId="165" fontId="62" fillId="7" borderId="3" xfId="0" applyNumberFormat="1" applyFont="1" applyFill="1" applyBorder="1" applyAlignment="1" applyProtection="1">
      <alignment horizontal="center"/>
    </xf>
    <xf numFmtId="0" fontId="62" fillId="7" borderId="123" xfId="0" applyFont="1" applyFill="1" applyBorder="1" applyAlignment="1" applyProtection="1">
      <alignment horizontal="center"/>
    </xf>
    <xf numFmtId="165" fontId="62" fillId="7" borderId="0" xfId="0" applyNumberFormat="1" applyFont="1" applyFill="1" applyBorder="1" applyAlignment="1" applyProtection="1">
      <alignment horizontal="center"/>
    </xf>
    <xf numFmtId="0" fontId="18" fillId="7" borderId="19" xfId="0" applyFont="1" applyFill="1" applyBorder="1" applyAlignment="1" applyProtection="1">
      <alignment horizontal="center"/>
    </xf>
    <xf numFmtId="0" fontId="18" fillId="7" borderId="7" xfId="0" applyFont="1" applyFill="1" applyBorder="1" applyAlignment="1" applyProtection="1">
      <alignment horizontal="center"/>
    </xf>
    <xf numFmtId="2" fontId="62" fillId="7" borderId="3" xfId="0" applyNumberFormat="1" applyFont="1" applyFill="1" applyBorder="1" applyAlignment="1" applyProtection="1">
      <alignment horizontal="center"/>
    </xf>
    <xf numFmtId="0" fontId="62" fillId="7" borderId="0" xfId="0" applyFont="1" applyFill="1" applyBorder="1" applyAlignment="1" applyProtection="1">
      <alignment horizontal="center"/>
    </xf>
    <xf numFmtId="1" fontId="62" fillId="7" borderId="3" xfId="0" applyNumberFormat="1" applyFont="1" applyFill="1" applyBorder="1" applyAlignment="1" applyProtection="1">
      <alignment horizontal="center"/>
    </xf>
    <xf numFmtId="165" fontId="18" fillId="7" borderId="19" xfId="0" applyNumberFormat="1" applyFont="1" applyFill="1" applyBorder="1" applyAlignment="1" applyProtection="1">
      <alignment horizontal="center"/>
    </xf>
    <xf numFmtId="165" fontId="18" fillId="7" borderId="7" xfId="0" applyNumberFormat="1" applyFont="1" applyFill="1" applyBorder="1" applyAlignment="1" applyProtection="1">
      <alignment horizontal="center"/>
    </xf>
    <xf numFmtId="2" fontId="18" fillId="7" borderId="19" xfId="0" applyNumberFormat="1" applyFont="1" applyFill="1" applyBorder="1" applyAlignment="1" applyProtection="1">
      <alignment horizontal="center"/>
    </xf>
    <xf numFmtId="2" fontId="18" fillId="7" borderId="7" xfId="0" applyNumberFormat="1" applyFont="1" applyFill="1" applyBorder="1" applyAlignment="1" applyProtection="1">
      <alignment horizontal="center"/>
    </xf>
    <xf numFmtId="0" fontId="16" fillId="21" borderId="19" xfId="0" applyFont="1" applyFill="1" applyBorder="1" applyAlignment="1" applyProtection="1">
      <alignment horizontal="center"/>
    </xf>
    <xf numFmtId="0" fontId="16" fillId="21" borderId="7" xfId="0" applyFont="1" applyFill="1" applyBorder="1" applyAlignment="1" applyProtection="1">
      <alignment horizontal="center"/>
    </xf>
    <xf numFmtId="164" fontId="62" fillId="7" borderId="0" xfId="0" applyNumberFormat="1" applyFont="1" applyFill="1" applyBorder="1" applyAlignment="1" applyProtection="1">
      <alignment horizontal="center"/>
    </xf>
    <xf numFmtId="164" fontId="62" fillId="7" borderId="3" xfId="0" applyNumberFormat="1" applyFont="1" applyFill="1" applyBorder="1" applyAlignment="1" applyProtection="1">
      <alignment horizontal="center"/>
    </xf>
    <xf numFmtId="164" fontId="62" fillId="7" borderId="123" xfId="0" applyNumberFormat="1" applyFont="1" applyFill="1" applyBorder="1" applyAlignment="1" applyProtection="1">
      <alignment horizontal="center"/>
    </xf>
    <xf numFmtId="164" fontId="62" fillId="7" borderId="4" xfId="0" applyNumberFormat="1" applyFont="1" applyFill="1" applyBorder="1" applyAlignment="1" applyProtection="1">
      <alignment horizontal="center"/>
    </xf>
    <xf numFmtId="164" fontId="62" fillId="7" borderId="10" xfId="0" applyNumberFormat="1" applyFont="1" applyFill="1" applyBorder="1" applyAlignment="1" applyProtection="1">
      <alignment horizontal="center"/>
    </xf>
    <xf numFmtId="0" fontId="62" fillId="7" borderId="3" xfId="0" applyFont="1" applyFill="1" applyBorder="1" applyAlignment="1" applyProtection="1">
      <alignment horizontal="center"/>
    </xf>
    <xf numFmtId="0" fontId="62" fillId="7" borderId="4" xfId="0" applyFont="1" applyFill="1" applyBorder="1" applyAlignment="1" applyProtection="1">
      <alignment horizontal="center"/>
    </xf>
    <xf numFmtId="0" fontId="62" fillId="7" borderId="5" xfId="0" applyFont="1" applyFill="1" applyBorder="1" applyAlignment="1" applyProtection="1">
      <alignment horizontal="center"/>
    </xf>
    <xf numFmtId="3" fontId="62" fillId="7" borderId="2" xfId="0" applyNumberFormat="1" applyFont="1" applyFill="1" applyBorder="1" applyAlignment="1" applyProtection="1">
      <alignment horizontal="center"/>
    </xf>
    <xf numFmtId="3" fontId="62" fillId="7" borderId="11" xfId="0" applyNumberFormat="1" applyFont="1" applyFill="1" applyBorder="1" applyAlignment="1" applyProtection="1">
      <alignment horizontal="center"/>
    </xf>
    <xf numFmtId="0" fontId="16" fillId="21" borderId="19" xfId="0" applyFont="1" applyFill="1" applyBorder="1" applyAlignment="1" applyProtection="1">
      <alignment horizontal="left"/>
    </xf>
    <xf numFmtId="0" fontId="16" fillId="21" borderId="8" xfId="0" applyFont="1" applyFill="1" applyBorder="1" applyAlignment="1" applyProtection="1">
      <alignment horizontal="left"/>
    </xf>
    <xf numFmtId="0" fontId="16" fillId="21" borderId="7" xfId="0" applyFont="1" applyFill="1" applyBorder="1" applyAlignment="1" applyProtection="1">
      <alignment horizontal="left"/>
    </xf>
    <xf numFmtId="0" fontId="62" fillId="7" borderId="2" xfId="0" applyFont="1" applyFill="1" applyBorder="1" applyAlignment="1" applyProtection="1">
      <alignment horizontal="left" vertical="center"/>
    </xf>
    <xf numFmtId="0" fontId="62" fillId="7" borderId="11" xfId="0" applyFont="1" applyFill="1" applyBorder="1" applyAlignment="1" applyProtection="1">
      <alignment horizontal="left" vertical="center"/>
    </xf>
    <xf numFmtId="0" fontId="62" fillId="7" borderId="2" xfId="0" applyFont="1" applyFill="1" applyBorder="1" applyAlignment="1" applyProtection="1">
      <alignment horizontal="center"/>
    </xf>
    <xf numFmtId="0" fontId="62" fillId="7" borderId="11" xfId="0" applyFont="1" applyFill="1" applyBorder="1" applyAlignment="1" applyProtection="1">
      <alignment horizontal="center"/>
    </xf>
    <xf numFmtId="164" fontId="62" fillId="7" borderId="2" xfId="0" applyNumberFormat="1" applyFont="1" applyFill="1" applyBorder="1" applyAlignment="1" applyProtection="1">
      <alignment horizontal="center" vertical="center"/>
    </xf>
    <xf numFmtId="164" fontId="62" fillId="7" borderId="11" xfId="0" applyNumberFormat="1" applyFont="1" applyFill="1" applyBorder="1" applyAlignment="1" applyProtection="1">
      <alignment horizontal="center" vertical="center"/>
    </xf>
    <xf numFmtId="2" fontId="62" fillId="7" borderId="2" xfId="0" applyNumberFormat="1" applyFont="1" applyFill="1" applyBorder="1" applyAlignment="1" applyProtection="1">
      <alignment horizontal="center" vertical="center"/>
    </xf>
    <xf numFmtId="2" fontId="62" fillId="7" borderId="12" xfId="0" applyNumberFormat="1" applyFont="1" applyFill="1" applyBorder="1" applyAlignment="1" applyProtection="1">
      <alignment horizontal="center" vertical="center"/>
    </xf>
    <xf numFmtId="2" fontId="62" fillId="7" borderId="4" xfId="0" applyNumberFormat="1" applyFont="1" applyFill="1" applyBorder="1" applyAlignment="1" applyProtection="1">
      <alignment horizontal="center"/>
    </xf>
    <xf numFmtId="2" fontId="62" fillId="7" borderId="5" xfId="0" applyNumberFormat="1" applyFont="1" applyFill="1" applyBorder="1" applyAlignment="1" applyProtection="1">
      <alignment horizontal="center"/>
    </xf>
    <xf numFmtId="2" fontId="62" fillId="7" borderId="123" xfId="0" applyNumberFormat="1" applyFont="1" applyFill="1" applyBorder="1" applyAlignment="1" applyProtection="1">
      <alignment horizontal="center"/>
    </xf>
    <xf numFmtId="0" fontId="16" fillId="7" borderId="19" xfId="0" applyFont="1" applyFill="1" applyBorder="1" applyProtection="1"/>
    <xf numFmtId="0" fontId="16" fillId="7" borderId="7" xfId="0" applyFont="1" applyFill="1" applyBorder="1" applyProtection="1"/>
    <xf numFmtId="0" fontId="18" fillId="7" borderId="19" xfId="0" applyFont="1" applyFill="1" applyBorder="1" applyAlignment="1" applyProtection="1">
      <alignment horizontal="right"/>
    </xf>
    <xf numFmtId="0" fontId="18" fillId="7" borderId="8" xfId="0" applyFont="1" applyFill="1" applyBorder="1" applyAlignment="1" applyProtection="1">
      <alignment horizontal="right"/>
    </xf>
    <xf numFmtId="0" fontId="18" fillId="7" borderId="7" xfId="0" applyFont="1" applyFill="1" applyBorder="1" applyAlignment="1" applyProtection="1">
      <alignment horizontal="right"/>
    </xf>
    <xf numFmtId="3" fontId="62" fillId="7" borderId="3" xfId="0" applyNumberFormat="1" applyFont="1" applyFill="1" applyBorder="1" applyAlignment="1" applyProtection="1">
      <alignment horizontal="center"/>
    </xf>
    <xf numFmtId="3" fontId="62" fillId="7" borderId="0" xfId="0" applyNumberFormat="1" applyFont="1" applyFill="1" applyBorder="1" applyAlignment="1" applyProtection="1">
      <alignment horizontal="center"/>
    </xf>
    <xf numFmtId="3" fontId="62" fillId="7" borderId="123" xfId="0" applyNumberFormat="1" applyFont="1" applyFill="1" applyBorder="1" applyAlignment="1" applyProtection="1">
      <alignment horizontal="center"/>
    </xf>
    <xf numFmtId="2" fontId="62" fillId="7" borderId="3" xfId="0" applyNumberFormat="1" applyFont="1" applyFill="1" applyBorder="1" applyAlignment="1" applyProtection="1">
      <alignment horizontal="left" vertical="center"/>
    </xf>
    <xf numFmtId="0" fontId="62" fillId="7" borderId="0" xfId="0" applyFont="1" applyFill="1" applyBorder="1" applyAlignment="1" applyProtection="1">
      <alignment horizontal="left" vertical="center"/>
    </xf>
    <xf numFmtId="0" fontId="62" fillId="7" borderId="123" xfId="0" applyFont="1" applyFill="1" applyBorder="1" applyAlignment="1" applyProtection="1">
      <alignment horizontal="left" vertical="center"/>
    </xf>
    <xf numFmtId="2" fontId="62" fillId="7" borderId="0" xfId="0" applyNumberFormat="1" applyFont="1" applyFill="1" applyBorder="1" applyAlignment="1" applyProtection="1">
      <alignment horizontal="center"/>
    </xf>
    <xf numFmtId="3" fontId="62" fillId="7" borderId="4" xfId="0" applyNumberFormat="1" applyFont="1" applyFill="1" applyBorder="1" applyAlignment="1" applyProtection="1">
      <alignment horizontal="center"/>
    </xf>
    <xf numFmtId="3" fontId="62" fillId="7" borderId="10" xfId="0" applyNumberFormat="1" applyFont="1" applyFill="1" applyBorder="1" applyAlignment="1" applyProtection="1">
      <alignment horizontal="center"/>
    </xf>
    <xf numFmtId="3" fontId="62" fillId="7" borderId="5" xfId="0" applyNumberFormat="1" applyFont="1" applyFill="1" applyBorder="1" applyAlignment="1" applyProtection="1">
      <alignment horizontal="center"/>
    </xf>
    <xf numFmtId="2" fontId="62" fillId="7" borderId="10" xfId="0" applyNumberFormat="1" applyFont="1" applyFill="1" applyBorder="1" applyAlignment="1" applyProtection="1">
      <alignment horizontal="center"/>
    </xf>
    <xf numFmtId="3" fontId="18" fillId="7" borderId="19" xfId="0" applyNumberFormat="1" applyFont="1" applyFill="1" applyBorder="1" applyAlignment="1" applyProtection="1">
      <alignment horizontal="center"/>
    </xf>
    <xf numFmtId="3" fontId="18" fillId="7" borderId="8" xfId="0" applyNumberFormat="1" applyFont="1" applyFill="1" applyBorder="1" applyAlignment="1" applyProtection="1">
      <alignment horizontal="center"/>
    </xf>
    <xf numFmtId="3" fontId="18" fillId="7" borderId="7" xfId="0" applyNumberFormat="1" applyFont="1" applyFill="1" applyBorder="1" applyAlignment="1" applyProtection="1">
      <alignment horizontal="center"/>
    </xf>
    <xf numFmtId="0" fontId="18" fillId="7" borderId="8" xfId="0" applyFont="1" applyFill="1" applyBorder="1" applyAlignment="1" applyProtection="1">
      <alignment horizontal="center"/>
    </xf>
    <xf numFmtId="2" fontId="62" fillId="7" borderId="0" xfId="0" applyNumberFormat="1" applyFont="1" applyFill="1" applyBorder="1" applyAlignment="1" applyProtection="1">
      <alignment horizontal="left" vertical="center"/>
    </xf>
    <xf numFmtId="2" fontId="62" fillId="7" borderId="123" xfId="0" applyNumberFormat="1" applyFont="1" applyFill="1" applyBorder="1" applyAlignment="1" applyProtection="1">
      <alignment horizontal="left" vertical="center"/>
    </xf>
    <xf numFmtId="2" fontId="62" fillId="7" borderId="4" xfId="0" applyNumberFormat="1" applyFont="1" applyFill="1" applyBorder="1" applyAlignment="1" applyProtection="1">
      <alignment horizontal="left" vertical="center"/>
    </xf>
    <xf numFmtId="2" fontId="62" fillId="7" borderId="10" xfId="0" applyNumberFormat="1" applyFont="1" applyFill="1" applyBorder="1" applyAlignment="1" applyProtection="1">
      <alignment horizontal="left" vertical="center"/>
    </xf>
    <xf numFmtId="2" fontId="62" fillId="7" borderId="5" xfId="0" applyNumberFormat="1" applyFont="1" applyFill="1" applyBorder="1" applyAlignment="1" applyProtection="1">
      <alignment horizontal="left" vertical="center"/>
    </xf>
    <xf numFmtId="0" fontId="16" fillId="7" borderId="8" xfId="0" applyFont="1" applyFill="1" applyBorder="1" applyProtection="1"/>
    <xf numFmtId="164" fontId="16" fillId="14" borderId="19" xfId="0" applyNumberFormat="1" applyFont="1" applyFill="1" applyBorder="1" applyAlignment="1" applyProtection="1">
      <alignment horizontal="center"/>
    </xf>
    <xf numFmtId="164" fontId="16" fillId="14" borderId="7" xfId="0" applyNumberFormat="1" applyFont="1" applyFill="1" applyBorder="1" applyAlignment="1" applyProtection="1">
      <alignment horizontal="center"/>
    </xf>
    <xf numFmtId="49" fontId="16" fillId="7" borderId="0" xfId="0" applyNumberFormat="1" applyFont="1" applyFill="1" applyBorder="1" applyAlignment="1" applyProtection="1">
      <alignment horizontal="left"/>
    </xf>
    <xf numFmtId="0" fontId="62" fillId="7" borderId="12" xfId="0" applyFont="1" applyFill="1" applyBorder="1" applyAlignment="1" applyProtection="1">
      <alignment horizontal="left" vertical="center"/>
    </xf>
    <xf numFmtId="0" fontId="16" fillId="7" borderId="0" xfId="0" applyFont="1" applyFill="1" applyProtection="1"/>
    <xf numFmtId="0" fontId="16" fillId="7" borderId="19" xfId="0" applyFont="1" applyFill="1" applyBorder="1" applyAlignment="1" applyProtection="1">
      <alignment wrapText="1"/>
    </xf>
    <xf numFmtId="0" fontId="16" fillId="7" borderId="8" xfId="0" applyFont="1" applyFill="1" applyBorder="1" applyAlignment="1" applyProtection="1">
      <alignment wrapText="1"/>
    </xf>
    <xf numFmtId="0" fontId="16" fillId="7" borderId="7" xfId="0" applyFont="1" applyFill="1" applyBorder="1" applyAlignment="1" applyProtection="1">
      <alignment wrapText="1"/>
    </xf>
    <xf numFmtId="2" fontId="16" fillId="14" borderId="31" xfId="0" applyNumberFormat="1" applyFont="1" applyFill="1" applyBorder="1" applyAlignment="1" applyProtection="1">
      <alignment horizontal="center" vertical="center"/>
    </xf>
    <xf numFmtId="2" fontId="16" fillId="7" borderId="31" xfId="0" applyNumberFormat="1" applyFont="1" applyFill="1" applyBorder="1" applyAlignment="1" applyProtection="1">
      <alignment horizontal="center" vertical="center"/>
    </xf>
    <xf numFmtId="0" fontId="107" fillId="21" borderId="2" xfId="0" applyFont="1" applyFill="1" applyBorder="1" applyAlignment="1" applyProtection="1">
      <alignment vertical="center"/>
    </xf>
    <xf numFmtId="0" fontId="107" fillId="21" borderId="11" xfId="0" applyFont="1" applyFill="1" applyBorder="1" applyAlignment="1" applyProtection="1">
      <alignment vertical="center"/>
    </xf>
    <xf numFmtId="0" fontId="107" fillId="21" borderId="12" xfId="0" applyFont="1" applyFill="1" applyBorder="1" applyAlignment="1" applyProtection="1">
      <alignment vertical="center"/>
    </xf>
    <xf numFmtId="0" fontId="107" fillId="21" borderId="4" xfId="0" applyFont="1" applyFill="1" applyBorder="1" applyAlignment="1" applyProtection="1">
      <alignment vertical="center"/>
    </xf>
    <xf numFmtId="0" fontId="107" fillId="21" borderId="10" xfId="0" applyFont="1" applyFill="1" applyBorder="1" applyAlignment="1" applyProtection="1">
      <alignment vertical="center"/>
    </xf>
    <xf numFmtId="0" fontId="107" fillId="21" borderId="5" xfId="0" applyFont="1" applyFill="1" applyBorder="1" applyAlignment="1" applyProtection="1">
      <alignment vertical="center"/>
    </xf>
    <xf numFmtId="164" fontId="16" fillId="14" borderId="8" xfId="0" applyNumberFormat="1" applyFont="1" applyFill="1" applyBorder="1" applyAlignment="1" applyProtection="1">
      <alignment horizontal="center"/>
    </xf>
    <xf numFmtId="164" fontId="16" fillId="7" borderId="8" xfId="0" applyNumberFormat="1" applyFont="1" applyFill="1" applyBorder="1" applyAlignment="1" applyProtection="1">
      <alignment horizontal="center"/>
    </xf>
    <xf numFmtId="164" fontId="16" fillId="7" borderId="7" xfId="0" applyNumberFormat="1" applyFont="1" applyFill="1" applyBorder="1" applyAlignment="1" applyProtection="1">
      <alignment horizontal="center"/>
    </xf>
    <xf numFmtId="4" fontId="16" fillId="7" borderId="19" xfId="0" applyNumberFormat="1" applyFont="1" applyFill="1" applyBorder="1" applyAlignment="1" applyProtection="1">
      <alignment horizontal="center"/>
    </xf>
    <xf numFmtId="4" fontId="16" fillId="7" borderId="7" xfId="0" applyNumberFormat="1" applyFont="1" applyFill="1" applyBorder="1" applyAlignment="1" applyProtection="1">
      <alignment horizontal="center"/>
    </xf>
    <xf numFmtId="4" fontId="16" fillId="7" borderId="8" xfId="0" applyNumberFormat="1" applyFont="1" applyFill="1" applyBorder="1" applyAlignment="1" applyProtection="1">
      <alignment horizontal="center"/>
    </xf>
    <xf numFmtId="4" fontId="6" fillId="7" borderId="11" xfId="0" applyNumberFormat="1" applyFont="1" applyFill="1" applyBorder="1" applyAlignment="1" applyProtection="1">
      <alignment horizontal="left"/>
    </xf>
    <xf numFmtId="4" fontId="6" fillId="7" borderId="12" xfId="0" applyNumberFormat="1" applyFont="1" applyFill="1" applyBorder="1" applyAlignment="1" applyProtection="1">
      <alignment horizontal="left"/>
    </xf>
    <xf numFmtId="169" fontId="16" fillId="7" borderId="10" xfId="0" applyNumberFormat="1" applyFont="1" applyFill="1" applyBorder="1" applyAlignment="1" applyProtection="1">
      <alignment horizontal="left"/>
    </xf>
    <xf numFmtId="0" fontId="16" fillId="21" borderId="8" xfId="0" applyFont="1" applyFill="1" applyBorder="1" applyAlignment="1" applyProtection="1">
      <alignment horizontal="center"/>
    </xf>
    <xf numFmtId="0" fontId="16" fillId="7" borderId="19"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7" xfId="0" applyFont="1" applyFill="1" applyBorder="1" applyAlignment="1" applyProtection="1">
      <alignment horizontal="left" vertical="center"/>
    </xf>
    <xf numFmtId="165" fontId="16" fillId="7" borderId="19" xfId="0" applyNumberFormat="1" applyFont="1" applyFill="1" applyBorder="1" applyAlignment="1" applyProtection="1">
      <alignment horizontal="center"/>
    </xf>
    <xf numFmtId="165" fontId="16" fillId="7" borderId="8" xfId="0" applyNumberFormat="1" applyFont="1" applyFill="1" applyBorder="1" applyAlignment="1" applyProtection="1">
      <alignment horizontal="center"/>
    </xf>
    <xf numFmtId="165" fontId="16" fillId="7" borderId="7" xfId="0" applyNumberFormat="1" applyFont="1" applyFill="1" applyBorder="1" applyAlignment="1" applyProtection="1">
      <alignment horizontal="center"/>
    </xf>
    <xf numFmtId="2" fontId="16" fillId="7" borderId="19" xfId="0" applyNumberFormat="1" applyFont="1" applyFill="1" applyBorder="1" applyAlignment="1" applyProtection="1">
      <alignment horizontal="center"/>
    </xf>
    <xf numFmtId="0" fontId="0" fillId="0" borderId="7" xfId="0" applyBorder="1"/>
    <xf numFmtId="4" fontId="16" fillId="7" borderId="31" xfId="0" applyNumberFormat="1" applyFont="1" applyFill="1" applyBorder="1" applyAlignment="1" applyProtection="1">
      <alignment horizontal="center"/>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8" xfId="0" applyFont="1" applyFill="1" applyBorder="1" applyAlignment="1" applyProtection="1">
      <alignment horizontal="left"/>
    </xf>
    <xf numFmtId="0" fontId="16" fillId="7" borderId="7" xfId="0" applyFont="1" applyFill="1" applyBorder="1" applyAlignment="1" applyProtection="1">
      <alignment horizontal="left"/>
    </xf>
    <xf numFmtId="0" fontId="16" fillId="7" borderId="19" xfId="0" applyFont="1" applyFill="1" applyBorder="1" applyAlignment="1" applyProtection="1">
      <alignment horizontal="left"/>
    </xf>
    <xf numFmtId="164" fontId="16" fillId="7" borderId="19" xfId="0" applyNumberFormat="1" applyFont="1" applyFill="1" applyBorder="1" applyAlignment="1" applyProtection="1">
      <alignment horizontal="center"/>
    </xf>
    <xf numFmtId="0" fontId="16" fillId="21" borderId="2" xfId="0" applyFont="1" applyFill="1" applyBorder="1" applyAlignment="1" applyProtection="1">
      <alignment horizontal="center" vertical="center"/>
    </xf>
    <xf numFmtId="0" fontId="16" fillId="21" borderId="12" xfId="0" applyFont="1" applyFill="1" applyBorder="1" applyAlignment="1" applyProtection="1">
      <alignment horizontal="center" vertical="center"/>
    </xf>
    <xf numFmtId="0" fontId="16" fillId="21" borderId="4" xfId="0" applyFont="1" applyFill="1" applyBorder="1" applyAlignment="1" applyProtection="1">
      <alignment horizontal="center" vertical="center"/>
    </xf>
    <xf numFmtId="0" fontId="16" fillId="21" borderId="5" xfId="0" applyFont="1" applyFill="1" applyBorder="1" applyAlignment="1" applyProtection="1">
      <alignment horizontal="center" vertical="center"/>
    </xf>
    <xf numFmtId="164" fontId="16" fillId="7" borderId="4" xfId="0" applyNumberFormat="1" applyFont="1" applyFill="1" applyBorder="1" applyAlignment="1" applyProtection="1">
      <alignment horizontal="center"/>
    </xf>
    <xf numFmtId="164" fontId="16" fillId="7" borderId="10" xfId="0" applyNumberFormat="1" applyFont="1" applyFill="1" applyBorder="1" applyAlignment="1" applyProtection="1">
      <alignment horizontal="center"/>
    </xf>
    <xf numFmtId="164" fontId="16" fillId="7" borderId="5" xfId="0" applyNumberFormat="1" applyFont="1" applyFill="1" applyBorder="1" applyAlignment="1" applyProtection="1">
      <alignment horizontal="center"/>
    </xf>
    <xf numFmtId="2" fontId="16" fillId="7" borderId="8" xfId="0" applyNumberFormat="1" applyFont="1" applyFill="1" applyBorder="1" applyAlignment="1" applyProtection="1">
      <alignment horizontal="center"/>
    </xf>
    <xf numFmtId="2" fontId="16" fillId="7" borderId="7" xfId="0" applyNumberFormat="1" applyFont="1" applyFill="1" applyBorder="1" applyAlignment="1" applyProtection="1">
      <alignment horizontal="center"/>
    </xf>
    <xf numFmtId="0" fontId="16" fillId="21" borderId="19" xfId="0" applyFont="1" applyFill="1" applyBorder="1" applyAlignment="1" applyProtection="1">
      <alignment horizontal="right"/>
    </xf>
    <xf numFmtId="0" fontId="16" fillId="21" borderId="8" xfId="0" applyFont="1" applyFill="1" applyBorder="1" applyAlignment="1" applyProtection="1">
      <alignment horizontal="right"/>
    </xf>
    <xf numFmtId="0" fontId="51" fillId="21" borderId="19" xfId="0" applyFont="1" applyFill="1" applyBorder="1" applyAlignment="1" applyProtection="1">
      <alignment horizontal="center"/>
    </xf>
    <xf numFmtId="0" fontId="51" fillId="21" borderId="7" xfId="0" applyFont="1" applyFill="1" applyBorder="1" applyAlignment="1" applyProtection="1">
      <alignment horizontal="center"/>
    </xf>
    <xf numFmtId="0" fontId="16" fillId="21" borderId="3" xfId="0" applyFont="1" applyFill="1" applyBorder="1" applyAlignment="1" applyProtection="1">
      <alignment horizontal="center" wrapText="1"/>
    </xf>
    <xf numFmtId="0" fontId="16" fillId="21" borderId="0" xfId="0" applyFont="1" applyFill="1" applyBorder="1" applyAlignment="1" applyProtection="1">
      <alignment horizontal="center" wrapText="1"/>
    </xf>
    <xf numFmtId="0" fontId="16" fillId="21" borderId="123" xfId="0" applyFont="1" applyFill="1" applyBorder="1" applyAlignment="1" applyProtection="1">
      <alignment horizontal="center" wrapText="1"/>
    </xf>
    <xf numFmtId="0" fontId="6" fillId="21" borderId="2" xfId="0" applyFont="1" applyFill="1" applyBorder="1" applyAlignment="1" applyProtection="1">
      <alignment horizontal="center" wrapText="1"/>
    </xf>
    <xf numFmtId="0" fontId="6" fillId="21" borderId="11" xfId="0" applyFont="1" applyFill="1" applyBorder="1" applyAlignment="1" applyProtection="1">
      <alignment horizontal="center" wrapText="1"/>
    </xf>
    <xf numFmtId="0" fontId="6" fillId="21" borderId="12" xfId="0" applyFont="1" applyFill="1" applyBorder="1" applyAlignment="1" applyProtection="1">
      <alignment horizontal="center" wrapText="1"/>
    </xf>
    <xf numFmtId="0" fontId="62" fillId="7" borderId="3" xfId="0" applyFont="1" applyFill="1" applyBorder="1" applyAlignment="1" applyProtection="1">
      <alignment horizontal="left" vertical="center"/>
      <protection hidden="1"/>
    </xf>
    <xf numFmtId="0" fontId="62" fillId="7" borderId="0" xfId="0" applyFont="1" applyFill="1" applyBorder="1" applyAlignment="1" applyProtection="1">
      <alignment horizontal="left" vertical="center"/>
      <protection hidden="1"/>
    </xf>
    <xf numFmtId="178" fontId="16" fillId="7" borderId="11" xfId="3" applyNumberFormat="1" applyFont="1" applyFill="1" applyBorder="1" applyAlignment="1" applyProtection="1">
      <alignment horizontal="left"/>
    </xf>
    <xf numFmtId="2" fontId="16" fillId="7" borderId="0" xfId="0" applyNumberFormat="1" applyFont="1" applyFill="1" applyBorder="1" applyAlignment="1" applyProtection="1">
      <alignment horizontal="left"/>
    </xf>
    <xf numFmtId="0" fontId="16" fillId="21" borderId="2" xfId="0" applyFont="1" applyFill="1" applyBorder="1" applyAlignment="1" applyProtection="1">
      <alignment vertical="center" wrapText="1"/>
    </xf>
    <xf numFmtId="0" fontId="16" fillId="21" borderId="12" xfId="0" applyFont="1" applyFill="1" applyBorder="1" applyAlignment="1" applyProtection="1">
      <alignment vertical="center" wrapText="1"/>
    </xf>
    <xf numFmtId="0" fontId="16" fillId="21" borderId="3" xfId="0" applyFont="1" applyFill="1" applyBorder="1" applyAlignment="1" applyProtection="1">
      <alignment vertical="center" wrapText="1"/>
    </xf>
    <xf numFmtId="0" fontId="16" fillId="21" borderId="123" xfId="0" applyFont="1" applyFill="1" applyBorder="1" applyAlignment="1" applyProtection="1">
      <alignment vertical="center" wrapText="1"/>
    </xf>
    <xf numFmtId="0" fontId="62" fillId="7" borderId="2" xfId="0" applyFont="1" applyFill="1" applyBorder="1" applyAlignment="1" applyProtection="1">
      <alignment horizontal="left" vertical="center"/>
      <protection hidden="1"/>
    </xf>
    <xf numFmtId="0" fontId="62" fillId="7" borderId="11" xfId="0" applyFont="1" applyFill="1" applyBorder="1" applyAlignment="1" applyProtection="1">
      <alignment horizontal="left" vertical="center"/>
      <protection hidden="1"/>
    </xf>
    <xf numFmtId="165" fontId="62" fillId="7" borderId="2" xfId="0" applyNumberFormat="1" applyFont="1" applyFill="1" applyBorder="1" applyAlignment="1" applyProtection="1">
      <alignment horizontal="center"/>
    </xf>
    <xf numFmtId="165" fontId="62" fillId="7" borderId="12" xfId="0" applyNumberFormat="1" applyFont="1" applyFill="1" applyBorder="1" applyAlignment="1" applyProtection="1">
      <alignment horizontal="center"/>
    </xf>
    <xf numFmtId="164" fontId="62" fillId="7" borderId="2"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xf>
    <xf numFmtId="0" fontId="16" fillId="21" borderId="7" xfId="0" applyFont="1" applyFill="1" applyBorder="1" applyAlignment="1" applyProtection="1">
      <alignment horizontal="right"/>
    </xf>
    <xf numFmtId="0" fontId="62" fillId="7" borderId="4" xfId="0" applyFont="1" applyFill="1" applyBorder="1" applyAlignment="1" applyProtection="1">
      <alignment horizontal="left" vertical="center"/>
      <protection hidden="1"/>
    </xf>
    <xf numFmtId="0" fontId="62" fillId="7" borderId="10" xfId="0" applyFont="1" applyFill="1" applyBorder="1" applyAlignment="1" applyProtection="1">
      <alignment horizontal="left" vertical="center"/>
      <protection hidden="1"/>
    </xf>
    <xf numFmtId="0" fontId="62" fillId="7" borderId="10" xfId="0" applyFont="1" applyFill="1" applyBorder="1" applyAlignment="1" applyProtection="1">
      <alignment horizontal="center"/>
    </xf>
    <xf numFmtId="1" fontId="62" fillId="7" borderId="4" xfId="0" applyNumberFormat="1" applyFont="1" applyFill="1" applyBorder="1" applyAlignment="1" applyProtection="1">
      <alignment horizontal="center"/>
    </xf>
    <xf numFmtId="0" fontId="62" fillId="7" borderId="2" xfId="0" applyFont="1" applyFill="1" applyBorder="1" applyAlignment="1" applyProtection="1">
      <alignment horizontal="left"/>
    </xf>
    <xf numFmtId="0" fontId="62" fillId="7" borderId="11" xfId="0" applyFont="1" applyFill="1" applyBorder="1" applyAlignment="1" applyProtection="1">
      <alignment horizontal="left"/>
    </xf>
    <xf numFmtId="0" fontId="18" fillId="7" borderId="19" xfId="0" applyFont="1" applyFill="1" applyBorder="1" applyAlignment="1" applyProtection="1">
      <alignment horizontal="left" vertical="center"/>
      <protection hidden="1"/>
    </xf>
    <xf numFmtId="0" fontId="18" fillId="7" borderId="8" xfId="0" applyFont="1" applyFill="1" applyBorder="1" applyAlignment="1" applyProtection="1">
      <alignment horizontal="left" vertical="center"/>
      <protection hidden="1"/>
    </xf>
    <xf numFmtId="3" fontId="62" fillId="7" borderId="2" xfId="0" applyNumberFormat="1" applyFont="1" applyFill="1" applyBorder="1" applyAlignment="1" applyProtection="1">
      <alignment horizontal="center" vertical="center"/>
    </xf>
    <xf numFmtId="3" fontId="62" fillId="7" borderId="11" xfId="0" applyNumberFormat="1" applyFont="1" applyFill="1" applyBorder="1" applyAlignment="1" applyProtection="1">
      <alignment horizontal="center" vertical="center"/>
    </xf>
    <xf numFmtId="4" fontId="62" fillId="7" borderId="2" xfId="0" applyNumberFormat="1" applyFont="1" applyFill="1" applyBorder="1" applyAlignment="1" applyProtection="1">
      <alignment horizontal="center" vertical="center"/>
    </xf>
    <xf numFmtId="4" fontId="62" fillId="7" borderId="11" xfId="0" applyNumberFormat="1" applyFont="1" applyFill="1" applyBorder="1" applyAlignment="1" applyProtection="1">
      <alignment horizontal="center" vertical="center"/>
    </xf>
    <xf numFmtId="165" fontId="62" fillId="7" borderId="2" xfId="0" applyNumberFormat="1" applyFont="1" applyFill="1" applyBorder="1" applyAlignment="1" applyProtection="1">
      <alignment horizontal="center" vertical="center"/>
    </xf>
    <xf numFmtId="165" fontId="62" fillId="7" borderId="11" xfId="0" applyNumberFormat="1" applyFont="1" applyFill="1" applyBorder="1" applyAlignment="1" applyProtection="1">
      <alignment horizontal="center" vertical="center"/>
    </xf>
    <xf numFmtId="0" fontId="62" fillId="7" borderId="3" xfId="0" applyFont="1" applyFill="1" applyBorder="1" applyAlignment="1" applyProtection="1">
      <alignment horizontal="left"/>
    </xf>
    <xf numFmtId="0" fontId="62" fillId="7" borderId="0" xfId="0" applyFont="1" applyFill="1" applyBorder="1" applyAlignment="1" applyProtection="1">
      <alignment horizontal="left"/>
    </xf>
    <xf numFmtId="0" fontId="62" fillId="7" borderId="4" xfId="0" applyFont="1" applyFill="1" applyBorder="1" applyAlignment="1" applyProtection="1">
      <alignment horizontal="left"/>
    </xf>
    <xf numFmtId="0" fontId="62" fillId="7" borderId="10" xfId="0" applyFont="1" applyFill="1" applyBorder="1" applyAlignment="1" applyProtection="1">
      <alignment horizontal="left"/>
    </xf>
    <xf numFmtId="3" fontId="18" fillId="7" borderId="4" xfId="0" applyNumberFormat="1" applyFont="1" applyFill="1" applyBorder="1" applyAlignment="1" applyProtection="1">
      <alignment horizontal="center"/>
    </xf>
    <xf numFmtId="0" fontId="18" fillId="7" borderId="5" xfId="0" applyFont="1" applyFill="1" applyBorder="1" applyAlignment="1" applyProtection="1">
      <alignment horizontal="center"/>
    </xf>
    <xf numFmtId="2" fontId="18" fillId="7" borderId="4" xfId="0" applyNumberFormat="1" applyFont="1" applyFill="1" applyBorder="1" applyAlignment="1" applyProtection="1">
      <alignment horizontal="center"/>
    </xf>
    <xf numFmtId="165" fontId="18" fillId="7" borderId="4" xfId="0" applyNumberFormat="1" applyFont="1" applyFill="1" applyBorder="1" applyAlignment="1" applyProtection="1">
      <alignment horizontal="center"/>
    </xf>
    <xf numFmtId="165" fontId="18" fillId="7" borderId="5" xfId="0" applyNumberFormat="1" applyFont="1" applyFill="1" applyBorder="1" applyAlignment="1" applyProtection="1">
      <alignment horizontal="center"/>
    </xf>
    <xf numFmtId="164" fontId="18" fillId="7" borderId="19" xfId="0" applyNumberFormat="1" applyFont="1" applyFill="1" applyBorder="1" applyAlignment="1" applyProtection="1">
      <alignment horizontal="center"/>
    </xf>
    <xf numFmtId="164" fontId="18" fillId="7" borderId="7" xfId="0" applyNumberFormat="1" applyFont="1" applyFill="1" applyBorder="1" applyAlignment="1" applyProtection="1">
      <alignment horizontal="center"/>
    </xf>
    <xf numFmtId="0" fontId="16" fillId="21" borderId="2" xfId="0" applyFont="1" applyFill="1" applyBorder="1" applyAlignment="1" applyProtection="1">
      <alignment horizontal="right"/>
    </xf>
    <xf numFmtId="0" fontId="16" fillId="21" borderId="11" xfId="0" applyFont="1" applyFill="1" applyBorder="1" applyAlignment="1" applyProtection="1">
      <alignment horizontal="right"/>
    </xf>
    <xf numFmtId="0" fontId="16" fillId="21" borderId="11" xfId="0" applyFont="1" applyFill="1" applyBorder="1" applyAlignment="1" applyProtection="1">
      <alignment horizontal="center"/>
    </xf>
    <xf numFmtId="164" fontId="62" fillId="7" borderId="11" xfId="0" applyNumberFormat="1" applyFont="1" applyFill="1" applyBorder="1" applyAlignment="1" applyProtection="1">
      <alignment horizontal="center"/>
    </xf>
    <xf numFmtId="164" fontId="62" fillId="7" borderId="5" xfId="0" applyNumberFormat="1" applyFont="1" applyFill="1" applyBorder="1" applyAlignment="1" applyProtection="1">
      <alignment horizontal="center"/>
    </xf>
    <xf numFmtId="164" fontId="18" fillId="7" borderId="8" xfId="0" applyNumberFormat="1" applyFont="1" applyFill="1" applyBorder="1" applyAlignment="1" applyProtection="1">
      <alignment horizontal="center"/>
    </xf>
    <xf numFmtId="165" fontId="62" fillId="7" borderId="10" xfId="0" applyNumberFormat="1" applyFont="1" applyFill="1" applyBorder="1" applyAlignment="1" applyProtection="1">
      <alignment horizontal="center"/>
    </xf>
    <xf numFmtId="165" fontId="62" fillId="7" borderId="4"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vertical="center"/>
    </xf>
    <xf numFmtId="165" fontId="62" fillId="7" borderId="12" xfId="0" applyNumberFormat="1" applyFont="1" applyFill="1" applyBorder="1" applyAlignment="1" applyProtection="1">
      <alignment horizontal="center" vertical="center"/>
    </xf>
    <xf numFmtId="165" fontId="62" fillId="7" borderId="5" xfId="0" applyNumberFormat="1" applyFont="1" applyFill="1" applyBorder="1" applyAlignment="1" applyProtection="1">
      <alignment horizontal="center"/>
    </xf>
    <xf numFmtId="165" fontId="62" fillId="7" borderId="123" xfId="0" applyNumberFormat="1" applyFont="1" applyFill="1" applyBorder="1" applyAlignment="1" applyProtection="1">
      <alignment horizontal="center"/>
    </xf>
    <xf numFmtId="2" fontId="10" fillId="7" borderId="53" xfId="0" applyNumberFormat="1" applyFont="1" applyFill="1" applyBorder="1" applyAlignment="1" applyProtection="1">
      <alignment horizontal="center"/>
    </xf>
    <xf numFmtId="2" fontId="10" fillId="7" borderId="55" xfId="0" applyNumberFormat="1" applyFont="1" applyFill="1" applyBorder="1" applyAlignment="1" applyProtection="1">
      <alignment horizontal="center"/>
    </xf>
    <xf numFmtId="2" fontId="0" fillId="4" borderId="53" xfId="0" applyNumberFormat="1" applyFill="1" applyBorder="1" applyAlignment="1" applyProtection="1">
      <alignment horizontal="center"/>
      <protection locked="0"/>
    </xf>
    <xf numFmtId="2" fontId="0" fillId="4" borderId="55" xfId="0" applyNumberFormat="1" applyFill="1" applyBorder="1" applyAlignment="1" applyProtection="1">
      <alignment horizontal="center"/>
      <protection locked="0"/>
    </xf>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2" fontId="10" fillId="7" borderId="46" xfId="0" applyNumberFormat="1" applyFont="1" applyFill="1" applyBorder="1" applyAlignment="1" applyProtection="1">
      <alignment horizontal="center"/>
    </xf>
    <xf numFmtId="2" fontId="10" fillId="7" borderId="48" xfId="0" applyNumberFormat="1" applyFont="1" applyFill="1" applyBorder="1" applyAlignment="1" applyProtection="1">
      <alignment horizontal="center"/>
    </xf>
    <xf numFmtId="2" fontId="0" fillId="4" borderId="46" xfId="0" applyNumberFormat="1" applyFill="1" applyBorder="1" applyAlignment="1" applyProtection="1">
      <alignment horizontal="center"/>
      <protection locked="0"/>
    </xf>
    <xf numFmtId="2" fontId="0" fillId="4" borderId="48" xfId="0" applyNumberFormat="1" applyFill="1" applyBorder="1" applyAlignment="1" applyProtection="1">
      <alignment horizontal="center"/>
      <protection locked="0"/>
    </xf>
    <xf numFmtId="164" fontId="10" fillId="7" borderId="46" xfId="0" applyNumberFormat="1" applyFont="1" applyFill="1" applyBorder="1" applyAlignment="1" applyProtection="1">
      <alignment horizontal="center"/>
    </xf>
    <xf numFmtId="164" fontId="10" fillId="7" borderId="48" xfId="0" applyNumberFormat="1" applyFont="1" applyFill="1" applyBorder="1" applyAlignment="1" applyProtection="1">
      <alignment horizontal="center"/>
    </xf>
    <xf numFmtId="165" fontId="0" fillId="4" borderId="46" xfId="0" applyNumberFormat="1" applyFill="1" applyBorder="1" applyAlignment="1" applyProtection="1">
      <alignment horizontal="center"/>
      <protection locked="0"/>
    </xf>
    <xf numFmtId="165" fontId="0" fillId="4" borderId="48" xfId="0" applyNumberFormat="1" applyFill="1" applyBorder="1" applyAlignment="1" applyProtection="1">
      <alignment horizontal="center"/>
      <protection locked="0"/>
    </xf>
    <xf numFmtId="165" fontId="10" fillId="7" borderId="46" xfId="0" applyNumberFormat="1" applyFont="1" applyFill="1" applyBorder="1" applyAlignment="1" applyProtection="1">
      <alignment horizontal="center"/>
    </xf>
    <xf numFmtId="165" fontId="10" fillId="7" borderId="48" xfId="0" applyNumberFormat="1" applyFont="1" applyFill="1" applyBorder="1" applyAlignment="1" applyProtection="1">
      <alignment horizontal="center"/>
    </xf>
    <xf numFmtId="165" fontId="6" fillId="4" borderId="46" xfId="0" applyNumberFormat="1" applyFont="1" applyFill="1" applyBorder="1" applyAlignment="1" applyProtection="1">
      <alignment horizontal="center" wrapText="1"/>
      <protection locked="0"/>
    </xf>
    <xf numFmtId="165" fontId="6" fillId="4" borderId="48" xfId="0" applyNumberFormat="1" applyFont="1" applyFill="1" applyBorder="1" applyAlignment="1" applyProtection="1">
      <alignment horizontal="center" wrapText="1"/>
      <protection locked="0"/>
    </xf>
    <xf numFmtId="3" fontId="6" fillId="7" borderId="46" xfId="0" applyNumberFormat="1" applyFont="1" applyFill="1" applyBorder="1" applyAlignment="1" applyProtection="1">
      <alignment horizontal="center" wrapText="1"/>
    </xf>
    <xf numFmtId="3" fontId="6" fillId="7" borderId="48" xfId="0" applyNumberFormat="1" applyFont="1" applyFill="1" applyBorder="1" applyAlignment="1" applyProtection="1">
      <alignment horizontal="center" wrapText="1"/>
    </xf>
    <xf numFmtId="165" fontId="6" fillId="7" borderId="46" xfId="0" applyNumberFormat="1" applyFont="1" applyFill="1" applyBorder="1" applyAlignment="1" applyProtection="1">
      <alignment horizontal="center" wrapText="1"/>
    </xf>
    <xf numFmtId="165" fontId="6" fillId="7" borderId="48" xfId="0" applyNumberFormat="1" applyFont="1" applyFill="1" applyBorder="1" applyAlignment="1" applyProtection="1">
      <alignment horizontal="center" wrapText="1"/>
    </xf>
    <xf numFmtId="3" fontId="10" fillId="7" borderId="46" xfId="0" applyNumberFormat="1" applyFont="1" applyFill="1" applyBorder="1" applyAlignment="1" applyProtection="1">
      <alignment horizontal="center"/>
    </xf>
    <xf numFmtId="1" fontId="10" fillId="7" borderId="46" xfId="0" applyNumberFormat="1" applyFont="1" applyFill="1" applyBorder="1" applyAlignment="1" applyProtection="1">
      <alignment horizontal="center"/>
    </xf>
    <xf numFmtId="1" fontId="10" fillId="7" borderId="48" xfId="0" applyNumberFormat="1" applyFont="1" applyFill="1" applyBorder="1" applyAlignment="1" applyProtection="1">
      <alignment horizontal="center"/>
    </xf>
    <xf numFmtId="1" fontId="0" fillId="4" borderId="46" xfId="0" applyNumberFormat="1" applyFill="1" applyBorder="1" applyAlignment="1" applyProtection="1">
      <alignment horizontal="center"/>
      <protection locked="0"/>
    </xf>
    <xf numFmtId="1" fontId="0" fillId="4" borderId="48" xfId="0" applyNumberFormat="1" applyFill="1" applyBorder="1" applyAlignment="1" applyProtection="1">
      <alignment horizontal="center"/>
      <protection locked="0"/>
    </xf>
    <xf numFmtId="164" fontId="0" fillId="4" borderId="46" xfId="0" applyNumberFormat="1" applyFill="1" applyBorder="1" applyAlignment="1" applyProtection="1">
      <alignment horizontal="center"/>
      <protection locked="0"/>
    </xf>
    <xf numFmtId="164" fontId="0" fillId="4" borderId="48" xfId="0" applyNumberFormat="1" applyFill="1" applyBorder="1" applyAlignment="1" applyProtection="1">
      <alignment horizontal="center"/>
      <protection locked="0"/>
    </xf>
    <xf numFmtId="3" fontId="0" fillId="4" borderId="46"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2" fontId="6" fillId="4" borderId="46" xfId="0" applyNumberFormat="1" applyFont="1" applyFill="1" applyBorder="1" applyAlignment="1" applyProtection="1">
      <alignment horizontal="center" vertical="center"/>
      <protection locked="0"/>
    </xf>
    <xf numFmtId="2" fontId="6" fillId="4" borderId="48" xfId="0" applyNumberFormat="1" applyFont="1" applyFill="1" applyBorder="1" applyAlignment="1" applyProtection="1">
      <alignment horizontal="center" vertical="center"/>
      <protection locked="0"/>
    </xf>
    <xf numFmtId="49" fontId="6" fillId="7" borderId="46" xfId="0" applyNumberFormat="1" applyFont="1" applyFill="1" applyBorder="1" applyAlignment="1" applyProtection="1">
      <alignment horizontal="center" vertical="center"/>
    </xf>
    <xf numFmtId="49" fontId="6" fillId="7" borderId="48" xfId="0" applyNumberFormat="1" applyFont="1" applyFill="1" applyBorder="1" applyAlignment="1" applyProtection="1">
      <alignment horizontal="center" vertical="center"/>
    </xf>
    <xf numFmtId="169" fontId="10" fillId="7" borderId="0" xfId="0" applyNumberFormat="1" applyFont="1" applyFill="1" applyBorder="1" applyAlignment="1" applyProtection="1">
      <alignment horizontal="left" shrinkToFit="1"/>
    </xf>
    <xf numFmtId="0" fontId="10" fillId="7" borderId="0" xfId="0" applyFont="1" applyFill="1" applyAlignment="1" applyProtection="1">
      <alignment horizontal="center"/>
    </xf>
    <xf numFmtId="0" fontId="10" fillId="7" borderId="19" xfId="0" applyFont="1" applyFill="1" applyBorder="1" applyAlignment="1" applyProtection="1">
      <alignment horizontal="center"/>
    </xf>
    <xf numFmtId="0" fontId="10" fillId="7" borderId="7" xfId="0" applyFont="1" applyFill="1" applyBorder="1" applyAlignment="1" applyProtection="1">
      <alignment horizontal="center"/>
    </xf>
    <xf numFmtId="2" fontId="6" fillId="20" borderId="59" xfId="0" applyNumberFormat="1" applyFont="1" applyFill="1" applyBorder="1" applyAlignment="1" applyProtection="1">
      <alignment horizontal="center" vertical="center"/>
      <protection locked="0"/>
    </xf>
    <xf numFmtId="2" fontId="6" fillId="20" borderId="52" xfId="0" applyNumberFormat="1" applyFont="1" applyFill="1" applyBorder="1" applyAlignment="1" applyProtection="1">
      <alignment horizontal="center" vertical="center"/>
      <protection locked="0"/>
    </xf>
    <xf numFmtId="49" fontId="6" fillId="7" borderId="67" xfId="0" applyNumberFormat="1" applyFont="1" applyFill="1" applyBorder="1" applyAlignment="1" applyProtection="1">
      <alignment horizontal="center" vertical="center"/>
    </xf>
    <xf numFmtId="0" fontId="6" fillId="7" borderId="100" xfId="0" applyFont="1" applyFill="1" applyBorder="1" applyAlignment="1" applyProtection="1">
      <alignment horizontal="center" vertical="center"/>
    </xf>
    <xf numFmtId="0" fontId="6" fillId="7" borderId="46" xfId="0" applyNumberFormat="1" applyFont="1" applyFill="1" applyBorder="1" applyAlignment="1" applyProtection="1">
      <alignment horizontal="center" vertical="center"/>
    </xf>
    <xf numFmtId="0" fontId="6" fillId="7" borderId="48" xfId="0" applyNumberFormat="1" applyFont="1" applyFill="1" applyBorder="1" applyAlignment="1" applyProtection="1">
      <alignment horizontal="center" vertical="center"/>
    </xf>
    <xf numFmtId="0" fontId="6" fillId="7" borderId="67" xfId="0" applyNumberFormat="1" applyFont="1" applyFill="1" applyBorder="1" applyAlignment="1" applyProtection="1">
      <alignment horizontal="center" vertical="center"/>
    </xf>
    <xf numFmtId="0" fontId="6" fillId="7" borderId="100" xfId="0" applyNumberFormat="1" applyFont="1" applyFill="1" applyBorder="1" applyAlignment="1" applyProtection="1">
      <alignment horizontal="center" vertical="center"/>
    </xf>
    <xf numFmtId="0" fontId="10" fillId="7" borderId="59" xfId="0" applyFont="1" applyFill="1" applyBorder="1" applyAlignment="1" applyProtection="1">
      <alignment horizontal="center"/>
    </xf>
    <xf numFmtId="0" fontId="10" fillId="7" borderId="52" xfId="0" applyFont="1" applyFill="1" applyBorder="1" applyAlignment="1" applyProtection="1">
      <alignment horizontal="center"/>
    </xf>
    <xf numFmtId="0" fontId="10" fillId="7" borderId="67" xfId="0" applyFont="1" applyFill="1" applyBorder="1" applyAlignment="1" applyProtection="1">
      <alignment horizontal="center"/>
    </xf>
    <xf numFmtId="0" fontId="10" fillId="7" borderId="100" xfId="0" applyFont="1" applyFill="1" applyBorder="1" applyAlignment="1" applyProtection="1">
      <alignment horizontal="center"/>
    </xf>
    <xf numFmtId="0" fontId="10" fillId="7" borderId="46" xfId="0" applyFont="1" applyFill="1" applyBorder="1" applyProtection="1"/>
    <xf numFmtId="0" fontId="10" fillId="7" borderId="48" xfId="0" applyFont="1" applyFill="1" applyBorder="1" applyProtection="1"/>
    <xf numFmtId="0" fontId="10" fillId="7" borderId="59" xfId="0" applyFont="1" applyFill="1" applyBorder="1" applyAlignment="1" applyProtection="1">
      <alignment horizontal="center" vertical="center"/>
    </xf>
    <xf numFmtId="0" fontId="10" fillId="7" borderId="52" xfId="0" applyFont="1" applyFill="1" applyBorder="1" applyAlignment="1" applyProtection="1">
      <alignment horizontal="center" vertical="center"/>
    </xf>
    <xf numFmtId="0" fontId="135" fillId="7" borderId="46" xfId="0" applyFont="1" applyFill="1" applyBorder="1" applyAlignment="1" applyProtection="1">
      <alignment horizontal="center"/>
    </xf>
    <xf numFmtId="0" fontId="135" fillId="7" borderId="48" xfId="0" applyFont="1" applyFill="1" applyBorder="1" applyAlignment="1" applyProtection="1">
      <alignment horizontal="center"/>
    </xf>
    <xf numFmtId="3" fontId="10" fillId="7" borderId="48" xfId="0" applyNumberFormat="1" applyFont="1" applyFill="1" applyBorder="1" applyAlignment="1" applyProtection="1">
      <alignment horizontal="center"/>
    </xf>
    <xf numFmtId="0" fontId="0" fillId="7" borderId="0" xfId="0" applyFill="1" applyAlignment="1" applyProtection="1">
      <alignment horizontal="center"/>
    </xf>
    <xf numFmtId="0" fontId="7" fillId="22" borderId="0" xfId="0" applyFont="1" applyFill="1" applyProtection="1">
      <protection locked="0"/>
    </xf>
    <xf numFmtId="0" fontId="66" fillId="7" borderId="0" xfId="0" applyFont="1" applyFill="1" applyProtection="1"/>
    <xf numFmtId="0" fontId="9" fillId="7" borderId="0" xfId="0" applyFont="1" applyFill="1" applyAlignment="1" applyProtection="1">
      <alignment horizontal="center"/>
    </xf>
    <xf numFmtId="0" fontId="0" fillId="4" borderId="15" xfId="0" applyFill="1" applyBorder="1" applyAlignment="1" applyProtection="1">
      <alignment horizontal="center"/>
      <protection locked="0"/>
    </xf>
    <xf numFmtId="1" fontId="0" fillId="2" borderId="0" xfId="0" applyNumberFormat="1" applyFill="1" applyAlignment="1" applyProtection="1">
      <alignment horizontal="center"/>
    </xf>
    <xf numFmtId="0" fontId="0" fillId="2" borderId="0" xfId="0" applyFill="1" applyAlignment="1" applyProtection="1">
      <alignment horizontal="center"/>
    </xf>
    <xf numFmtId="0" fontId="9" fillId="2" borderId="3" xfId="0" applyFont="1" applyFill="1" applyBorder="1" applyAlignment="1" applyProtection="1">
      <alignment horizontal="center"/>
    </xf>
    <xf numFmtId="0" fontId="9" fillId="2" borderId="1" xfId="0" applyFont="1" applyFill="1" applyBorder="1" applyAlignment="1" applyProtection="1">
      <alignment horizontal="center"/>
    </xf>
    <xf numFmtId="165" fontId="18" fillId="2" borderId="0" xfId="0" applyNumberFormat="1" applyFont="1" applyFill="1" applyAlignment="1" applyProtection="1">
      <alignment horizontal="left"/>
    </xf>
    <xf numFmtId="22" fontId="0" fillId="2" borderId="0" xfId="0" applyNumberFormat="1" applyFill="1" applyAlignment="1" applyProtection="1">
      <alignment horizontal="center"/>
    </xf>
    <xf numFmtId="0" fontId="4" fillId="7" borderId="0" xfId="0" applyFont="1" applyFill="1" applyAlignment="1" applyProtection="1">
      <alignment horizontal="center"/>
    </xf>
    <xf numFmtId="0" fontId="18" fillId="5" borderId="19" xfId="0" applyFont="1" applyFill="1" applyBorder="1" applyAlignment="1">
      <alignment horizontal="left" wrapText="1"/>
    </xf>
    <xf numFmtId="0" fontId="18" fillId="5" borderId="7" xfId="0" applyFont="1" applyFill="1" applyBorder="1" applyAlignment="1">
      <alignment horizontal="left" wrapText="1"/>
    </xf>
    <xf numFmtId="22" fontId="123" fillId="2" borderId="0" xfId="0" applyNumberFormat="1" applyFont="1" applyFill="1" applyAlignment="1">
      <alignment horizontal="left"/>
    </xf>
    <xf numFmtId="0" fontId="18" fillId="2" borderId="19" xfId="0" applyFont="1" applyFill="1" applyBorder="1" applyAlignment="1">
      <alignment horizontal="center" wrapText="1"/>
    </xf>
    <xf numFmtId="0" fontId="18" fillId="2" borderId="8" xfId="0" applyFont="1" applyFill="1" applyBorder="1" applyAlignment="1">
      <alignment horizontal="center" wrapText="1"/>
    </xf>
    <xf numFmtId="0" fontId="16" fillId="2" borderId="0" xfId="0" applyFont="1" applyFill="1" applyAlignment="1">
      <alignment horizontal="left" wrapText="1"/>
    </xf>
    <xf numFmtId="0" fontId="16" fillId="2" borderId="1" xfId="0" applyFont="1" applyFill="1" applyBorder="1" applyAlignment="1">
      <alignment horizontal="left" wrapText="1"/>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3" fillId="2" borderId="11" xfId="0" applyFont="1" applyFill="1" applyBorder="1" applyAlignment="1" applyProtection="1">
      <alignment horizontal="center"/>
    </xf>
    <xf numFmtId="0" fontId="33" fillId="2" borderId="12" xfId="0" applyFont="1" applyFill="1" applyBorder="1" applyAlignment="1" applyProtection="1">
      <alignment horizontal="center"/>
    </xf>
    <xf numFmtId="169" fontId="10" fillId="2" borderId="0" xfId="0" applyNumberFormat="1" applyFont="1" applyFill="1" applyAlignment="1" applyProtection="1">
      <alignment horizontal="left"/>
    </xf>
    <xf numFmtId="0" fontId="0" fillId="0" borderId="12" xfId="0" applyBorder="1" applyProtection="1"/>
    <xf numFmtId="0" fontId="0" fillId="4" borderId="53"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4" borderId="67"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4" borderId="46" xfId="0" applyFill="1" applyBorder="1" applyAlignment="1" applyProtection="1">
      <alignment horizontal="left"/>
      <protection locked="0"/>
    </xf>
    <xf numFmtId="0" fontId="0" fillId="4" borderId="23" xfId="0" applyFill="1" applyBorder="1" applyAlignment="1" applyProtection="1">
      <alignment horizontal="left"/>
      <protection locked="0"/>
    </xf>
    <xf numFmtId="0" fontId="85" fillId="23" borderId="19" xfId="0" applyFont="1" applyFill="1" applyBorder="1" applyAlignment="1">
      <alignment horizontal="left" vertical="top" wrapText="1"/>
    </xf>
    <xf numFmtId="0" fontId="85" fillId="23" borderId="7" xfId="0" applyFont="1" applyFill="1" applyBorder="1" applyAlignment="1">
      <alignment horizontal="left" vertical="top"/>
    </xf>
    <xf numFmtId="0" fontId="85" fillId="0" borderId="19" xfId="0" applyFont="1" applyFill="1" applyBorder="1" applyAlignment="1">
      <alignment horizontal="left" vertical="top" wrapText="1"/>
    </xf>
    <xf numFmtId="0" fontId="85" fillId="0" borderId="8" xfId="0" applyFont="1" applyFill="1" applyBorder="1" applyAlignment="1">
      <alignment horizontal="left" vertical="top" wrapText="1"/>
    </xf>
    <xf numFmtId="0" fontId="85" fillId="0" borderId="7" xfId="0" applyFont="1" applyFill="1" applyBorder="1" applyAlignment="1">
      <alignment horizontal="left" vertical="top" wrapText="1"/>
    </xf>
    <xf numFmtId="0" fontId="124" fillId="23" borderId="19" xfId="0" applyFont="1" applyFill="1" applyBorder="1" applyAlignment="1">
      <alignment horizontal="left" wrapText="1"/>
    </xf>
    <xf numFmtId="0" fontId="124" fillId="23" borderId="8" xfId="0" applyFont="1" applyFill="1" applyBorder="1" applyAlignment="1">
      <alignment horizontal="left"/>
    </xf>
    <xf numFmtId="0" fontId="124" fillId="23" borderId="7" xfId="0" applyFont="1" applyFill="1" applyBorder="1" applyAlignment="1">
      <alignment horizontal="left"/>
    </xf>
    <xf numFmtId="0" fontId="85" fillId="23" borderId="19" xfId="0" applyFont="1" applyFill="1" applyBorder="1" applyAlignment="1">
      <alignment horizontal="left" wrapText="1"/>
    </xf>
    <xf numFmtId="0" fontId="85" fillId="23" borderId="5" xfId="0" applyFont="1" applyFill="1" applyBorder="1" applyAlignment="1">
      <alignment horizontal="left"/>
    </xf>
    <xf numFmtId="0" fontId="85" fillId="0" borderId="8" xfId="0" applyFont="1" applyFill="1" applyBorder="1" applyAlignment="1">
      <alignment horizontal="center"/>
    </xf>
    <xf numFmtId="0" fontId="85" fillId="0" borderId="7" xfId="0" applyFont="1" applyFill="1" applyBorder="1" applyAlignment="1">
      <alignment horizontal="center"/>
    </xf>
    <xf numFmtId="0" fontId="85" fillId="23" borderId="7" xfId="0" applyFont="1" applyFill="1" applyBorder="1" applyAlignment="1">
      <alignment horizontal="left"/>
    </xf>
    <xf numFmtId="0" fontId="85" fillId="0" borderId="8" xfId="0" applyFont="1" applyBorder="1" applyAlignment="1">
      <alignment horizontal="center"/>
    </xf>
    <xf numFmtId="0" fontId="85" fillId="0" borderId="7" xfId="0" applyFont="1" applyBorder="1" applyAlignment="1">
      <alignment horizontal="center"/>
    </xf>
    <xf numFmtId="0" fontId="85" fillId="23" borderId="31" xfId="0" applyFont="1" applyFill="1" applyBorder="1" applyAlignment="1">
      <alignment horizontal="left" wrapText="1"/>
    </xf>
    <xf numFmtId="0" fontId="85" fillId="23" borderId="6" xfId="0" applyFont="1" applyFill="1" applyBorder="1" applyAlignment="1">
      <alignment horizontal="left"/>
    </xf>
    <xf numFmtId="0" fontId="85" fillId="23" borderId="31" xfId="0" applyFont="1" applyFill="1" applyBorder="1" applyAlignment="1">
      <alignment horizontal="left" vertical="top" wrapText="1"/>
    </xf>
    <xf numFmtId="0" fontId="85" fillId="23" borderId="17" xfId="0" applyFont="1" applyFill="1" applyBorder="1" applyAlignment="1">
      <alignment horizontal="left" vertical="top"/>
    </xf>
    <xf numFmtId="0" fontId="85" fillId="0" borderId="19" xfId="0" applyFont="1" applyBorder="1" applyAlignment="1">
      <alignment horizontal="left" vertical="top" wrapText="1"/>
    </xf>
    <xf numFmtId="0" fontId="85" fillId="0" borderId="8" xfId="0" applyFont="1" applyBorder="1" applyAlignment="1">
      <alignment horizontal="left" vertical="top" wrapText="1"/>
    </xf>
    <xf numFmtId="0" fontId="85" fillId="0" borderId="7" xfId="0" applyFont="1" applyBorder="1" applyAlignment="1">
      <alignment horizontal="left" vertical="top" wrapText="1"/>
    </xf>
    <xf numFmtId="0" fontId="85" fillId="0" borderId="8" xfId="0" applyFont="1" applyBorder="1" applyAlignment="1">
      <alignment horizontal="left"/>
    </xf>
    <xf numFmtId="0" fontId="85" fillId="0" borderId="7" xfId="0" applyFont="1" applyBorder="1" applyAlignment="1">
      <alignment horizontal="left"/>
    </xf>
    <xf numFmtId="0" fontId="85" fillId="0" borderId="19" xfId="0" applyFont="1" applyBorder="1" applyAlignment="1" applyProtection="1">
      <alignment horizontal="left" wrapText="1"/>
      <protection locked="0"/>
    </xf>
    <xf numFmtId="0" fontId="85" fillId="0" borderId="8" xfId="0" applyFont="1" applyBorder="1" applyAlignment="1" applyProtection="1">
      <alignment horizontal="left" wrapText="1"/>
      <protection locked="0"/>
    </xf>
    <xf numFmtId="0" fontId="85" fillId="23" borderId="10" xfId="0" applyFont="1" applyFill="1" applyBorder="1" applyAlignment="1">
      <alignment horizontal="left"/>
    </xf>
    <xf numFmtId="0" fontId="85" fillId="23" borderId="8" xfId="0" applyFont="1" applyFill="1" applyBorder="1" applyAlignment="1">
      <alignment horizontal="left"/>
    </xf>
    <xf numFmtId="0" fontId="85" fillId="23" borderId="31" xfId="0" applyFont="1" applyFill="1" applyBorder="1" applyAlignment="1">
      <alignment horizontal="left" vertical="top"/>
    </xf>
    <xf numFmtId="0" fontId="85" fillId="0" borderId="4" xfId="0" applyFont="1" applyBorder="1" applyAlignment="1">
      <alignment horizontal="left" vertical="top" wrapText="1"/>
    </xf>
    <xf numFmtId="0" fontId="85" fillId="0" borderId="10" xfId="0" applyFont="1" applyBorder="1" applyAlignment="1">
      <alignment horizontal="left" vertical="top" wrapText="1"/>
    </xf>
    <xf numFmtId="0" fontId="85" fillId="0" borderId="5" xfId="0" applyFont="1" applyBorder="1" applyAlignment="1">
      <alignment horizontal="left" vertical="top" wrapText="1"/>
    </xf>
    <xf numFmtId="0" fontId="124" fillId="23" borderId="4" xfId="0" applyFont="1" applyFill="1" applyBorder="1" applyAlignment="1">
      <alignment wrapText="1"/>
    </xf>
    <xf numFmtId="0" fontId="124" fillId="23" borderId="0" xfId="0" applyFont="1" applyFill="1" applyBorder="1" applyAlignment="1"/>
    <xf numFmtId="0" fontId="38" fillId="0" borderId="0" xfId="2" applyAlignment="1" applyProtection="1"/>
    <xf numFmtId="0" fontId="35" fillId="2" borderId="0" xfId="0" applyFont="1" applyFill="1" applyBorder="1" applyAlignment="1">
      <alignment horizontal="center"/>
    </xf>
    <xf numFmtId="0" fontId="32" fillId="7" borderId="2" xfId="0" applyFont="1" applyFill="1" applyBorder="1" applyAlignment="1">
      <alignment horizontal="center"/>
    </xf>
    <xf numFmtId="0" fontId="32" fillId="0" borderId="11" xfId="0" applyFont="1" applyBorder="1" applyAlignment="1">
      <alignment horizontal="center"/>
    </xf>
    <xf numFmtId="0" fontId="36" fillId="7" borderId="4" xfId="0" applyFont="1" applyFill="1" applyBorder="1" applyAlignment="1">
      <alignment horizontal="center"/>
    </xf>
    <xf numFmtId="0" fontId="36" fillId="0" borderId="5" xfId="0" applyFont="1" applyBorder="1" applyAlignment="1">
      <alignment horizontal="center"/>
    </xf>
    <xf numFmtId="0" fontId="32" fillId="7" borderId="3" xfId="0" applyFont="1" applyFill="1" applyBorder="1" applyAlignment="1">
      <alignment horizontal="center"/>
    </xf>
    <xf numFmtId="0" fontId="32" fillId="0" borderId="1" xfId="0" applyFont="1" applyBorder="1" applyAlignment="1">
      <alignment horizontal="center"/>
    </xf>
    <xf numFmtId="0" fontId="9" fillId="7" borderId="3" xfId="0" applyFont="1" applyFill="1" applyBorder="1" applyAlignment="1">
      <alignment horizontal="center"/>
    </xf>
    <xf numFmtId="0" fontId="9" fillId="0" borderId="0" xfId="0" applyFont="1" applyBorder="1" applyAlignment="1">
      <alignment horizontal="center"/>
    </xf>
    <xf numFmtId="167" fontId="0" fillId="7" borderId="3" xfId="0" applyNumberFormat="1" applyFill="1" applyBorder="1" applyAlignment="1">
      <alignment horizontal="center"/>
    </xf>
    <xf numFmtId="0" fontId="0" fillId="0" borderId="1" xfId="0" applyBorder="1" applyAlignment="1">
      <alignment horizontal="center"/>
    </xf>
    <xf numFmtId="0" fontId="66" fillId="7" borderId="3" xfId="0" applyFont="1" applyFill="1" applyBorder="1" applyAlignment="1">
      <alignment horizontal="center"/>
    </xf>
    <xf numFmtId="0" fontId="0" fillId="7" borderId="3" xfId="0" applyFill="1" applyBorder="1" applyAlignment="1">
      <alignment horizontal="center"/>
    </xf>
    <xf numFmtId="0" fontId="32" fillId="7" borderId="1" xfId="0" applyFont="1" applyFill="1" applyBorder="1" applyAlignment="1">
      <alignment horizontal="center"/>
    </xf>
    <xf numFmtId="0" fontId="9" fillId="2" borderId="0" xfId="0" applyFont="1" applyFill="1" applyBorder="1" applyAlignment="1">
      <alignment horizontal="center"/>
    </xf>
    <xf numFmtId="0" fontId="36" fillId="7" borderId="10" xfId="0" applyFont="1" applyFill="1" applyBorder="1" applyAlignment="1">
      <alignment horizontal="center"/>
    </xf>
    <xf numFmtId="0" fontId="32" fillId="0" borderId="0" xfId="0" applyFont="1" applyBorder="1" applyAlignment="1">
      <alignment horizontal="center"/>
    </xf>
    <xf numFmtId="0" fontId="36" fillId="2" borderId="0" xfId="0" applyFont="1" applyFill="1" applyBorder="1" applyAlignment="1">
      <alignment horizontal="center"/>
    </xf>
    <xf numFmtId="0" fontId="0" fillId="0" borderId="5" xfId="0" applyBorder="1" applyAlignment="1">
      <alignment horizontal="center"/>
    </xf>
    <xf numFmtId="0" fontId="16" fillId="2" borderId="0" xfId="0" applyFont="1" applyFill="1" applyAlignment="1">
      <alignment horizontal="center"/>
    </xf>
    <xf numFmtId="0" fontId="0" fillId="0" borderId="0" xfId="0" applyAlignment="1">
      <alignment horizontal="center"/>
    </xf>
    <xf numFmtId="0" fontId="18" fillId="2" borderId="0" xfId="0" applyFont="1" applyFill="1" applyBorder="1" applyAlignment="1">
      <alignment horizontal="center"/>
    </xf>
    <xf numFmtId="0" fontId="16" fillId="0" borderId="0" xfId="0" applyFont="1" applyAlignment="1">
      <alignment horizontal="center"/>
    </xf>
    <xf numFmtId="0" fontId="75" fillId="2" borderId="39" xfId="0" applyFont="1" applyFill="1" applyBorder="1" applyAlignment="1">
      <alignment horizontal="center" wrapText="1"/>
    </xf>
    <xf numFmtId="0" fontId="75" fillId="2" borderId="0" xfId="0" applyFont="1" applyFill="1" applyBorder="1" applyAlignment="1">
      <alignment horizontal="center" wrapText="1"/>
    </xf>
    <xf numFmtId="169" fontId="10" fillId="2" borderId="0" xfId="0" applyNumberFormat="1" applyFont="1" applyFill="1" applyAlignment="1" applyProtection="1">
      <alignment horizontal="center" shrinkToFit="1"/>
    </xf>
    <xf numFmtId="0" fontId="0" fillId="2" borderId="19" xfId="0"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cellXfs>
  <cellStyles count="5">
    <cellStyle name="Komma" xfId="1" builtinId="3"/>
    <cellStyle name="Link" xfId="2" builtinId="8"/>
    <cellStyle name="Normal 2" xfId="4"/>
    <cellStyle name="Prozent" xfId="3" builtinId="5"/>
    <cellStyle name="Standard" xfId="0" builtinId="0"/>
  </cellStyles>
  <dxfs count="181">
    <dxf>
      <fill>
        <patternFill>
          <bgColor indexed="9"/>
        </patternFill>
      </fill>
    </dxf>
    <dxf>
      <fill>
        <patternFill>
          <bgColor indexed="9"/>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ill>
        <patternFill>
          <bgColor indexed="15"/>
        </patternFill>
      </fill>
    </dxf>
    <dxf>
      <border>
        <left/>
        <right/>
        <top/>
        <bottom/>
      </border>
    </dxf>
    <dxf>
      <font>
        <condense val="0"/>
        <extend val="0"/>
        <color indexed="9"/>
      </font>
      <border>
        <left/>
        <right/>
        <top/>
        <bottom/>
      </border>
    </dxf>
    <dxf>
      <fill>
        <patternFill>
          <bgColor indexed="26"/>
        </patternFill>
      </fill>
    </dxf>
    <dxf>
      <font>
        <condense val="0"/>
        <extend val="0"/>
        <color indexed="9"/>
      </font>
      <border>
        <left/>
        <right/>
        <top/>
        <bottom/>
      </border>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26"/>
      </font>
      <border>
        <left/>
        <right/>
        <top/>
        <bottom/>
      </border>
    </dxf>
    <dxf>
      <fill>
        <patternFill>
          <bgColor indexed="9"/>
        </patternFill>
      </fill>
    </dxf>
    <dxf>
      <fill>
        <patternFill>
          <bgColor indexed="9"/>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indexed="9"/>
        </patternFill>
      </fill>
    </dxf>
    <dxf>
      <fill>
        <patternFill>
          <bgColor indexed="9"/>
        </patternFill>
      </fill>
    </dxf>
    <dxf>
      <font>
        <color theme="0"/>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41"/>
        </patternFill>
      </fill>
      <border>
        <left style="thin">
          <color indexed="64"/>
        </left>
        <right style="thin">
          <color indexed="64"/>
        </right>
        <bottom style="thin">
          <color indexed="64"/>
        </bottom>
      </border>
    </dxf>
    <dxf>
      <fill>
        <patternFill>
          <bgColor indexed="9"/>
        </patternFill>
      </fill>
      <border>
        <left style="thin">
          <color indexed="64"/>
        </left>
        <right style="thin">
          <color indexed="64"/>
        </right>
        <bottom style="thin">
          <color indexed="64"/>
        </bottom>
      </border>
    </dxf>
    <dxf>
      <fill>
        <patternFill>
          <bgColor indexed="41"/>
        </patternFill>
      </fill>
      <border>
        <left style="thin">
          <color indexed="64"/>
        </left>
      </border>
    </dxf>
    <dxf>
      <fill>
        <patternFill>
          <bgColor indexed="9"/>
        </patternFill>
      </fill>
      <border>
        <left style="thin">
          <color indexed="64"/>
        </left>
      </border>
    </dxf>
    <dxf>
      <fill>
        <patternFill>
          <bgColor indexed="41"/>
        </patternFill>
      </fill>
    </dxf>
    <dxf>
      <fill>
        <patternFill>
          <bgColor indexed="9"/>
        </patternFill>
      </fill>
    </dxf>
    <dxf>
      <font>
        <b val="0"/>
        <i val="0"/>
        <condense val="0"/>
        <extend val="0"/>
        <color indexed="8"/>
      </font>
    </dxf>
    <dxf>
      <fill>
        <patternFill>
          <bgColor indexed="9"/>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26"/>
      </font>
      <fill>
        <patternFill>
          <bgColor indexed="26"/>
        </patternFill>
      </fill>
      <border>
        <left/>
        <right/>
        <top/>
        <bottom/>
      </border>
    </dxf>
    <dxf>
      <fill>
        <patternFill>
          <bgColor indexed="9"/>
        </patternFill>
      </fill>
      <border>
        <left/>
        <right/>
        <top/>
        <bottom style="hair">
          <color indexed="64"/>
        </bottom>
      </border>
    </dxf>
    <dxf>
      <font>
        <strike val="0"/>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style="thin">
          <color indexed="64"/>
        </bottom>
      </border>
    </dxf>
    <dxf>
      <font>
        <condense val="0"/>
        <extend val="0"/>
        <color indexed="26"/>
      </font>
      <border>
        <left/>
        <right/>
        <top/>
        <bottom/>
      </border>
    </dxf>
    <dxf>
      <font>
        <condense val="0"/>
        <extend val="0"/>
        <color indexed="8"/>
      </font>
      <fill>
        <patternFill>
          <bgColor indexed="41"/>
        </patternFill>
      </fill>
      <border>
        <left/>
        <right/>
        <top/>
        <bottom style="thin">
          <color indexed="64"/>
        </bottom>
      </border>
    </dxf>
    <dxf>
      <font>
        <condense val="0"/>
        <extend val="0"/>
        <color indexed="26"/>
      </font>
      <fill>
        <patternFill>
          <bgColor indexed="26"/>
        </patternFill>
      </fill>
      <border>
        <left style="thin">
          <color indexed="64"/>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dxf>
    <dxf>
      <font>
        <condense val="0"/>
        <extend val="0"/>
        <color auto="1"/>
      </font>
      <fill>
        <patternFill>
          <bgColor indexed="9"/>
        </patternFill>
      </fill>
    </dxf>
    <dxf>
      <font>
        <condense val="0"/>
        <extend val="0"/>
        <color indexed="26"/>
      </font>
      <fill>
        <patternFill>
          <bgColor indexed="26"/>
        </patternFill>
      </fill>
      <border>
        <left/>
        <right/>
        <top/>
        <bottom/>
      </border>
    </dxf>
    <dxf>
      <font>
        <condense val="0"/>
        <extend val="0"/>
        <color indexed="43"/>
      </font>
    </dxf>
    <dxf>
      <fill>
        <patternFill>
          <bgColor indexed="13"/>
        </patternFill>
      </fill>
      <border>
        <left/>
        <right style="thin">
          <color indexed="64"/>
        </right>
        <top style="thin">
          <color indexed="64"/>
        </top>
        <bottom/>
      </border>
    </dxf>
    <dxf>
      <fill>
        <patternFill>
          <bgColor indexed="13"/>
        </patternFill>
      </fill>
      <border>
        <left style="thin">
          <color indexed="64"/>
        </left>
        <right/>
        <top style="thin">
          <color indexed="64"/>
        </top>
        <bottom/>
      </border>
    </dxf>
    <dxf>
      <fill>
        <patternFill>
          <bgColor indexed="13"/>
        </patternFill>
      </fill>
      <border>
        <left/>
        <right/>
        <top style="thin">
          <color indexed="64"/>
        </top>
        <bottom/>
      </border>
    </dxf>
    <dxf>
      <fill>
        <patternFill>
          <bgColor indexed="13"/>
        </patternFill>
      </fill>
      <border>
        <left/>
        <right style="thin">
          <color indexed="64"/>
        </right>
        <top/>
        <bottom style="thin">
          <color indexed="64"/>
        </bottom>
      </border>
    </dxf>
    <dxf>
      <fill>
        <patternFill>
          <bgColor indexed="13"/>
        </patternFill>
      </fill>
      <border>
        <left/>
        <right style="thin">
          <color indexed="64"/>
        </right>
        <top/>
        <bottom/>
      </border>
    </dxf>
    <dxf>
      <fill>
        <patternFill>
          <bgColor indexed="13"/>
        </patternFill>
      </fill>
      <border>
        <left style="thin">
          <color indexed="64"/>
        </left>
        <right/>
        <top/>
        <bottom style="thin">
          <color indexed="64"/>
        </bottom>
      </border>
    </dxf>
    <dxf>
      <fill>
        <patternFill>
          <bgColor indexed="13"/>
        </patternFill>
      </fill>
      <border>
        <left style="thin">
          <color indexed="64"/>
        </left>
        <right/>
        <top/>
        <bottom/>
      </border>
    </dxf>
    <dxf>
      <fill>
        <patternFill>
          <bgColor indexed="13"/>
        </patternFill>
      </fill>
      <border>
        <left/>
        <right/>
        <top/>
        <bottom style="thin">
          <color indexed="64"/>
        </bottom>
      </border>
    </dxf>
    <dxf>
      <fill>
        <patternFill>
          <bgColor indexed="13"/>
        </patternFill>
      </fill>
      <border>
        <left/>
        <right/>
        <top/>
        <bottom/>
      </border>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10"/>
        </patternFill>
      </fill>
    </dxf>
    <dxf>
      <fill>
        <patternFill>
          <bgColor indexed="9"/>
        </patternFill>
      </fill>
    </dxf>
    <dxf>
      <font>
        <b/>
        <i val="0"/>
        <color rgb="FFFF0000"/>
      </font>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26"/>
        </patternFill>
      </fill>
    </dxf>
    <dxf>
      <fill>
        <patternFill>
          <bgColor indexed="10"/>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condense val="0"/>
        <extend val="0"/>
        <color indexed="26"/>
      </font>
      <fill>
        <patternFill>
          <bgColor indexed="26"/>
        </patternFill>
      </fill>
    </dxf>
    <dxf>
      <font>
        <condense val="0"/>
        <extend val="0"/>
        <color indexed="26"/>
      </font>
    </dxf>
    <dxf>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gif"/><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gif"/><Relationship Id="rId4" Type="http://schemas.openxmlformats.org/officeDocument/2006/relationships/image" Target="../media/image2.jpg"/></Relationships>
</file>

<file path=xl/charts/_rels/chart2.xml.rels><?xml version="1.0" encoding="UTF-8" standalone="yes"?>
<Relationships xmlns="http://schemas.openxmlformats.org/package/2006/relationships"><Relationship Id="rId3" Type="http://schemas.openxmlformats.org/officeDocument/2006/relationships/image" Target="../media/image4.gif"/><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5.gif"/><Relationship Id="rId4" Type="http://schemas.openxmlformats.org/officeDocument/2006/relationships/image" Target="../media/image2.jpg"/></Relationships>
</file>

<file path=xl/charts/_rels/chart3.xml.rels><?xml version="1.0" encoding="UTF-8" standalone="yes"?>
<Relationships xmlns="http://schemas.openxmlformats.org/package/2006/relationships"><Relationship Id="rId3" Type="http://schemas.openxmlformats.org/officeDocument/2006/relationships/image" Target="../media/image7.gif"/><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image" Target="../media/image8.gif"/></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1</c:v>
                </c:pt>
              </c:numCache>
            </c:numRef>
          </c:val>
        </c:ser>
        <c:dLbls>
          <c:showLegendKey val="0"/>
          <c:showVal val="0"/>
          <c:showCatName val="0"/>
          <c:showSerName val="0"/>
          <c:showPercent val="0"/>
          <c:showBubbleSize val="0"/>
        </c:dLbls>
        <c:gapWidth val="150"/>
        <c:overlap val="100"/>
        <c:axId val="416861408"/>
        <c:axId val="209937936"/>
      </c:barChart>
      <c:catAx>
        <c:axId val="416861408"/>
        <c:scaling>
          <c:orientation val="minMax"/>
        </c:scaling>
        <c:delete val="1"/>
        <c:axPos val="b"/>
        <c:numFmt formatCode="General" sourceLinked="1"/>
        <c:majorTickMark val="none"/>
        <c:minorTickMark val="none"/>
        <c:tickLblPos val="nextTo"/>
        <c:crossAx val="209937936"/>
        <c:crosses val="autoZero"/>
        <c:auto val="1"/>
        <c:lblAlgn val="ctr"/>
        <c:lblOffset val="100"/>
        <c:noMultiLvlLbl val="0"/>
      </c:catAx>
      <c:valAx>
        <c:axId val="209937936"/>
        <c:scaling>
          <c:orientation val="minMax"/>
        </c:scaling>
        <c:delete val="1"/>
        <c:axPos val="l"/>
        <c:numFmt formatCode="General" sourceLinked="1"/>
        <c:majorTickMark val="none"/>
        <c:minorTickMark val="none"/>
        <c:tickLblPos val="nextTo"/>
        <c:crossAx val="4168614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418181818181818"/>
          <c:y val="2.403846153846154E-2"/>
        </c:manualLayout>
      </c:layout>
      <c:overlay val="0"/>
      <c:spPr>
        <a:noFill/>
        <a:ln w="25400">
          <a:noFill/>
        </a:ln>
      </c:spPr>
    </c:title>
    <c:autoTitleDeleted val="0"/>
    <c:plotArea>
      <c:layout>
        <c:manualLayout>
          <c:layoutTarget val="inner"/>
          <c:xMode val="edge"/>
          <c:yMode val="edge"/>
          <c:x val="6.1818181818181821E-2"/>
          <c:y val="0.11538488625132928"/>
          <c:w val="0.8"/>
          <c:h val="0.67788620672655953"/>
        </c:manualLayout>
      </c:layout>
      <c:barChart>
        <c:barDir val="bar"/>
        <c:grouping val="stacked"/>
        <c:varyColors val="0"/>
        <c:ser>
          <c:idx val="0"/>
          <c:order val="0"/>
          <c:tx>
            <c:v>Innen</c:v>
          </c:tx>
          <c:spPr>
            <a:noFill/>
            <a:ln w="25400">
              <a:noFill/>
            </a:ln>
          </c:spPr>
          <c:invertIfNegative val="0"/>
          <c:val>
            <c:numRef>
              <c:f>Kondens!$AU$14:$AU$14</c:f>
              <c:numCache>
                <c:formatCode>0.00</c:formatCode>
                <c:ptCount val="1"/>
                <c:pt idx="0">
                  <c:v>0.1</c:v>
                </c:pt>
              </c:numCache>
            </c:numRef>
          </c:val>
        </c:ser>
        <c:ser>
          <c:idx val="1"/>
          <c:order val="1"/>
          <c:tx>
            <c:v>Bauteil 1</c:v>
          </c:tx>
          <c:spPr>
            <a:solidFill>
              <a:srgbClr val="FFFF00"/>
            </a:solidFill>
            <a:ln w="25400">
              <a:noFill/>
            </a:ln>
          </c:spPr>
          <c:invertIfNegative val="0"/>
          <c:val>
            <c:numRef>
              <c:f>Kondens!$AU$15:$AU$15</c:f>
              <c:numCache>
                <c:formatCode>0.00</c:formatCode>
                <c:ptCount val="1"/>
                <c:pt idx="0">
                  <c:v>0</c:v>
                </c:pt>
              </c:numCache>
            </c:numRef>
          </c:val>
        </c:ser>
        <c:ser>
          <c:idx val="2"/>
          <c:order val="2"/>
          <c:tx>
            <c:v>Bauteil 2</c:v>
          </c:tx>
          <c:spPr>
            <a:solidFill>
              <a:srgbClr val="00FF00"/>
            </a:solidFill>
            <a:ln w="25400">
              <a:noFill/>
            </a:ln>
          </c:spPr>
          <c:invertIfNegative val="0"/>
          <c:val>
            <c:numRef>
              <c:f>Kondens!$AU$16:$AU$16</c:f>
              <c:numCache>
                <c:formatCode>0.00</c:formatCode>
                <c:ptCount val="1"/>
                <c:pt idx="0">
                  <c:v>0</c:v>
                </c:pt>
              </c:numCache>
            </c:numRef>
          </c:val>
        </c:ser>
        <c:ser>
          <c:idx val="3"/>
          <c:order val="3"/>
          <c:tx>
            <c:v>Bauteil 3</c:v>
          </c:tx>
          <c:spPr>
            <a:solidFill>
              <a:srgbClr val="CCFFCC"/>
            </a:solidFill>
            <a:ln w="25400">
              <a:noFill/>
            </a:ln>
          </c:spPr>
          <c:invertIfNegative val="0"/>
          <c:val>
            <c:numRef>
              <c:f>Kondens!$AU$17:$AU$17</c:f>
              <c:numCache>
                <c:formatCode>0.00</c:formatCode>
                <c:ptCount val="1"/>
                <c:pt idx="0">
                  <c:v>0</c:v>
                </c:pt>
              </c:numCache>
            </c:numRef>
          </c:val>
        </c:ser>
        <c:ser>
          <c:idx val="6"/>
          <c:order val="4"/>
          <c:tx>
            <c:v>Bauteil 4</c:v>
          </c:tx>
          <c:spPr>
            <a:solidFill>
              <a:srgbClr val="00FFFF"/>
            </a:solidFill>
            <a:ln w="25400">
              <a:noFill/>
            </a:ln>
          </c:spPr>
          <c:invertIfNegative val="0"/>
          <c:val>
            <c:numRef>
              <c:f>Kondens!$AU$18:$AU$18</c:f>
              <c:numCache>
                <c:formatCode>0.00</c:formatCode>
                <c:ptCount val="1"/>
                <c:pt idx="0">
                  <c:v>0</c:v>
                </c:pt>
              </c:numCache>
            </c:numRef>
          </c:val>
        </c:ser>
        <c:ser>
          <c:idx val="4"/>
          <c:order val="5"/>
          <c:tx>
            <c:v>Bauteil 5</c:v>
          </c:tx>
          <c:spPr>
            <a:solidFill>
              <a:srgbClr val="A6CAF0"/>
            </a:solidFill>
            <a:ln w="25400">
              <a:noFill/>
            </a:ln>
          </c:spPr>
          <c:invertIfNegative val="0"/>
          <c:val>
            <c:numRef>
              <c:f>Kondens!$AU$19:$AU$19</c:f>
              <c:numCache>
                <c:formatCode>0.00</c:formatCode>
                <c:ptCount val="1"/>
                <c:pt idx="0">
                  <c:v>0</c:v>
                </c:pt>
              </c:numCache>
            </c:numRef>
          </c:val>
        </c:ser>
        <c:ser>
          <c:idx val="7"/>
          <c:order val="6"/>
          <c:tx>
            <c:v>Bauteil 6</c:v>
          </c:tx>
          <c:spPr>
            <a:solidFill>
              <a:srgbClr val="E3E3E3"/>
            </a:solidFill>
            <a:ln w="25400">
              <a:noFill/>
            </a:ln>
          </c:spPr>
          <c:invertIfNegative val="0"/>
          <c:val>
            <c:numRef>
              <c:f>Kondens!$AU$20:$AU$20</c:f>
              <c:numCache>
                <c:formatCode>0.00</c:formatCode>
                <c:ptCount val="1"/>
                <c:pt idx="0">
                  <c:v>0</c:v>
                </c:pt>
              </c:numCache>
            </c:numRef>
          </c:val>
        </c:ser>
        <c:ser>
          <c:idx val="8"/>
          <c:order val="7"/>
          <c:tx>
            <c:v>Bauteil 7</c:v>
          </c:tx>
          <c:spPr>
            <a:solidFill>
              <a:srgbClr val="C0C0C0"/>
            </a:solidFill>
            <a:ln w="25400">
              <a:noFill/>
            </a:ln>
          </c:spPr>
          <c:invertIfNegative val="0"/>
          <c:val>
            <c:numRef>
              <c:f>Kondens!$AU$21:$AU$21</c:f>
              <c:numCache>
                <c:formatCode>0.00</c:formatCode>
                <c:ptCount val="1"/>
                <c:pt idx="0">
                  <c:v>0</c:v>
                </c:pt>
              </c:numCache>
            </c:numRef>
          </c:val>
        </c:ser>
        <c:ser>
          <c:idx val="9"/>
          <c:order val="8"/>
          <c:tx>
            <c:v>Aussen</c:v>
          </c:tx>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422643376"/>
        <c:axId val="422647688"/>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22644552"/>
        <c:axId val="422647296"/>
      </c:scatterChart>
      <c:catAx>
        <c:axId val="422643376"/>
        <c:scaling>
          <c:orientation val="minMax"/>
        </c:scaling>
        <c:delete val="0"/>
        <c:axPos val="l"/>
        <c:majorTickMark val="none"/>
        <c:minorTickMark val="none"/>
        <c:tickLblPos val="none"/>
        <c:spPr>
          <a:ln w="3175">
            <a:solidFill>
              <a:srgbClr val="000000"/>
            </a:solidFill>
            <a:prstDash val="solid"/>
          </a:ln>
        </c:spPr>
        <c:crossAx val="422647688"/>
        <c:crossesAt val="0"/>
        <c:auto val="1"/>
        <c:lblAlgn val="ctr"/>
        <c:lblOffset val="100"/>
        <c:tickMarkSkip val="1"/>
        <c:noMultiLvlLbl val="0"/>
      </c:catAx>
      <c:valAx>
        <c:axId val="422647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5090909090909088"/>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22643376"/>
        <c:crosses val="autoZero"/>
        <c:crossBetween val="between"/>
      </c:valAx>
      <c:valAx>
        <c:axId val="422644552"/>
        <c:scaling>
          <c:orientation val="minMax"/>
        </c:scaling>
        <c:delete val="0"/>
        <c:axPos val="t"/>
        <c:numFmt formatCode="General" sourceLinked="1"/>
        <c:majorTickMark val="none"/>
        <c:minorTickMark val="none"/>
        <c:tickLblPos val="none"/>
        <c:spPr>
          <a:ln w="3175">
            <a:solidFill>
              <a:srgbClr val="000000"/>
            </a:solidFill>
            <a:prstDash val="solid"/>
          </a:ln>
        </c:spPr>
        <c:crossAx val="422647296"/>
        <c:crosses val="max"/>
        <c:crossBetween val="midCat"/>
      </c:valAx>
      <c:valAx>
        <c:axId val="4226472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7.69230769230769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2264455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21301797351376706"/>
          <c:y val="2.7777777777777776E-2"/>
        </c:manualLayout>
      </c:layout>
      <c:overlay val="0"/>
      <c:spPr>
        <a:noFill/>
        <a:ln w="25400">
          <a:noFill/>
        </a:ln>
      </c:spPr>
    </c:title>
    <c:autoTitleDeleted val="0"/>
    <c:plotArea>
      <c:layout>
        <c:manualLayout>
          <c:layoutTarget val="inner"/>
          <c:xMode val="edge"/>
          <c:yMode val="edge"/>
          <c:x val="6.2130244830695895E-2"/>
          <c:y val="6.7460676922242266E-2"/>
          <c:w val="0.7721901857529343"/>
          <c:h val="0.80555984795383384"/>
        </c:manualLayout>
      </c:layout>
      <c:barChart>
        <c:barDir val="bar"/>
        <c:grouping val="stacked"/>
        <c:varyColors val="0"/>
        <c:ser>
          <c:idx val="0"/>
          <c:order val="0"/>
          <c:spPr>
            <a:noFill/>
            <a:ln w="12700">
              <a:solidFill>
                <a:srgbClr val="000000"/>
              </a:solidFill>
              <a:prstDash val="solid"/>
            </a:ln>
          </c:spPr>
          <c:invertIfNegative val="0"/>
          <c:val>
            <c:numRef>
              <c:f>Kondens!$AC$14:$AC$14</c:f>
              <c:numCache>
                <c:formatCode>0.00</c:formatCode>
                <c:ptCount val="1"/>
                <c:pt idx="0">
                  <c:v>0.1</c:v>
                </c:pt>
              </c:numCache>
            </c:numRef>
          </c:val>
        </c:ser>
        <c:ser>
          <c:idx val="1"/>
          <c:order val="1"/>
          <c:spPr>
            <a:solidFill>
              <a:srgbClr val="FFFF00"/>
            </a:solidFill>
            <a:ln w="25400">
              <a:noFill/>
            </a:ln>
          </c:spPr>
          <c:invertIfNegative val="0"/>
          <c:val>
            <c:numRef>
              <c:f>Kondens!$AC$15:$AC$15</c:f>
              <c:numCache>
                <c:formatCode>0.00</c:formatCode>
                <c:ptCount val="1"/>
                <c:pt idx="0">
                  <c:v>0</c:v>
                </c:pt>
              </c:numCache>
            </c:numRef>
          </c:val>
        </c:ser>
        <c:ser>
          <c:idx val="2"/>
          <c:order val="2"/>
          <c:spPr>
            <a:solidFill>
              <a:srgbClr val="00FF00"/>
            </a:solidFill>
            <a:ln w="25400">
              <a:noFill/>
            </a:ln>
          </c:spPr>
          <c:invertIfNegative val="0"/>
          <c:val>
            <c:numRef>
              <c:f>Kondens!$AC$16:$AC$16</c:f>
              <c:numCache>
                <c:formatCode>0.00</c:formatCode>
                <c:ptCount val="1"/>
                <c:pt idx="0">
                  <c:v>0</c:v>
                </c:pt>
              </c:numCache>
            </c:numRef>
          </c:val>
        </c:ser>
        <c:ser>
          <c:idx val="3"/>
          <c:order val="3"/>
          <c:spPr>
            <a:solidFill>
              <a:srgbClr val="CCFFCC"/>
            </a:solidFill>
            <a:ln w="25400">
              <a:noFill/>
            </a:ln>
          </c:spPr>
          <c:invertIfNegative val="0"/>
          <c:val>
            <c:numRef>
              <c:f>Kondens!$AC$17:$AC$17</c:f>
              <c:numCache>
                <c:formatCode>0.00</c:formatCode>
                <c:ptCount val="1"/>
                <c:pt idx="0">
                  <c:v>0</c:v>
                </c:pt>
              </c:numCache>
            </c:numRef>
          </c:val>
        </c:ser>
        <c:ser>
          <c:idx val="6"/>
          <c:order val="4"/>
          <c:spPr>
            <a:solidFill>
              <a:srgbClr val="00FFFF"/>
            </a:solidFill>
            <a:ln w="25400">
              <a:noFill/>
            </a:ln>
          </c:spPr>
          <c:invertIfNegative val="0"/>
          <c:val>
            <c:numRef>
              <c:f>Kondens!$AC$18:$AC$18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Kondens!$AC$19:$AC$19</c:f>
              <c:numCache>
                <c:formatCode>0.00</c:formatCode>
                <c:ptCount val="1"/>
                <c:pt idx="0">
                  <c:v>0</c:v>
                </c:pt>
              </c:numCache>
            </c:numRef>
          </c:val>
        </c:ser>
        <c:ser>
          <c:idx val="7"/>
          <c:order val="6"/>
          <c:spPr>
            <a:solidFill>
              <a:srgbClr val="C0C0FF"/>
            </a:solidFill>
            <a:ln w="25400">
              <a:noFill/>
            </a:ln>
          </c:spPr>
          <c:invertIfNegative val="0"/>
          <c:val>
            <c:numRef>
              <c:f>Kondens!$AC$20:$AC$20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Kondens!$AC$21:$AC$21</c:f>
              <c:numCache>
                <c:formatCode>0.00</c:formatCode>
                <c:ptCount val="1"/>
                <c:pt idx="0">
                  <c:v>0</c:v>
                </c:pt>
              </c:numCache>
            </c:numRef>
          </c:val>
        </c:ser>
        <c:ser>
          <c:idx val="9"/>
          <c:order val="8"/>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422641808"/>
        <c:axId val="422645336"/>
      </c:barChart>
      <c:scatterChart>
        <c:scatterStyle val="lineMarker"/>
        <c:varyColors val="0"/>
        <c:ser>
          <c:idx val="10"/>
          <c:order val="9"/>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22645728"/>
        <c:axId val="422640632"/>
      </c:scatterChart>
      <c:catAx>
        <c:axId val="422641808"/>
        <c:scaling>
          <c:orientation val="minMax"/>
        </c:scaling>
        <c:delete val="0"/>
        <c:axPos val="l"/>
        <c:majorTickMark val="none"/>
        <c:minorTickMark val="none"/>
        <c:tickLblPos val="none"/>
        <c:spPr>
          <a:ln w="3175">
            <a:solidFill>
              <a:srgbClr val="000000"/>
            </a:solidFill>
            <a:prstDash val="solid"/>
          </a:ln>
        </c:spPr>
        <c:crossAx val="422645336"/>
        <c:crossesAt val="0"/>
        <c:auto val="1"/>
        <c:lblAlgn val="ctr"/>
        <c:lblOffset val="100"/>
        <c:tickMarkSkip val="1"/>
        <c:noMultiLvlLbl val="0"/>
      </c:catAx>
      <c:valAx>
        <c:axId val="422645336"/>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de-CH"/>
                  <a:t>Wanddicke [cm]</a:t>
                </a:r>
              </a:p>
            </c:rich>
          </c:tx>
          <c:layout>
            <c:manualLayout>
              <c:xMode val="edge"/>
              <c:yMode val="edge"/>
              <c:x val="0.62721954432502025"/>
              <c:y val="0.916671587926509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422641808"/>
        <c:crosses val="autoZero"/>
        <c:crossBetween val="between"/>
      </c:valAx>
      <c:valAx>
        <c:axId val="422645728"/>
        <c:scaling>
          <c:orientation val="minMax"/>
        </c:scaling>
        <c:delete val="0"/>
        <c:axPos val="t"/>
        <c:numFmt formatCode="General" sourceLinked="1"/>
        <c:majorTickMark val="none"/>
        <c:minorTickMark val="none"/>
        <c:tickLblPos val="none"/>
        <c:spPr>
          <a:ln w="3175">
            <a:solidFill>
              <a:srgbClr val="000000"/>
            </a:solidFill>
            <a:prstDash val="solid"/>
          </a:ln>
        </c:spPr>
        <c:crossAx val="422640632"/>
        <c:crosses val="max"/>
        <c:crossBetween val="midCat"/>
      </c:valAx>
      <c:valAx>
        <c:axId val="42264063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500" b="1" i="0" u="none" strike="noStrike" baseline="0">
                    <a:solidFill>
                      <a:srgbClr val="000000"/>
                    </a:solidFill>
                    <a:latin typeface="Arial"/>
                    <a:cs typeface="Arial"/>
                  </a:rPr>
                  <a:t>Temperatur [°C]</a:t>
                </a:r>
              </a:p>
            </c:rich>
          </c:tx>
          <c:layout>
            <c:manualLayout>
              <c:xMode val="edge"/>
              <c:yMode val="edge"/>
              <c:x val="0.93787092202828248"/>
              <c:y val="2.777777777777777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4226457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18211961802647009"/>
          <c:y val="2.7777777777777776E-2"/>
        </c:manualLayout>
      </c:layout>
      <c:overlay val="0"/>
      <c:spPr>
        <a:noFill/>
        <a:ln w="25400">
          <a:noFill/>
        </a:ln>
      </c:spPr>
    </c:title>
    <c:autoTitleDeleted val="0"/>
    <c:plotArea>
      <c:layout>
        <c:manualLayout>
          <c:layoutTarget val="inner"/>
          <c:xMode val="edge"/>
          <c:yMode val="edge"/>
          <c:x val="8.2781657718864116E-2"/>
          <c:y val="8.333377737453454E-2"/>
          <c:w val="0.74172365316102273"/>
          <c:h val="0.73809917103159184"/>
        </c:manualLayout>
      </c:layout>
      <c:barChart>
        <c:barDir val="bar"/>
        <c:grouping val="stacked"/>
        <c:varyColors val="0"/>
        <c:ser>
          <c:idx val="0"/>
          <c:order val="0"/>
          <c:spPr>
            <a:noFill/>
            <a:ln w="12700">
              <a:solidFill>
                <a:srgbClr val="000000"/>
              </a:solidFill>
              <a:prstDash val="solid"/>
            </a:ln>
          </c:spPr>
          <c:invertIfNegative val="0"/>
          <c:val>
            <c:numRef>
              <c:f>Kondens!$AU$14:$AU$14</c:f>
              <c:numCache>
                <c:formatCode>0.00</c:formatCode>
                <c:ptCount val="1"/>
                <c:pt idx="0">
                  <c:v>0.1</c:v>
                </c:pt>
              </c:numCache>
            </c:numRef>
          </c:val>
        </c:ser>
        <c:ser>
          <c:idx val="1"/>
          <c:order val="1"/>
          <c:spPr>
            <a:solidFill>
              <a:srgbClr val="FFFF00"/>
            </a:solidFill>
            <a:ln w="25400">
              <a:noFill/>
            </a:ln>
          </c:spPr>
          <c:invertIfNegative val="0"/>
          <c:val>
            <c:numRef>
              <c:f>Kondens!$AU$15:$AU$15</c:f>
              <c:numCache>
                <c:formatCode>0.00</c:formatCode>
                <c:ptCount val="1"/>
                <c:pt idx="0">
                  <c:v>0</c:v>
                </c:pt>
              </c:numCache>
            </c:numRef>
          </c:val>
        </c:ser>
        <c:ser>
          <c:idx val="2"/>
          <c:order val="2"/>
          <c:spPr>
            <a:solidFill>
              <a:srgbClr val="00FF00"/>
            </a:solidFill>
            <a:ln w="25400">
              <a:noFill/>
            </a:ln>
          </c:spPr>
          <c:invertIfNegative val="0"/>
          <c:val>
            <c:numRef>
              <c:f>Kondens!$AU$16:$AU$16</c:f>
              <c:numCache>
                <c:formatCode>0.00</c:formatCode>
                <c:ptCount val="1"/>
                <c:pt idx="0">
                  <c:v>0</c:v>
                </c:pt>
              </c:numCache>
            </c:numRef>
          </c:val>
        </c:ser>
        <c:ser>
          <c:idx val="3"/>
          <c:order val="3"/>
          <c:spPr>
            <a:solidFill>
              <a:srgbClr val="CCFFCC"/>
            </a:solidFill>
            <a:ln w="25400">
              <a:noFill/>
            </a:ln>
          </c:spPr>
          <c:invertIfNegative val="0"/>
          <c:val>
            <c:numRef>
              <c:f>Kondens!$AU$17:$AU$17</c:f>
              <c:numCache>
                <c:formatCode>0.00</c:formatCode>
                <c:ptCount val="1"/>
                <c:pt idx="0">
                  <c:v>0</c:v>
                </c:pt>
              </c:numCache>
            </c:numRef>
          </c:val>
        </c:ser>
        <c:ser>
          <c:idx val="6"/>
          <c:order val="4"/>
          <c:spPr>
            <a:solidFill>
              <a:srgbClr val="00FFFF"/>
            </a:solidFill>
            <a:ln w="25400">
              <a:noFill/>
            </a:ln>
          </c:spPr>
          <c:invertIfNegative val="0"/>
          <c:val>
            <c:numRef>
              <c:f>Kondens!$AU$18:$AU$18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Kondens!$AU$19:$AU$19</c:f>
              <c:numCache>
                <c:formatCode>0.00</c:formatCode>
                <c:ptCount val="1"/>
                <c:pt idx="0">
                  <c:v>0</c:v>
                </c:pt>
              </c:numCache>
            </c:numRef>
          </c:val>
        </c:ser>
        <c:ser>
          <c:idx val="7"/>
          <c:order val="6"/>
          <c:spPr>
            <a:solidFill>
              <a:srgbClr val="C0C0FF"/>
            </a:solidFill>
            <a:ln w="25400">
              <a:noFill/>
            </a:ln>
          </c:spPr>
          <c:invertIfNegative val="0"/>
          <c:val>
            <c:numRef>
              <c:f>Kondens!$AU$20:$AU$20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Kondens!$AU$21:$AU$21</c:f>
              <c:numCache>
                <c:formatCode>0.00</c:formatCode>
                <c:ptCount val="1"/>
                <c:pt idx="0">
                  <c:v>0</c:v>
                </c:pt>
              </c:numCache>
            </c:numRef>
          </c:val>
        </c:ser>
        <c:ser>
          <c:idx val="9"/>
          <c:order val="8"/>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422641024"/>
        <c:axId val="449373048"/>
      </c:barChart>
      <c:scatterChart>
        <c:scatterStyle val="lineMarker"/>
        <c:varyColors val="0"/>
        <c:ser>
          <c:idx val="10"/>
          <c:order val="9"/>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49369912"/>
        <c:axId val="449367168"/>
      </c:scatterChart>
      <c:catAx>
        <c:axId val="422641024"/>
        <c:scaling>
          <c:orientation val="minMax"/>
        </c:scaling>
        <c:delete val="0"/>
        <c:axPos val="l"/>
        <c:majorTickMark val="none"/>
        <c:minorTickMark val="none"/>
        <c:tickLblPos val="none"/>
        <c:spPr>
          <a:ln w="3175">
            <a:solidFill>
              <a:srgbClr val="000000"/>
            </a:solidFill>
            <a:prstDash val="solid"/>
          </a:ln>
        </c:spPr>
        <c:crossAx val="449373048"/>
        <c:crossesAt val="0"/>
        <c:auto val="1"/>
        <c:lblAlgn val="ctr"/>
        <c:lblOffset val="100"/>
        <c:tickMarkSkip val="1"/>
        <c:noMultiLvlLbl val="0"/>
      </c:catAx>
      <c:valAx>
        <c:axId val="4493730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[cm]</a:t>
                </a:r>
              </a:p>
            </c:rich>
          </c:tx>
          <c:layout>
            <c:manualLayout>
              <c:xMode val="edge"/>
              <c:yMode val="edge"/>
              <c:x val="0.56622639191377666"/>
              <c:y val="0.884925087489063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22641024"/>
        <c:crosses val="autoZero"/>
        <c:crossBetween val="between"/>
      </c:valAx>
      <c:valAx>
        <c:axId val="449369912"/>
        <c:scaling>
          <c:orientation val="minMax"/>
        </c:scaling>
        <c:delete val="0"/>
        <c:axPos val="t"/>
        <c:numFmt formatCode="General" sourceLinked="1"/>
        <c:majorTickMark val="none"/>
        <c:minorTickMark val="none"/>
        <c:tickLblPos val="none"/>
        <c:spPr>
          <a:ln w="3175">
            <a:solidFill>
              <a:srgbClr val="000000"/>
            </a:solidFill>
            <a:prstDash val="solid"/>
          </a:ln>
        </c:spPr>
        <c:crossAx val="449367168"/>
        <c:crosses val="max"/>
        <c:crossBetween val="midCat"/>
      </c:valAx>
      <c:valAx>
        <c:axId val="44936716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397587535600599"/>
              <c:y val="2.777777777777777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6991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980799703274543"/>
          <c:w val="0.79152080029952565"/>
          <c:h val="0.64903998516372718"/>
        </c:manualLayout>
      </c:layout>
      <c:barChart>
        <c:barDir val="bar"/>
        <c:grouping val="stacked"/>
        <c:varyColors val="0"/>
        <c:ser>
          <c:idx val="0"/>
          <c:order val="0"/>
          <c:spPr>
            <a:noFill/>
            <a:ln w="25400">
              <a:noFill/>
            </a:ln>
          </c:spPr>
          <c:invertIfNegative val="0"/>
          <c:val>
            <c:numRef>
              <c:f>Kondens!$AC$29:$AC$29</c:f>
              <c:numCache>
                <c:formatCode>0.00</c:formatCode>
                <c:ptCount val="1"/>
                <c:pt idx="0">
                  <c:v>0.1</c:v>
                </c:pt>
              </c:numCache>
            </c:numRef>
          </c:val>
        </c:ser>
        <c:ser>
          <c:idx val="1"/>
          <c:order val="1"/>
          <c:spPr>
            <a:solidFill>
              <a:srgbClr val="FFFF00"/>
            </a:solidFill>
            <a:ln w="25400">
              <a:noFill/>
            </a:ln>
          </c:spPr>
          <c:invertIfNegative val="0"/>
          <c:val>
            <c:numRef>
              <c:f>Kondens!$AC$30:$AC$30</c:f>
              <c:numCache>
                <c:formatCode>0.00</c:formatCode>
                <c:ptCount val="1"/>
                <c:pt idx="0">
                  <c:v>0</c:v>
                </c:pt>
              </c:numCache>
            </c:numRef>
          </c:val>
        </c:ser>
        <c:ser>
          <c:idx val="2"/>
          <c:order val="2"/>
          <c:spPr>
            <a:solidFill>
              <a:srgbClr val="00FF00"/>
            </a:solidFill>
            <a:ln w="25400">
              <a:noFill/>
            </a:ln>
          </c:spPr>
          <c:invertIfNegative val="0"/>
          <c:val>
            <c:numRef>
              <c:f>Kondens!$AC$31:$AC$31</c:f>
              <c:numCache>
                <c:formatCode>0.00</c:formatCode>
                <c:ptCount val="1"/>
                <c:pt idx="0">
                  <c:v>0</c:v>
                </c:pt>
              </c:numCache>
            </c:numRef>
          </c:val>
        </c:ser>
        <c:ser>
          <c:idx val="3"/>
          <c:order val="3"/>
          <c:spPr>
            <a:solidFill>
              <a:srgbClr val="CCFFCC"/>
            </a:solidFill>
            <a:ln w="25400">
              <a:noFill/>
            </a:ln>
          </c:spPr>
          <c:invertIfNegative val="0"/>
          <c:val>
            <c:numRef>
              <c:f>Kondens!$AC$32:$AC$32</c:f>
              <c:numCache>
                <c:formatCode>0.00</c:formatCode>
                <c:ptCount val="1"/>
                <c:pt idx="0">
                  <c:v>0</c:v>
                </c:pt>
              </c:numCache>
            </c:numRef>
          </c:val>
        </c:ser>
        <c:ser>
          <c:idx val="6"/>
          <c:order val="4"/>
          <c:spPr>
            <a:solidFill>
              <a:srgbClr val="00FFFF"/>
            </a:solidFill>
            <a:ln w="25400">
              <a:noFill/>
            </a:ln>
          </c:spPr>
          <c:invertIfNegative val="0"/>
          <c:val>
            <c:numRef>
              <c:f>Kondens!$AC$33:$AC$33</c:f>
              <c:numCache>
                <c:formatCode>0.00</c:formatCode>
                <c:ptCount val="1"/>
                <c:pt idx="0">
                  <c:v>0</c:v>
                </c:pt>
              </c:numCache>
            </c:numRef>
          </c:val>
        </c:ser>
        <c:ser>
          <c:idx val="4"/>
          <c:order val="5"/>
          <c:spPr>
            <a:solidFill>
              <a:srgbClr val="A6CAF0"/>
            </a:solidFill>
            <a:ln w="25400">
              <a:noFill/>
            </a:ln>
          </c:spPr>
          <c:invertIfNegative val="0"/>
          <c:val>
            <c:numRef>
              <c:f>Kondens!$AC$34:$AC$34</c:f>
              <c:numCache>
                <c:formatCode>0.00</c:formatCode>
                <c:ptCount val="1"/>
                <c:pt idx="0">
                  <c:v>0</c:v>
                </c:pt>
              </c:numCache>
            </c:numRef>
          </c:val>
        </c:ser>
        <c:ser>
          <c:idx val="7"/>
          <c:order val="6"/>
          <c:spPr>
            <a:solidFill>
              <a:srgbClr val="E3E3E3"/>
            </a:solidFill>
            <a:ln w="25400">
              <a:noFill/>
            </a:ln>
          </c:spPr>
          <c:invertIfNegative val="0"/>
          <c:val>
            <c:numRef>
              <c:f>Kondens!$AC$35:$AC$35</c:f>
              <c:numCache>
                <c:formatCode>0.00</c:formatCode>
                <c:ptCount val="1"/>
                <c:pt idx="0">
                  <c:v>0</c:v>
                </c:pt>
              </c:numCache>
            </c:numRef>
          </c:val>
        </c:ser>
        <c:ser>
          <c:idx val="8"/>
          <c:order val="7"/>
          <c:spPr>
            <a:solidFill>
              <a:srgbClr val="C0C0C0"/>
            </a:solidFill>
            <a:ln w="25400">
              <a:noFill/>
            </a:ln>
          </c:spPr>
          <c:invertIfNegative val="0"/>
          <c:val>
            <c:numRef>
              <c:f>Kondens!$AC$36:$AC$36</c:f>
              <c:numCache>
                <c:formatCode>0.00</c:formatCode>
                <c:ptCount val="1"/>
                <c:pt idx="0">
                  <c:v>0</c:v>
                </c:pt>
              </c:numCache>
            </c:numRef>
          </c:val>
        </c:ser>
        <c:ser>
          <c:idx val="9"/>
          <c:order val="8"/>
          <c:spPr>
            <a:noFill/>
            <a:ln w="25400">
              <a:noFill/>
            </a:ln>
          </c:spPr>
          <c:invertIfNegative val="0"/>
          <c:val>
            <c:numRef>
              <c:f>Kondens!$AC$37:$AC$37</c:f>
              <c:numCache>
                <c:formatCode>0.00</c:formatCode>
                <c:ptCount val="1"/>
                <c:pt idx="0">
                  <c:v>0.1</c:v>
                </c:pt>
              </c:numCache>
            </c:numRef>
          </c:val>
        </c:ser>
        <c:dLbls>
          <c:showLegendKey val="0"/>
          <c:showVal val="0"/>
          <c:showCatName val="0"/>
          <c:showSerName val="0"/>
          <c:showPercent val="0"/>
          <c:showBubbleSize val="0"/>
        </c:dLbls>
        <c:gapWidth val="0"/>
        <c:overlap val="100"/>
        <c:axId val="449370304"/>
        <c:axId val="449374224"/>
      </c:barChart>
      <c:scatterChart>
        <c:scatterStyle val="lineMarker"/>
        <c:varyColors val="0"/>
        <c:ser>
          <c:idx val="10"/>
          <c:order val="9"/>
          <c:spPr>
            <a:ln w="25400">
              <a:solidFill>
                <a:srgbClr val="00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Kondens!$AP$29:$AP$38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Kondens!$AE$29:$AE$38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49372656"/>
        <c:axId val="449372264"/>
      </c:scatterChart>
      <c:catAx>
        <c:axId val="449370304"/>
        <c:scaling>
          <c:orientation val="minMax"/>
        </c:scaling>
        <c:delete val="0"/>
        <c:axPos val="l"/>
        <c:majorTickMark val="none"/>
        <c:minorTickMark val="none"/>
        <c:tickLblPos val="none"/>
        <c:spPr>
          <a:ln w="3175">
            <a:solidFill>
              <a:srgbClr val="000000"/>
            </a:solidFill>
            <a:prstDash val="solid"/>
          </a:ln>
        </c:spPr>
        <c:crossAx val="449374224"/>
        <c:crossesAt val="0"/>
        <c:auto val="1"/>
        <c:lblAlgn val="ctr"/>
        <c:lblOffset val="100"/>
        <c:tickMarkSkip val="1"/>
        <c:noMultiLvlLbl val="0"/>
      </c:catAx>
      <c:valAx>
        <c:axId val="4493742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784563590328594"/>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70304"/>
        <c:crosses val="autoZero"/>
        <c:crossBetween val="between"/>
      </c:valAx>
      <c:valAx>
        <c:axId val="449372656"/>
        <c:scaling>
          <c:orientation val="minMax"/>
        </c:scaling>
        <c:delete val="0"/>
        <c:axPos val="t"/>
        <c:numFmt formatCode="General" sourceLinked="1"/>
        <c:majorTickMark val="none"/>
        <c:minorTickMark val="none"/>
        <c:tickLblPos val="none"/>
        <c:spPr>
          <a:ln w="3175">
            <a:solidFill>
              <a:srgbClr val="000000"/>
            </a:solidFill>
            <a:prstDash val="solid"/>
          </a:ln>
        </c:spPr>
        <c:crossAx val="449372264"/>
        <c:crosses val="max"/>
        <c:crossBetween val="midCat"/>
      </c:valAx>
      <c:valAx>
        <c:axId val="44937226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9.615384615384615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7265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019258984513466"/>
          <c:w val="0.79636363636363638"/>
          <c:h val="0.67307850313275408"/>
        </c:manualLayout>
      </c:layout>
      <c:barChart>
        <c:barDir val="bar"/>
        <c:grouping val="stacked"/>
        <c:varyColors val="0"/>
        <c:ser>
          <c:idx val="0"/>
          <c:order val="0"/>
          <c:spPr>
            <a:noFill/>
            <a:ln w="25400">
              <a:noFill/>
            </a:ln>
          </c:spPr>
          <c:invertIfNegative val="0"/>
          <c:val>
            <c:numRef>
              <c:f>Kondens!$AU$29:$AU$29</c:f>
              <c:numCache>
                <c:formatCode>0.00</c:formatCode>
                <c:ptCount val="1"/>
                <c:pt idx="0">
                  <c:v>0.1</c:v>
                </c:pt>
              </c:numCache>
            </c:numRef>
          </c:val>
        </c:ser>
        <c:ser>
          <c:idx val="1"/>
          <c:order val="1"/>
          <c:spPr>
            <a:solidFill>
              <a:srgbClr val="FFFF00"/>
            </a:solidFill>
            <a:ln w="25400">
              <a:noFill/>
            </a:ln>
          </c:spPr>
          <c:invertIfNegative val="0"/>
          <c:val>
            <c:numRef>
              <c:f>Kondens!$AU$30:$AU$30</c:f>
              <c:numCache>
                <c:formatCode>0.00</c:formatCode>
                <c:ptCount val="1"/>
                <c:pt idx="0">
                  <c:v>0</c:v>
                </c:pt>
              </c:numCache>
            </c:numRef>
          </c:val>
        </c:ser>
        <c:ser>
          <c:idx val="2"/>
          <c:order val="2"/>
          <c:spPr>
            <a:solidFill>
              <a:srgbClr val="00FF00"/>
            </a:solidFill>
            <a:ln w="25400">
              <a:noFill/>
            </a:ln>
          </c:spPr>
          <c:invertIfNegative val="0"/>
          <c:val>
            <c:numRef>
              <c:f>Kondens!$AU$31:$AU$31</c:f>
              <c:numCache>
                <c:formatCode>0.00</c:formatCode>
                <c:ptCount val="1"/>
                <c:pt idx="0">
                  <c:v>0</c:v>
                </c:pt>
              </c:numCache>
            </c:numRef>
          </c:val>
        </c:ser>
        <c:ser>
          <c:idx val="3"/>
          <c:order val="3"/>
          <c:spPr>
            <a:solidFill>
              <a:srgbClr val="CCFFCC"/>
            </a:solidFill>
            <a:ln w="25400">
              <a:noFill/>
            </a:ln>
          </c:spPr>
          <c:invertIfNegative val="0"/>
          <c:val>
            <c:numRef>
              <c:f>Kondens!$AU$32:$AU$32</c:f>
              <c:numCache>
                <c:formatCode>0.00</c:formatCode>
                <c:ptCount val="1"/>
                <c:pt idx="0">
                  <c:v>0</c:v>
                </c:pt>
              </c:numCache>
            </c:numRef>
          </c:val>
        </c:ser>
        <c:ser>
          <c:idx val="6"/>
          <c:order val="4"/>
          <c:spPr>
            <a:solidFill>
              <a:srgbClr val="00FFFF"/>
            </a:solidFill>
            <a:ln w="25400">
              <a:noFill/>
            </a:ln>
          </c:spPr>
          <c:invertIfNegative val="0"/>
          <c:val>
            <c:numRef>
              <c:f>Kondens!$AU$33:$AU$33</c:f>
              <c:numCache>
                <c:formatCode>0.00</c:formatCode>
                <c:ptCount val="1"/>
                <c:pt idx="0">
                  <c:v>0</c:v>
                </c:pt>
              </c:numCache>
            </c:numRef>
          </c:val>
        </c:ser>
        <c:ser>
          <c:idx val="4"/>
          <c:order val="5"/>
          <c:spPr>
            <a:solidFill>
              <a:srgbClr val="A6CAF0"/>
            </a:solidFill>
            <a:ln w="25400">
              <a:noFill/>
            </a:ln>
          </c:spPr>
          <c:invertIfNegative val="0"/>
          <c:val>
            <c:numRef>
              <c:f>Kondens!$AU$34:$AU$34</c:f>
              <c:numCache>
                <c:formatCode>0.00</c:formatCode>
                <c:ptCount val="1"/>
                <c:pt idx="0">
                  <c:v>0</c:v>
                </c:pt>
              </c:numCache>
            </c:numRef>
          </c:val>
        </c:ser>
        <c:ser>
          <c:idx val="7"/>
          <c:order val="6"/>
          <c:spPr>
            <a:solidFill>
              <a:srgbClr val="E3E3E3"/>
            </a:solidFill>
            <a:ln w="25400">
              <a:noFill/>
            </a:ln>
          </c:spPr>
          <c:invertIfNegative val="0"/>
          <c:val>
            <c:numRef>
              <c:f>Kondens!$AU$35:$AU$35</c:f>
              <c:numCache>
                <c:formatCode>0.00</c:formatCode>
                <c:ptCount val="1"/>
                <c:pt idx="0">
                  <c:v>0</c:v>
                </c:pt>
              </c:numCache>
            </c:numRef>
          </c:val>
        </c:ser>
        <c:ser>
          <c:idx val="8"/>
          <c:order val="7"/>
          <c:spPr>
            <a:solidFill>
              <a:srgbClr val="C0C0C0"/>
            </a:solidFill>
            <a:ln w="25400">
              <a:noFill/>
            </a:ln>
          </c:spPr>
          <c:invertIfNegative val="0"/>
          <c:val>
            <c:numRef>
              <c:f>Kondens!$AU$36:$AU$36</c:f>
              <c:numCache>
                <c:formatCode>0.00</c:formatCode>
                <c:ptCount val="1"/>
                <c:pt idx="0">
                  <c:v>0</c:v>
                </c:pt>
              </c:numCache>
            </c:numRef>
          </c:val>
        </c:ser>
        <c:ser>
          <c:idx val="9"/>
          <c:order val="8"/>
          <c:spPr>
            <a:noFill/>
            <a:ln w="25400">
              <a:noFill/>
            </a:ln>
          </c:spPr>
          <c:invertIfNegative val="0"/>
          <c:val>
            <c:numRef>
              <c:f>Kondens!$AU$37:$AU$37</c:f>
              <c:numCache>
                <c:formatCode>0.00</c:formatCode>
                <c:ptCount val="1"/>
                <c:pt idx="0">
                  <c:v>0.1</c:v>
                </c:pt>
              </c:numCache>
            </c:numRef>
          </c:val>
        </c:ser>
        <c:dLbls>
          <c:showLegendKey val="0"/>
          <c:showVal val="0"/>
          <c:showCatName val="0"/>
          <c:showSerName val="0"/>
          <c:showPercent val="0"/>
          <c:showBubbleSize val="0"/>
        </c:dLbls>
        <c:gapWidth val="0"/>
        <c:overlap val="100"/>
        <c:axId val="449374616"/>
        <c:axId val="449373440"/>
      </c:barChart>
      <c:scatterChart>
        <c:scatterStyle val="lineMarker"/>
        <c:varyColors val="0"/>
        <c:ser>
          <c:idx val="10"/>
          <c:order val="9"/>
          <c:spPr>
            <a:ln w="25400">
              <a:solidFill>
                <a:srgbClr val="00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Kondens!$BH$29:$BH$38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Kondens!$AW$29:$AW$38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49371088"/>
        <c:axId val="449373832"/>
      </c:scatterChart>
      <c:catAx>
        <c:axId val="449374616"/>
        <c:scaling>
          <c:orientation val="minMax"/>
        </c:scaling>
        <c:delete val="0"/>
        <c:axPos val="l"/>
        <c:majorTickMark val="none"/>
        <c:minorTickMark val="none"/>
        <c:tickLblPos val="none"/>
        <c:spPr>
          <a:ln w="3175">
            <a:solidFill>
              <a:srgbClr val="000000"/>
            </a:solidFill>
            <a:prstDash val="solid"/>
          </a:ln>
        </c:spPr>
        <c:crossAx val="449373440"/>
        <c:crossesAt val="0"/>
        <c:auto val="1"/>
        <c:lblAlgn val="ctr"/>
        <c:lblOffset val="100"/>
        <c:tickMarkSkip val="1"/>
        <c:noMultiLvlLbl val="0"/>
      </c:catAx>
      <c:valAx>
        <c:axId val="449373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74616"/>
        <c:crosses val="autoZero"/>
        <c:crossBetween val="between"/>
      </c:valAx>
      <c:valAx>
        <c:axId val="449371088"/>
        <c:scaling>
          <c:orientation val="minMax"/>
        </c:scaling>
        <c:delete val="0"/>
        <c:axPos val="t"/>
        <c:numFmt formatCode="General" sourceLinked="1"/>
        <c:majorTickMark val="none"/>
        <c:minorTickMark val="none"/>
        <c:tickLblPos val="none"/>
        <c:spPr>
          <a:ln w="3175">
            <a:solidFill>
              <a:srgbClr val="000000"/>
            </a:solidFill>
            <a:prstDash val="solid"/>
          </a:ln>
        </c:spPr>
        <c:crossAx val="449373832"/>
        <c:crosses val="max"/>
        <c:crossBetween val="midCat"/>
      </c:valAx>
      <c:valAx>
        <c:axId val="44937383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9.134615384615384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7108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5714383758567281"/>
          <c:y val="2.564102564102564E-2"/>
        </c:manualLayout>
      </c:layout>
      <c:overlay val="0"/>
      <c:spPr>
        <a:noFill/>
        <a:ln w="25400">
          <a:noFill/>
        </a:ln>
      </c:spPr>
    </c:title>
    <c:autoTitleDeleted val="0"/>
    <c:plotArea>
      <c:layout>
        <c:manualLayout>
          <c:layoutTarget val="inner"/>
          <c:xMode val="edge"/>
          <c:yMode val="edge"/>
          <c:x val="6.0070775022731858E-2"/>
          <c:y val="0.11538488625132928"/>
          <c:w val="0.80565510030487442"/>
          <c:h val="0.67307850313275408"/>
        </c:manualLayout>
      </c:layout>
      <c:barChart>
        <c:barDir val="bar"/>
        <c:grouping val="stacked"/>
        <c:varyColors val="0"/>
        <c:ser>
          <c:idx val="0"/>
          <c:order val="0"/>
          <c:spPr>
            <a:noFill/>
            <a:ln w="25400">
              <a:noFill/>
            </a:ln>
          </c:spPr>
          <c:invertIfNegative val="0"/>
          <c:val>
            <c:numRef>
              <c:f>Kondens!$AC$44:$AC$44</c:f>
              <c:numCache>
                <c:formatCode>0.00</c:formatCode>
                <c:ptCount val="1"/>
                <c:pt idx="0">
                  <c:v>0.1</c:v>
                </c:pt>
              </c:numCache>
            </c:numRef>
          </c:val>
        </c:ser>
        <c:ser>
          <c:idx val="1"/>
          <c:order val="1"/>
          <c:spPr>
            <a:solidFill>
              <a:srgbClr val="FFFF00"/>
            </a:solidFill>
            <a:ln w="25400">
              <a:noFill/>
            </a:ln>
          </c:spPr>
          <c:invertIfNegative val="0"/>
          <c:val>
            <c:numRef>
              <c:f>Kondens!$AC$45:$AC$45</c:f>
              <c:numCache>
                <c:formatCode>0.00</c:formatCode>
                <c:ptCount val="1"/>
                <c:pt idx="0">
                  <c:v>0</c:v>
                </c:pt>
              </c:numCache>
            </c:numRef>
          </c:val>
        </c:ser>
        <c:ser>
          <c:idx val="2"/>
          <c:order val="2"/>
          <c:spPr>
            <a:solidFill>
              <a:srgbClr val="00FF00"/>
            </a:solidFill>
            <a:ln w="25400">
              <a:noFill/>
            </a:ln>
          </c:spPr>
          <c:invertIfNegative val="0"/>
          <c:val>
            <c:numRef>
              <c:f>Kondens!$AC$46:$AC$46</c:f>
              <c:numCache>
                <c:formatCode>0.00</c:formatCode>
                <c:ptCount val="1"/>
                <c:pt idx="0">
                  <c:v>0</c:v>
                </c:pt>
              </c:numCache>
            </c:numRef>
          </c:val>
        </c:ser>
        <c:ser>
          <c:idx val="3"/>
          <c:order val="3"/>
          <c:spPr>
            <a:solidFill>
              <a:srgbClr val="CCFFCC"/>
            </a:solidFill>
            <a:ln w="25400">
              <a:noFill/>
            </a:ln>
          </c:spPr>
          <c:invertIfNegative val="0"/>
          <c:val>
            <c:numRef>
              <c:f>Kondens!$AC$47:$AC$47</c:f>
              <c:numCache>
                <c:formatCode>0.00</c:formatCode>
                <c:ptCount val="1"/>
                <c:pt idx="0">
                  <c:v>0</c:v>
                </c:pt>
              </c:numCache>
            </c:numRef>
          </c:val>
        </c:ser>
        <c:ser>
          <c:idx val="6"/>
          <c:order val="4"/>
          <c:spPr>
            <a:solidFill>
              <a:srgbClr val="00FFFF"/>
            </a:solidFill>
            <a:ln w="25400">
              <a:noFill/>
            </a:ln>
          </c:spPr>
          <c:invertIfNegative val="0"/>
          <c:val>
            <c:numRef>
              <c:f>Kondens!$AC$48:$AC$48</c:f>
              <c:numCache>
                <c:formatCode>0.00</c:formatCode>
                <c:ptCount val="1"/>
                <c:pt idx="0">
                  <c:v>0</c:v>
                </c:pt>
              </c:numCache>
            </c:numRef>
          </c:val>
        </c:ser>
        <c:ser>
          <c:idx val="4"/>
          <c:order val="5"/>
          <c:spPr>
            <a:solidFill>
              <a:srgbClr val="A6CAF0"/>
            </a:solidFill>
            <a:ln w="25400">
              <a:noFill/>
            </a:ln>
          </c:spPr>
          <c:invertIfNegative val="0"/>
          <c:val>
            <c:numRef>
              <c:f>Kondens!$AC$49:$AC$49</c:f>
              <c:numCache>
                <c:formatCode>0.00</c:formatCode>
                <c:ptCount val="1"/>
                <c:pt idx="0">
                  <c:v>0</c:v>
                </c:pt>
              </c:numCache>
            </c:numRef>
          </c:val>
        </c:ser>
        <c:ser>
          <c:idx val="7"/>
          <c:order val="6"/>
          <c:spPr>
            <a:solidFill>
              <a:srgbClr val="E3E3E3"/>
            </a:solidFill>
            <a:ln w="25400">
              <a:noFill/>
            </a:ln>
          </c:spPr>
          <c:invertIfNegative val="0"/>
          <c:val>
            <c:numRef>
              <c:f>Kondens!$AC$50:$AC$50</c:f>
              <c:numCache>
                <c:formatCode>0.00</c:formatCode>
                <c:ptCount val="1"/>
                <c:pt idx="0">
                  <c:v>0</c:v>
                </c:pt>
              </c:numCache>
            </c:numRef>
          </c:val>
        </c:ser>
        <c:ser>
          <c:idx val="8"/>
          <c:order val="7"/>
          <c:spPr>
            <a:solidFill>
              <a:srgbClr val="C0C0C0"/>
            </a:solidFill>
            <a:ln w="25400">
              <a:noFill/>
            </a:ln>
          </c:spPr>
          <c:invertIfNegative val="0"/>
          <c:val>
            <c:numRef>
              <c:f>Kondens!$AC$51:$AC$51</c:f>
              <c:numCache>
                <c:formatCode>0.00</c:formatCode>
                <c:ptCount val="1"/>
                <c:pt idx="0">
                  <c:v>0</c:v>
                </c:pt>
              </c:numCache>
            </c:numRef>
          </c:val>
        </c:ser>
        <c:ser>
          <c:idx val="9"/>
          <c:order val="8"/>
          <c:spPr>
            <a:noFill/>
            <a:ln w="25400">
              <a:noFill/>
            </a:ln>
          </c:spPr>
          <c:invertIfNegative val="0"/>
          <c:val>
            <c:numRef>
              <c:f>Kondens!$AC$52:$AC$52</c:f>
              <c:numCache>
                <c:formatCode>0.00</c:formatCode>
                <c:ptCount val="1"/>
                <c:pt idx="0">
                  <c:v>0.1</c:v>
                </c:pt>
              </c:numCache>
            </c:numRef>
          </c:val>
        </c:ser>
        <c:dLbls>
          <c:showLegendKey val="0"/>
          <c:showVal val="0"/>
          <c:showCatName val="0"/>
          <c:showSerName val="0"/>
          <c:showPercent val="0"/>
          <c:showBubbleSize val="0"/>
        </c:dLbls>
        <c:gapWidth val="0"/>
        <c:overlap val="100"/>
        <c:axId val="449367952"/>
        <c:axId val="449371480"/>
      </c:barChart>
      <c:scatterChart>
        <c:scatterStyle val="lineMarker"/>
        <c:varyColors val="0"/>
        <c:ser>
          <c:idx val="10"/>
          <c:order val="9"/>
          <c:spPr>
            <a:ln w="25400">
              <a:solidFill>
                <a:srgbClr val="00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Kondens!$AP$44:$AP$53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Kondens!$AE$44:$AE$53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49368344"/>
        <c:axId val="449371872"/>
      </c:scatterChart>
      <c:catAx>
        <c:axId val="449367952"/>
        <c:scaling>
          <c:orientation val="minMax"/>
        </c:scaling>
        <c:delete val="0"/>
        <c:axPos val="l"/>
        <c:majorTickMark val="none"/>
        <c:minorTickMark val="none"/>
        <c:tickLblPos val="none"/>
        <c:spPr>
          <a:ln w="3175">
            <a:solidFill>
              <a:srgbClr val="000000"/>
            </a:solidFill>
            <a:prstDash val="solid"/>
          </a:ln>
        </c:spPr>
        <c:crossAx val="449371480"/>
        <c:crossesAt val="0"/>
        <c:auto val="1"/>
        <c:lblAlgn val="ctr"/>
        <c:lblOffset val="100"/>
        <c:tickMarkSkip val="1"/>
        <c:noMultiLvlLbl val="0"/>
      </c:catAx>
      <c:valAx>
        <c:axId val="4493714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1379204807879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67952"/>
        <c:crosses val="autoZero"/>
        <c:crossBetween val="between"/>
      </c:valAx>
      <c:valAx>
        <c:axId val="449368344"/>
        <c:scaling>
          <c:orientation val="minMax"/>
        </c:scaling>
        <c:delete val="0"/>
        <c:axPos val="t"/>
        <c:numFmt formatCode="General" sourceLinked="1"/>
        <c:majorTickMark val="none"/>
        <c:minorTickMark val="none"/>
        <c:tickLblPos val="none"/>
        <c:spPr>
          <a:ln w="3175">
            <a:solidFill>
              <a:srgbClr val="000000"/>
            </a:solidFill>
            <a:prstDash val="solid"/>
          </a:ln>
        </c:spPr>
        <c:crossAx val="449371872"/>
        <c:crosses val="max"/>
        <c:crossBetween val="midCat"/>
      </c:valAx>
      <c:valAx>
        <c:axId val="44937187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6834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3818181818181819"/>
          <c:y val="2.403846153846154E-2"/>
        </c:manualLayout>
      </c:layout>
      <c:overlay val="0"/>
      <c:spPr>
        <a:noFill/>
        <a:ln w="25400">
          <a:noFill/>
        </a:ln>
      </c:spPr>
    </c:title>
    <c:autoTitleDeleted val="0"/>
    <c:plotArea>
      <c:layout>
        <c:manualLayout>
          <c:layoutTarget val="inner"/>
          <c:xMode val="edge"/>
          <c:yMode val="edge"/>
          <c:x val="6.1818181818181821E-2"/>
          <c:y val="0.10096177546991311"/>
          <c:w val="0.79272727272727272"/>
          <c:h val="0.67788620672655953"/>
        </c:manualLayout>
      </c:layout>
      <c:barChart>
        <c:barDir val="bar"/>
        <c:grouping val="stacked"/>
        <c:varyColors val="0"/>
        <c:ser>
          <c:idx val="0"/>
          <c:order val="0"/>
          <c:spPr>
            <a:noFill/>
            <a:ln w="25400">
              <a:noFill/>
            </a:ln>
          </c:spPr>
          <c:invertIfNegative val="0"/>
          <c:val>
            <c:numRef>
              <c:f>Kondens!$AU$44:$AU$44</c:f>
              <c:numCache>
                <c:formatCode>0.00</c:formatCode>
                <c:ptCount val="1"/>
                <c:pt idx="0">
                  <c:v>0.1</c:v>
                </c:pt>
              </c:numCache>
            </c:numRef>
          </c:val>
        </c:ser>
        <c:ser>
          <c:idx val="1"/>
          <c:order val="1"/>
          <c:spPr>
            <a:solidFill>
              <a:srgbClr val="FFFF00"/>
            </a:solidFill>
            <a:ln w="25400">
              <a:noFill/>
            </a:ln>
          </c:spPr>
          <c:invertIfNegative val="0"/>
          <c:val>
            <c:numRef>
              <c:f>Kondens!$AU$45:$AU$45</c:f>
              <c:numCache>
                <c:formatCode>0.00</c:formatCode>
                <c:ptCount val="1"/>
                <c:pt idx="0">
                  <c:v>0</c:v>
                </c:pt>
              </c:numCache>
            </c:numRef>
          </c:val>
        </c:ser>
        <c:ser>
          <c:idx val="2"/>
          <c:order val="2"/>
          <c:spPr>
            <a:solidFill>
              <a:srgbClr val="00FF00"/>
            </a:solidFill>
            <a:ln w="25400">
              <a:noFill/>
            </a:ln>
          </c:spPr>
          <c:invertIfNegative val="0"/>
          <c:val>
            <c:numRef>
              <c:f>Kondens!$AU$46:$AU$46</c:f>
              <c:numCache>
                <c:formatCode>0.00</c:formatCode>
                <c:ptCount val="1"/>
                <c:pt idx="0">
                  <c:v>0</c:v>
                </c:pt>
              </c:numCache>
            </c:numRef>
          </c:val>
        </c:ser>
        <c:ser>
          <c:idx val="3"/>
          <c:order val="3"/>
          <c:spPr>
            <a:solidFill>
              <a:srgbClr val="CCFFCC"/>
            </a:solidFill>
            <a:ln w="25400">
              <a:noFill/>
            </a:ln>
          </c:spPr>
          <c:invertIfNegative val="0"/>
          <c:val>
            <c:numRef>
              <c:f>Kondens!$AU$47:$AU$47</c:f>
              <c:numCache>
                <c:formatCode>0.00</c:formatCode>
                <c:ptCount val="1"/>
                <c:pt idx="0">
                  <c:v>0</c:v>
                </c:pt>
              </c:numCache>
            </c:numRef>
          </c:val>
        </c:ser>
        <c:ser>
          <c:idx val="6"/>
          <c:order val="4"/>
          <c:spPr>
            <a:solidFill>
              <a:srgbClr val="00FFFF"/>
            </a:solidFill>
            <a:ln w="25400">
              <a:noFill/>
            </a:ln>
          </c:spPr>
          <c:invertIfNegative val="0"/>
          <c:val>
            <c:numRef>
              <c:f>Kondens!$AU$48:$AU$48</c:f>
              <c:numCache>
                <c:formatCode>0.00</c:formatCode>
                <c:ptCount val="1"/>
                <c:pt idx="0">
                  <c:v>0</c:v>
                </c:pt>
              </c:numCache>
            </c:numRef>
          </c:val>
        </c:ser>
        <c:ser>
          <c:idx val="4"/>
          <c:order val="5"/>
          <c:spPr>
            <a:solidFill>
              <a:srgbClr val="A6CAF0"/>
            </a:solidFill>
            <a:ln w="25400">
              <a:noFill/>
            </a:ln>
          </c:spPr>
          <c:invertIfNegative val="0"/>
          <c:val>
            <c:numRef>
              <c:f>Kondens!$AU$49:$AU$49</c:f>
              <c:numCache>
                <c:formatCode>0.00</c:formatCode>
                <c:ptCount val="1"/>
                <c:pt idx="0">
                  <c:v>0</c:v>
                </c:pt>
              </c:numCache>
            </c:numRef>
          </c:val>
        </c:ser>
        <c:ser>
          <c:idx val="7"/>
          <c:order val="6"/>
          <c:spPr>
            <a:solidFill>
              <a:srgbClr val="E3E3E3"/>
            </a:solidFill>
            <a:ln w="25400">
              <a:noFill/>
            </a:ln>
          </c:spPr>
          <c:invertIfNegative val="0"/>
          <c:val>
            <c:numRef>
              <c:f>Kondens!$AU$50:$AU$50</c:f>
              <c:numCache>
                <c:formatCode>0.00</c:formatCode>
                <c:ptCount val="1"/>
                <c:pt idx="0">
                  <c:v>0</c:v>
                </c:pt>
              </c:numCache>
            </c:numRef>
          </c:val>
        </c:ser>
        <c:ser>
          <c:idx val="8"/>
          <c:order val="7"/>
          <c:spPr>
            <a:solidFill>
              <a:srgbClr val="C0C0C0"/>
            </a:solidFill>
            <a:ln w="25400">
              <a:noFill/>
            </a:ln>
          </c:spPr>
          <c:invertIfNegative val="0"/>
          <c:val>
            <c:numRef>
              <c:f>Kondens!$AU$51:$AU$51</c:f>
              <c:numCache>
                <c:formatCode>0.00</c:formatCode>
                <c:ptCount val="1"/>
                <c:pt idx="0">
                  <c:v>0</c:v>
                </c:pt>
              </c:numCache>
            </c:numRef>
          </c:val>
        </c:ser>
        <c:ser>
          <c:idx val="9"/>
          <c:order val="8"/>
          <c:spPr>
            <a:noFill/>
            <a:ln w="25400">
              <a:noFill/>
            </a:ln>
          </c:spPr>
          <c:invertIfNegative val="0"/>
          <c:val>
            <c:numRef>
              <c:f>Kondens!$AU$52:$AU$52</c:f>
              <c:numCache>
                <c:formatCode>0.00</c:formatCode>
                <c:ptCount val="1"/>
                <c:pt idx="0">
                  <c:v>0.1</c:v>
                </c:pt>
              </c:numCache>
            </c:numRef>
          </c:val>
        </c:ser>
        <c:dLbls>
          <c:showLegendKey val="0"/>
          <c:showVal val="0"/>
          <c:showCatName val="0"/>
          <c:showSerName val="0"/>
          <c:showPercent val="0"/>
          <c:showBubbleSize val="0"/>
        </c:dLbls>
        <c:gapWidth val="0"/>
        <c:overlap val="100"/>
        <c:axId val="449369520"/>
        <c:axId val="450442736"/>
      </c:barChart>
      <c:scatterChart>
        <c:scatterStyle val="lineMarker"/>
        <c:varyColors val="0"/>
        <c:ser>
          <c:idx val="10"/>
          <c:order val="9"/>
          <c:spPr>
            <a:ln w="25400">
              <a:solidFill>
                <a:srgbClr val="00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Kondens!$BH$44:$BH$53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Kondens!$AW$44:$AW$53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442344"/>
        <c:axId val="450445872"/>
      </c:scatterChart>
      <c:catAx>
        <c:axId val="449369520"/>
        <c:scaling>
          <c:orientation val="minMax"/>
        </c:scaling>
        <c:delete val="0"/>
        <c:axPos val="l"/>
        <c:majorTickMark val="none"/>
        <c:minorTickMark val="none"/>
        <c:tickLblPos val="none"/>
        <c:spPr>
          <a:ln w="3175">
            <a:solidFill>
              <a:srgbClr val="000000"/>
            </a:solidFill>
            <a:prstDash val="solid"/>
          </a:ln>
        </c:spPr>
        <c:crossAx val="450442736"/>
        <c:crossesAt val="0"/>
        <c:auto val="1"/>
        <c:lblAlgn val="ctr"/>
        <c:lblOffset val="100"/>
        <c:tickMarkSkip val="1"/>
        <c:noMultiLvlLbl val="0"/>
      </c:catAx>
      <c:valAx>
        <c:axId val="450442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49369520"/>
        <c:crosses val="autoZero"/>
        <c:crossBetween val="between"/>
      </c:valAx>
      <c:valAx>
        <c:axId val="450442344"/>
        <c:scaling>
          <c:orientation val="minMax"/>
        </c:scaling>
        <c:delete val="0"/>
        <c:axPos val="t"/>
        <c:numFmt formatCode="General" sourceLinked="1"/>
        <c:majorTickMark val="none"/>
        <c:minorTickMark val="none"/>
        <c:tickLblPos val="none"/>
        <c:spPr>
          <a:ln w="3175">
            <a:solidFill>
              <a:srgbClr val="000000"/>
            </a:solidFill>
            <a:prstDash val="solid"/>
          </a:ln>
        </c:spPr>
        <c:crossAx val="450445872"/>
        <c:crosses val="max"/>
        <c:crossBetween val="midCat"/>
      </c:valAx>
      <c:valAx>
        <c:axId val="45044587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5.76923076923076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234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1538488625132928"/>
          <c:w val="0.8021215253035372"/>
          <c:h val="0.67788620672655953"/>
        </c:manualLayout>
      </c:layout>
      <c:barChart>
        <c:barDir val="bar"/>
        <c:grouping val="stacked"/>
        <c:varyColors val="0"/>
        <c:ser>
          <c:idx val="0"/>
          <c:order val="0"/>
          <c:spPr>
            <a:noFill/>
            <a:ln w="25400">
              <a:noFill/>
            </a:ln>
          </c:spPr>
          <c:invertIfNegative val="0"/>
          <c:val>
            <c:numRef>
              <c:f>Kondens!$AC$61:$AC$61</c:f>
              <c:numCache>
                <c:formatCode>0.00</c:formatCode>
                <c:ptCount val="1"/>
                <c:pt idx="0">
                  <c:v>0.1</c:v>
                </c:pt>
              </c:numCache>
            </c:numRef>
          </c:val>
        </c:ser>
        <c:ser>
          <c:idx val="1"/>
          <c:order val="1"/>
          <c:spPr>
            <a:solidFill>
              <a:srgbClr val="FFFF00"/>
            </a:solidFill>
            <a:ln w="25400">
              <a:noFill/>
            </a:ln>
          </c:spPr>
          <c:invertIfNegative val="0"/>
          <c:val>
            <c:numRef>
              <c:f>Kondens!$AC$62:$AC$62</c:f>
              <c:numCache>
                <c:formatCode>0.00</c:formatCode>
                <c:ptCount val="1"/>
                <c:pt idx="0">
                  <c:v>0</c:v>
                </c:pt>
              </c:numCache>
            </c:numRef>
          </c:val>
        </c:ser>
        <c:ser>
          <c:idx val="2"/>
          <c:order val="2"/>
          <c:spPr>
            <a:solidFill>
              <a:srgbClr val="00FF00"/>
            </a:solidFill>
            <a:ln w="25400">
              <a:noFill/>
            </a:ln>
          </c:spPr>
          <c:invertIfNegative val="0"/>
          <c:val>
            <c:numRef>
              <c:f>Kondens!$AC$63:$AC$63</c:f>
              <c:numCache>
                <c:formatCode>0.00</c:formatCode>
                <c:ptCount val="1"/>
                <c:pt idx="0">
                  <c:v>0</c:v>
                </c:pt>
              </c:numCache>
            </c:numRef>
          </c:val>
        </c:ser>
        <c:ser>
          <c:idx val="3"/>
          <c:order val="3"/>
          <c:spPr>
            <a:solidFill>
              <a:srgbClr val="CCFFCC"/>
            </a:solidFill>
            <a:ln w="25400">
              <a:noFill/>
            </a:ln>
          </c:spPr>
          <c:invertIfNegative val="0"/>
          <c:val>
            <c:numRef>
              <c:f>Kondens!$AC$64:$AC$64</c:f>
              <c:numCache>
                <c:formatCode>0.00</c:formatCode>
                <c:ptCount val="1"/>
                <c:pt idx="0">
                  <c:v>0</c:v>
                </c:pt>
              </c:numCache>
            </c:numRef>
          </c:val>
        </c:ser>
        <c:ser>
          <c:idx val="6"/>
          <c:order val="4"/>
          <c:spPr>
            <a:solidFill>
              <a:srgbClr val="00FFFF"/>
            </a:solidFill>
            <a:ln w="25400">
              <a:noFill/>
            </a:ln>
          </c:spPr>
          <c:invertIfNegative val="0"/>
          <c:val>
            <c:numRef>
              <c:f>Kondens!$AC$65:$AC$65</c:f>
              <c:numCache>
                <c:formatCode>0.00</c:formatCode>
                <c:ptCount val="1"/>
                <c:pt idx="0">
                  <c:v>0</c:v>
                </c:pt>
              </c:numCache>
            </c:numRef>
          </c:val>
        </c:ser>
        <c:ser>
          <c:idx val="4"/>
          <c:order val="5"/>
          <c:spPr>
            <a:solidFill>
              <a:srgbClr val="A6CAF0"/>
            </a:solidFill>
            <a:ln w="25400">
              <a:noFill/>
            </a:ln>
          </c:spPr>
          <c:invertIfNegative val="0"/>
          <c:val>
            <c:numRef>
              <c:f>Kondens!$AC$66:$AC$66</c:f>
              <c:numCache>
                <c:formatCode>0.00</c:formatCode>
                <c:ptCount val="1"/>
                <c:pt idx="0">
                  <c:v>0</c:v>
                </c:pt>
              </c:numCache>
            </c:numRef>
          </c:val>
        </c:ser>
        <c:ser>
          <c:idx val="7"/>
          <c:order val="6"/>
          <c:spPr>
            <a:solidFill>
              <a:srgbClr val="E3E3E3"/>
            </a:solidFill>
            <a:ln w="25400">
              <a:noFill/>
            </a:ln>
          </c:spPr>
          <c:invertIfNegative val="0"/>
          <c:val>
            <c:numRef>
              <c:f>Kondens!$AC$67:$AC$67</c:f>
              <c:numCache>
                <c:formatCode>0.00</c:formatCode>
                <c:ptCount val="1"/>
                <c:pt idx="0">
                  <c:v>0</c:v>
                </c:pt>
              </c:numCache>
            </c:numRef>
          </c:val>
        </c:ser>
        <c:ser>
          <c:idx val="8"/>
          <c:order val="7"/>
          <c:spPr>
            <a:solidFill>
              <a:srgbClr val="C0C0C0"/>
            </a:solidFill>
            <a:ln w="25400">
              <a:noFill/>
            </a:ln>
          </c:spPr>
          <c:invertIfNegative val="0"/>
          <c:val>
            <c:numRef>
              <c:f>Kondens!$AC$68:$AC$68</c:f>
              <c:numCache>
                <c:formatCode>0.00</c:formatCode>
                <c:ptCount val="1"/>
                <c:pt idx="0">
                  <c:v>0</c:v>
                </c:pt>
              </c:numCache>
            </c:numRef>
          </c:val>
        </c:ser>
        <c:ser>
          <c:idx val="9"/>
          <c:order val="8"/>
          <c:spPr>
            <a:noFill/>
            <a:ln w="25400">
              <a:noFill/>
            </a:ln>
          </c:spPr>
          <c:invertIfNegative val="0"/>
          <c:val>
            <c:numRef>
              <c:f>Kondens!$AC$69:$AC$69</c:f>
              <c:numCache>
                <c:formatCode>0.00</c:formatCode>
                <c:ptCount val="1"/>
                <c:pt idx="0">
                  <c:v>0.1</c:v>
                </c:pt>
              </c:numCache>
            </c:numRef>
          </c:val>
        </c:ser>
        <c:dLbls>
          <c:showLegendKey val="0"/>
          <c:showVal val="0"/>
          <c:showCatName val="0"/>
          <c:showSerName val="0"/>
          <c:showPercent val="0"/>
          <c:showBubbleSize val="0"/>
        </c:dLbls>
        <c:gapWidth val="0"/>
        <c:overlap val="100"/>
        <c:axId val="450448616"/>
        <c:axId val="450447048"/>
      </c:barChart>
      <c:scatterChart>
        <c:scatterStyle val="lineMarker"/>
        <c:varyColors val="0"/>
        <c:ser>
          <c:idx val="10"/>
          <c:order val="9"/>
          <c:spPr>
            <a:ln w="25400">
              <a:solidFill>
                <a:srgbClr val="00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Kondens!$AP$61:$AP$70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Kondens!$AE$61:$AE$70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447440"/>
        <c:axId val="450443128"/>
      </c:scatterChart>
      <c:catAx>
        <c:axId val="450448616"/>
        <c:scaling>
          <c:orientation val="minMax"/>
        </c:scaling>
        <c:delete val="0"/>
        <c:axPos val="l"/>
        <c:majorTickMark val="none"/>
        <c:minorTickMark val="none"/>
        <c:tickLblPos val="none"/>
        <c:spPr>
          <a:ln w="3175">
            <a:solidFill>
              <a:srgbClr val="000000"/>
            </a:solidFill>
            <a:prstDash val="solid"/>
          </a:ln>
        </c:spPr>
        <c:crossAx val="450447048"/>
        <c:crossesAt val="0"/>
        <c:auto val="1"/>
        <c:lblAlgn val="ctr"/>
        <c:lblOffset val="100"/>
        <c:tickMarkSkip val="1"/>
        <c:noMultiLvlLbl val="0"/>
      </c:catAx>
      <c:valAx>
        <c:axId val="4504470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8616"/>
        <c:crosses val="autoZero"/>
        <c:crossBetween val="between"/>
      </c:valAx>
      <c:valAx>
        <c:axId val="450447440"/>
        <c:scaling>
          <c:orientation val="minMax"/>
        </c:scaling>
        <c:delete val="0"/>
        <c:axPos val="t"/>
        <c:numFmt formatCode="General" sourceLinked="1"/>
        <c:majorTickMark val="none"/>
        <c:minorTickMark val="none"/>
        <c:tickLblPos val="none"/>
        <c:spPr>
          <a:ln w="3175">
            <a:solidFill>
              <a:srgbClr val="000000"/>
            </a:solidFill>
            <a:prstDash val="solid"/>
          </a:ln>
        </c:spPr>
        <c:crossAx val="450443128"/>
        <c:crosses val="max"/>
        <c:crossBetween val="midCat"/>
      </c:valAx>
      <c:valAx>
        <c:axId val="45044312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0.120192812436906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74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980799703274543"/>
          <c:w val="0.78909090909090907"/>
          <c:h val="0.65384768875753263"/>
        </c:manualLayout>
      </c:layout>
      <c:barChart>
        <c:barDir val="bar"/>
        <c:grouping val="stacked"/>
        <c:varyColors val="0"/>
        <c:ser>
          <c:idx val="0"/>
          <c:order val="0"/>
          <c:spPr>
            <a:noFill/>
            <a:ln w="25400">
              <a:noFill/>
            </a:ln>
          </c:spPr>
          <c:invertIfNegative val="0"/>
          <c:val>
            <c:numRef>
              <c:f>Kondens!$AU$61:$AU$61</c:f>
              <c:numCache>
                <c:formatCode>0.00</c:formatCode>
                <c:ptCount val="1"/>
                <c:pt idx="0">
                  <c:v>0.1</c:v>
                </c:pt>
              </c:numCache>
            </c:numRef>
          </c:val>
        </c:ser>
        <c:ser>
          <c:idx val="1"/>
          <c:order val="1"/>
          <c:spPr>
            <a:solidFill>
              <a:srgbClr val="FFFF00"/>
            </a:solidFill>
            <a:ln w="25400">
              <a:noFill/>
            </a:ln>
          </c:spPr>
          <c:invertIfNegative val="0"/>
          <c:val>
            <c:numRef>
              <c:f>Kondens!$AU$62:$AU$62</c:f>
              <c:numCache>
                <c:formatCode>0.00</c:formatCode>
                <c:ptCount val="1"/>
                <c:pt idx="0">
                  <c:v>0</c:v>
                </c:pt>
              </c:numCache>
            </c:numRef>
          </c:val>
        </c:ser>
        <c:ser>
          <c:idx val="2"/>
          <c:order val="2"/>
          <c:spPr>
            <a:solidFill>
              <a:srgbClr val="00FF00"/>
            </a:solidFill>
            <a:ln w="25400">
              <a:noFill/>
            </a:ln>
          </c:spPr>
          <c:invertIfNegative val="0"/>
          <c:val>
            <c:numRef>
              <c:f>Kondens!$AU$63:$AU$63</c:f>
              <c:numCache>
                <c:formatCode>0.00</c:formatCode>
                <c:ptCount val="1"/>
                <c:pt idx="0">
                  <c:v>0</c:v>
                </c:pt>
              </c:numCache>
            </c:numRef>
          </c:val>
        </c:ser>
        <c:ser>
          <c:idx val="3"/>
          <c:order val="3"/>
          <c:spPr>
            <a:solidFill>
              <a:srgbClr val="CCFFCC"/>
            </a:solidFill>
            <a:ln w="25400">
              <a:noFill/>
            </a:ln>
          </c:spPr>
          <c:invertIfNegative val="0"/>
          <c:val>
            <c:numRef>
              <c:f>Kondens!$AU$64:$AU$64</c:f>
              <c:numCache>
                <c:formatCode>0.00</c:formatCode>
                <c:ptCount val="1"/>
                <c:pt idx="0">
                  <c:v>0</c:v>
                </c:pt>
              </c:numCache>
            </c:numRef>
          </c:val>
        </c:ser>
        <c:ser>
          <c:idx val="6"/>
          <c:order val="4"/>
          <c:spPr>
            <a:solidFill>
              <a:srgbClr val="00FFFF"/>
            </a:solidFill>
            <a:ln w="25400">
              <a:noFill/>
            </a:ln>
          </c:spPr>
          <c:invertIfNegative val="0"/>
          <c:val>
            <c:numRef>
              <c:f>Kondens!$AU$65:$AU$65</c:f>
              <c:numCache>
                <c:formatCode>0.00</c:formatCode>
                <c:ptCount val="1"/>
                <c:pt idx="0">
                  <c:v>0</c:v>
                </c:pt>
              </c:numCache>
            </c:numRef>
          </c:val>
        </c:ser>
        <c:ser>
          <c:idx val="4"/>
          <c:order val="5"/>
          <c:spPr>
            <a:solidFill>
              <a:srgbClr val="A6CAF0"/>
            </a:solidFill>
            <a:ln w="25400">
              <a:noFill/>
            </a:ln>
          </c:spPr>
          <c:invertIfNegative val="0"/>
          <c:val>
            <c:numRef>
              <c:f>Kondens!$AU$66:$AU$66</c:f>
              <c:numCache>
                <c:formatCode>0.00</c:formatCode>
                <c:ptCount val="1"/>
                <c:pt idx="0">
                  <c:v>0</c:v>
                </c:pt>
              </c:numCache>
            </c:numRef>
          </c:val>
        </c:ser>
        <c:ser>
          <c:idx val="7"/>
          <c:order val="6"/>
          <c:spPr>
            <a:solidFill>
              <a:srgbClr val="E3E3E3"/>
            </a:solidFill>
            <a:ln w="25400">
              <a:noFill/>
            </a:ln>
          </c:spPr>
          <c:invertIfNegative val="0"/>
          <c:val>
            <c:numRef>
              <c:f>Kondens!$AU$67:$AU$67</c:f>
              <c:numCache>
                <c:formatCode>0.00</c:formatCode>
                <c:ptCount val="1"/>
                <c:pt idx="0">
                  <c:v>0</c:v>
                </c:pt>
              </c:numCache>
            </c:numRef>
          </c:val>
        </c:ser>
        <c:ser>
          <c:idx val="8"/>
          <c:order val="7"/>
          <c:spPr>
            <a:solidFill>
              <a:srgbClr val="C0C0C0"/>
            </a:solidFill>
            <a:ln w="25400">
              <a:noFill/>
            </a:ln>
          </c:spPr>
          <c:invertIfNegative val="0"/>
          <c:val>
            <c:numRef>
              <c:f>Kondens!$AU$68:$AU$68</c:f>
              <c:numCache>
                <c:formatCode>0.00</c:formatCode>
                <c:ptCount val="1"/>
                <c:pt idx="0">
                  <c:v>0</c:v>
                </c:pt>
              </c:numCache>
            </c:numRef>
          </c:val>
        </c:ser>
        <c:ser>
          <c:idx val="9"/>
          <c:order val="8"/>
          <c:spPr>
            <a:noFill/>
            <a:ln w="25400">
              <a:noFill/>
            </a:ln>
          </c:spPr>
          <c:invertIfNegative val="0"/>
          <c:val>
            <c:numRef>
              <c:f>Kondens!$AU$69:$AU$69</c:f>
              <c:numCache>
                <c:formatCode>0.00</c:formatCode>
                <c:ptCount val="1"/>
                <c:pt idx="0">
                  <c:v>0.1</c:v>
                </c:pt>
              </c:numCache>
            </c:numRef>
          </c:val>
        </c:ser>
        <c:dLbls>
          <c:showLegendKey val="0"/>
          <c:showVal val="0"/>
          <c:showCatName val="0"/>
          <c:showSerName val="0"/>
          <c:showPercent val="0"/>
          <c:showBubbleSize val="0"/>
        </c:dLbls>
        <c:gapWidth val="0"/>
        <c:overlap val="100"/>
        <c:axId val="450447832"/>
        <c:axId val="450441168"/>
      </c:barChart>
      <c:scatterChart>
        <c:scatterStyle val="lineMarker"/>
        <c:varyColors val="0"/>
        <c:ser>
          <c:idx val="10"/>
          <c:order val="9"/>
          <c:spPr>
            <a:ln w="25400">
              <a:solidFill>
                <a:srgbClr val="00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Kondens!$BH$61:$BH$70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Kondens!$AW$61:$AW$70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443912"/>
        <c:axId val="450443520"/>
      </c:scatterChart>
      <c:catAx>
        <c:axId val="450447832"/>
        <c:scaling>
          <c:orientation val="minMax"/>
        </c:scaling>
        <c:delete val="0"/>
        <c:axPos val="l"/>
        <c:majorTickMark val="none"/>
        <c:minorTickMark val="none"/>
        <c:tickLblPos val="none"/>
        <c:spPr>
          <a:ln w="3175">
            <a:solidFill>
              <a:srgbClr val="000000"/>
            </a:solidFill>
            <a:prstDash val="solid"/>
          </a:ln>
        </c:spPr>
        <c:crossAx val="450441168"/>
        <c:crossesAt val="0"/>
        <c:auto val="1"/>
        <c:lblAlgn val="ctr"/>
        <c:lblOffset val="100"/>
        <c:tickMarkSkip val="1"/>
        <c:noMultiLvlLbl val="0"/>
      </c:catAx>
      <c:valAx>
        <c:axId val="4504411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7832"/>
        <c:crosses val="autoZero"/>
        <c:crossBetween val="between"/>
      </c:valAx>
      <c:valAx>
        <c:axId val="450443912"/>
        <c:scaling>
          <c:orientation val="minMax"/>
        </c:scaling>
        <c:delete val="0"/>
        <c:axPos val="t"/>
        <c:numFmt formatCode="General" sourceLinked="1"/>
        <c:majorTickMark val="none"/>
        <c:minorTickMark val="none"/>
        <c:tickLblPos val="none"/>
        <c:spPr>
          <a:ln w="3175">
            <a:solidFill>
              <a:srgbClr val="000000"/>
            </a:solidFill>
            <a:prstDash val="solid"/>
          </a:ln>
        </c:spPr>
        <c:crossAx val="450443520"/>
        <c:crosses val="max"/>
        <c:crossBetween val="midCat"/>
      </c:valAx>
      <c:valAx>
        <c:axId val="4504435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391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2019258984513466"/>
          <c:w val="0.79152080029952565"/>
          <c:h val="0.65865539235133796"/>
        </c:manualLayout>
      </c:layout>
      <c:barChart>
        <c:barDir val="bar"/>
        <c:grouping val="stacked"/>
        <c:varyColors val="0"/>
        <c:ser>
          <c:idx val="0"/>
          <c:order val="0"/>
          <c:spPr>
            <a:noFill/>
            <a:ln w="25400">
              <a:noFill/>
            </a:ln>
          </c:spPr>
          <c:invertIfNegative val="0"/>
          <c:val>
            <c:numRef>
              <c:f>Kondens!$AC$75:$AC$75</c:f>
              <c:numCache>
                <c:formatCode>0.00</c:formatCode>
                <c:ptCount val="1"/>
                <c:pt idx="0">
                  <c:v>0.1</c:v>
                </c:pt>
              </c:numCache>
            </c:numRef>
          </c:val>
        </c:ser>
        <c:ser>
          <c:idx val="1"/>
          <c:order val="1"/>
          <c:spPr>
            <a:solidFill>
              <a:srgbClr val="FFFF00"/>
            </a:solidFill>
            <a:ln w="25400">
              <a:noFill/>
            </a:ln>
          </c:spPr>
          <c:invertIfNegative val="0"/>
          <c:val>
            <c:numRef>
              <c:f>Kondens!$AC$76:$AC$76</c:f>
              <c:numCache>
                <c:formatCode>0.00</c:formatCode>
                <c:ptCount val="1"/>
                <c:pt idx="0">
                  <c:v>0</c:v>
                </c:pt>
              </c:numCache>
            </c:numRef>
          </c:val>
        </c:ser>
        <c:ser>
          <c:idx val="2"/>
          <c:order val="2"/>
          <c:spPr>
            <a:solidFill>
              <a:srgbClr val="00FF00"/>
            </a:solidFill>
            <a:ln w="25400">
              <a:noFill/>
            </a:ln>
          </c:spPr>
          <c:invertIfNegative val="0"/>
          <c:val>
            <c:numRef>
              <c:f>Kondens!$AC$77:$AC$77</c:f>
              <c:numCache>
                <c:formatCode>0.00</c:formatCode>
                <c:ptCount val="1"/>
                <c:pt idx="0">
                  <c:v>0</c:v>
                </c:pt>
              </c:numCache>
            </c:numRef>
          </c:val>
        </c:ser>
        <c:ser>
          <c:idx val="3"/>
          <c:order val="3"/>
          <c:spPr>
            <a:solidFill>
              <a:srgbClr val="CCFFCC"/>
            </a:solidFill>
            <a:ln w="25400">
              <a:noFill/>
            </a:ln>
          </c:spPr>
          <c:invertIfNegative val="0"/>
          <c:val>
            <c:numRef>
              <c:f>Kondens!$AC$78:$AC$78</c:f>
              <c:numCache>
                <c:formatCode>0.00</c:formatCode>
                <c:ptCount val="1"/>
                <c:pt idx="0">
                  <c:v>0</c:v>
                </c:pt>
              </c:numCache>
            </c:numRef>
          </c:val>
        </c:ser>
        <c:ser>
          <c:idx val="6"/>
          <c:order val="4"/>
          <c:spPr>
            <a:solidFill>
              <a:srgbClr val="00FFFF"/>
            </a:solidFill>
            <a:ln w="25400">
              <a:noFill/>
            </a:ln>
          </c:spPr>
          <c:invertIfNegative val="0"/>
          <c:val>
            <c:numRef>
              <c:f>Kondens!$AC$79:$AC$79</c:f>
              <c:numCache>
                <c:formatCode>0.00</c:formatCode>
                <c:ptCount val="1"/>
                <c:pt idx="0">
                  <c:v>0</c:v>
                </c:pt>
              </c:numCache>
            </c:numRef>
          </c:val>
        </c:ser>
        <c:ser>
          <c:idx val="4"/>
          <c:order val="5"/>
          <c:spPr>
            <a:solidFill>
              <a:srgbClr val="A6CAF0"/>
            </a:solidFill>
            <a:ln w="25400">
              <a:noFill/>
            </a:ln>
          </c:spPr>
          <c:invertIfNegative val="0"/>
          <c:val>
            <c:numRef>
              <c:f>Kondens!$AC$80:$AC$80</c:f>
              <c:numCache>
                <c:formatCode>0.00</c:formatCode>
                <c:ptCount val="1"/>
                <c:pt idx="0">
                  <c:v>0</c:v>
                </c:pt>
              </c:numCache>
            </c:numRef>
          </c:val>
        </c:ser>
        <c:ser>
          <c:idx val="7"/>
          <c:order val="6"/>
          <c:spPr>
            <a:solidFill>
              <a:srgbClr val="E3E3E3"/>
            </a:solidFill>
            <a:ln w="25400">
              <a:noFill/>
            </a:ln>
          </c:spPr>
          <c:invertIfNegative val="0"/>
          <c:val>
            <c:numRef>
              <c:f>Kondens!$AC$81:$AC$81</c:f>
              <c:numCache>
                <c:formatCode>0.00</c:formatCode>
                <c:ptCount val="1"/>
                <c:pt idx="0">
                  <c:v>0</c:v>
                </c:pt>
              </c:numCache>
            </c:numRef>
          </c:val>
        </c:ser>
        <c:ser>
          <c:idx val="8"/>
          <c:order val="7"/>
          <c:spPr>
            <a:solidFill>
              <a:srgbClr val="C0C0C0"/>
            </a:solidFill>
            <a:ln w="25400">
              <a:noFill/>
            </a:ln>
          </c:spPr>
          <c:invertIfNegative val="0"/>
          <c:val>
            <c:numRef>
              <c:f>Kondens!$AC$82:$AC$82</c:f>
              <c:numCache>
                <c:formatCode>0.00</c:formatCode>
                <c:ptCount val="1"/>
                <c:pt idx="0">
                  <c:v>0</c:v>
                </c:pt>
              </c:numCache>
            </c:numRef>
          </c:val>
        </c:ser>
        <c:ser>
          <c:idx val="9"/>
          <c:order val="8"/>
          <c:spPr>
            <a:noFill/>
            <a:ln w="25400">
              <a:noFill/>
            </a:ln>
          </c:spPr>
          <c:invertIfNegative val="0"/>
          <c:val>
            <c:numRef>
              <c:f>Kondens!$AC$83:$AC$83</c:f>
              <c:numCache>
                <c:formatCode>0.00</c:formatCode>
                <c:ptCount val="1"/>
                <c:pt idx="0">
                  <c:v>0.1</c:v>
                </c:pt>
              </c:numCache>
            </c:numRef>
          </c:val>
        </c:ser>
        <c:dLbls>
          <c:showLegendKey val="0"/>
          <c:showVal val="0"/>
          <c:showCatName val="0"/>
          <c:showSerName val="0"/>
          <c:showPercent val="0"/>
          <c:showBubbleSize val="0"/>
        </c:dLbls>
        <c:gapWidth val="0"/>
        <c:overlap val="100"/>
        <c:axId val="450441560"/>
        <c:axId val="450441952"/>
      </c:barChart>
      <c:scatterChart>
        <c:scatterStyle val="lineMarker"/>
        <c:varyColors val="0"/>
        <c:ser>
          <c:idx val="10"/>
          <c:order val="9"/>
          <c:spPr>
            <a:ln w="25400">
              <a:solidFill>
                <a:srgbClr val="00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Kondens!$AP$75:$AP$84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Kondens!$AE$75:$AE$84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445480"/>
        <c:axId val="450444304"/>
      </c:scatterChart>
      <c:catAx>
        <c:axId val="450441560"/>
        <c:scaling>
          <c:orientation val="minMax"/>
        </c:scaling>
        <c:delete val="0"/>
        <c:axPos val="l"/>
        <c:majorTickMark val="none"/>
        <c:minorTickMark val="none"/>
        <c:tickLblPos val="none"/>
        <c:spPr>
          <a:ln w="3175">
            <a:solidFill>
              <a:srgbClr val="000000"/>
            </a:solidFill>
            <a:prstDash val="solid"/>
          </a:ln>
        </c:spPr>
        <c:crossAx val="450441952"/>
        <c:crossesAt val="0"/>
        <c:auto val="1"/>
        <c:lblAlgn val="ctr"/>
        <c:lblOffset val="100"/>
        <c:tickMarkSkip val="1"/>
        <c:noMultiLvlLbl val="0"/>
      </c:catAx>
      <c:valAx>
        <c:axId val="4504419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1560"/>
        <c:crosses val="autoZero"/>
        <c:crossBetween val="between"/>
      </c:valAx>
      <c:valAx>
        <c:axId val="450445480"/>
        <c:scaling>
          <c:orientation val="minMax"/>
        </c:scaling>
        <c:delete val="0"/>
        <c:axPos val="t"/>
        <c:numFmt formatCode="General" sourceLinked="1"/>
        <c:majorTickMark val="none"/>
        <c:minorTickMark val="none"/>
        <c:tickLblPos val="none"/>
        <c:spPr>
          <a:ln w="3175">
            <a:solidFill>
              <a:srgbClr val="000000"/>
            </a:solidFill>
            <a:prstDash val="solid"/>
          </a:ln>
        </c:spPr>
        <c:crossAx val="450444304"/>
        <c:crosses val="max"/>
        <c:crossBetween val="midCat"/>
      </c:valAx>
      <c:valAx>
        <c:axId val="45044430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548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26645768025078E-2"/>
          <c:y val="6.0606060606060608E-2"/>
          <c:w val="0.91379310344827591"/>
          <c:h val="0.83333333333333337"/>
        </c:manualLayout>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1</c:v>
                </c:pt>
              </c:numCache>
            </c:numRef>
          </c:val>
        </c:ser>
        <c:dLbls>
          <c:showLegendKey val="0"/>
          <c:showVal val="0"/>
          <c:showCatName val="0"/>
          <c:showSerName val="0"/>
          <c:showPercent val="0"/>
          <c:showBubbleSize val="0"/>
        </c:dLbls>
        <c:gapWidth val="150"/>
        <c:overlap val="100"/>
        <c:axId val="209933232"/>
        <c:axId val="209933624"/>
      </c:barChart>
      <c:catAx>
        <c:axId val="209933232"/>
        <c:scaling>
          <c:orientation val="minMax"/>
        </c:scaling>
        <c:delete val="1"/>
        <c:axPos val="b"/>
        <c:numFmt formatCode="General" sourceLinked="1"/>
        <c:majorTickMark val="none"/>
        <c:minorTickMark val="none"/>
        <c:tickLblPos val="nextTo"/>
        <c:crossAx val="209933624"/>
        <c:crosses val="autoZero"/>
        <c:auto val="1"/>
        <c:lblAlgn val="ctr"/>
        <c:lblOffset val="100"/>
        <c:noMultiLvlLbl val="0"/>
      </c:catAx>
      <c:valAx>
        <c:axId val="209933624"/>
        <c:scaling>
          <c:orientation val="minMax"/>
        </c:scaling>
        <c:delete val="1"/>
        <c:axPos val="l"/>
        <c:numFmt formatCode="General" sourceLinked="1"/>
        <c:majorTickMark val="none"/>
        <c:minorTickMark val="none"/>
        <c:tickLblPos val="nextTo"/>
        <c:crossAx val="2099332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019258984513466"/>
          <c:w val="0.78909090909090907"/>
          <c:h val="0.67307850313275408"/>
        </c:manualLayout>
      </c:layout>
      <c:barChart>
        <c:barDir val="bar"/>
        <c:grouping val="stacked"/>
        <c:varyColors val="0"/>
        <c:ser>
          <c:idx val="0"/>
          <c:order val="0"/>
          <c:spPr>
            <a:noFill/>
            <a:ln w="25400">
              <a:noFill/>
            </a:ln>
          </c:spPr>
          <c:invertIfNegative val="0"/>
          <c:val>
            <c:numRef>
              <c:f>Kondens!$AU$75:$AU$75</c:f>
              <c:numCache>
                <c:formatCode>0.00</c:formatCode>
                <c:ptCount val="1"/>
                <c:pt idx="0">
                  <c:v>0.1</c:v>
                </c:pt>
              </c:numCache>
            </c:numRef>
          </c:val>
        </c:ser>
        <c:ser>
          <c:idx val="1"/>
          <c:order val="1"/>
          <c:spPr>
            <a:solidFill>
              <a:srgbClr val="FFFF00"/>
            </a:solidFill>
            <a:ln w="25400">
              <a:noFill/>
            </a:ln>
          </c:spPr>
          <c:invertIfNegative val="0"/>
          <c:val>
            <c:numRef>
              <c:f>Kondens!$AU$76:$AU$76</c:f>
              <c:numCache>
                <c:formatCode>0.00</c:formatCode>
                <c:ptCount val="1"/>
                <c:pt idx="0">
                  <c:v>0</c:v>
                </c:pt>
              </c:numCache>
            </c:numRef>
          </c:val>
        </c:ser>
        <c:ser>
          <c:idx val="2"/>
          <c:order val="2"/>
          <c:spPr>
            <a:solidFill>
              <a:srgbClr val="00FF00"/>
            </a:solidFill>
            <a:ln w="25400">
              <a:noFill/>
            </a:ln>
          </c:spPr>
          <c:invertIfNegative val="0"/>
          <c:val>
            <c:numRef>
              <c:f>Kondens!$AU$77:$AU$77</c:f>
              <c:numCache>
                <c:formatCode>0.00</c:formatCode>
                <c:ptCount val="1"/>
                <c:pt idx="0">
                  <c:v>0</c:v>
                </c:pt>
              </c:numCache>
            </c:numRef>
          </c:val>
        </c:ser>
        <c:ser>
          <c:idx val="3"/>
          <c:order val="3"/>
          <c:spPr>
            <a:solidFill>
              <a:srgbClr val="CCFFCC"/>
            </a:solidFill>
            <a:ln w="25400">
              <a:noFill/>
            </a:ln>
          </c:spPr>
          <c:invertIfNegative val="0"/>
          <c:val>
            <c:numRef>
              <c:f>Kondens!$AU$78:$AU$78</c:f>
              <c:numCache>
                <c:formatCode>0.00</c:formatCode>
                <c:ptCount val="1"/>
                <c:pt idx="0">
                  <c:v>0</c:v>
                </c:pt>
              </c:numCache>
            </c:numRef>
          </c:val>
        </c:ser>
        <c:ser>
          <c:idx val="6"/>
          <c:order val="4"/>
          <c:spPr>
            <a:solidFill>
              <a:srgbClr val="00FFFF"/>
            </a:solidFill>
            <a:ln w="25400">
              <a:noFill/>
            </a:ln>
          </c:spPr>
          <c:invertIfNegative val="0"/>
          <c:val>
            <c:numRef>
              <c:f>Kondens!$AU$79:$AU$79</c:f>
              <c:numCache>
                <c:formatCode>0.00</c:formatCode>
                <c:ptCount val="1"/>
                <c:pt idx="0">
                  <c:v>0</c:v>
                </c:pt>
              </c:numCache>
            </c:numRef>
          </c:val>
        </c:ser>
        <c:ser>
          <c:idx val="4"/>
          <c:order val="5"/>
          <c:spPr>
            <a:solidFill>
              <a:srgbClr val="A6CAF0"/>
            </a:solidFill>
            <a:ln w="25400">
              <a:noFill/>
            </a:ln>
          </c:spPr>
          <c:invertIfNegative val="0"/>
          <c:val>
            <c:numRef>
              <c:f>Kondens!$AU$80:$AU$80</c:f>
              <c:numCache>
                <c:formatCode>0.00</c:formatCode>
                <c:ptCount val="1"/>
                <c:pt idx="0">
                  <c:v>0</c:v>
                </c:pt>
              </c:numCache>
            </c:numRef>
          </c:val>
        </c:ser>
        <c:ser>
          <c:idx val="7"/>
          <c:order val="6"/>
          <c:spPr>
            <a:solidFill>
              <a:srgbClr val="E3E3E3"/>
            </a:solidFill>
            <a:ln w="25400">
              <a:noFill/>
            </a:ln>
          </c:spPr>
          <c:invertIfNegative val="0"/>
          <c:val>
            <c:numRef>
              <c:f>Kondens!$AU$81:$AU$81</c:f>
              <c:numCache>
                <c:formatCode>0.00</c:formatCode>
                <c:ptCount val="1"/>
                <c:pt idx="0">
                  <c:v>0</c:v>
                </c:pt>
              </c:numCache>
            </c:numRef>
          </c:val>
        </c:ser>
        <c:ser>
          <c:idx val="8"/>
          <c:order val="7"/>
          <c:spPr>
            <a:solidFill>
              <a:srgbClr val="C0C0C0"/>
            </a:solidFill>
            <a:ln w="25400">
              <a:noFill/>
            </a:ln>
          </c:spPr>
          <c:invertIfNegative val="0"/>
          <c:val>
            <c:numRef>
              <c:f>Kondens!$AU$82:$AU$82</c:f>
              <c:numCache>
                <c:formatCode>0.00</c:formatCode>
                <c:ptCount val="1"/>
                <c:pt idx="0">
                  <c:v>0</c:v>
                </c:pt>
              </c:numCache>
            </c:numRef>
          </c:val>
        </c:ser>
        <c:ser>
          <c:idx val="9"/>
          <c:order val="8"/>
          <c:spPr>
            <a:noFill/>
            <a:ln w="25400">
              <a:noFill/>
            </a:ln>
          </c:spPr>
          <c:invertIfNegative val="0"/>
          <c:val>
            <c:numRef>
              <c:f>Kondens!$AU$83:$AU$83</c:f>
              <c:numCache>
                <c:formatCode>0.00</c:formatCode>
                <c:ptCount val="1"/>
                <c:pt idx="0">
                  <c:v>0.1</c:v>
                </c:pt>
              </c:numCache>
            </c:numRef>
          </c:val>
        </c:ser>
        <c:dLbls>
          <c:showLegendKey val="0"/>
          <c:showVal val="0"/>
          <c:showCatName val="0"/>
          <c:showSerName val="0"/>
          <c:showPercent val="0"/>
          <c:showBubbleSize val="0"/>
        </c:dLbls>
        <c:gapWidth val="0"/>
        <c:overlap val="100"/>
        <c:axId val="450446656"/>
        <c:axId val="450752184"/>
      </c:barChart>
      <c:scatterChart>
        <c:scatterStyle val="lineMarker"/>
        <c:varyColors val="0"/>
        <c:ser>
          <c:idx val="10"/>
          <c:order val="9"/>
          <c:spPr>
            <a:ln w="25400">
              <a:solidFill>
                <a:srgbClr val="00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Kondens!$BH$75:$BH$84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Kondens!$AW$75:$AW$84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751792"/>
        <c:axId val="450752576"/>
      </c:scatterChart>
      <c:catAx>
        <c:axId val="450446656"/>
        <c:scaling>
          <c:orientation val="minMax"/>
        </c:scaling>
        <c:delete val="0"/>
        <c:axPos val="l"/>
        <c:majorTickMark val="none"/>
        <c:minorTickMark val="none"/>
        <c:tickLblPos val="none"/>
        <c:spPr>
          <a:ln w="3175">
            <a:solidFill>
              <a:srgbClr val="000000"/>
            </a:solidFill>
            <a:prstDash val="solid"/>
          </a:ln>
        </c:spPr>
        <c:crossAx val="450752184"/>
        <c:crossesAt val="0"/>
        <c:auto val="1"/>
        <c:lblAlgn val="ctr"/>
        <c:lblOffset val="100"/>
        <c:tickMarkSkip val="1"/>
        <c:noMultiLvlLbl val="0"/>
      </c:catAx>
      <c:valAx>
        <c:axId val="450752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545454545454541"/>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446656"/>
        <c:crosses val="autoZero"/>
        <c:crossBetween val="between"/>
      </c:valAx>
      <c:valAx>
        <c:axId val="450751792"/>
        <c:scaling>
          <c:orientation val="minMax"/>
        </c:scaling>
        <c:delete val="0"/>
        <c:axPos val="t"/>
        <c:numFmt formatCode="General" sourceLinked="1"/>
        <c:majorTickMark val="none"/>
        <c:minorTickMark val="none"/>
        <c:tickLblPos val="none"/>
        <c:spPr>
          <a:ln w="3175">
            <a:solidFill>
              <a:srgbClr val="000000"/>
            </a:solidFill>
            <a:prstDash val="solid"/>
          </a:ln>
        </c:spPr>
        <c:crossAx val="450752576"/>
        <c:crosses val="max"/>
        <c:crossBetween val="midCat"/>
      </c:valAx>
      <c:valAx>
        <c:axId val="4507525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8.173076923076923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5179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019258984513466"/>
          <c:w val="0.79858795030219998"/>
          <c:h val="0.67307850313275408"/>
        </c:manualLayout>
      </c:layout>
      <c:barChart>
        <c:barDir val="bar"/>
        <c:grouping val="stacked"/>
        <c:varyColors val="0"/>
        <c:ser>
          <c:idx val="0"/>
          <c:order val="0"/>
          <c:spPr>
            <a:noFill/>
            <a:ln w="25400">
              <a:noFill/>
            </a:ln>
          </c:spPr>
          <c:invertIfNegative val="0"/>
          <c:val>
            <c:numRef>
              <c:f>Kondens!$AC$90:$AC$90</c:f>
              <c:numCache>
                <c:formatCode>0.00</c:formatCode>
                <c:ptCount val="1"/>
                <c:pt idx="0">
                  <c:v>0.1</c:v>
                </c:pt>
              </c:numCache>
            </c:numRef>
          </c:val>
        </c:ser>
        <c:ser>
          <c:idx val="1"/>
          <c:order val="1"/>
          <c:spPr>
            <a:solidFill>
              <a:srgbClr val="FFFF00"/>
            </a:solidFill>
            <a:ln w="25400">
              <a:noFill/>
            </a:ln>
          </c:spPr>
          <c:invertIfNegative val="0"/>
          <c:val>
            <c:numRef>
              <c:f>Kondens!$AC$91:$AC$91</c:f>
              <c:numCache>
                <c:formatCode>0.00</c:formatCode>
                <c:ptCount val="1"/>
                <c:pt idx="0">
                  <c:v>0</c:v>
                </c:pt>
              </c:numCache>
            </c:numRef>
          </c:val>
        </c:ser>
        <c:ser>
          <c:idx val="2"/>
          <c:order val="2"/>
          <c:spPr>
            <a:solidFill>
              <a:srgbClr val="00FF00"/>
            </a:solidFill>
            <a:ln w="25400">
              <a:noFill/>
            </a:ln>
          </c:spPr>
          <c:invertIfNegative val="0"/>
          <c:val>
            <c:numRef>
              <c:f>Kondens!$AC$92:$AC$92</c:f>
              <c:numCache>
                <c:formatCode>0.00</c:formatCode>
                <c:ptCount val="1"/>
                <c:pt idx="0">
                  <c:v>0</c:v>
                </c:pt>
              </c:numCache>
            </c:numRef>
          </c:val>
        </c:ser>
        <c:ser>
          <c:idx val="3"/>
          <c:order val="3"/>
          <c:spPr>
            <a:solidFill>
              <a:srgbClr val="CCFFCC"/>
            </a:solidFill>
            <a:ln w="25400">
              <a:noFill/>
            </a:ln>
          </c:spPr>
          <c:invertIfNegative val="0"/>
          <c:val>
            <c:numRef>
              <c:f>Kondens!$AC$93:$AC$93</c:f>
              <c:numCache>
                <c:formatCode>0.00</c:formatCode>
                <c:ptCount val="1"/>
                <c:pt idx="0">
                  <c:v>0</c:v>
                </c:pt>
              </c:numCache>
            </c:numRef>
          </c:val>
        </c:ser>
        <c:ser>
          <c:idx val="6"/>
          <c:order val="4"/>
          <c:spPr>
            <a:solidFill>
              <a:srgbClr val="00FFFF"/>
            </a:solidFill>
            <a:ln w="25400">
              <a:noFill/>
            </a:ln>
          </c:spPr>
          <c:invertIfNegative val="0"/>
          <c:val>
            <c:numRef>
              <c:f>Kondens!$AC$94:$AC$94</c:f>
              <c:numCache>
                <c:formatCode>0.00</c:formatCode>
                <c:ptCount val="1"/>
                <c:pt idx="0">
                  <c:v>0</c:v>
                </c:pt>
              </c:numCache>
            </c:numRef>
          </c:val>
        </c:ser>
        <c:ser>
          <c:idx val="4"/>
          <c:order val="5"/>
          <c:spPr>
            <a:solidFill>
              <a:srgbClr val="A6CAF0"/>
            </a:solidFill>
            <a:ln w="25400">
              <a:noFill/>
            </a:ln>
          </c:spPr>
          <c:invertIfNegative val="0"/>
          <c:val>
            <c:numRef>
              <c:f>Kondens!$AC$95:$AC$95</c:f>
              <c:numCache>
                <c:formatCode>0.00</c:formatCode>
                <c:ptCount val="1"/>
                <c:pt idx="0">
                  <c:v>0</c:v>
                </c:pt>
              </c:numCache>
            </c:numRef>
          </c:val>
        </c:ser>
        <c:ser>
          <c:idx val="7"/>
          <c:order val="6"/>
          <c:spPr>
            <a:solidFill>
              <a:srgbClr val="E3E3E3"/>
            </a:solidFill>
            <a:ln w="25400">
              <a:noFill/>
            </a:ln>
          </c:spPr>
          <c:invertIfNegative val="0"/>
          <c:val>
            <c:numRef>
              <c:f>Kondens!$AC$96:$AC$96</c:f>
              <c:numCache>
                <c:formatCode>0.00</c:formatCode>
                <c:ptCount val="1"/>
                <c:pt idx="0">
                  <c:v>0</c:v>
                </c:pt>
              </c:numCache>
            </c:numRef>
          </c:val>
        </c:ser>
        <c:ser>
          <c:idx val="8"/>
          <c:order val="7"/>
          <c:spPr>
            <a:solidFill>
              <a:srgbClr val="C0C0C0"/>
            </a:solidFill>
            <a:ln w="25400">
              <a:noFill/>
            </a:ln>
          </c:spPr>
          <c:invertIfNegative val="0"/>
          <c:val>
            <c:numRef>
              <c:f>Kondens!$AC$97:$AC$97</c:f>
              <c:numCache>
                <c:formatCode>0.00</c:formatCode>
                <c:ptCount val="1"/>
                <c:pt idx="0">
                  <c:v>0</c:v>
                </c:pt>
              </c:numCache>
            </c:numRef>
          </c:val>
        </c:ser>
        <c:ser>
          <c:idx val="9"/>
          <c:order val="8"/>
          <c:spPr>
            <a:noFill/>
            <a:ln w="25400">
              <a:noFill/>
            </a:ln>
          </c:spPr>
          <c:invertIfNegative val="0"/>
          <c:val>
            <c:numRef>
              <c:f>Kondens!$AC$98:$AC$98</c:f>
              <c:numCache>
                <c:formatCode>0.00</c:formatCode>
                <c:ptCount val="1"/>
                <c:pt idx="0">
                  <c:v>0.1</c:v>
                </c:pt>
              </c:numCache>
            </c:numRef>
          </c:val>
        </c:ser>
        <c:dLbls>
          <c:showLegendKey val="0"/>
          <c:showVal val="0"/>
          <c:showCatName val="0"/>
          <c:showSerName val="0"/>
          <c:showPercent val="0"/>
          <c:showBubbleSize val="0"/>
        </c:dLbls>
        <c:gapWidth val="0"/>
        <c:overlap val="100"/>
        <c:axId val="450747088"/>
        <c:axId val="450751400"/>
      </c:barChart>
      <c:scatterChart>
        <c:scatterStyle val="lineMarker"/>
        <c:varyColors val="0"/>
        <c:ser>
          <c:idx val="10"/>
          <c:order val="9"/>
          <c:spPr>
            <a:ln w="25400">
              <a:solidFill>
                <a:srgbClr val="00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Kondens!$AP$90:$AP$99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Kondens!$AE$90:$AE$99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750224"/>
        <c:axId val="450748264"/>
      </c:scatterChart>
      <c:catAx>
        <c:axId val="450747088"/>
        <c:scaling>
          <c:orientation val="minMax"/>
        </c:scaling>
        <c:delete val="0"/>
        <c:axPos val="l"/>
        <c:majorTickMark val="none"/>
        <c:minorTickMark val="none"/>
        <c:tickLblPos val="none"/>
        <c:spPr>
          <a:ln w="3175">
            <a:solidFill>
              <a:srgbClr val="000000"/>
            </a:solidFill>
            <a:prstDash val="solid"/>
          </a:ln>
        </c:spPr>
        <c:crossAx val="450751400"/>
        <c:crossesAt val="0"/>
        <c:auto val="1"/>
        <c:lblAlgn val="ctr"/>
        <c:lblOffset val="100"/>
        <c:tickMarkSkip val="1"/>
        <c:noMultiLvlLbl val="0"/>
      </c:catAx>
      <c:valAx>
        <c:axId val="4507514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47088"/>
        <c:crosses val="autoZero"/>
        <c:crossBetween val="between"/>
      </c:valAx>
      <c:valAx>
        <c:axId val="450750224"/>
        <c:scaling>
          <c:orientation val="minMax"/>
        </c:scaling>
        <c:delete val="0"/>
        <c:axPos val="t"/>
        <c:numFmt formatCode="General" sourceLinked="1"/>
        <c:majorTickMark val="none"/>
        <c:minorTickMark val="none"/>
        <c:tickLblPos val="none"/>
        <c:spPr>
          <a:ln w="3175">
            <a:solidFill>
              <a:srgbClr val="000000"/>
            </a:solidFill>
            <a:prstDash val="solid"/>
          </a:ln>
        </c:spPr>
        <c:crossAx val="450748264"/>
        <c:crosses val="max"/>
        <c:crossBetween val="midCat"/>
      </c:valAx>
      <c:valAx>
        <c:axId val="45074826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5022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500029343894006"/>
          <c:w val="0.79272727272727272"/>
          <c:h val="0.66827079953894875"/>
        </c:manualLayout>
      </c:layout>
      <c:barChart>
        <c:barDir val="bar"/>
        <c:grouping val="stacked"/>
        <c:varyColors val="0"/>
        <c:ser>
          <c:idx val="0"/>
          <c:order val="0"/>
          <c:spPr>
            <a:noFill/>
            <a:ln w="25400">
              <a:noFill/>
            </a:ln>
          </c:spPr>
          <c:invertIfNegative val="0"/>
          <c:val>
            <c:numRef>
              <c:f>Kondens!$AU$90:$AU$90</c:f>
              <c:numCache>
                <c:formatCode>0.00</c:formatCode>
                <c:ptCount val="1"/>
                <c:pt idx="0">
                  <c:v>0.1</c:v>
                </c:pt>
              </c:numCache>
            </c:numRef>
          </c:val>
        </c:ser>
        <c:ser>
          <c:idx val="1"/>
          <c:order val="1"/>
          <c:spPr>
            <a:solidFill>
              <a:srgbClr val="FFFF00"/>
            </a:solidFill>
            <a:ln w="25400">
              <a:noFill/>
            </a:ln>
          </c:spPr>
          <c:invertIfNegative val="0"/>
          <c:val>
            <c:numRef>
              <c:f>Kondens!$AU$91:$AU$91</c:f>
              <c:numCache>
                <c:formatCode>0.00</c:formatCode>
                <c:ptCount val="1"/>
                <c:pt idx="0">
                  <c:v>0</c:v>
                </c:pt>
              </c:numCache>
            </c:numRef>
          </c:val>
        </c:ser>
        <c:ser>
          <c:idx val="2"/>
          <c:order val="2"/>
          <c:spPr>
            <a:solidFill>
              <a:srgbClr val="00FF00"/>
            </a:solidFill>
            <a:ln w="25400">
              <a:noFill/>
            </a:ln>
          </c:spPr>
          <c:invertIfNegative val="0"/>
          <c:val>
            <c:numRef>
              <c:f>Kondens!$AU$92:$AU$92</c:f>
              <c:numCache>
                <c:formatCode>0.00</c:formatCode>
                <c:ptCount val="1"/>
                <c:pt idx="0">
                  <c:v>0</c:v>
                </c:pt>
              </c:numCache>
            </c:numRef>
          </c:val>
        </c:ser>
        <c:ser>
          <c:idx val="3"/>
          <c:order val="3"/>
          <c:spPr>
            <a:solidFill>
              <a:srgbClr val="CCFFCC"/>
            </a:solidFill>
            <a:ln w="25400">
              <a:noFill/>
            </a:ln>
          </c:spPr>
          <c:invertIfNegative val="0"/>
          <c:val>
            <c:numRef>
              <c:f>Kondens!$AU$93:$AU$93</c:f>
              <c:numCache>
                <c:formatCode>0.00</c:formatCode>
                <c:ptCount val="1"/>
                <c:pt idx="0">
                  <c:v>0</c:v>
                </c:pt>
              </c:numCache>
            </c:numRef>
          </c:val>
        </c:ser>
        <c:ser>
          <c:idx val="6"/>
          <c:order val="4"/>
          <c:spPr>
            <a:solidFill>
              <a:srgbClr val="00FFFF"/>
            </a:solidFill>
            <a:ln w="25400">
              <a:noFill/>
            </a:ln>
          </c:spPr>
          <c:invertIfNegative val="0"/>
          <c:val>
            <c:numRef>
              <c:f>Kondens!$AU$94:$AU$94</c:f>
              <c:numCache>
                <c:formatCode>0.00</c:formatCode>
                <c:ptCount val="1"/>
                <c:pt idx="0">
                  <c:v>0</c:v>
                </c:pt>
              </c:numCache>
            </c:numRef>
          </c:val>
        </c:ser>
        <c:ser>
          <c:idx val="4"/>
          <c:order val="5"/>
          <c:spPr>
            <a:solidFill>
              <a:srgbClr val="A6CAF0"/>
            </a:solidFill>
            <a:ln w="25400">
              <a:noFill/>
            </a:ln>
          </c:spPr>
          <c:invertIfNegative val="0"/>
          <c:val>
            <c:numRef>
              <c:f>Kondens!$AU$95:$AU$95</c:f>
              <c:numCache>
                <c:formatCode>0.00</c:formatCode>
                <c:ptCount val="1"/>
                <c:pt idx="0">
                  <c:v>0</c:v>
                </c:pt>
              </c:numCache>
            </c:numRef>
          </c:val>
        </c:ser>
        <c:ser>
          <c:idx val="7"/>
          <c:order val="6"/>
          <c:spPr>
            <a:solidFill>
              <a:srgbClr val="E3E3E3"/>
            </a:solidFill>
            <a:ln w="25400">
              <a:noFill/>
            </a:ln>
          </c:spPr>
          <c:invertIfNegative val="0"/>
          <c:val>
            <c:numRef>
              <c:f>Kondens!$AU$96:$AU$96</c:f>
              <c:numCache>
                <c:formatCode>0.00</c:formatCode>
                <c:ptCount val="1"/>
                <c:pt idx="0">
                  <c:v>0</c:v>
                </c:pt>
              </c:numCache>
            </c:numRef>
          </c:val>
        </c:ser>
        <c:ser>
          <c:idx val="8"/>
          <c:order val="7"/>
          <c:spPr>
            <a:solidFill>
              <a:srgbClr val="C0C0C0"/>
            </a:solidFill>
            <a:ln w="25400">
              <a:noFill/>
            </a:ln>
          </c:spPr>
          <c:invertIfNegative val="0"/>
          <c:val>
            <c:numRef>
              <c:f>Kondens!$AU$97:$AU$97</c:f>
              <c:numCache>
                <c:formatCode>0.00</c:formatCode>
                <c:ptCount val="1"/>
                <c:pt idx="0">
                  <c:v>0</c:v>
                </c:pt>
              </c:numCache>
            </c:numRef>
          </c:val>
        </c:ser>
        <c:ser>
          <c:idx val="9"/>
          <c:order val="8"/>
          <c:spPr>
            <a:noFill/>
            <a:ln w="25400">
              <a:noFill/>
            </a:ln>
          </c:spPr>
          <c:invertIfNegative val="0"/>
          <c:val>
            <c:numRef>
              <c:f>Kondens!$AU$98:$AU$98</c:f>
              <c:numCache>
                <c:formatCode>0.00</c:formatCode>
                <c:ptCount val="1"/>
                <c:pt idx="0">
                  <c:v>0.1</c:v>
                </c:pt>
              </c:numCache>
            </c:numRef>
          </c:val>
        </c:ser>
        <c:dLbls>
          <c:showLegendKey val="0"/>
          <c:showVal val="0"/>
          <c:showCatName val="0"/>
          <c:showSerName val="0"/>
          <c:showPercent val="0"/>
          <c:showBubbleSize val="0"/>
        </c:dLbls>
        <c:gapWidth val="0"/>
        <c:overlap val="100"/>
        <c:axId val="450750616"/>
        <c:axId val="450747480"/>
      </c:barChart>
      <c:scatterChart>
        <c:scatterStyle val="lineMarker"/>
        <c:varyColors val="0"/>
        <c:ser>
          <c:idx val="10"/>
          <c:order val="9"/>
          <c:spPr>
            <a:ln w="25400">
              <a:solidFill>
                <a:srgbClr val="00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Kondens!$BH$90:$BH$99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Kondens!$AW$90:$AW$99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748656"/>
        <c:axId val="450749048"/>
      </c:scatterChart>
      <c:catAx>
        <c:axId val="450750616"/>
        <c:scaling>
          <c:orientation val="minMax"/>
        </c:scaling>
        <c:delete val="0"/>
        <c:axPos val="l"/>
        <c:majorTickMark val="none"/>
        <c:minorTickMark val="none"/>
        <c:tickLblPos val="none"/>
        <c:spPr>
          <a:ln w="3175">
            <a:solidFill>
              <a:srgbClr val="000000"/>
            </a:solidFill>
            <a:prstDash val="solid"/>
          </a:ln>
        </c:spPr>
        <c:crossAx val="450747480"/>
        <c:crossesAt val="0"/>
        <c:auto val="1"/>
        <c:lblAlgn val="ctr"/>
        <c:lblOffset val="100"/>
        <c:tickMarkSkip val="1"/>
        <c:noMultiLvlLbl val="0"/>
      </c:catAx>
      <c:valAx>
        <c:axId val="4507474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50616"/>
        <c:crosses val="autoZero"/>
        <c:crossBetween val="between"/>
      </c:valAx>
      <c:valAx>
        <c:axId val="450748656"/>
        <c:scaling>
          <c:orientation val="minMax"/>
        </c:scaling>
        <c:delete val="0"/>
        <c:axPos val="t"/>
        <c:numFmt formatCode="General" sourceLinked="1"/>
        <c:majorTickMark val="none"/>
        <c:minorTickMark val="none"/>
        <c:tickLblPos val="none"/>
        <c:spPr>
          <a:ln w="3175">
            <a:solidFill>
              <a:srgbClr val="000000"/>
            </a:solidFill>
            <a:prstDash val="solid"/>
          </a:ln>
        </c:spPr>
        <c:crossAx val="450749048"/>
        <c:crosses val="max"/>
        <c:crossBetween val="midCat"/>
      </c:valAx>
      <c:valAx>
        <c:axId val="45074904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4865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057694790637185"/>
          <c:w val="0.8021215253035372"/>
          <c:h val="0.68750161391417031"/>
        </c:manualLayout>
      </c:layout>
      <c:barChart>
        <c:barDir val="bar"/>
        <c:grouping val="stacked"/>
        <c:varyColors val="0"/>
        <c:ser>
          <c:idx val="0"/>
          <c:order val="0"/>
          <c:spPr>
            <a:noFill/>
            <a:ln w="25400">
              <a:noFill/>
            </a:ln>
          </c:spPr>
          <c:invertIfNegative val="0"/>
          <c:val>
            <c:numRef>
              <c:f>Kondens!$AC$105:$AC$105</c:f>
              <c:numCache>
                <c:formatCode>0.00</c:formatCode>
                <c:ptCount val="1"/>
                <c:pt idx="0">
                  <c:v>0.1</c:v>
                </c:pt>
              </c:numCache>
            </c:numRef>
          </c:val>
        </c:ser>
        <c:ser>
          <c:idx val="1"/>
          <c:order val="1"/>
          <c:spPr>
            <a:solidFill>
              <a:srgbClr val="FFFF00"/>
            </a:solidFill>
            <a:ln w="25400">
              <a:noFill/>
            </a:ln>
          </c:spPr>
          <c:invertIfNegative val="0"/>
          <c:val>
            <c:numRef>
              <c:f>Kondens!$AC$106:$AC$106</c:f>
              <c:numCache>
                <c:formatCode>0.00</c:formatCode>
                <c:ptCount val="1"/>
                <c:pt idx="0">
                  <c:v>0</c:v>
                </c:pt>
              </c:numCache>
            </c:numRef>
          </c:val>
        </c:ser>
        <c:ser>
          <c:idx val="2"/>
          <c:order val="2"/>
          <c:spPr>
            <a:solidFill>
              <a:srgbClr val="00FF00"/>
            </a:solidFill>
            <a:ln w="25400">
              <a:noFill/>
            </a:ln>
          </c:spPr>
          <c:invertIfNegative val="0"/>
          <c:val>
            <c:numRef>
              <c:f>Kondens!$AC$107:$AC$107</c:f>
              <c:numCache>
                <c:formatCode>0.00</c:formatCode>
                <c:ptCount val="1"/>
                <c:pt idx="0">
                  <c:v>0</c:v>
                </c:pt>
              </c:numCache>
            </c:numRef>
          </c:val>
        </c:ser>
        <c:ser>
          <c:idx val="3"/>
          <c:order val="3"/>
          <c:spPr>
            <a:solidFill>
              <a:srgbClr val="CCFFCC"/>
            </a:solidFill>
            <a:ln w="25400">
              <a:noFill/>
            </a:ln>
          </c:spPr>
          <c:invertIfNegative val="0"/>
          <c:val>
            <c:numRef>
              <c:f>Kondens!$AC$108:$AC$108</c:f>
              <c:numCache>
                <c:formatCode>0.00</c:formatCode>
                <c:ptCount val="1"/>
                <c:pt idx="0">
                  <c:v>0</c:v>
                </c:pt>
              </c:numCache>
            </c:numRef>
          </c:val>
        </c:ser>
        <c:ser>
          <c:idx val="6"/>
          <c:order val="4"/>
          <c:spPr>
            <a:solidFill>
              <a:srgbClr val="00FFFF"/>
            </a:solidFill>
            <a:ln w="25400">
              <a:noFill/>
            </a:ln>
          </c:spPr>
          <c:invertIfNegative val="0"/>
          <c:val>
            <c:numRef>
              <c:f>Kondens!$AC$109:$AC$109</c:f>
              <c:numCache>
                <c:formatCode>0.00</c:formatCode>
                <c:ptCount val="1"/>
                <c:pt idx="0">
                  <c:v>0</c:v>
                </c:pt>
              </c:numCache>
            </c:numRef>
          </c:val>
        </c:ser>
        <c:ser>
          <c:idx val="4"/>
          <c:order val="5"/>
          <c:spPr>
            <a:solidFill>
              <a:srgbClr val="A6CAF0"/>
            </a:solidFill>
            <a:ln w="25400">
              <a:noFill/>
            </a:ln>
          </c:spPr>
          <c:invertIfNegative val="0"/>
          <c:val>
            <c:numRef>
              <c:f>Kondens!$AC$110:$AC$110</c:f>
              <c:numCache>
                <c:formatCode>0.00</c:formatCode>
                <c:ptCount val="1"/>
                <c:pt idx="0">
                  <c:v>0</c:v>
                </c:pt>
              </c:numCache>
            </c:numRef>
          </c:val>
        </c:ser>
        <c:ser>
          <c:idx val="7"/>
          <c:order val="6"/>
          <c:spPr>
            <a:solidFill>
              <a:srgbClr val="E3E3E3"/>
            </a:solidFill>
            <a:ln w="25400">
              <a:noFill/>
            </a:ln>
          </c:spPr>
          <c:invertIfNegative val="0"/>
          <c:val>
            <c:numRef>
              <c:f>Kondens!$AC$111:$AC$111</c:f>
              <c:numCache>
                <c:formatCode>0.00</c:formatCode>
                <c:ptCount val="1"/>
                <c:pt idx="0">
                  <c:v>0</c:v>
                </c:pt>
              </c:numCache>
            </c:numRef>
          </c:val>
        </c:ser>
        <c:ser>
          <c:idx val="8"/>
          <c:order val="7"/>
          <c:spPr>
            <a:solidFill>
              <a:srgbClr val="C0C0C0"/>
            </a:solidFill>
            <a:ln w="25400">
              <a:noFill/>
            </a:ln>
          </c:spPr>
          <c:invertIfNegative val="0"/>
          <c:val>
            <c:numRef>
              <c:f>Kondens!$AC$112:$AC$112</c:f>
              <c:numCache>
                <c:formatCode>0.00</c:formatCode>
                <c:ptCount val="1"/>
                <c:pt idx="0">
                  <c:v>0</c:v>
                </c:pt>
              </c:numCache>
            </c:numRef>
          </c:val>
        </c:ser>
        <c:ser>
          <c:idx val="9"/>
          <c:order val="8"/>
          <c:spPr>
            <a:noFill/>
            <a:ln w="25400">
              <a:noFill/>
            </a:ln>
          </c:spPr>
          <c:invertIfNegative val="0"/>
          <c:val>
            <c:numRef>
              <c:f>Kondens!$AC$113:$AC$113</c:f>
              <c:numCache>
                <c:formatCode>0.00</c:formatCode>
                <c:ptCount val="1"/>
                <c:pt idx="0">
                  <c:v>0.1</c:v>
                </c:pt>
              </c:numCache>
            </c:numRef>
          </c:val>
        </c:ser>
        <c:dLbls>
          <c:showLegendKey val="0"/>
          <c:showVal val="0"/>
          <c:showCatName val="0"/>
          <c:showSerName val="0"/>
          <c:showPercent val="0"/>
          <c:showBubbleSize val="0"/>
        </c:dLbls>
        <c:gapWidth val="0"/>
        <c:overlap val="100"/>
        <c:axId val="450751008"/>
        <c:axId val="450747872"/>
      </c:barChart>
      <c:scatterChart>
        <c:scatterStyle val="lineMarker"/>
        <c:varyColors val="0"/>
        <c:ser>
          <c:idx val="10"/>
          <c:order val="9"/>
          <c:spPr>
            <a:ln w="25400">
              <a:solidFill>
                <a:srgbClr val="00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Kondens!$AP$105:$AP$114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Kondens!$AE$105:$AE$114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0749440"/>
        <c:axId val="450752968"/>
      </c:scatterChart>
      <c:catAx>
        <c:axId val="450751008"/>
        <c:scaling>
          <c:orientation val="minMax"/>
        </c:scaling>
        <c:delete val="0"/>
        <c:axPos val="l"/>
        <c:majorTickMark val="none"/>
        <c:minorTickMark val="none"/>
        <c:tickLblPos val="none"/>
        <c:spPr>
          <a:ln w="3175">
            <a:solidFill>
              <a:srgbClr val="000000"/>
            </a:solidFill>
            <a:prstDash val="solid"/>
          </a:ln>
        </c:spPr>
        <c:crossAx val="450747872"/>
        <c:crossesAt val="0"/>
        <c:auto val="1"/>
        <c:lblAlgn val="ctr"/>
        <c:lblOffset val="100"/>
        <c:tickMarkSkip val="1"/>
        <c:noMultiLvlLbl val="0"/>
      </c:catAx>
      <c:valAx>
        <c:axId val="4507478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51008"/>
        <c:crosses val="autoZero"/>
        <c:crossBetween val="between"/>
      </c:valAx>
      <c:valAx>
        <c:axId val="450749440"/>
        <c:scaling>
          <c:orientation val="minMax"/>
        </c:scaling>
        <c:delete val="0"/>
        <c:axPos val="t"/>
        <c:numFmt formatCode="General" sourceLinked="1"/>
        <c:majorTickMark val="none"/>
        <c:minorTickMark val="none"/>
        <c:tickLblPos val="none"/>
        <c:spPr>
          <a:ln w="3175">
            <a:solidFill>
              <a:srgbClr val="000000"/>
            </a:solidFill>
            <a:prstDash val="solid"/>
          </a:ln>
        </c:spPr>
        <c:crossAx val="450752968"/>
        <c:crosses val="max"/>
        <c:crossBetween val="midCat"/>
      </c:valAx>
      <c:valAx>
        <c:axId val="45075296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7.211538461538460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494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057694790637185"/>
          <c:w val="0.79636363636363638"/>
          <c:h val="0.69230931750797564"/>
        </c:manualLayout>
      </c:layout>
      <c:barChart>
        <c:barDir val="bar"/>
        <c:grouping val="stacked"/>
        <c:varyColors val="0"/>
        <c:ser>
          <c:idx val="0"/>
          <c:order val="0"/>
          <c:spPr>
            <a:noFill/>
            <a:ln w="25400">
              <a:noFill/>
            </a:ln>
          </c:spPr>
          <c:invertIfNegative val="0"/>
          <c:val>
            <c:numRef>
              <c:f>Kondens!$AU$105:$AU$105</c:f>
              <c:numCache>
                <c:formatCode>0.00</c:formatCode>
                <c:ptCount val="1"/>
                <c:pt idx="0">
                  <c:v>0.1</c:v>
                </c:pt>
              </c:numCache>
            </c:numRef>
          </c:val>
        </c:ser>
        <c:ser>
          <c:idx val="1"/>
          <c:order val="1"/>
          <c:spPr>
            <a:solidFill>
              <a:srgbClr val="FFFF00"/>
            </a:solidFill>
            <a:ln w="25400">
              <a:noFill/>
            </a:ln>
          </c:spPr>
          <c:invertIfNegative val="0"/>
          <c:val>
            <c:numRef>
              <c:f>Kondens!$AU$106:$AU$106</c:f>
              <c:numCache>
                <c:formatCode>0.00</c:formatCode>
                <c:ptCount val="1"/>
                <c:pt idx="0">
                  <c:v>0</c:v>
                </c:pt>
              </c:numCache>
            </c:numRef>
          </c:val>
        </c:ser>
        <c:ser>
          <c:idx val="2"/>
          <c:order val="2"/>
          <c:spPr>
            <a:solidFill>
              <a:srgbClr val="00FF00"/>
            </a:solidFill>
            <a:ln w="25400">
              <a:noFill/>
            </a:ln>
          </c:spPr>
          <c:invertIfNegative val="0"/>
          <c:val>
            <c:numRef>
              <c:f>Kondens!$AU$107:$AU$107</c:f>
              <c:numCache>
                <c:formatCode>0.00</c:formatCode>
                <c:ptCount val="1"/>
                <c:pt idx="0">
                  <c:v>0</c:v>
                </c:pt>
              </c:numCache>
            </c:numRef>
          </c:val>
        </c:ser>
        <c:ser>
          <c:idx val="3"/>
          <c:order val="3"/>
          <c:spPr>
            <a:solidFill>
              <a:srgbClr val="CCFFCC"/>
            </a:solidFill>
            <a:ln w="25400">
              <a:noFill/>
            </a:ln>
          </c:spPr>
          <c:invertIfNegative val="0"/>
          <c:val>
            <c:numRef>
              <c:f>Kondens!$AU$108:$AU$108</c:f>
              <c:numCache>
                <c:formatCode>0.00</c:formatCode>
                <c:ptCount val="1"/>
                <c:pt idx="0">
                  <c:v>0</c:v>
                </c:pt>
              </c:numCache>
            </c:numRef>
          </c:val>
        </c:ser>
        <c:ser>
          <c:idx val="6"/>
          <c:order val="4"/>
          <c:spPr>
            <a:solidFill>
              <a:srgbClr val="00FFFF"/>
            </a:solidFill>
            <a:ln w="25400">
              <a:noFill/>
            </a:ln>
          </c:spPr>
          <c:invertIfNegative val="0"/>
          <c:val>
            <c:numRef>
              <c:f>Kondens!$AU$109:$AU$109</c:f>
              <c:numCache>
                <c:formatCode>0.00</c:formatCode>
                <c:ptCount val="1"/>
                <c:pt idx="0">
                  <c:v>0</c:v>
                </c:pt>
              </c:numCache>
            </c:numRef>
          </c:val>
        </c:ser>
        <c:ser>
          <c:idx val="4"/>
          <c:order val="5"/>
          <c:spPr>
            <a:solidFill>
              <a:srgbClr val="A6CAF0"/>
            </a:solidFill>
            <a:ln w="25400">
              <a:noFill/>
            </a:ln>
          </c:spPr>
          <c:invertIfNegative val="0"/>
          <c:val>
            <c:numRef>
              <c:f>Kondens!$AU$110:$AU$110</c:f>
              <c:numCache>
                <c:formatCode>0.00</c:formatCode>
                <c:ptCount val="1"/>
                <c:pt idx="0">
                  <c:v>0</c:v>
                </c:pt>
              </c:numCache>
            </c:numRef>
          </c:val>
        </c:ser>
        <c:ser>
          <c:idx val="7"/>
          <c:order val="6"/>
          <c:spPr>
            <a:solidFill>
              <a:srgbClr val="E3E3E3"/>
            </a:solidFill>
            <a:ln w="25400">
              <a:noFill/>
            </a:ln>
          </c:spPr>
          <c:invertIfNegative val="0"/>
          <c:val>
            <c:numRef>
              <c:f>Kondens!$AU$111:$AU$111</c:f>
              <c:numCache>
                <c:formatCode>0.00</c:formatCode>
                <c:ptCount val="1"/>
                <c:pt idx="0">
                  <c:v>0</c:v>
                </c:pt>
              </c:numCache>
            </c:numRef>
          </c:val>
        </c:ser>
        <c:ser>
          <c:idx val="8"/>
          <c:order val="7"/>
          <c:spPr>
            <a:solidFill>
              <a:srgbClr val="C0C0C0"/>
            </a:solidFill>
            <a:ln w="25400">
              <a:noFill/>
            </a:ln>
          </c:spPr>
          <c:invertIfNegative val="0"/>
          <c:val>
            <c:numRef>
              <c:f>Kondens!$AU$112:$AU$112</c:f>
              <c:numCache>
                <c:formatCode>0.00</c:formatCode>
                <c:ptCount val="1"/>
                <c:pt idx="0">
                  <c:v>0</c:v>
                </c:pt>
              </c:numCache>
            </c:numRef>
          </c:val>
        </c:ser>
        <c:ser>
          <c:idx val="9"/>
          <c:order val="8"/>
          <c:spPr>
            <a:noFill/>
            <a:ln w="25400">
              <a:noFill/>
            </a:ln>
          </c:spPr>
          <c:invertIfNegative val="0"/>
          <c:val>
            <c:numRef>
              <c:f>Kondens!$AU$113:$AU$113</c:f>
              <c:numCache>
                <c:formatCode>0.00</c:formatCode>
                <c:ptCount val="1"/>
                <c:pt idx="0">
                  <c:v>0.1</c:v>
                </c:pt>
              </c:numCache>
            </c:numRef>
          </c:val>
        </c:ser>
        <c:dLbls>
          <c:showLegendKey val="0"/>
          <c:showVal val="0"/>
          <c:showCatName val="0"/>
          <c:showSerName val="0"/>
          <c:showPercent val="0"/>
          <c:showBubbleSize val="0"/>
        </c:dLbls>
        <c:gapWidth val="0"/>
        <c:overlap val="100"/>
        <c:axId val="450745912"/>
        <c:axId val="451535184"/>
      </c:barChart>
      <c:scatterChart>
        <c:scatterStyle val="lineMarker"/>
        <c:varyColors val="0"/>
        <c:ser>
          <c:idx val="10"/>
          <c:order val="9"/>
          <c:spPr>
            <a:ln w="25400">
              <a:solidFill>
                <a:srgbClr val="00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Kondens!$BH$105:$BH$114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Kondens!$AW$105:$AW$114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34008"/>
        <c:axId val="451538712"/>
      </c:scatterChart>
      <c:catAx>
        <c:axId val="450745912"/>
        <c:scaling>
          <c:orientation val="minMax"/>
        </c:scaling>
        <c:delete val="0"/>
        <c:axPos val="l"/>
        <c:majorTickMark val="none"/>
        <c:minorTickMark val="none"/>
        <c:tickLblPos val="none"/>
        <c:spPr>
          <a:ln w="3175">
            <a:solidFill>
              <a:srgbClr val="000000"/>
            </a:solidFill>
            <a:prstDash val="solid"/>
          </a:ln>
        </c:spPr>
        <c:crossAx val="451535184"/>
        <c:crossesAt val="0"/>
        <c:auto val="1"/>
        <c:lblAlgn val="ctr"/>
        <c:lblOffset val="100"/>
        <c:tickMarkSkip val="1"/>
        <c:noMultiLvlLbl val="0"/>
      </c:catAx>
      <c:valAx>
        <c:axId val="451535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0745912"/>
        <c:crosses val="autoZero"/>
        <c:crossBetween val="between"/>
      </c:valAx>
      <c:valAx>
        <c:axId val="451534008"/>
        <c:scaling>
          <c:orientation val="minMax"/>
        </c:scaling>
        <c:delete val="0"/>
        <c:axPos val="t"/>
        <c:numFmt formatCode="General" sourceLinked="1"/>
        <c:majorTickMark val="none"/>
        <c:minorTickMark val="none"/>
        <c:tickLblPos val="none"/>
        <c:spPr>
          <a:ln w="3175">
            <a:solidFill>
              <a:srgbClr val="000000"/>
            </a:solidFill>
            <a:prstDash val="solid"/>
          </a:ln>
        </c:spPr>
        <c:crossAx val="451538712"/>
        <c:crosses val="max"/>
        <c:crossBetween val="midCat"/>
      </c:valAx>
      <c:valAx>
        <c:axId val="45153871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6.730769230769230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400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2918660287081341"/>
          <c:w val="0.81569965870307171"/>
          <c:h val="0.66028708133971292"/>
        </c:manualLayout>
      </c:layout>
      <c:barChart>
        <c:barDir val="bar"/>
        <c:grouping val="stacked"/>
        <c:varyColors val="0"/>
        <c:ser>
          <c:idx val="0"/>
          <c:order val="0"/>
          <c:spPr>
            <a:noFill/>
            <a:ln w="25400">
              <a:noFill/>
            </a:ln>
          </c:spPr>
          <c:invertIfNegative val="0"/>
          <c:val>
            <c:numRef>
              <c:f>Kondens!$AC$143:$AC$143</c:f>
              <c:numCache>
                <c:formatCode>0.00</c:formatCode>
                <c:ptCount val="1"/>
                <c:pt idx="0">
                  <c:v>0.1</c:v>
                </c:pt>
              </c:numCache>
            </c:numRef>
          </c:val>
        </c:ser>
        <c:ser>
          <c:idx val="1"/>
          <c:order val="1"/>
          <c:spPr>
            <a:solidFill>
              <a:srgbClr val="FFFF00"/>
            </a:solidFill>
            <a:ln w="25400">
              <a:noFill/>
            </a:ln>
          </c:spPr>
          <c:invertIfNegative val="0"/>
          <c:val>
            <c:numRef>
              <c:f>Kondens!$AC$144:$AC$144</c:f>
              <c:numCache>
                <c:formatCode>0.00</c:formatCode>
                <c:ptCount val="1"/>
                <c:pt idx="0">
                  <c:v>0</c:v>
                </c:pt>
              </c:numCache>
            </c:numRef>
          </c:val>
        </c:ser>
        <c:ser>
          <c:idx val="2"/>
          <c:order val="2"/>
          <c:spPr>
            <a:solidFill>
              <a:srgbClr val="00FF00"/>
            </a:solidFill>
            <a:ln w="25400">
              <a:noFill/>
            </a:ln>
          </c:spPr>
          <c:invertIfNegative val="0"/>
          <c:val>
            <c:numRef>
              <c:f>Kondens!$AC$145:$AC$145</c:f>
              <c:numCache>
                <c:formatCode>0.00</c:formatCode>
                <c:ptCount val="1"/>
                <c:pt idx="0">
                  <c:v>0</c:v>
                </c:pt>
              </c:numCache>
            </c:numRef>
          </c:val>
        </c:ser>
        <c:ser>
          <c:idx val="3"/>
          <c:order val="3"/>
          <c:spPr>
            <a:solidFill>
              <a:srgbClr val="CCFFCC"/>
            </a:solidFill>
            <a:ln w="25400">
              <a:noFill/>
            </a:ln>
          </c:spPr>
          <c:invertIfNegative val="0"/>
          <c:val>
            <c:numRef>
              <c:f>Kondens!$AC$146:$AC$146</c:f>
              <c:numCache>
                <c:formatCode>0.00</c:formatCode>
                <c:ptCount val="1"/>
                <c:pt idx="0">
                  <c:v>0</c:v>
                </c:pt>
              </c:numCache>
            </c:numRef>
          </c:val>
        </c:ser>
        <c:ser>
          <c:idx val="6"/>
          <c:order val="4"/>
          <c:spPr>
            <a:solidFill>
              <a:srgbClr val="00FFFF"/>
            </a:solidFill>
            <a:ln w="25400">
              <a:noFill/>
            </a:ln>
          </c:spPr>
          <c:invertIfNegative val="0"/>
          <c:val>
            <c:numRef>
              <c:f>Kondens!$AC$147:$AC$147</c:f>
              <c:numCache>
                <c:formatCode>0.00</c:formatCode>
                <c:ptCount val="1"/>
                <c:pt idx="0">
                  <c:v>0</c:v>
                </c:pt>
              </c:numCache>
            </c:numRef>
          </c:val>
        </c:ser>
        <c:ser>
          <c:idx val="4"/>
          <c:order val="5"/>
          <c:spPr>
            <a:solidFill>
              <a:srgbClr val="A6CAF0"/>
            </a:solidFill>
            <a:ln w="25400">
              <a:noFill/>
            </a:ln>
          </c:spPr>
          <c:invertIfNegative val="0"/>
          <c:val>
            <c:numRef>
              <c:f>Kondens!$AC$148:$AC$148</c:f>
              <c:numCache>
                <c:formatCode>0.00</c:formatCode>
                <c:ptCount val="1"/>
                <c:pt idx="0">
                  <c:v>0</c:v>
                </c:pt>
              </c:numCache>
            </c:numRef>
          </c:val>
        </c:ser>
        <c:ser>
          <c:idx val="7"/>
          <c:order val="6"/>
          <c:spPr>
            <a:solidFill>
              <a:srgbClr val="E3E3E3"/>
            </a:solidFill>
            <a:ln w="25400">
              <a:noFill/>
            </a:ln>
          </c:spPr>
          <c:invertIfNegative val="0"/>
          <c:val>
            <c:numRef>
              <c:f>Kondens!$AC$149:$AC$149</c:f>
              <c:numCache>
                <c:formatCode>0.00</c:formatCode>
                <c:ptCount val="1"/>
                <c:pt idx="0">
                  <c:v>0</c:v>
                </c:pt>
              </c:numCache>
            </c:numRef>
          </c:val>
        </c:ser>
        <c:ser>
          <c:idx val="8"/>
          <c:order val="7"/>
          <c:spPr>
            <a:solidFill>
              <a:srgbClr val="C0C0C0"/>
            </a:solidFill>
            <a:ln w="25400">
              <a:noFill/>
            </a:ln>
          </c:spPr>
          <c:invertIfNegative val="0"/>
          <c:val>
            <c:numRef>
              <c:f>Kondens!$AC$150:$AC$150</c:f>
              <c:numCache>
                <c:formatCode>0.00</c:formatCode>
                <c:ptCount val="1"/>
                <c:pt idx="0">
                  <c:v>0</c:v>
                </c:pt>
              </c:numCache>
            </c:numRef>
          </c:val>
        </c:ser>
        <c:ser>
          <c:idx val="9"/>
          <c:order val="8"/>
          <c:spPr>
            <a:noFill/>
            <a:ln w="25400">
              <a:noFill/>
            </a:ln>
          </c:spPr>
          <c:invertIfNegative val="0"/>
          <c:val>
            <c:numRef>
              <c:f>Kondens!$AC$151:$AC$151</c:f>
              <c:numCache>
                <c:formatCode>0.00</c:formatCode>
                <c:ptCount val="1"/>
                <c:pt idx="0">
                  <c:v>0.1</c:v>
                </c:pt>
              </c:numCache>
            </c:numRef>
          </c:val>
        </c:ser>
        <c:dLbls>
          <c:showLegendKey val="0"/>
          <c:showVal val="0"/>
          <c:showCatName val="0"/>
          <c:showSerName val="0"/>
          <c:showPercent val="0"/>
          <c:showBubbleSize val="0"/>
        </c:dLbls>
        <c:gapWidth val="0"/>
        <c:overlap val="100"/>
        <c:axId val="451532048"/>
        <c:axId val="451539104"/>
      </c:barChart>
      <c:scatterChart>
        <c:scatterStyle val="lineMarker"/>
        <c:varyColors val="0"/>
        <c:ser>
          <c:idx val="10"/>
          <c:order val="9"/>
          <c:spPr>
            <a:ln w="25400">
              <a:solidFill>
                <a:srgbClr val="00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Kondens!$AP$143:$AP$152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Kondens!$AE$143:$AE$152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32440"/>
        <c:axId val="451538320"/>
      </c:scatterChart>
      <c:catAx>
        <c:axId val="451532048"/>
        <c:scaling>
          <c:orientation val="minMax"/>
        </c:scaling>
        <c:delete val="0"/>
        <c:axPos val="l"/>
        <c:majorTickMark val="none"/>
        <c:minorTickMark val="none"/>
        <c:tickLblPos val="none"/>
        <c:spPr>
          <a:ln w="3175">
            <a:solidFill>
              <a:srgbClr val="000000"/>
            </a:solidFill>
            <a:prstDash val="solid"/>
          </a:ln>
        </c:spPr>
        <c:crossAx val="451539104"/>
        <c:crossesAt val="0"/>
        <c:auto val="1"/>
        <c:lblAlgn val="ctr"/>
        <c:lblOffset val="100"/>
        <c:tickMarkSkip val="1"/>
        <c:noMultiLvlLbl val="0"/>
      </c:catAx>
      <c:valAx>
        <c:axId val="4515391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2048"/>
        <c:crosses val="autoZero"/>
        <c:crossBetween val="between"/>
      </c:valAx>
      <c:valAx>
        <c:axId val="451532440"/>
        <c:scaling>
          <c:orientation val="minMax"/>
        </c:scaling>
        <c:delete val="0"/>
        <c:axPos val="t"/>
        <c:numFmt formatCode="General" sourceLinked="1"/>
        <c:majorTickMark val="none"/>
        <c:minorTickMark val="none"/>
        <c:tickLblPos val="none"/>
        <c:spPr>
          <a:ln w="3175">
            <a:solidFill>
              <a:srgbClr val="000000"/>
            </a:solidFill>
            <a:prstDash val="solid"/>
          </a:ln>
        </c:spPr>
        <c:crossAx val="451538320"/>
        <c:crosses val="max"/>
        <c:crossBetween val="midCat"/>
      </c:valAx>
      <c:valAx>
        <c:axId val="4515383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24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3397129186602871"/>
          <c:w val="0.80144545606783069"/>
          <c:h val="0.66507177033492826"/>
        </c:manualLayout>
      </c:layout>
      <c:barChart>
        <c:barDir val="bar"/>
        <c:grouping val="stacked"/>
        <c:varyColors val="0"/>
        <c:ser>
          <c:idx val="0"/>
          <c:order val="0"/>
          <c:spPr>
            <a:noFill/>
            <a:ln w="25400">
              <a:noFill/>
            </a:ln>
          </c:spPr>
          <c:invertIfNegative val="0"/>
          <c:val>
            <c:numRef>
              <c:f>Kondens!$AU$143:$AU$143</c:f>
              <c:numCache>
                <c:formatCode>0.00</c:formatCode>
                <c:ptCount val="1"/>
                <c:pt idx="0">
                  <c:v>0.1</c:v>
                </c:pt>
              </c:numCache>
            </c:numRef>
          </c:val>
        </c:ser>
        <c:ser>
          <c:idx val="1"/>
          <c:order val="1"/>
          <c:spPr>
            <a:solidFill>
              <a:srgbClr val="FFFF00"/>
            </a:solidFill>
            <a:ln w="25400">
              <a:noFill/>
            </a:ln>
          </c:spPr>
          <c:invertIfNegative val="0"/>
          <c:val>
            <c:numRef>
              <c:f>Kondens!$AU$144:$AU$144</c:f>
              <c:numCache>
                <c:formatCode>0.00</c:formatCode>
                <c:ptCount val="1"/>
                <c:pt idx="0">
                  <c:v>0</c:v>
                </c:pt>
              </c:numCache>
            </c:numRef>
          </c:val>
        </c:ser>
        <c:ser>
          <c:idx val="2"/>
          <c:order val="2"/>
          <c:spPr>
            <a:solidFill>
              <a:srgbClr val="00FF00"/>
            </a:solidFill>
            <a:ln w="25400">
              <a:noFill/>
            </a:ln>
          </c:spPr>
          <c:invertIfNegative val="0"/>
          <c:val>
            <c:numRef>
              <c:f>Kondens!$AU$145:$AU$145</c:f>
              <c:numCache>
                <c:formatCode>0.00</c:formatCode>
                <c:ptCount val="1"/>
                <c:pt idx="0">
                  <c:v>0</c:v>
                </c:pt>
              </c:numCache>
            </c:numRef>
          </c:val>
        </c:ser>
        <c:ser>
          <c:idx val="3"/>
          <c:order val="3"/>
          <c:spPr>
            <a:solidFill>
              <a:srgbClr val="CCFFCC"/>
            </a:solidFill>
            <a:ln w="25400">
              <a:noFill/>
            </a:ln>
          </c:spPr>
          <c:invertIfNegative val="0"/>
          <c:val>
            <c:numRef>
              <c:f>Kondens!$AU$146:$AU$146</c:f>
              <c:numCache>
                <c:formatCode>0.00</c:formatCode>
                <c:ptCount val="1"/>
                <c:pt idx="0">
                  <c:v>0</c:v>
                </c:pt>
              </c:numCache>
            </c:numRef>
          </c:val>
        </c:ser>
        <c:ser>
          <c:idx val="6"/>
          <c:order val="4"/>
          <c:spPr>
            <a:solidFill>
              <a:srgbClr val="00FFFF"/>
            </a:solidFill>
            <a:ln w="25400">
              <a:noFill/>
            </a:ln>
          </c:spPr>
          <c:invertIfNegative val="0"/>
          <c:val>
            <c:numRef>
              <c:f>Kondens!$AU$147:$AU$147</c:f>
              <c:numCache>
                <c:formatCode>0.00</c:formatCode>
                <c:ptCount val="1"/>
                <c:pt idx="0">
                  <c:v>0</c:v>
                </c:pt>
              </c:numCache>
            </c:numRef>
          </c:val>
        </c:ser>
        <c:ser>
          <c:idx val="4"/>
          <c:order val="5"/>
          <c:spPr>
            <a:solidFill>
              <a:srgbClr val="A6CAF0"/>
            </a:solidFill>
            <a:ln w="25400">
              <a:noFill/>
            </a:ln>
          </c:spPr>
          <c:invertIfNegative val="0"/>
          <c:val>
            <c:numRef>
              <c:f>Kondens!$AU$148:$AU$148</c:f>
              <c:numCache>
                <c:formatCode>0.00</c:formatCode>
                <c:ptCount val="1"/>
                <c:pt idx="0">
                  <c:v>0</c:v>
                </c:pt>
              </c:numCache>
            </c:numRef>
          </c:val>
        </c:ser>
        <c:ser>
          <c:idx val="7"/>
          <c:order val="6"/>
          <c:spPr>
            <a:solidFill>
              <a:srgbClr val="E3E3E3"/>
            </a:solidFill>
            <a:ln w="25400">
              <a:noFill/>
            </a:ln>
          </c:spPr>
          <c:invertIfNegative val="0"/>
          <c:val>
            <c:numRef>
              <c:f>Kondens!$AU$149:$AU$149</c:f>
              <c:numCache>
                <c:formatCode>0.00</c:formatCode>
                <c:ptCount val="1"/>
                <c:pt idx="0">
                  <c:v>0</c:v>
                </c:pt>
              </c:numCache>
            </c:numRef>
          </c:val>
        </c:ser>
        <c:ser>
          <c:idx val="8"/>
          <c:order val="7"/>
          <c:spPr>
            <a:solidFill>
              <a:srgbClr val="C0C0C0"/>
            </a:solidFill>
            <a:ln w="25400">
              <a:noFill/>
            </a:ln>
          </c:spPr>
          <c:invertIfNegative val="0"/>
          <c:val>
            <c:numRef>
              <c:f>Kondens!$AU$150:$AU$150</c:f>
              <c:numCache>
                <c:formatCode>0.00</c:formatCode>
                <c:ptCount val="1"/>
                <c:pt idx="0">
                  <c:v>0</c:v>
                </c:pt>
              </c:numCache>
            </c:numRef>
          </c:val>
        </c:ser>
        <c:ser>
          <c:idx val="9"/>
          <c:order val="8"/>
          <c:spPr>
            <a:noFill/>
            <a:ln w="25400">
              <a:noFill/>
            </a:ln>
          </c:spPr>
          <c:invertIfNegative val="0"/>
          <c:val>
            <c:numRef>
              <c:f>Kondens!$AU$151:$AU$151</c:f>
              <c:numCache>
                <c:formatCode>0.00</c:formatCode>
                <c:ptCount val="1"/>
                <c:pt idx="0">
                  <c:v>0.1</c:v>
                </c:pt>
              </c:numCache>
            </c:numRef>
          </c:val>
        </c:ser>
        <c:dLbls>
          <c:showLegendKey val="0"/>
          <c:showVal val="0"/>
          <c:showCatName val="0"/>
          <c:showSerName val="0"/>
          <c:showPercent val="0"/>
          <c:showBubbleSize val="0"/>
        </c:dLbls>
        <c:gapWidth val="0"/>
        <c:overlap val="100"/>
        <c:axId val="451536360"/>
        <c:axId val="451534400"/>
      </c:barChart>
      <c:scatterChart>
        <c:scatterStyle val="lineMarker"/>
        <c:varyColors val="0"/>
        <c:ser>
          <c:idx val="10"/>
          <c:order val="9"/>
          <c:spPr>
            <a:ln w="25400">
              <a:solidFill>
                <a:srgbClr val="00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Kondens!$BH$143:$BH$152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Kondens!$AW$143:$AW$152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34792"/>
        <c:axId val="451537144"/>
      </c:scatterChart>
      <c:catAx>
        <c:axId val="451536360"/>
        <c:scaling>
          <c:orientation val="minMax"/>
        </c:scaling>
        <c:delete val="0"/>
        <c:axPos val="l"/>
        <c:majorTickMark val="none"/>
        <c:minorTickMark val="none"/>
        <c:tickLblPos val="none"/>
        <c:spPr>
          <a:ln w="3175">
            <a:solidFill>
              <a:srgbClr val="000000"/>
            </a:solidFill>
            <a:prstDash val="solid"/>
          </a:ln>
        </c:spPr>
        <c:crossAx val="451534400"/>
        <c:crossesAt val="0"/>
        <c:auto val="1"/>
        <c:lblAlgn val="ctr"/>
        <c:lblOffset val="100"/>
        <c:tickMarkSkip val="1"/>
        <c:noMultiLvlLbl val="0"/>
      </c:catAx>
      <c:valAx>
        <c:axId val="4515344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6360"/>
        <c:crosses val="autoZero"/>
        <c:crossBetween val="between"/>
      </c:valAx>
      <c:valAx>
        <c:axId val="451534792"/>
        <c:scaling>
          <c:orientation val="minMax"/>
        </c:scaling>
        <c:delete val="0"/>
        <c:axPos val="t"/>
        <c:numFmt formatCode="General" sourceLinked="1"/>
        <c:majorTickMark val="none"/>
        <c:minorTickMark val="none"/>
        <c:tickLblPos val="none"/>
        <c:spPr>
          <a:ln w="3175">
            <a:solidFill>
              <a:srgbClr val="000000"/>
            </a:solidFill>
            <a:prstDash val="solid"/>
          </a:ln>
        </c:spPr>
        <c:crossAx val="451537144"/>
        <c:crosses val="max"/>
        <c:crossBetween val="midCat"/>
      </c:valAx>
      <c:valAx>
        <c:axId val="45153714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479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6813295864518697"/>
          <c:y val="2.5547476421906593E-2"/>
        </c:manualLayout>
      </c:layout>
      <c:overlay val="0"/>
      <c:spPr>
        <a:noFill/>
        <a:ln w="25400">
          <a:noFill/>
        </a:ln>
      </c:spPr>
    </c:title>
    <c:autoTitleDeleted val="0"/>
    <c:plotArea>
      <c:layout>
        <c:manualLayout>
          <c:layoutTarget val="inner"/>
          <c:xMode val="edge"/>
          <c:yMode val="edge"/>
          <c:x val="6.0070775022731858E-2"/>
          <c:y val="0.11483253588516747"/>
          <c:w val="0.79505437530086287"/>
          <c:h val="0.65550239234449759"/>
        </c:manualLayout>
      </c:layout>
      <c:barChart>
        <c:barDir val="bar"/>
        <c:grouping val="stacked"/>
        <c:varyColors val="0"/>
        <c:ser>
          <c:idx val="0"/>
          <c:order val="0"/>
          <c:tx>
            <c:v>Innen</c:v>
          </c:tx>
          <c:spPr>
            <a:noFill/>
            <a:ln w="25400">
              <a:noFill/>
            </a:ln>
          </c:spPr>
          <c:invertIfNegative val="0"/>
          <c:val>
            <c:numRef>
              <c:f>Kondens!$AC$14:$AC$14</c:f>
              <c:numCache>
                <c:formatCode>0.00</c:formatCode>
                <c:ptCount val="1"/>
                <c:pt idx="0">
                  <c:v>0.1</c:v>
                </c:pt>
              </c:numCache>
            </c:numRef>
          </c:val>
        </c:ser>
        <c:ser>
          <c:idx val="1"/>
          <c:order val="1"/>
          <c:tx>
            <c:v>Bauteil 1</c:v>
          </c:tx>
          <c:spPr>
            <a:solidFill>
              <a:srgbClr val="FFFF00"/>
            </a:solidFill>
            <a:ln w="25400">
              <a:noFill/>
            </a:ln>
          </c:spPr>
          <c:invertIfNegative val="0"/>
          <c:val>
            <c:numRef>
              <c:f>Kondens!$AC$15:$AC$15</c:f>
              <c:numCache>
                <c:formatCode>0.00</c:formatCode>
                <c:ptCount val="1"/>
                <c:pt idx="0">
                  <c:v>0</c:v>
                </c:pt>
              </c:numCache>
            </c:numRef>
          </c:val>
        </c:ser>
        <c:ser>
          <c:idx val="2"/>
          <c:order val="2"/>
          <c:tx>
            <c:v>Bauteil 2</c:v>
          </c:tx>
          <c:spPr>
            <a:solidFill>
              <a:srgbClr val="00FF00"/>
            </a:solidFill>
            <a:ln w="25400">
              <a:noFill/>
            </a:ln>
          </c:spPr>
          <c:invertIfNegative val="0"/>
          <c:val>
            <c:numRef>
              <c:f>Kondens!$AC$16:$AC$16</c:f>
              <c:numCache>
                <c:formatCode>0.00</c:formatCode>
                <c:ptCount val="1"/>
                <c:pt idx="0">
                  <c:v>0</c:v>
                </c:pt>
              </c:numCache>
            </c:numRef>
          </c:val>
        </c:ser>
        <c:ser>
          <c:idx val="3"/>
          <c:order val="3"/>
          <c:tx>
            <c:v>Bauteil 3</c:v>
          </c:tx>
          <c:spPr>
            <a:solidFill>
              <a:srgbClr val="CCFFCC"/>
            </a:solidFill>
            <a:ln w="25400">
              <a:noFill/>
            </a:ln>
          </c:spPr>
          <c:invertIfNegative val="0"/>
          <c:val>
            <c:numRef>
              <c:f>Kondens!$AC$17:$AC$17</c:f>
              <c:numCache>
                <c:formatCode>0.00</c:formatCode>
                <c:ptCount val="1"/>
                <c:pt idx="0">
                  <c:v>0</c:v>
                </c:pt>
              </c:numCache>
            </c:numRef>
          </c:val>
        </c:ser>
        <c:ser>
          <c:idx val="6"/>
          <c:order val="4"/>
          <c:tx>
            <c:v>Bauteil 4</c:v>
          </c:tx>
          <c:spPr>
            <a:solidFill>
              <a:srgbClr val="00FFFF"/>
            </a:solidFill>
            <a:ln w="25400">
              <a:noFill/>
            </a:ln>
          </c:spPr>
          <c:invertIfNegative val="0"/>
          <c:val>
            <c:numRef>
              <c:f>Kondens!$AC$18:$AC$18</c:f>
              <c:numCache>
                <c:formatCode>0.00</c:formatCode>
                <c:ptCount val="1"/>
                <c:pt idx="0">
                  <c:v>0</c:v>
                </c:pt>
              </c:numCache>
            </c:numRef>
          </c:val>
        </c:ser>
        <c:ser>
          <c:idx val="4"/>
          <c:order val="5"/>
          <c:tx>
            <c:v>Bauteil 5</c:v>
          </c:tx>
          <c:spPr>
            <a:solidFill>
              <a:srgbClr val="A6CAF0"/>
            </a:solidFill>
            <a:ln w="25400">
              <a:noFill/>
            </a:ln>
          </c:spPr>
          <c:invertIfNegative val="0"/>
          <c:val>
            <c:numRef>
              <c:f>Kondens!$AC$19:$AC$19</c:f>
              <c:numCache>
                <c:formatCode>0.00</c:formatCode>
                <c:ptCount val="1"/>
                <c:pt idx="0">
                  <c:v>0</c:v>
                </c:pt>
              </c:numCache>
            </c:numRef>
          </c:val>
        </c:ser>
        <c:ser>
          <c:idx val="7"/>
          <c:order val="6"/>
          <c:tx>
            <c:v>Bauteil 6</c:v>
          </c:tx>
          <c:spPr>
            <a:solidFill>
              <a:srgbClr val="E3E3E3"/>
            </a:solidFill>
            <a:ln w="25400">
              <a:noFill/>
            </a:ln>
          </c:spPr>
          <c:invertIfNegative val="0"/>
          <c:val>
            <c:numRef>
              <c:f>Kondens!$AC$20:$AC$20</c:f>
              <c:numCache>
                <c:formatCode>0.00</c:formatCode>
                <c:ptCount val="1"/>
                <c:pt idx="0">
                  <c:v>0</c:v>
                </c:pt>
              </c:numCache>
            </c:numRef>
          </c:val>
        </c:ser>
        <c:ser>
          <c:idx val="8"/>
          <c:order val="7"/>
          <c:tx>
            <c:v>Bauteil 7</c:v>
          </c:tx>
          <c:spPr>
            <a:solidFill>
              <a:srgbClr val="C0C0C0"/>
            </a:solidFill>
            <a:ln w="25400">
              <a:noFill/>
            </a:ln>
          </c:spPr>
          <c:invertIfNegative val="0"/>
          <c:val>
            <c:numRef>
              <c:f>Kondens!$AC$21:$AC$21</c:f>
              <c:numCache>
                <c:formatCode>0.00</c:formatCode>
                <c:ptCount val="1"/>
                <c:pt idx="0">
                  <c:v>0</c:v>
                </c:pt>
              </c:numCache>
            </c:numRef>
          </c:val>
        </c:ser>
        <c:ser>
          <c:idx val="9"/>
          <c:order val="8"/>
          <c:tx>
            <c:v>Aussen</c:v>
          </c:tx>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451535968"/>
        <c:axId val="451536752"/>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451537536"/>
        <c:axId val="451537928"/>
      </c:scatterChart>
      <c:catAx>
        <c:axId val="451535968"/>
        <c:scaling>
          <c:orientation val="minMax"/>
        </c:scaling>
        <c:delete val="0"/>
        <c:axPos val="l"/>
        <c:majorTickMark val="none"/>
        <c:minorTickMark val="none"/>
        <c:tickLblPos val="none"/>
        <c:spPr>
          <a:ln w="3175">
            <a:solidFill>
              <a:srgbClr val="000000"/>
            </a:solidFill>
            <a:prstDash val="solid"/>
          </a:ln>
        </c:spPr>
        <c:crossAx val="451536752"/>
        <c:crossesAt val="0"/>
        <c:auto val="1"/>
        <c:lblAlgn val="ctr"/>
        <c:lblOffset val="100"/>
        <c:tickMarkSkip val="1"/>
        <c:noMultiLvlLbl val="0"/>
      </c:catAx>
      <c:valAx>
        <c:axId val="451536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491277371247316"/>
              <c:y val="0.8803827751196172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5968"/>
        <c:crosses val="autoZero"/>
        <c:crossBetween val="between"/>
      </c:valAx>
      <c:valAx>
        <c:axId val="451537536"/>
        <c:scaling>
          <c:orientation val="minMax"/>
        </c:scaling>
        <c:delete val="0"/>
        <c:axPos val="t"/>
        <c:numFmt formatCode="General" sourceLinked="1"/>
        <c:majorTickMark val="none"/>
        <c:minorTickMark val="none"/>
        <c:tickLblPos val="none"/>
        <c:spPr>
          <a:ln w="3175">
            <a:solidFill>
              <a:srgbClr val="000000"/>
            </a:solidFill>
            <a:prstDash val="solid"/>
          </a:ln>
        </c:spPr>
        <c:crossAx val="451537928"/>
        <c:crosses val="max"/>
        <c:crossBetween val="midCat"/>
      </c:valAx>
      <c:valAx>
        <c:axId val="45153792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6.698564593301435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3753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6507177033492826"/>
        </c:manualLayout>
      </c:layout>
      <c:barChart>
        <c:barDir val="bar"/>
        <c:grouping val="stacked"/>
        <c:varyColors val="0"/>
        <c:ser>
          <c:idx val="0"/>
          <c:order val="0"/>
          <c:spPr>
            <a:noFill/>
            <a:ln w="25400">
              <a:noFill/>
            </a:ln>
          </c:spPr>
          <c:invertIfNegative val="0"/>
          <c:val>
            <c:numRef>
              <c:f>Kondens!$AC$160:$AC$160</c:f>
              <c:numCache>
                <c:formatCode>0.00</c:formatCode>
                <c:ptCount val="1"/>
                <c:pt idx="0">
                  <c:v>0.1</c:v>
                </c:pt>
              </c:numCache>
            </c:numRef>
          </c:val>
        </c:ser>
        <c:ser>
          <c:idx val="1"/>
          <c:order val="1"/>
          <c:spPr>
            <a:solidFill>
              <a:srgbClr val="FFFF00"/>
            </a:solidFill>
            <a:ln w="25400">
              <a:noFill/>
            </a:ln>
          </c:spPr>
          <c:invertIfNegative val="0"/>
          <c:val>
            <c:numRef>
              <c:f>Kondens!$AC$161:$AC$161</c:f>
              <c:numCache>
                <c:formatCode>0.00</c:formatCode>
                <c:ptCount val="1"/>
                <c:pt idx="0">
                  <c:v>0</c:v>
                </c:pt>
              </c:numCache>
            </c:numRef>
          </c:val>
        </c:ser>
        <c:ser>
          <c:idx val="2"/>
          <c:order val="2"/>
          <c:spPr>
            <a:solidFill>
              <a:srgbClr val="00FF00"/>
            </a:solidFill>
            <a:ln w="25400">
              <a:noFill/>
            </a:ln>
          </c:spPr>
          <c:invertIfNegative val="0"/>
          <c:val>
            <c:numRef>
              <c:f>Kondens!$AC$162:$AC$162</c:f>
              <c:numCache>
                <c:formatCode>0.00</c:formatCode>
                <c:ptCount val="1"/>
                <c:pt idx="0">
                  <c:v>0</c:v>
                </c:pt>
              </c:numCache>
            </c:numRef>
          </c:val>
        </c:ser>
        <c:ser>
          <c:idx val="3"/>
          <c:order val="3"/>
          <c:spPr>
            <a:solidFill>
              <a:srgbClr val="CCFFCC"/>
            </a:solidFill>
            <a:ln w="25400">
              <a:noFill/>
            </a:ln>
          </c:spPr>
          <c:invertIfNegative val="0"/>
          <c:val>
            <c:numRef>
              <c:f>Kondens!$AC$163:$AC$163</c:f>
              <c:numCache>
                <c:formatCode>0.00</c:formatCode>
                <c:ptCount val="1"/>
                <c:pt idx="0">
                  <c:v>0</c:v>
                </c:pt>
              </c:numCache>
            </c:numRef>
          </c:val>
        </c:ser>
        <c:ser>
          <c:idx val="6"/>
          <c:order val="4"/>
          <c:spPr>
            <a:solidFill>
              <a:srgbClr val="00FFFF"/>
            </a:solidFill>
            <a:ln w="25400">
              <a:noFill/>
            </a:ln>
          </c:spPr>
          <c:invertIfNegative val="0"/>
          <c:val>
            <c:numRef>
              <c:f>Kondens!$AC$164:$AC$164</c:f>
              <c:numCache>
                <c:formatCode>0.00</c:formatCode>
                <c:ptCount val="1"/>
                <c:pt idx="0">
                  <c:v>0</c:v>
                </c:pt>
              </c:numCache>
            </c:numRef>
          </c:val>
        </c:ser>
        <c:ser>
          <c:idx val="4"/>
          <c:order val="5"/>
          <c:spPr>
            <a:solidFill>
              <a:srgbClr val="A6CAF0"/>
            </a:solidFill>
            <a:ln w="25400">
              <a:noFill/>
            </a:ln>
          </c:spPr>
          <c:invertIfNegative val="0"/>
          <c:val>
            <c:numRef>
              <c:f>Kondens!$AC$165:$AC$165</c:f>
              <c:numCache>
                <c:formatCode>0.00</c:formatCode>
                <c:ptCount val="1"/>
                <c:pt idx="0">
                  <c:v>0</c:v>
                </c:pt>
              </c:numCache>
            </c:numRef>
          </c:val>
        </c:ser>
        <c:ser>
          <c:idx val="7"/>
          <c:order val="6"/>
          <c:spPr>
            <a:solidFill>
              <a:srgbClr val="E3E3E3"/>
            </a:solidFill>
            <a:ln w="25400">
              <a:noFill/>
            </a:ln>
          </c:spPr>
          <c:invertIfNegative val="0"/>
          <c:val>
            <c:numRef>
              <c:f>Kondens!$AC$166:$AC$166</c:f>
              <c:numCache>
                <c:formatCode>0.00</c:formatCode>
                <c:ptCount val="1"/>
                <c:pt idx="0">
                  <c:v>0</c:v>
                </c:pt>
              </c:numCache>
            </c:numRef>
          </c:val>
        </c:ser>
        <c:ser>
          <c:idx val="8"/>
          <c:order val="7"/>
          <c:spPr>
            <a:solidFill>
              <a:srgbClr val="C0C0C0"/>
            </a:solidFill>
            <a:ln w="25400">
              <a:noFill/>
            </a:ln>
          </c:spPr>
          <c:invertIfNegative val="0"/>
          <c:val>
            <c:numRef>
              <c:f>Kondens!$AC$167:$AC$167</c:f>
              <c:numCache>
                <c:formatCode>0.00</c:formatCode>
                <c:ptCount val="1"/>
                <c:pt idx="0">
                  <c:v>0</c:v>
                </c:pt>
              </c:numCache>
            </c:numRef>
          </c:val>
        </c:ser>
        <c:ser>
          <c:idx val="9"/>
          <c:order val="8"/>
          <c:spPr>
            <a:noFill/>
            <a:ln w="25400">
              <a:noFill/>
            </a:ln>
          </c:spPr>
          <c:invertIfNegative val="0"/>
          <c:val>
            <c:numRef>
              <c:f>Kondens!$AC$168:$AC$168</c:f>
              <c:numCache>
                <c:formatCode>0.00</c:formatCode>
                <c:ptCount val="1"/>
                <c:pt idx="0">
                  <c:v>0.1</c:v>
                </c:pt>
              </c:numCache>
            </c:numRef>
          </c:val>
        </c:ser>
        <c:dLbls>
          <c:showLegendKey val="0"/>
          <c:showVal val="0"/>
          <c:showCatName val="0"/>
          <c:showSerName val="0"/>
          <c:showPercent val="0"/>
          <c:showBubbleSize val="0"/>
        </c:dLbls>
        <c:gapWidth val="0"/>
        <c:overlap val="100"/>
        <c:axId val="451589456"/>
        <c:axId val="451594160"/>
      </c:barChart>
      <c:scatterChart>
        <c:scatterStyle val="lineMarker"/>
        <c:varyColors val="0"/>
        <c:ser>
          <c:idx val="10"/>
          <c:order val="9"/>
          <c:spPr>
            <a:ln w="25400">
              <a:solidFill>
                <a:srgbClr val="00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Kondens!$AP$160:$AP$169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Kondens!$AE$160:$AE$169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92984"/>
        <c:axId val="451599256"/>
      </c:scatterChart>
      <c:catAx>
        <c:axId val="451589456"/>
        <c:scaling>
          <c:orientation val="minMax"/>
        </c:scaling>
        <c:delete val="0"/>
        <c:axPos val="l"/>
        <c:majorTickMark val="none"/>
        <c:minorTickMark val="none"/>
        <c:tickLblPos val="none"/>
        <c:spPr>
          <a:ln w="3175">
            <a:solidFill>
              <a:srgbClr val="000000"/>
            </a:solidFill>
            <a:prstDash val="solid"/>
          </a:ln>
        </c:spPr>
        <c:crossAx val="451594160"/>
        <c:crossesAt val="0"/>
        <c:auto val="1"/>
        <c:lblAlgn val="ctr"/>
        <c:lblOffset val="100"/>
        <c:tickMarkSkip val="1"/>
        <c:noMultiLvlLbl val="0"/>
      </c:catAx>
      <c:valAx>
        <c:axId val="4515941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89456"/>
        <c:crosses val="autoZero"/>
        <c:crossBetween val="between"/>
      </c:valAx>
      <c:valAx>
        <c:axId val="451592984"/>
        <c:scaling>
          <c:orientation val="minMax"/>
        </c:scaling>
        <c:delete val="0"/>
        <c:axPos val="t"/>
        <c:numFmt formatCode="General" sourceLinked="1"/>
        <c:majorTickMark val="none"/>
        <c:minorTickMark val="none"/>
        <c:tickLblPos val="none"/>
        <c:spPr>
          <a:ln w="3175">
            <a:solidFill>
              <a:srgbClr val="000000"/>
            </a:solidFill>
            <a:prstDash val="solid"/>
          </a:ln>
        </c:spPr>
        <c:crossAx val="451599256"/>
        <c:crosses val="max"/>
        <c:crossBetween val="midCat"/>
      </c:valAx>
      <c:valAx>
        <c:axId val="4515992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9.56937799043062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9298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2918660287081341"/>
          <c:w val="0.79422522673388629"/>
          <c:h val="0.66028708133971292"/>
        </c:manualLayout>
      </c:layout>
      <c:barChart>
        <c:barDir val="bar"/>
        <c:grouping val="stacked"/>
        <c:varyColors val="0"/>
        <c:ser>
          <c:idx val="0"/>
          <c:order val="0"/>
          <c:spPr>
            <a:noFill/>
            <a:ln w="25400">
              <a:noFill/>
            </a:ln>
          </c:spPr>
          <c:invertIfNegative val="0"/>
          <c:val>
            <c:numRef>
              <c:f>Kondens!$AU$160:$AU$160</c:f>
              <c:numCache>
                <c:formatCode>0.00</c:formatCode>
                <c:ptCount val="1"/>
                <c:pt idx="0">
                  <c:v>0.1</c:v>
                </c:pt>
              </c:numCache>
            </c:numRef>
          </c:val>
        </c:ser>
        <c:ser>
          <c:idx val="1"/>
          <c:order val="1"/>
          <c:spPr>
            <a:solidFill>
              <a:srgbClr val="FFFF00"/>
            </a:solidFill>
            <a:ln w="25400">
              <a:noFill/>
            </a:ln>
          </c:spPr>
          <c:invertIfNegative val="0"/>
          <c:val>
            <c:numRef>
              <c:f>Kondens!$AU$161:$AU$161</c:f>
              <c:numCache>
                <c:formatCode>0.00</c:formatCode>
                <c:ptCount val="1"/>
                <c:pt idx="0">
                  <c:v>0</c:v>
                </c:pt>
              </c:numCache>
            </c:numRef>
          </c:val>
        </c:ser>
        <c:ser>
          <c:idx val="2"/>
          <c:order val="2"/>
          <c:spPr>
            <a:solidFill>
              <a:srgbClr val="00FF00"/>
            </a:solidFill>
            <a:ln w="25400">
              <a:noFill/>
            </a:ln>
          </c:spPr>
          <c:invertIfNegative val="0"/>
          <c:val>
            <c:numRef>
              <c:f>Kondens!$AU$162:$AU$162</c:f>
              <c:numCache>
                <c:formatCode>0.00</c:formatCode>
                <c:ptCount val="1"/>
                <c:pt idx="0">
                  <c:v>0</c:v>
                </c:pt>
              </c:numCache>
            </c:numRef>
          </c:val>
        </c:ser>
        <c:ser>
          <c:idx val="3"/>
          <c:order val="3"/>
          <c:spPr>
            <a:solidFill>
              <a:srgbClr val="CCFFCC"/>
            </a:solidFill>
            <a:ln w="25400">
              <a:noFill/>
            </a:ln>
          </c:spPr>
          <c:invertIfNegative val="0"/>
          <c:val>
            <c:numRef>
              <c:f>Kondens!$AU$163:$AU$163</c:f>
              <c:numCache>
                <c:formatCode>0.00</c:formatCode>
                <c:ptCount val="1"/>
                <c:pt idx="0">
                  <c:v>0</c:v>
                </c:pt>
              </c:numCache>
            </c:numRef>
          </c:val>
        </c:ser>
        <c:ser>
          <c:idx val="6"/>
          <c:order val="4"/>
          <c:spPr>
            <a:solidFill>
              <a:srgbClr val="00FFFF"/>
            </a:solidFill>
            <a:ln w="25400">
              <a:noFill/>
            </a:ln>
          </c:spPr>
          <c:invertIfNegative val="0"/>
          <c:val>
            <c:numRef>
              <c:f>Kondens!$AU$164:$AU$164</c:f>
              <c:numCache>
                <c:formatCode>0.00</c:formatCode>
                <c:ptCount val="1"/>
                <c:pt idx="0">
                  <c:v>0</c:v>
                </c:pt>
              </c:numCache>
            </c:numRef>
          </c:val>
        </c:ser>
        <c:ser>
          <c:idx val="4"/>
          <c:order val="5"/>
          <c:spPr>
            <a:solidFill>
              <a:srgbClr val="A6CAF0"/>
            </a:solidFill>
            <a:ln w="25400">
              <a:noFill/>
            </a:ln>
          </c:spPr>
          <c:invertIfNegative val="0"/>
          <c:val>
            <c:numRef>
              <c:f>Kondens!$AU$165:$AU$165</c:f>
              <c:numCache>
                <c:formatCode>0.00</c:formatCode>
                <c:ptCount val="1"/>
                <c:pt idx="0">
                  <c:v>0</c:v>
                </c:pt>
              </c:numCache>
            </c:numRef>
          </c:val>
        </c:ser>
        <c:ser>
          <c:idx val="7"/>
          <c:order val="6"/>
          <c:spPr>
            <a:solidFill>
              <a:srgbClr val="E3E3E3"/>
            </a:solidFill>
            <a:ln w="25400">
              <a:noFill/>
            </a:ln>
          </c:spPr>
          <c:invertIfNegative val="0"/>
          <c:val>
            <c:numRef>
              <c:f>Kondens!$AU$166:$AU$166</c:f>
              <c:numCache>
                <c:formatCode>0.00</c:formatCode>
                <c:ptCount val="1"/>
                <c:pt idx="0">
                  <c:v>0</c:v>
                </c:pt>
              </c:numCache>
            </c:numRef>
          </c:val>
        </c:ser>
        <c:ser>
          <c:idx val="8"/>
          <c:order val="7"/>
          <c:spPr>
            <a:solidFill>
              <a:srgbClr val="C0C0C0"/>
            </a:solidFill>
            <a:ln w="25400">
              <a:noFill/>
            </a:ln>
          </c:spPr>
          <c:invertIfNegative val="0"/>
          <c:val>
            <c:numRef>
              <c:f>Kondens!$AU$167:$AU$167</c:f>
              <c:numCache>
                <c:formatCode>0.00</c:formatCode>
                <c:ptCount val="1"/>
                <c:pt idx="0">
                  <c:v>0</c:v>
                </c:pt>
              </c:numCache>
            </c:numRef>
          </c:val>
        </c:ser>
        <c:ser>
          <c:idx val="9"/>
          <c:order val="8"/>
          <c:spPr>
            <a:noFill/>
            <a:ln w="25400">
              <a:noFill/>
            </a:ln>
          </c:spPr>
          <c:invertIfNegative val="0"/>
          <c:val>
            <c:numRef>
              <c:f>Kondens!$AU$168:$AU$168</c:f>
              <c:numCache>
                <c:formatCode>0.00</c:formatCode>
                <c:ptCount val="1"/>
                <c:pt idx="0">
                  <c:v>0.1</c:v>
                </c:pt>
              </c:numCache>
            </c:numRef>
          </c:val>
        </c:ser>
        <c:dLbls>
          <c:showLegendKey val="0"/>
          <c:showVal val="0"/>
          <c:showCatName val="0"/>
          <c:showSerName val="0"/>
          <c:showPercent val="0"/>
          <c:showBubbleSize val="0"/>
        </c:dLbls>
        <c:gapWidth val="0"/>
        <c:overlap val="100"/>
        <c:axId val="451600824"/>
        <c:axId val="451601216"/>
      </c:barChart>
      <c:scatterChart>
        <c:scatterStyle val="lineMarker"/>
        <c:varyColors val="0"/>
        <c:ser>
          <c:idx val="10"/>
          <c:order val="9"/>
          <c:spPr>
            <a:ln w="25400">
              <a:solidFill>
                <a:srgbClr val="00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Kondens!$BH$160:$BH$169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Kondens!$AW$160:$AW$169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94944"/>
        <c:axId val="451597688"/>
      </c:scatterChart>
      <c:catAx>
        <c:axId val="451600824"/>
        <c:scaling>
          <c:orientation val="minMax"/>
        </c:scaling>
        <c:delete val="0"/>
        <c:axPos val="l"/>
        <c:majorTickMark val="none"/>
        <c:minorTickMark val="none"/>
        <c:tickLblPos val="none"/>
        <c:spPr>
          <a:ln w="3175">
            <a:solidFill>
              <a:srgbClr val="000000"/>
            </a:solidFill>
            <a:prstDash val="solid"/>
          </a:ln>
        </c:spPr>
        <c:crossAx val="451601216"/>
        <c:crossesAt val="0"/>
        <c:auto val="1"/>
        <c:lblAlgn val="ctr"/>
        <c:lblOffset val="100"/>
        <c:tickMarkSkip val="1"/>
        <c:noMultiLvlLbl val="0"/>
      </c:catAx>
      <c:valAx>
        <c:axId val="4516012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600824"/>
        <c:crosses val="autoZero"/>
        <c:crossBetween val="between"/>
      </c:valAx>
      <c:valAx>
        <c:axId val="451594944"/>
        <c:scaling>
          <c:orientation val="minMax"/>
        </c:scaling>
        <c:delete val="0"/>
        <c:axPos val="t"/>
        <c:numFmt formatCode="General" sourceLinked="1"/>
        <c:majorTickMark val="none"/>
        <c:minorTickMark val="none"/>
        <c:tickLblPos val="none"/>
        <c:spPr>
          <a:ln w="3175">
            <a:solidFill>
              <a:srgbClr val="000000"/>
            </a:solidFill>
            <a:prstDash val="solid"/>
          </a:ln>
        </c:spPr>
        <c:crossAx val="451597688"/>
        <c:crosses val="max"/>
        <c:crossBetween val="midCat"/>
      </c:valAx>
      <c:valAx>
        <c:axId val="45159768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9494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1466127401415E-2"/>
          <c:y val="0"/>
          <c:w val="0.93032786885245899"/>
          <c:h val="1"/>
        </c:manualLayout>
      </c:layout>
      <c:barChart>
        <c:barDir val="col"/>
        <c:grouping val="stacked"/>
        <c:varyColors val="0"/>
        <c:ser>
          <c:idx val="0"/>
          <c:order val="0"/>
          <c:spPr>
            <a:blipFill dpi="0" rotWithShape="1">
              <a:blip xmlns:r="http://schemas.openxmlformats.org/officeDocument/2006/relationships" r:embed="rId3"/>
              <a:srcRect/>
              <a:stretch>
                <a:fillRect/>
              </a:stretch>
            </a:blipFill>
            <a:ln>
              <a:noFill/>
            </a:ln>
            <a:effectLst/>
          </c:spPr>
          <c:invertIfNegative val="0"/>
          <c:val>
            <c:numRef>
              <c:f>UWert!$K$128</c:f>
              <c:numCache>
                <c:formatCode>General</c:formatCode>
                <c:ptCount val="1"/>
                <c:pt idx="0">
                  <c:v>0</c:v>
                </c:pt>
              </c:numCache>
            </c:numRef>
          </c:val>
        </c:ser>
        <c:ser>
          <c:idx val="1"/>
          <c:order val="1"/>
          <c:spPr>
            <a:solidFill>
              <a:schemeClr val="accent2"/>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UWert!$K$129</c:f>
              <c:numCache>
                <c:formatCode>General</c:formatCode>
                <c:ptCount val="1"/>
                <c:pt idx="0">
                  <c:v>1</c:v>
                </c:pt>
              </c:numCache>
            </c:numRef>
          </c:val>
        </c:ser>
        <c:dLbls>
          <c:showLegendKey val="0"/>
          <c:showVal val="0"/>
          <c:showCatName val="0"/>
          <c:showSerName val="0"/>
          <c:showPercent val="0"/>
          <c:showBubbleSize val="0"/>
        </c:dLbls>
        <c:gapWidth val="150"/>
        <c:overlap val="100"/>
        <c:axId val="420409056"/>
        <c:axId val="420411800"/>
      </c:barChart>
      <c:catAx>
        <c:axId val="420409056"/>
        <c:scaling>
          <c:orientation val="minMax"/>
        </c:scaling>
        <c:delete val="1"/>
        <c:axPos val="b"/>
        <c:numFmt formatCode="General" sourceLinked="1"/>
        <c:majorTickMark val="none"/>
        <c:minorTickMark val="none"/>
        <c:tickLblPos val="nextTo"/>
        <c:crossAx val="420411800"/>
        <c:crosses val="autoZero"/>
        <c:auto val="1"/>
        <c:lblAlgn val="ctr"/>
        <c:lblOffset val="100"/>
        <c:noMultiLvlLbl val="0"/>
      </c:catAx>
      <c:valAx>
        <c:axId val="420411800"/>
        <c:scaling>
          <c:orientation val="minMax"/>
        </c:scaling>
        <c:delete val="1"/>
        <c:axPos val="l"/>
        <c:numFmt formatCode="General" sourceLinked="1"/>
        <c:majorTickMark val="none"/>
        <c:minorTickMark val="none"/>
        <c:tickLblPos val="nextTo"/>
        <c:crossAx val="4204090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7464114832535882"/>
        </c:manualLayout>
      </c:layout>
      <c:barChart>
        <c:barDir val="bar"/>
        <c:grouping val="stacked"/>
        <c:varyColors val="0"/>
        <c:ser>
          <c:idx val="0"/>
          <c:order val="0"/>
          <c:spPr>
            <a:noFill/>
            <a:ln w="25400">
              <a:noFill/>
            </a:ln>
          </c:spPr>
          <c:invertIfNegative val="0"/>
          <c:val>
            <c:numRef>
              <c:f>Kondens!$AC$177:$AC$177</c:f>
              <c:numCache>
                <c:formatCode>0.00</c:formatCode>
                <c:ptCount val="1"/>
                <c:pt idx="0">
                  <c:v>0.1</c:v>
                </c:pt>
              </c:numCache>
            </c:numRef>
          </c:val>
        </c:ser>
        <c:ser>
          <c:idx val="1"/>
          <c:order val="1"/>
          <c:spPr>
            <a:solidFill>
              <a:srgbClr val="FFFF00"/>
            </a:solidFill>
            <a:ln w="25400">
              <a:noFill/>
            </a:ln>
          </c:spPr>
          <c:invertIfNegative val="0"/>
          <c:val>
            <c:numRef>
              <c:f>Kondens!$AC$178:$AC$178</c:f>
              <c:numCache>
                <c:formatCode>0.00</c:formatCode>
                <c:ptCount val="1"/>
                <c:pt idx="0">
                  <c:v>0</c:v>
                </c:pt>
              </c:numCache>
            </c:numRef>
          </c:val>
        </c:ser>
        <c:ser>
          <c:idx val="2"/>
          <c:order val="2"/>
          <c:spPr>
            <a:solidFill>
              <a:srgbClr val="00FF00"/>
            </a:solidFill>
            <a:ln w="25400">
              <a:noFill/>
            </a:ln>
          </c:spPr>
          <c:invertIfNegative val="0"/>
          <c:val>
            <c:numRef>
              <c:f>Kondens!$AC$179:$AC$179</c:f>
              <c:numCache>
                <c:formatCode>0.00</c:formatCode>
                <c:ptCount val="1"/>
                <c:pt idx="0">
                  <c:v>0</c:v>
                </c:pt>
              </c:numCache>
            </c:numRef>
          </c:val>
        </c:ser>
        <c:ser>
          <c:idx val="3"/>
          <c:order val="3"/>
          <c:spPr>
            <a:solidFill>
              <a:srgbClr val="CCFFCC"/>
            </a:solidFill>
            <a:ln w="25400">
              <a:noFill/>
            </a:ln>
          </c:spPr>
          <c:invertIfNegative val="0"/>
          <c:val>
            <c:numRef>
              <c:f>Kondens!$AC$180:$AC$180</c:f>
              <c:numCache>
                <c:formatCode>0.00</c:formatCode>
                <c:ptCount val="1"/>
                <c:pt idx="0">
                  <c:v>0</c:v>
                </c:pt>
              </c:numCache>
            </c:numRef>
          </c:val>
        </c:ser>
        <c:ser>
          <c:idx val="6"/>
          <c:order val="4"/>
          <c:spPr>
            <a:solidFill>
              <a:srgbClr val="00FFFF"/>
            </a:solidFill>
            <a:ln w="25400">
              <a:noFill/>
            </a:ln>
          </c:spPr>
          <c:invertIfNegative val="0"/>
          <c:val>
            <c:numRef>
              <c:f>Kondens!$AC$181:$AC$181</c:f>
              <c:numCache>
                <c:formatCode>0.00</c:formatCode>
                <c:ptCount val="1"/>
                <c:pt idx="0">
                  <c:v>0</c:v>
                </c:pt>
              </c:numCache>
            </c:numRef>
          </c:val>
        </c:ser>
        <c:ser>
          <c:idx val="4"/>
          <c:order val="5"/>
          <c:spPr>
            <a:solidFill>
              <a:srgbClr val="A6CAF0"/>
            </a:solidFill>
            <a:ln w="25400">
              <a:noFill/>
            </a:ln>
          </c:spPr>
          <c:invertIfNegative val="0"/>
          <c:val>
            <c:numRef>
              <c:f>Kondens!$AC$182:$AC$182</c:f>
              <c:numCache>
                <c:formatCode>0.00</c:formatCode>
                <c:ptCount val="1"/>
                <c:pt idx="0">
                  <c:v>0</c:v>
                </c:pt>
              </c:numCache>
            </c:numRef>
          </c:val>
        </c:ser>
        <c:ser>
          <c:idx val="7"/>
          <c:order val="6"/>
          <c:spPr>
            <a:solidFill>
              <a:srgbClr val="E3E3E3"/>
            </a:solidFill>
            <a:ln w="25400">
              <a:noFill/>
            </a:ln>
          </c:spPr>
          <c:invertIfNegative val="0"/>
          <c:val>
            <c:numRef>
              <c:f>Kondens!$AC$183:$AC$183</c:f>
              <c:numCache>
                <c:formatCode>0.00</c:formatCode>
                <c:ptCount val="1"/>
                <c:pt idx="0">
                  <c:v>0</c:v>
                </c:pt>
              </c:numCache>
            </c:numRef>
          </c:val>
        </c:ser>
        <c:ser>
          <c:idx val="8"/>
          <c:order val="7"/>
          <c:spPr>
            <a:solidFill>
              <a:srgbClr val="C0C0C0"/>
            </a:solidFill>
            <a:ln w="25400">
              <a:noFill/>
            </a:ln>
          </c:spPr>
          <c:invertIfNegative val="0"/>
          <c:val>
            <c:numRef>
              <c:f>Kondens!$AC$184:$AC$184</c:f>
              <c:numCache>
                <c:formatCode>0.00</c:formatCode>
                <c:ptCount val="1"/>
                <c:pt idx="0">
                  <c:v>0</c:v>
                </c:pt>
              </c:numCache>
            </c:numRef>
          </c:val>
        </c:ser>
        <c:ser>
          <c:idx val="9"/>
          <c:order val="8"/>
          <c:spPr>
            <a:noFill/>
            <a:ln w="25400">
              <a:noFill/>
            </a:ln>
          </c:spPr>
          <c:invertIfNegative val="0"/>
          <c:val>
            <c:numRef>
              <c:f>Kondens!$AC$185:$AC$185</c:f>
              <c:numCache>
                <c:formatCode>0.00</c:formatCode>
                <c:ptCount val="1"/>
                <c:pt idx="0">
                  <c:v>0.1</c:v>
                </c:pt>
              </c:numCache>
            </c:numRef>
          </c:val>
        </c:ser>
        <c:dLbls>
          <c:showLegendKey val="0"/>
          <c:showVal val="0"/>
          <c:showCatName val="0"/>
          <c:showSerName val="0"/>
          <c:showPercent val="0"/>
          <c:showBubbleSize val="0"/>
        </c:dLbls>
        <c:gapWidth val="0"/>
        <c:overlap val="100"/>
        <c:axId val="451600040"/>
        <c:axId val="451590240"/>
      </c:barChart>
      <c:scatterChart>
        <c:scatterStyle val="lineMarker"/>
        <c:varyColors val="0"/>
        <c:ser>
          <c:idx val="10"/>
          <c:order val="9"/>
          <c:spPr>
            <a:ln w="25400">
              <a:solidFill>
                <a:srgbClr val="00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Kondens!$AP$177:$AP$186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Kondens!$AE$177:$AE$186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95728"/>
        <c:axId val="451596512"/>
      </c:scatterChart>
      <c:catAx>
        <c:axId val="451600040"/>
        <c:scaling>
          <c:orientation val="minMax"/>
        </c:scaling>
        <c:delete val="0"/>
        <c:axPos val="l"/>
        <c:majorTickMark val="none"/>
        <c:minorTickMark val="none"/>
        <c:tickLblPos val="none"/>
        <c:spPr>
          <a:ln w="3175">
            <a:solidFill>
              <a:srgbClr val="000000"/>
            </a:solidFill>
            <a:prstDash val="solid"/>
          </a:ln>
        </c:spPr>
        <c:crossAx val="451590240"/>
        <c:crossesAt val="0"/>
        <c:auto val="1"/>
        <c:lblAlgn val="ctr"/>
        <c:lblOffset val="100"/>
        <c:tickMarkSkip val="1"/>
        <c:noMultiLvlLbl val="0"/>
      </c:catAx>
      <c:valAx>
        <c:axId val="451590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600040"/>
        <c:crosses val="autoZero"/>
        <c:crossBetween val="between"/>
      </c:valAx>
      <c:valAx>
        <c:axId val="451595728"/>
        <c:scaling>
          <c:orientation val="minMax"/>
        </c:scaling>
        <c:delete val="0"/>
        <c:axPos val="t"/>
        <c:numFmt formatCode="General" sourceLinked="1"/>
        <c:majorTickMark val="none"/>
        <c:minorTickMark val="none"/>
        <c:tickLblPos val="none"/>
        <c:spPr>
          <a:ln w="3175">
            <a:solidFill>
              <a:srgbClr val="000000"/>
            </a:solidFill>
            <a:prstDash val="solid"/>
          </a:ln>
        </c:spPr>
        <c:crossAx val="451596512"/>
        <c:crosses val="max"/>
        <c:crossBetween val="midCat"/>
      </c:valAx>
      <c:valAx>
        <c:axId val="45159651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957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1483253588516747"/>
          <c:w val="0.79422522673388629"/>
          <c:h val="0.67464114832535882"/>
        </c:manualLayout>
      </c:layout>
      <c:barChart>
        <c:barDir val="bar"/>
        <c:grouping val="stacked"/>
        <c:varyColors val="0"/>
        <c:ser>
          <c:idx val="0"/>
          <c:order val="0"/>
          <c:spPr>
            <a:noFill/>
            <a:ln w="25400">
              <a:noFill/>
            </a:ln>
          </c:spPr>
          <c:invertIfNegative val="0"/>
          <c:val>
            <c:numRef>
              <c:f>Kondens!$AU$177:$AU$177</c:f>
              <c:numCache>
                <c:formatCode>0.00</c:formatCode>
                <c:ptCount val="1"/>
                <c:pt idx="0">
                  <c:v>0.1</c:v>
                </c:pt>
              </c:numCache>
            </c:numRef>
          </c:val>
        </c:ser>
        <c:ser>
          <c:idx val="1"/>
          <c:order val="1"/>
          <c:spPr>
            <a:solidFill>
              <a:srgbClr val="FFFF00"/>
            </a:solidFill>
            <a:ln w="25400">
              <a:noFill/>
            </a:ln>
          </c:spPr>
          <c:invertIfNegative val="0"/>
          <c:val>
            <c:numRef>
              <c:f>Kondens!$AU$178:$AU$178</c:f>
              <c:numCache>
                <c:formatCode>0.00</c:formatCode>
                <c:ptCount val="1"/>
                <c:pt idx="0">
                  <c:v>0</c:v>
                </c:pt>
              </c:numCache>
            </c:numRef>
          </c:val>
        </c:ser>
        <c:ser>
          <c:idx val="2"/>
          <c:order val="2"/>
          <c:spPr>
            <a:solidFill>
              <a:srgbClr val="00FF00"/>
            </a:solidFill>
            <a:ln w="25400">
              <a:noFill/>
            </a:ln>
          </c:spPr>
          <c:invertIfNegative val="0"/>
          <c:val>
            <c:numRef>
              <c:f>Kondens!$AU$179:$AU$179</c:f>
              <c:numCache>
                <c:formatCode>0.00</c:formatCode>
                <c:ptCount val="1"/>
                <c:pt idx="0">
                  <c:v>0</c:v>
                </c:pt>
              </c:numCache>
            </c:numRef>
          </c:val>
        </c:ser>
        <c:ser>
          <c:idx val="3"/>
          <c:order val="3"/>
          <c:spPr>
            <a:solidFill>
              <a:srgbClr val="CCFFCC"/>
            </a:solidFill>
            <a:ln w="25400">
              <a:noFill/>
            </a:ln>
          </c:spPr>
          <c:invertIfNegative val="0"/>
          <c:val>
            <c:numRef>
              <c:f>Kondens!$AU$180:$AU$180</c:f>
              <c:numCache>
                <c:formatCode>0.00</c:formatCode>
                <c:ptCount val="1"/>
                <c:pt idx="0">
                  <c:v>0</c:v>
                </c:pt>
              </c:numCache>
            </c:numRef>
          </c:val>
        </c:ser>
        <c:ser>
          <c:idx val="6"/>
          <c:order val="4"/>
          <c:spPr>
            <a:solidFill>
              <a:srgbClr val="00FFFF"/>
            </a:solidFill>
            <a:ln w="25400">
              <a:noFill/>
            </a:ln>
          </c:spPr>
          <c:invertIfNegative val="0"/>
          <c:val>
            <c:numRef>
              <c:f>Kondens!$AU$181:$AU$181</c:f>
              <c:numCache>
                <c:formatCode>0.00</c:formatCode>
                <c:ptCount val="1"/>
                <c:pt idx="0">
                  <c:v>0</c:v>
                </c:pt>
              </c:numCache>
            </c:numRef>
          </c:val>
        </c:ser>
        <c:ser>
          <c:idx val="4"/>
          <c:order val="5"/>
          <c:spPr>
            <a:solidFill>
              <a:srgbClr val="A6CAF0"/>
            </a:solidFill>
            <a:ln w="25400">
              <a:noFill/>
            </a:ln>
          </c:spPr>
          <c:invertIfNegative val="0"/>
          <c:val>
            <c:numRef>
              <c:f>Kondens!$AU$182:$AU$182</c:f>
              <c:numCache>
                <c:formatCode>0.00</c:formatCode>
                <c:ptCount val="1"/>
                <c:pt idx="0">
                  <c:v>0</c:v>
                </c:pt>
              </c:numCache>
            </c:numRef>
          </c:val>
        </c:ser>
        <c:ser>
          <c:idx val="7"/>
          <c:order val="6"/>
          <c:spPr>
            <a:solidFill>
              <a:srgbClr val="E3E3E3"/>
            </a:solidFill>
            <a:ln w="25400">
              <a:noFill/>
            </a:ln>
          </c:spPr>
          <c:invertIfNegative val="0"/>
          <c:val>
            <c:numRef>
              <c:f>Kondens!$AU$183:$AU$183</c:f>
              <c:numCache>
                <c:formatCode>0.00</c:formatCode>
                <c:ptCount val="1"/>
                <c:pt idx="0">
                  <c:v>0</c:v>
                </c:pt>
              </c:numCache>
            </c:numRef>
          </c:val>
        </c:ser>
        <c:ser>
          <c:idx val="8"/>
          <c:order val="7"/>
          <c:spPr>
            <a:solidFill>
              <a:srgbClr val="C0C0C0"/>
            </a:solidFill>
            <a:ln w="25400">
              <a:noFill/>
            </a:ln>
          </c:spPr>
          <c:invertIfNegative val="0"/>
          <c:val>
            <c:numRef>
              <c:f>Kondens!$AU$184:$AU$184</c:f>
              <c:numCache>
                <c:formatCode>0.00</c:formatCode>
                <c:ptCount val="1"/>
                <c:pt idx="0">
                  <c:v>0</c:v>
                </c:pt>
              </c:numCache>
            </c:numRef>
          </c:val>
        </c:ser>
        <c:ser>
          <c:idx val="9"/>
          <c:order val="8"/>
          <c:spPr>
            <a:noFill/>
            <a:ln w="25400">
              <a:noFill/>
            </a:ln>
          </c:spPr>
          <c:invertIfNegative val="0"/>
          <c:val>
            <c:numRef>
              <c:f>Kondens!$AU$185:$AU$185</c:f>
              <c:numCache>
                <c:formatCode>0.00</c:formatCode>
                <c:ptCount val="1"/>
                <c:pt idx="0">
                  <c:v>0.1</c:v>
                </c:pt>
              </c:numCache>
            </c:numRef>
          </c:val>
        </c:ser>
        <c:dLbls>
          <c:showLegendKey val="0"/>
          <c:showVal val="0"/>
          <c:showCatName val="0"/>
          <c:showSerName val="0"/>
          <c:showPercent val="0"/>
          <c:showBubbleSize val="0"/>
        </c:dLbls>
        <c:gapWidth val="0"/>
        <c:overlap val="100"/>
        <c:axId val="451600432"/>
        <c:axId val="451589848"/>
      </c:barChart>
      <c:scatterChart>
        <c:scatterStyle val="lineMarker"/>
        <c:varyColors val="0"/>
        <c:ser>
          <c:idx val="10"/>
          <c:order val="9"/>
          <c:spPr>
            <a:ln w="25400">
              <a:solidFill>
                <a:srgbClr val="00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Kondens!$BH$177:$BH$186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Kondens!$AW$177:$AW$186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451593376"/>
        <c:axId val="451599648"/>
      </c:scatterChart>
      <c:catAx>
        <c:axId val="451600432"/>
        <c:scaling>
          <c:orientation val="minMax"/>
        </c:scaling>
        <c:delete val="0"/>
        <c:axPos val="l"/>
        <c:majorTickMark val="none"/>
        <c:minorTickMark val="none"/>
        <c:tickLblPos val="none"/>
        <c:spPr>
          <a:ln w="3175">
            <a:solidFill>
              <a:srgbClr val="000000"/>
            </a:solidFill>
            <a:prstDash val="solid"/>
          </a:ln>
        </c:spPr>
        <c:crossAx val="451589848"/>
        <c:crossesAt val="0"/>
        <c:auto val="1"/>
        <c:lblAlgn val="ctr"/>
        <c:lblOffset val="100"/>
        <c:tickMarkSkip val="1"/>
        <c:noMultiLvlLbl val="0"/>
      </c:catAx>
      <c:valAx>
        <c:axId val="4515898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600432"/>
        <c:crosses val="autoZero"/>
        <c:crossBetween val="between"/>
      </c:valAx>
      <c:valAx>
        <c:axId val="451593376"/>
        <c:scaling>
          <c:orientation val="minMax"/>
        </c:scaling>
        <c:delete val="0"/>
        <c:axPos val="t"/>
        <c:numFmt formatCode="General" sourceLinked="1"/>
        <c:majorTickMark val="none"/>
        <c:minorTickMark val="none"/>
        <c:tickLblPos val="none"/>
        <c:spPr>
          <a:ln w="3175">
            <a:solidFill>
              <a:srgbClr val="000000"/>
            </a:solidFill>
            <a:prstDash val="solid"/>
          </a:ln>
        </c:spPr>
        <c:crossAx val="451599648"/>
        <c:crosses val="max"/>
        <c:crossBetween val="midCat"/>
      </c:valAx>
      <c:valAx>
        <c:axId val="45159964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5159337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2595538944228"/>
          <c:y val="9.7765496472231359E-2"/>
          <c:w val="0.40870814545579232"/>
          <c:h val="0.81285027066912352"/>
        </c:manualLayout>
      </c:layout>
      <c:pieChart>
        <c:varyColors val="1"/>
        <c:ser>
          <c:idx val="0"/>
          <c:order val="0"/>
          <c:spPr>
            <a:solidFill>
              <a:srgbClr val="8080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00FF00"/>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FF00FF"/>
              </a:solidFill>
              <a:ln w="12700">
                <a:solidFill>
                  <a:srgbClr val="000000"/>
                </a:solidFill>
                <a:prstDash val="solid"/>
              </a:ln>
            </c:spPr>
          </c:dPt>
          <c:dPt>
            <c:idx val="4"/>
            <c:bubble3D val="0"/>
            <c:spPr>
              <a:solidFill>
                <a:srgbClr val="600080"/>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80C0"/>
              </a:solidFill>
              <a:ln w="12700">
                <a:solidFill>
                  <a:srgbClr val="000000"/>
                </a:solidFill>
                <a:prstDash val="solid"/>
              </a:ln>
            </c:spPr>
          </c:dPt>
          <c:dPt>
            <c:idx val="7"/>
            <c:bubble3D val="0"/>
            <c:spPr>
              <a:solidFill>
                <a:srgbClr val="C0C0FF"/>
              </a:solidFill>
              <a:ln w="12700">
                <a:solidFill>
                  <a:srgbClr val="000000"/>
                </a:solidFill>
                <a:prstDash val="solid"/>
              </a:ln>
            </c:spPr>
          </c:dPt>
          <c:dPt>
            <c:idx val="8"/>
            <c:bubble3D val="0"/>
            <c:spPr>
              <a:solidFill>
                <a:srgbClr val="FFFF00"/>
              </a:solidFill>
              <a:ln w="12700">
                <a:solidFill>
                  <a:srgbClr val="000000"/>
                </a:solidFill>
                <a:prstDash val="solid"/>
              </a:ln>
            </c:spPr>
          </c:dPt>
          <c:dPt>
            <c:idx val="9"/>
            <c:bubble3D val="0"/>
            <c:spPr>
              <a:solidFill>
                <a:srgbClr val="663300"/>
              </a:solidFill>
              <a:ln w="12700">
                <a:solidFill>
                  <a:srgbClr val="000000"/>
                </a:solidFill>
                <a:prstDash val="solid"/>
              </a:ln>
            </c:spPr>
          </c:dPt>
          <c:dPt>
            <c:idx val="10"/>
            <c:bubble3D val="0"/>
            <c:spPr>
              <a:solidFill>
                <a:srgbClr val="0000FF"/>
              </a:solidFill>
              <a:ln w="12700">
                <a:solidFill>
                  <a:srgbClr val="000000"/>
                </a:solidFill>
                <a:prstDash val="solid"/>
              </a:ln>
            </c:spPr>
          </c:dPt>
          <c:dPt>
            <c:idx val="11"/>
            <c:bubble3D val="0"/>
            <c:spPr>
              <a:solidFill>
                <a:srgbClr val="00FFFF"/>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Grafik!$B$5:$B$16</c:f>
              <c:strCache>
                <c:ptCount val="11"/>
                <c:pt idx="0">
                  <c:v>Toit exposé à l'air extérieur:</c:v>
                </c:pt>
                <c:pt idx="1">
                  <c:v>Plafond contre des loc. non chauffés:</c:v>
                </c:pt>
                <c:pt idx="2">
                  <c:v>Mur exposé à l'air extérieur:</c:v>
                </c:pt>
                <c:pt idx="3">
                  <c:v>Mur contre des locaux non chauffés:</c:v>
                </c:pt>
                <c:pt idx="4">
                  <c:v>Mur contre le terrain:</c:v>
                </c:pt>
                <c:pt idx="6">
                  <c:v>Plancher contre des loc. non chauffés:</c:v>
                </c:pt>
                <c:pt idx="7">
                  <c:v>Plancher contre le terrain:</c:v>
                </c:pt>
                <c:pt idx="8">
                  <c:v>Fenêtre:</c:v>
                </c:pt>
                <c:pt idx="9">
                  <c:v>Ponts thermiques:</c:v>
                </c:pt>
                <c:pt idx="10">
                  <c:v>Dép. par renouvellement de l'air QV:</c:v>
                </c:pt>
              </c:strCache>
            </c:strRef>
          </c:cat>
          <c:val>
            <c:numRef>
              <c:f>Grafik!$C$5:$C$16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106800554425081"/>
          <c:y val="1.3966480446927373E-2"/>
          <c:w val="0.22050576543100653"/>
          <c:h val="0.98324168976084703"/>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7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M!$T$12</c:f>
              <c:strCache>
                <c:ptCount val="1"/>
                <c:pt idx="0">
                  <c:v>Q_T</c:v>
                </c:pt>
              </c:strCache>
            </c:strRef>
          </c:tx>
          <c:spPr>
            <a:solidFill>
              <a:srgbClr val="FF808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M!$T$13</c:f>
              <c:strCache>
                <c:ptCount val="1"/>
                <c:pt idx="0">
                  <c:v>Q_V</c:v>
                </c:pt>
              </c:strCache>
            </c:strRef>
          </c:tx>
          <c:spPr>
            <a:solidFill>
              <a:srgbClr val="00CCFF"/>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M!$T$14</c:f>
              <c:strCache>
                <c:ptCount val="1"/>
                <c:pt idx="0">
                  <c:v>Q_h</c:v>
                </c:pt>
              </c:strCache>
            </c:strRef>
          </c:tx>
          <c:spPr>
            <a:solidFill>
              <a:srgbClr val="00FF00"/>
            </a:solidFill>
            <a:ln w="381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M!$T$16</c:f>
              <c:strCache>
                <c:ptCount val="1"/>
                <c:pt idx="0">
                  <c:v>Q_ug</c:v>
                </c:pt>
              </c:strCache>
            </c:strRef>
          </c:tx>
          <c:spPr>
            <a:solidFill>
              <a:srgbClr val="FFFF0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M!$T$17</c:f>
              <c:strCache>
                <c:ptCount val="1"/>
                <c:pt idx="0">
                  <c:v>Q_ng</c:v>
                </c:pt>
              </c:strCache>
            </c:strRef>
          </c:tx>
          <c:spPr>
            <a:solidFill>
              <a:srgbClr val="FFFF99"/>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20408272"/>
        <c:axId val="420410232"/>
      </c:barChart>
      <c:catAx>
        <c:axId val="42040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20410232"/>
        <c:crosses val="autoZero"/>
        <c:auto val="1"/>
        <c:lblAlgn val="ctr"/>
        <c:lblOffset val="100"/>
        <c:tickLblSkip val="1"/>
        <c:tickMarkSkip val="1"/>
        <c:noMultiLvlLbl val="0"/>
      </c:catAx>
      <c:valAx>
        <c:axId val="4204102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kWh/m²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20408272"/>
        <c:crosses val="autoZero"/>
        <c:crossBetween val="between"/>
        <c:majorUnit val="1"/>
        <c:minorUnit val="0.5"/>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'M1'!$T$12</c:f>
              <c:strCache>
                <c:ptCount val="1"/>
                <c:pt idx="0">
                  <c:v>Q_T</c:v>
                </c:pt>
              </c:strCache>
            </c:strRef>
          </c:tx>
          <c:spPr>
            <a:solidFill>
              <a:srgbClr val="FF808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'M1'!$T$13</c:f>
              <c:strCache>
                <c:ptCount val="1"/>
                <c:pt idx="0">
                  <c:v>Q_V</c:v>
                </c:pt>
              </c:strCache>
            </c:strRef>
          </c:tx>
          <c:spPr>
            <a:solidFill>
              <a:srgbClr val="00CCFF"/>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'M1'!$T$14</c:f>
              <c:strCache>
                <c:ptCount val="1"/>
                <c:pt idx="0">
                  <c:v>Q_h</c:v>
                </c:pt>
              </c:strCache>
            </c:strRef>
          </c:tx>
          <c:spPr>
            <a:solidFill>
              <a:srgbClr val="00FF00"/>
            </a:solidFill>
            <a:ln w="381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'M1'!$T$16</c:f>
              <c:strCache>
                <c:ptCount val="1"/>
                <c:pt idx="0">
                  <c:v>Q_ug</c:v>
                </c:pt>
              </c:strCache>
            </c:strRef>
          </c:tx>
          <c:spPr>
            <a:solidFill>
              <a:srgbClr val="FFFF0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'M1'!$T$17</c:f>
              <c:strCache>
                <c:ptCount val="1"/>
                <c:pt idx="0">
                  <c:v>Q_ng</c:v>
                </c:pt>
              </c:strCache>
            </c:strRef>
          </c:tx>
          <c:spPr>
            <a:solidFill>
              <a:srgbClr val="FFFF99"/>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20410624"/>
        <c:axId val="420413368"/>
      </c:barChart>
      <c:catAx>
        <c:axId val="42041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20413368"/>
        <c:crosses val="autoZero"/>
        <c:auto val="1"/>
        <c:lblAlgn val="ctr"/>
        <c:lblOffset val="100"/>
        <c:tickLblSkip val="1"/>
        <c:tickMarkSkip val="1"/>
        <c:noMultiLvlLbl val="0"/>
      </c:catAx>
      <c:valAx>
        <c:axId val="42041336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20410624"/>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strRef>
          <c:f>'M3'!$H$1</c:f>
          <c:strCache>
            <c:ptCount val="1"/>
          </c:strCache>
        </c:strRef>
      </c:tx>
      <c:layout>
        <c:manualLayout>
          <c:xMode val="edge"/>
          <c:yMode val="edge"/>
          <c:x val="0.5227053140096618"/>
          <c:y val="1.8597997138769671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903381642512077E-2"/>
          <c:y val="0.10300429184549356"/>
          <c:w val="0.93043478260869561"/>
          <c:h val="0.82403433476394849"/>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20406312"/>
        <c:axId val="420411016"/>
      </c:barChart>
      <c:catAx>
        <c:axId val="420406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20411016"/>
        <c:crosses val="autoZero"/>
        <c:auto val="1"/>
        <c:lblAlgn val="ctr"/>
        <c:lblOffset val="100"/>
        <c:tickLblSkip val="1"/>
        <c:tickMarkSkip val="1"/>
        <c:noMultiLvlLbl val="0"/>
      </c:catAx>
      <c:valAx>
        <c:axId val="4204110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9.6618357487922701E-3"/>
              <c:y val="0.103004291845493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20406312"/>
        <c:crosses val="autoZero"/>
        <c:crossBetween val="between"/>
      </c:valAx>
      <c:spPr>
        <a:solidFill>
          <a:srgbClr val="C0C0C0"/>
        </a:solidFill>
        <a:ln w="12700">
          <a:solidFill>
            <a:srgbClr val="808080"/>
          </a:solidFill>
          <a:prstDash val="solid"/>
        </a:ln>
      </c:spPr>
    </c:plotArea>
    <c:legend>
      <c:legendPos val="b"/>
      <c:layout>
        <c:manualLayout>
          <c:xMode val="edge"/>
          <c:yMode val="edge"/>
          <c:x val="0.37004830917874398"/>
          <c:y val="0.1072961373390558"/>
          <c:w val="0.33043478260869563"/>
          <c:h val="4.2918454935622324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097616160235936"/>
          <c:y val="3.6971830985915492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906757826670656E-2"/>
          <c:y val="3.3450732981277667E-2"/>
          <c:w val="0.92299398121546083"/>
          <c:h val="0.87147962240697074"/>
        </c:manualLayout>
      </c:layout>
      <c:barChart>
        <c:barDir val="col"/>
        <c:grouping val="stacked"/>
        <c:varyColors val="0"/>
        <c:ser>
          <c:idx val="0"/>
          <c:order val="0"/>
          <c:tx>
            <c:strRef>
              <c:f>'M2'!$T$12</c:f>
              <c:strCache>
                <c:ptCount val="1"/>
                <c:pt idx="0">
                  <c:v>Q_T</c:v>
                </c:pt>
              </c:strCache>
            </c:strRef>
          </c:tx>
          <c:spPr>
            <a:solidFill>
              <a:srgbClr val="FF808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'M2'!$T$13</c:f>
              <c:strCache>
                <c:ptCount val="1"/>
                <c:pt idx="0">
                  <c:v>Q_V</c:v>
                </c:pt>
              </c:strCache>
            </c:strRef>
          </c:tx>
          <c:spPr>
            <a:solidFill>
              <a:srgbClr val="00CCFF"/>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'M2'!$T$14</c:f>
              <c:strCache>
                <c:ptCount val="1"/>
                <c:pt idx="0">
                  <c:v>Q_h</c:v>
                </c:pt>
              </c:strCache>
            </c:strRef>
          </c:tx>
          <c:spPr>
            <a:solidFill>
              <a:srgbClr val="00FF00"/>
            </a:solidFill>
            <a:ln w="381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'M2'!$T$16</c:f>
              <c:strCache>
                <c:ptCount val="1"/>
                <c:pt idx="0">
                  <c:v>Q_ug</c:v>
                </c:pt>
              </c:strCache>
            </c:strRef>
          </c:tx>
          <c:spPr>
            <a:solidFill>
              <a:srgbClr val="FFFF0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'M2'!$T$17</c:f>
              <c:strCache>
                <c:ptCount val="1"/>
                <c:pt idx="0">
                  <c:v>Q_ng</c:v>
                </c:pt>
              </c:strCache>
            </c:strRef>
          </c:tx>
          <c:spPr>
            <a:solidFill>
              <a:srgbClr val="FFFF99"/>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21944744"/>
        <c:axId val="421945136"/>
      </c:barChart>
      <c:catAx>
        <c:axId val="421944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21945136"/>
        <c:crosses val="autoZero"/>
        <c:auto val="1"/>
        <c:lblAlgn val="ctr"/>
        <c:lblOffset val="100"/>
        <c:tickLblSkip val="1"/>
        <c:tickMarkSkip val="1"/>
        <c:noMultiLvlLbl val="0"/>
      </c:catAx>
      <c:valAx>
        <c:axId val="42194513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075921908893707E-3"/>
              <c:y val="2.640845070422535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21944744"/>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662686958054"/>
          <c:y val="0.10915511441351521"/>
          <c:w val="0.37093298261795365"/>
          <c:h val="5.28169014084507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27049726892248"/>
          <c:y val="3.869653767820773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702735801697537E-2"/>
          <c:y val="3.6659877800407331E-2"/>
          <c:w val="0.9232437305974085"/>
          <c:h val="0.85132382892057024"/>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422640240"/>
        <c:axId val="422642592"/>
      </c:barChart>
      <c:catAx>
        <c:axId val="422640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422642592"/>
        <c:crosses val="autoZero"/>
        <c:auto val="1"/>
        <c:lblAlgn val="ctr"/>
        <c:lblOffset val="100"/>
        <c:tickLblSkip val="1"/>
        <c:tickMarkSkip val="1"/>
        <c:noMultiLvlLbl val="0"/>
      </c:catAx>
      <c:valAx>
        <c:axId val="42264259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4864864864864862E-3"/>
              <c:y val="2.240325865580447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22640240"/>
        <c:crosses val="autoZero"/>
        <c:crossBetween val="between"/>
      </c:valAx>
      <c:spPr>
        <a:solidFill>
          <a:srgbClr val="C0C0C0"/>
        </a:solidFill>
        <a:ln w="12700">
          <a:solidFill>
            <a:srgbClr val="808080"/>
          </a:solidFill>
          <a:prstDash val="solid"/>
        </a:ln>
      </c:spPr>
    </c:plotArea>
    <c:legend>
      <c:legendPos val="b"/>
      <c:layout>
        <c:manualLayout>
          <c:xMode val="edge"/>
          <c:yMode val="edge"/>
          <c:x val="0.33513536213378731"/>
          <c:y val="0.10590631364562118"/>
          <c:w val="0.36972995672838188"/>
          <c:h val="6.1099796334012205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codeName="Diagramm25"/>
  <sheetViews>
    <sheetView zoomScale="75" workbookViewId="0" zoomToFit="1"/>
  </sheetViews>
  <sheetProtection content="1" objects="1"/>
  <pageMargins left="0.39370078740157483" right="0.39370078740157483" top="0.39370078740157483" bottom="0.47244094488188981" header="0.31496062992125984" footer="0.31496062992125984"/>
  <pageSetup paperSize="9" orientation="landscape" horizontalDpi="1200" verticalDpi="1200" r:id="rId1"/>
  <headerFooter alignWithMargins="0">
    <oddFooter>&amp;L&amp;"Arial,Kursiv"&amp;6Huber Energietechnik, AG Zürich  &amp;C&amp;6&amp;F&amp;R&amp;"Arial,Kursiv"&amp;6ENTECH 380/1, Ver. 5.4</oddFooter>
  </headerFooter>
  <drawing r:id="rId2"/>
</chartsheet>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U$44" lockText="1" noThreeD="1"/>
</file>

<file path=xl/ctrlProps/ctrlProp17.xml><?xml version="1.0" encoding="utf-8"?>
<formControlPr xmlns="http://schemas.microsoft.com/office/spreadsheetml/2009/9/main" objectType="CheckBox" fmlaLink="$U$45" lockText="1" noThreeD="1"/>
</file>

<file path=xl/ctrlProps/ctrlProp18.xml><?xml version="1.0" encoding="utf-8"?>
<formControlPr xmlns="http://schemas.microsoft.com/office/spreadsheetml/2009/9/main" objectType="CheckBox" fmlaLink="$U$46" lockText="1" noThreeD="1"/>
</file>

<file path=xl/ctrlProps/ctrlProp19.xml><?xml version="1.0" encoding="utf-8"?>
<formControlPr xmlns="http://schemas.microsoft.com/office/spreadsheetml/2009/9/main" objectType="Radio" firstButton="1" fmlaLink="$U$5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U30" lockText="1" noThreeD="1"/>
</file>

<file path=xl/ctrlProps/ctrlProp28.xml><?xml version="1.0" encoding="utf-8"?>
<formControlPr xmlns="http://schemas.microsoft.com/office/spreadsheetml/2009/9/main" objectType="CheckBox" fmlaLink="U31" lockText="1" noThreeD="1"/>
</file>

<file path=xl/ctrlProps/ctrlProp29.xml><?xml version="1.0" encoding="utf-8"?>
<formControlPr xmlns="http://schemas.microsoft.com/office/spreadsheetml/2009/9/main" objectType="CheckBox" fmlaLink="U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U44" lockText="1" noThreeD="1"/>
</file>

<file path=xl/ctrlProps/ctrlProp39.xml><?xml version="1.0" encoding="utf-8"?>
<formControlPr xmlns="http://schemas.microsoft.com/office/spreadsheetml/2009/9/main" objectType="CheckBox" fmlaLink="U45" lockText="1" noThreeD="1"/>
</file>

<file path=xl/ctrlProps/ctrlProp4.xml><?xml version="1.0" encoding="utf-8"?>
<formControlPr xmlns="http://schemas.microsoft.com/office/spreadsheetml/2009/9/main" objectType="CheckBox" fmlaLink="$U$30" lockText="1" noThreeD="1"/>
</file>

<file path=xl/ctrlProps/ctrlProp40.xml><?xml version="1.0" encoding="utf-8"?>
<formControlPr xmlns="http://schemas.microsoft.com/office/spreadsheetml/2009/9/main" objectType="CheckBox" fmlaLink="U46" lockText="1" noThreeD="1"/>
</file>

<file path=xl/ctrlProps/ctrlProp41.xml><?xml version="1.0" encoding="utf-8"?>
<formControlPr xmlns="http://schemas.microsoft.com/office/spreadsheetml/2009/9/main" objectType="CheckBox" fmlaLink="U38" lockText="1" noThreeD="1"/>
</file>

<file path=xl/ctrlProps/ctrlProp42.xml><?xml version="1.0" encoding="utf-8"?>
<formControlPr xmlns="http://schemas.microsoft.com/office/spreadsheetml/2009/9/main" objectType="CheckBox" fmlaLink="U39" lockText="1" noThreeD="1"/>
</file>

<file path=xl/ctrlProps/ctrlProp5.xml><?xml version="1.0" encoding="utf-8"?>
<formControlPr xmlns="http://schemas.microsoft.com/office/spreadsheetml/2009/9/main" objectType="CheckBox" fmlaLink="$U$31" lockText="1" noThreeD="1"/>
</file>

<file path=xl/ctrlProps/ctrlProp6.xml><?xml version="1.0" encoding="utf-8"?>
<formControlPr xmlns="http://schemas.microsoft.com/office/spreadsheetml/2009/9/main" objectType="CheckBox" fmlaLink="$U$32" lockText="1" noThreeD="1"/>
</file>

<file path=xl/ctrlProps/ctrlProp7.xml><?xml version="1.0" encoding="utf-8"?>
<formControlPr xmlns="http://schemas.microsoft.com/office/spreadsheetml/2009/9/main" objectType="CheckBox" fmlaLink="$U$33"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17</xdr:col>
      <xdr:colOff>295275</xdr:colOff>
      <xdr:row>16</xdr:row>
      <xdr:rowOff>9525</xdr:rowOff>
    </xdr:from>
    <xdr:to>
      <xdr:col>22</xdr:col>
      <xdr:colOff>0</xdr:colOff>
      <xdr:row>24</xdr:row>
      <xdr:rowOff>171450</xdr:rowOff>
    </xdr:to>
    <xdr:grpSp>
      <xdr:nvGrpSpPr>
        <xdr:cNvPr id="376321" name="Group 444"/>
        <xdr:cNvGrpSpPr>
          <a:grpSpLocks/>
        </xdr:cNvGrpSpPr>
      </xdr:nvGrpSpPr>
      <xdr:grpSpPr bwMode="auto">
        <a:xfrm>
          <a:off x="5648325" y="2400300"/>
          <a:ext cx="1143000" cy="1038225"/>
          <a:chOff x="658" y="333"/>
          <a:chExt cx="154" cy="142"/>
        </a:xfrm>
      </xdr:grpSpPr>
      <xdr:sp macro="" textlink="">
        <xdr:nvSpPr>
          <xdr:cNvPr id="61745" name="Rectangle 305"/>
          <xdr:cNvSpPr>
            <a:spLocks noChangeArrowheads="1"/>
          </xdr:cNvSpPr>
        </xdr:nvSpPr>
        <xdr:spPr bwMode="auto">
          <a:xfrm>
            <a:off x="658" y="333"/>
            <a:ext cx="154" cy="142"/>
          </a:xfrm>
          <a:prstGeom prst="rect">
            <a:avLst/>
          </a:prstGeom>
          <a:solidFill>
            <a:srgbClr val="69FFFF"/>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Überhang</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Höhe H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43" name="Rectangle 310"/>
          <xdr:cNvSpPr>
            <a:spLocks noChangeArrowheads="1"/>
          </xdr:cNvSpPr>
        </xdr:nvSpPr>
        <xdr:spPr bwMode="auto">
          <a:xfrm>
            <a:off x="751" y="454"/>
            <a:ext cx="10" cy="21"/>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4" name="Rectangle 306"/>
          <xdr:cNvSpPr>
            <a:spLocks noChangeArrowheads="1"/>
          </xdr:cNvSpPr>
        </xdr:nvSpPr>
        <xdr:spPr bwMode="auto">
          <a:xfrm>
            <a:off x="709" y="366"/>
            <a:ext cx="103"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5" name="Rectangle 307"/>
          <xdr:cNvSpPr>
            <a:spLocks noChangeArrowheads="1"/>
          </xdr:cNvSpPr>
        </xdr:nvSpPr>
        <xdr:spPr bwMode="auto">
          <a:xfrm>
            <a:off x="751" y="372"/>
            <a:ext cx="10" cy="27"/>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6" name="Line 313"/>
          <xdr:cNvSpPr>
            <a:spLocks noChangeShapeType="1"/>
          </xdr:cNvSpPr>
        </xdr:nvSpPr>
        <xdr:spPr bwMode="auto">
          <a:xfrm>
            <a:off x="701" y="379"/>
            <a:ext cx="0" cy="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7" name="Line 314"/>
          <xdr:cNvSpPr>
            <a:spLocks noChangeShapeType="1"/>
          </xdr:cNvSpPr>
        </xdr:nvSpPr>
        <xdr:spPr bwMode="auto">
          <a:xfrm flipH="1">
            <a:off x="685" y="378"/>
            <a:ext cx="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48" name="Line 315"/>
          <xdr:cNvSpPr>
            <a:spLocks noChangeShapeType="1"/>
          </xdr:cNvSpPr>
        </xdr:nvSpPr>
        <xdr:spPr bwMode="auto">
          <a:xfrm>
            <a:off x="709" y="354"/>
            <a:ext cx="4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9" name="Line 316"/>
          <xdr:cNvSpPr>
            <a:spLocks noChangeShapeType="1"/>
          </xdr:cNvSpPr>
        </xdr:nvSpPr>
        <xdr:spPr bwMode="auto">
          <a:xfrm flipV="1">
            <a:off x="754" y="350"/>
            <a:ext cx="0"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0" name="Line 317"/>
          <xdr:cNvSpPr>
            <a:spLocks noChangeShapeType="1"/>
          </xdr:cNvSpPr>
        </xdr:nvSpPr>
        <xdr:spPr bwMode="auto">
          <a:xfrm flipV="1">
            <a:off x="709" y="349"/>
            <a:ext cx="0"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1" name="Line 318"/>
          <xdr:cNvSpPr>
            <a:spLocks noChangeShapeType="1"/>
          </xdr:cNvSpPr>
        </xdr:nvSpPr>
        <xdr:spPr bwMode="auto">
          <a:xfrm flipH="1" flipV="1">
            <a:off x="709" y="378"/>
            <a:ext cx="45" cy="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768" name="Text Box 328"/>
          <xdr:cNvSpPr txBox="1">
            <a:spLocks noChangeArrowheads="1"/>
          </xdr:cNvSpPr>
        </xdr:nvSpPr>
        <xdr:spPr bwMode="auto">
          <a:xfrm>
            <a:off x="741" y="398"/>
            <a:ext cx="10" cy="22"/>
          </a:xfrm>
          <a:prstGeom prst="rect">
            <a:avLst/>
          </a:prstGeom>
          <a:noFill/>
          <a:ln w="9525">
            <a:noFill/>
            <a:miter lim="800000"/>
            <a:headEnd/>
            <a:tailEnd/>
          </a:ln>
        </xdr:spPr>
        <xdr:txBody>
          <a:bodyPr wrap="none" lIns="18288" tIns="18288" rIns="0" bIns="0" anchor="t" upright="1">
            <a:spAutoFit/>
          </a:bodyPr>
          <a:lstStyle/>
          <a:p>
            <a:pPr algn="l" rtl="0">
              <a:defRPr sz="1000"/>
            </a:pPr>
            <a:r>
              <a:rPr lang="de-CH" sz="800" b="0" i="0" strike="noStrike">
                <a:solidFill>
                  <a:srgbClr val="000000"/>
                </a:solidFill>
                <a:latin typeface="Symbol"/>
              </a:rPr>
              <a:t>b</a:t>
            </a:r>
          </a:p>
        </xdr:txBody>
      </xdr:sp>
      <xdr:sp macro="" textlink="">
        <xdr:nvSpPr>
          <xdr:cNvPr id="376353" name="Oval 371"/>
          <xdr:cNvSpPr>
            <a:spLocks noChangeArrowheads="1"/>
          </xdr:cNvSpPr>
        </xdr:nvSpPr>
        <xdr:spPr bwMode="auto">
          <a:xfrm>
            <a:off x="739" y="410"/>
            <a:ext cx="30"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54" name="Rectangle 321"/>
          <xdr:cNvSpPr>
            <a:spLocks noChangeArrowheads="1"/>
          </xdr:cNvSpPr>
        </xdr:nvSpPr>
        <xdr:spPr bwMode="auto">
          <a:xfrm>
            <a:off x="758" y="399"/>
            <a:ext cx="14" cy="55"/>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760" name="Rectangle 320"/>
          <xdr:cNvSpPr>
            <a:spLocks noChangeArrowheads="1"/>
          </xdr:cNvSpPr>
        </xdr:nvSpPr>
        <xdr:spPr bwMode="auto">
          <a:xfrm>
            <a:off x="761" y="379"/>
            <a:ext cx="49" cy="94"/>
          </a:xfrm>
          <a:prstGeom prst="rect">
            <a:avLst/>
          </a:prstGeom>
          <a:solidFill>
            <a:srgbClr val="FFFF99"/>
          </a:solidFill>
          <a:ln w="9525">
            <a:noFill/>
            <a:miter lim="800000"/>
            <a:headEnd/>
            <a:tailEnd/>
          </a:ln>
        </xdr:spPr>
        <xdr:txBody>
          <a:bodyPr vertOverflow="clip" wrap="square" lIns="27432" tIns="18288" rIns="0" bIns="0" anchor="t" upright="1"/>
          <a:lstStyle/>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Mitte Fenster</a:t>
            </a:r>
          </a:p>
        </xdr:txBody>
      </xdr:sp>
      <xdr:sp macro="" textlink="">
        <xdr:nvSpPr>
          <xdr:cNvPr id="376356" name="Rectangle 372"/>
          <xdr:cNvSpPr>
            <a:spLocks noChangeArrowheads="1"/>
          </xdr:cNvSpPr>
        </xdr:nvSpPr>
        <xdr:spPr bwMode="auto">
          <a:xfrm>
            <a:off x="727" y="418"/>
            <a:ext cx="16" cy="28"/>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7" name="Rectangle 373"/>
          <xdr:cNvSpPr>
            <a:spLocks noChangeArrowheads="1"/>
          </xdr:cNvSpPr>
        </xdr:nvSpPr>
        <xdr:spPr bwMode="auto">
          <a:xfrm>
            <a:off x="742" y="433"/>
            <a:ext cx="11" cy="16"/>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8" name="Rectangle 308"/>
          <xdr:cNvSpPr>
            <a:spLocks noChangeArrowheads="1"/>
          </xdr:cNvSpPr>
        </xdr:nvSpPr>
        <xdr:spPr bwMode="auto">
          <a:xfrm>
            <a:off x="754" y="397"/>
            <a:ext cx="4" cy="59"/>
          </a:xfrm>
          <a:prstGeom prst="rect">
            <a:avLst/>
          </a:prstGeom>
          <a:solidFill>
            <a:srgbClr val="FFFFFF"/>
          </a:solidFill>
          <a:ln w="9525">
            <a:solidFill>
              <a:srgbClr val="000000"/>
            </a:solidFill>
            <a:miter lim="800000"/>
            <a:headEnd/>
            <a:tailEnd/>
          </a:ln>
        </xdr:spPr>
      </xdr:sp>
      <xdr:sp macro="" textlink="">
        <xdr:nvSpPr>
          <xdr:cNvPr id="376359" name="Line 312"/>
          <xdr:cNvSpPr>
            <a:spLocks noChangeShapeType="1"/>
          </xdr:cNvSpPr>
        </xdr:nvSpPr>
        <xdr:spPr bwMode="auto">
          <a:xfrm flipH="1">
            <a:off x="686" y="428"/>
            <a:ext cx="6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376360" name="Group 399"/>
          <xdr:cNvGrpSpPr>
            <a:grpSpLocks/>
          </xdr:cNvGrpSpPr>
        </xdr:nvGrpSpPr>
        <xdr:grpSpPr bwMode="auto">
          <a:xfrm>
            <a:off x="778" y="378"/>
            <a:ext cx="26" cy="26"/>
            <a:chOff x="873" y="58"/>
            <a:chExt cx="28" cy="26"/>
          </a:xfrm>
        </xdr:grpSpPr>
        <xdr:sp macro="" textlink="">
          <xdr:nvSpPr>
            <xdr:cNvPr id="376361" name="Oval 394"/>
            <xdr:cNvSpPr>
              <a:spLocks noChangeArrowheads="1"/>
            </xdr:cNvSpPr>
          </xdr:nvSpPr>
          <xdr:spPr bwMode="auto">
            <a:xfrm>
              <a:off x="877" y="66"/>
              <a:ext cx="21" cy="15"/>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362" name="Rectangle 395"/>
            <xdr:cNvSpPr>
              <a:spLocks noChangeArrowheads="1"/>
            </xdr:cNvSpPr>
          </xdr:nvSpPr>
          <xdr:spPr bwMode="auto">
            <a:xfrm>
              <a:off x="873" y="73"/>
              <a:ext cx="28" cy="1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63" name="Line 396"/>
            <xdr:cNvSpPr>
              <a:spLocks noChangeShapeType="1"/>
            </xdr:cNvSpPr>
          </xdr:nvSpPr>
          <xdr:spPr bwMode="auto">
            <a:xfrm flipV="1">
              <a:off x="888" y="5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64" name="Oval 398"/>
            <xdr:cNvSpPr>
              <a:spLocks noChangeArrowheads="1"/>
            </xdr:cNvSpPr>
          </xdr:nvSpPr>
          <xdr:spPr bwMode="auto">
            <a:xfrm>
              <a:off x="884" y="69"/>
              <a:ext cx="7" cy="8"/>
            </a:xfrm>
            <a:prstGeom prst="ellipse">
              <a:avLst/>
            </a:prstGeom>
            <a:solidFill>
              <a:srgbClr val="FFFFFF"/>
            </a:solidFill>
            <a:ln w="9525">
              <a:solidFill>
                <a:srgbClr val="000000"/>
              </a:solidFill>
              <a:round/>
              <a:headEnd/>
              <a:tailEnd/>
            </a:ln>
          </xdr:spPr>
        </xdr:sp>
      </xdr:grpSp>
    </xdr:grpSp>
    <xdr:clientData/>
  </xdr:twoCellAnchor>
  <xdr:twoCellAnchor>
    <xdr:from>
      <xdr:col>28</xdr:col>
      <xdr:colOff>0</xdr:colOff>
      <xdr:row>16</xdr:row>
      <xdr:rowOff>0</xdr:rowOff>
    </xdr:from>
    <xdr:to>
      <xdr:col>32</xdr:col>
      <xdr:colOff>95250</xdr:colOff>
      <xdr:row>24</xdr:row>
      <xdr:rowOff>171450</xdr:rowOff>
    </xdr:to>
    <xdr:grpSp>
      <xdr:nvGrpSpPr>
        <xdr:cNvPr id="376322" name="Group 504"/>
        <xdr:cNvGrpSpPr>
          <a:grpSpLocks/>
        </xdr:cNvGrpSpPr>
      </xdr:nvGrpSpPr>
      <xdr:grpSpPr bwMode="auto">
        <a:xfrm>
          <a:off x="7905750" y="2390775"/>
          <a:ext cx="1152525" cy="1047750"/>
          <a:chOff x="1018" y="312"/>
          <a:chExt cx="163" cy="142"/>
        </a:xfrm>
      </xdr:grpSpPr>
      <xdr:sp macro="" textlink="">
        <xdr:nvSpPr>
          <xdr:cNvPr id="61816" name="Rectangle 376"/>
          <xdr:cNvSpPr>
            <a:spLocks noChangeArrowheads="1"/>
          </xdr:cNvSpPr>
        </xdr:nvSpPr>
        <xdr:spPr bwMode="auto">
          <a:xfrm>
            <a:off x="1018" y="312"/>
            <a:ext cx="163" cy="142"/>
          </a:xfrm>
          <a:prstGeom prst="rect">
            <a:avLst/>
          </a:prstGeom>
          <a:solidFill>
            <a:srgbClr val="00FF00"/>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Blende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24" name="Rectangle 377"/>
          <xdr:cNvSpPr>
            <a:spLocks noChangeArrowheads="1"/>
          </xdr:cNvSpPr>
        </xdr:nvSpPr>
        <xdr:spPr bwMode="auto">
          <a:xfrm>
            <a:off x="1063" y="346"/>
            <a:ext cx="11" cy="5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5" name="Line 381"/>
          <xdr:cNvSpPr>
            <a:spLocks noChangeShapeType="1"/>
          </xdr:cNvSpPr>
        </xdr:nvSpPr>
        <xdr:spPr bwMode="auto">
          <a:xfrm flipH="1">
            <a:off x="1047" y="34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9" name="Rectangle 389"/>
          <xdr:cNvSpPr>
            <a:spLocks noChangeArrowheads="1"/>
          </xdr:cNvSpPr>
        </xdr:nvSpPr>
        <xdr:spPr bwMode="auto">
          <a:xfrm>
            <a:off x="1019" y="402"/>
            <a:ext cx="160" cy="49"/>
          </a:xfrm>
          <a:prstGeom prst="rect">
            <a:avLst/>
          </a:prstGeom>
          <a:solidFill>
            <a:srgbClr val="FFFF99"/>
          </a:solidFill>
          <a:ln w="9525">
            <a:noFill/>
            <a:miter lim="800000"/>
            <a:headEnd/>
            <a:tailEnd/>
          </a:ln>
        </xdr:spPr>
        <xdr:txBody>
          <a:bodyPr vertOverflow="clip" wrap="square" lIns="27432" tIns="18288" rIns="27432" bIns="0" anchor="t" upright="1"/>
          <a:lstStyle/>
          <a:p>
            <a:pPr algn="ctr" rtl="0">
              <a:defRPr sz="1000"/>
            </a:pPr>
            <a:endParaRPr lang="de-CH" sz="600" b="0" i="0" strike="noStrike">
              <a:solidFill>
                <a:srgbClr val="000000"/>
              </a:solidFill>
              <a:latin typeface="Arial"/>
              <a:cs typeface="Arial"/>
            </a:endParaRPr>
          </a:p>
          <a:p>
            <a:pPr algn="ctr" rtl="0">
              <a:defRPr sz="1000"/>
            </a:pPr>
            <a:endParaRPr lang="de-CH" sz="600" b="0" i="0" strike="noStrike">
              <a:solidFill>
                <a:srgbClr val="000000"/>
              </a:solidFill>
              <a:latin typeface="Arial"/>
              <a:cs typeface="Arial"/>
            </a:endParaRPr>
          </a:p>
          <a:p>
            <a:pPr algn="ctr" rtl="0">
              <a:defRPr sz="1000"/>
            </a:pPr>
            <a:r>
              <a:rPr lang="de-CH" sz="600" b="0" i="0" strike="noStrike">
                <a:solidFill>
                  <a:srgbClr val="000000"/>
                </a:solidFill>
                <a:latin typeface="Arial"/>
                <a:cs typeface="Arial"/>
              </a:rPr>
              <a:t>Breite B</a:t>
            </a:r>
          </a:p>
        </xdr:txBody>
      </xdr:sp>
      <xdr:sp macro="" textlink="">
        <xdr:nvSpPr>
          <xdr:cNvPr id="376327" name="Rectangle 378"/>
          <xdr:cNvSpPr>
            <a:spLocks noChangeArrowheads="1"/>
          </xdr:cNvSpPr>
        </xdr:nvSpPr>
        <xdr:spPr bwMode="auto">
          <a:xfrm>
            <a:off x="1019" y="390"/>
            <a:ext cx="161"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8" name="Rectangle 390"/>
          <xdr:cNvSpPr>
            <a:spLocks noChangeArrowheads="1"/>
          </xdr:cNvSpPr>
        </xdr:nvSpPr>
        <xdr:spPr bwMode="auto">
          <a:xfrm>
            <a:off x="1095" y="380"/>
            <a:ext cx="46" cy="1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9" name="Line 393"/>
          <xdr:cNvSpPr>
            <a:spLocks noChangeShapeType="1"/>
          </xdr:cNvSpPr>
        </xdr:nvSpPr>
        <xdr:spPr bwMode="auto">
          <a:xfrm flipH="1">
            <a:off x="1050" y="394"/>
            <a:ext cx="7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0" name="Line 385"/>
          <xdr:cNvSpPr>
            <a:spLocks noChangeShapeType="1"/>
          </xdr:cNvSpPr>
        </xdr:nvSpPr>
        <xdr:spPr bwMode="auto">
          <a:xfrm flipH="1" flipV="1">
            <a:off x="1073" y="346"/>
            <a:ext cx="45"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1" name="Line 401"/>
          <xdr:cNvSpPr>
            <a:spLocks noChangeShapeType="1"/>
          </xdr:cNvSpPr>
        </xdr:nvSpPr>
        <xdr:spPr bwMode="auto">
          <a:xfrm>
            <a:off x="1074" y="345"/>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6" name="Text Box 386"/>
          <xdr:cNvSpPr txBox="1">
            <a:spLocks noChangeArrowheads="1"/>
          </xdr:cNvSpPr>
        </xdr:nvSpPr>
        <xdr:spPr bwMode="auto">
          <a:xfrm>
            <a:off x="1084" y="370"/>
            <a:ext cx="18" cy="2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0" i="0" strike="noStrike">
                <a:solidFill>
                  <a:srgbClr val="000000"/>
                </a:solidFill>
                <a:latin typeface="Symbol"/>
              </a:rPr>
              <a:t>g</a:t>
            </a:r>
          </a:p>
        </xdr:txBody>
      </xdr:sp>
      <xdr:sp macro="" textlink="">
        <xdr:nvSpPr>
          <xdr:cNvPr id="376333" name="Oval 387"/>
          <xdr:cNvSpPr>
            <a:spLocks noChangeArrowheads="1"/>
          </xdr:cNvSpPr>
        </xdr:nvSpPr>
        <xdr:spPr bwMode="auto">
          <a:xfrm>
            <a:off x="1103" y="377"/>
            <a:ext cx="31"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34" name="Rectangle 388"/>
          <xdr:cNvSpPr>
            <a:spLocks noChangeArrowheads="1"/>
          </xdr:cNvSpPr>
        </xdr:nvSpPr>
        <xdr:spPr bwMode="auto">
          <a:xfrm>
            <a:off x="1094" y="395"/>
            <a:ext cx="48" cy="2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5" name="Line 382"/>
          <xdr:cNvSpPr>
            <a:spLocks noChangeShapeType="1"/>
          </xdr:cNvSpPr>
        </xdr:nvSpPr>
        <xdr:spPr bwMode="auto">
          <a:xfrm>
            <a:off x="1073" y="421"/>
            <a:ext cx="4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36" name="Line 383"/>
          <xdr:cNvSpPr>
            <a:spLocks noChangeShapeType="1"/>
          </xdr:cNvSpPr>
        </xdr:nvSpPr>
        <xdr:spPr bwMode="auto">
          <a:xfrm flipV="1">
            <a:off x="1119" y="382"/>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7" name="Rectangle 391"/>
          <xdr:cNvSpPr>
            <a:spLocks noChangeArrowheads="1"/>
          </xdr:cNvSpPr>
        </xdr:nvSpPr>
        <xdr:spPr bwMode="auto">
          <a:xfrm>
            <a:off x="1109" y="364"/>
            <a:ext cx="41" cy="16"/>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8" name="Rectangle 402"/>
          <xdr:cNvSpPr>
            <a:spLocks noChangeArrowheads="1"/>
          </xdr:cNvSpPr>
        </xdr:nvSpPr>
        <xdr:spPr bwMode="auto">
          <a:xfrm>
            <a:off x="1123" y="373"/>
            <a:ext cx="13" cy="2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9" name="Rectangle 392"/>
          <xdr:cNvSpPr>
            <a:spLocks noChangeArrowheads="1"/>
          </xdr:cNvSpPr>
        </xdr:nvSpPr>
        <xdr:spPr bwMode="auto">
          <a:xfrm rot="-5400000">
            <a:off x="1117" y="367"/>
            <a:ext cx="4" cy="58"/>
          </a:xfrm>
          <a:prstGeom prst="rect">
            <a:avLst/>
          </a:prstGeom>
          <a:solidFill>
            <a:srgbClr val="FFFFFF"/>
          </a:solidFill>
          <a:ln w="9525">
            <a:solidFill>
              <a:srgbClr val="000000"/>
            </a:solidFill>
            <a:miter lim="800000"/>
            <a:headEnd/>
            <a:tailEnd/>
          </a:ln>
        </xdr:spPr>
      </xdr:sp>
      <xdr:sp macro="" textlink="">
        <xdr:nvSpPr>
          <xdr:cNvPr id="376340" name="Line 380"/>
          <xdr:cNvSpPr>
            <a:spLocks noChangeShapeType="1"/>
          </xdr:cNvSpPr>
        </xdr:nvSpPr>
        <xdr:spPr bwMode="auto">
          <a:xfrm>
            <a:off x="1056" y="346"/>
            <a:ext cx="0" cy="4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1843" name="Text Box 403"/>
          <xdr:cNvSpPr txBox="1">
            <a:spLocks noChangeArrowheads="1"/>
          </xdr:cNvSpPr>
        </xdr:nvSpPr>
        <xdr:spPr bwMode="auto">
          <a:xfrm>
            <a:off x="1107" y="362"/>
            <a:ext cx="65" cy="15"/>
          </a:xfrm>
          <a:prstGeom prst="rect">
            <a:avLst/>
          </a:prstGeom>
          <a:noFill/>
          <a:ln w="9525">
            <a:noFill/>
            <a:miter lim="800000"/>
            <a:headEnd/>
            <a:tailEnd/>
          </a:ln>
        </xdr:spPr>
        <xdr:txBody>
          <a:bodyPr wrap="none" lIns="18288" tIns="18288" rIns="0" bIns="0" anchor="t" upright="1">
            <a:spAutoFit/>
          </a:bodyPr>
          <a:lstStyle/>
          <a:p>
            <a:pPr algn="l" rtl="0">
              <a:defRPr sz="1000"/>
            </a:pPr>
            <a:r>
              <a:rPr lang="de-CH" sz="600" b="0" i="0" strike="noStrike">
                <a:solidFill>
                  <a:srgbClr val="000000"/>
                </a:solidFill>
                <a:latin typeface="Arial"/>
                <a:cs typeface="Arial"/>
              </a:rPr>
              <a:t>Mitte Fenster</a:t>
            </a:r>
          </a:p>
        </xdr:txBody>
      </xdr:sp>
    </xdr:grpSp>
    <xdr:clientData/>
  </xdr:twoCellAnchor>
  <xdr:twoCellAnchor>
    <xdr:from>
      <xdr:col>13</xdr:col>
      <xdr:colOff>365760</xdr:colOff>
      <xdr:row>12</xdr:row>
      <xdr:rowOff>91440</xdr:rowOff>
    </xdr:from>
    <xdr:to>
      <xdr:col>27</xdr:col>
      <xdr:colOff>304800</xdr:colOff>
      <xdr:row>26</xdr:row>
      <xdr:rowOff>81280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45720</xdr:colOff>
      <xdr:row>12</xdr:row>
      <xdr:rowOff>86360</xdr:rowOff>
    </xdr:from>
    <xdr:to>
      <xdr:col>37</xdr:col>
      <xdr:colOff>25400</xdr:colOff>
      <xdr:row>26</xdr:row>
      <xdr:rowOff>127000</xdr:rowOff>
    </xdr:to>
    <xdr:graphicFrame macro="">
      <xdr:nvGraphicFramePr>
        <xdr:cNvPr id="49" name="Diagramm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858375" cy="66579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0.0655</cdr:x>
      <cdr:y>0.113</cdr:y>
    </cdr:from>
    <cdr:to>
      <cdr:x>0.27025</cdr:x>
      <cdr:y>0.145</cdr:y>
    </cdr:to>
    <cdr:sp macro="" textlink="">
      <cdr:nvSpPr>
        <cdr:cNvPr id="106497" name="Text Box 1"/>
        <cdr:cNvSpPr txBox="1">
          <a:spLocks xmlns:a="http://schemas.openxmlformats.org/drawingml/2006/main" noChangeArrowheads="1"/>
        </cdr:cNvSpPr>
      </cdr:nvSpPr>
      <cdr:spPr bwMode="auto">
        <a:xfrm xmlns:a="http://schemas.openxmlformats.org/drawingml/2006/main">
          <a:off x="645724" y="752351"/>
          <a:ext cx="2018502" cy="213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476250</xdr:colOff>
      <xdr:row>98</xdr:row>
      <xdr:rowOff>47625</xdr:rowOff>
    </xdr:to>
    <xdr:graphicFrame macro="">
      <xdr:nvGraphicFramePr>
        <xdr:cNvPr id="10037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0.06749</cdr:x>
      <cdr:y>0.03851</cdr:y>
    </cdr:from>
    <cdr:to>
      <cdr:x>0.27126</cdr:x>
      <cdr:y>0.07338</cdr:y>
    </cdr:to>
    <cdr:sp macro="" textlink="">
      <cdr:nvSpPr>
        <cdr:cNvPr id="101377" name="Text Box 1"/>
        <cdr:cNvSpPr txBox="1">
          <a:spLocks xmlns:a="http://schemas.openxmlformats.org/drawingml/2006/main" noChangeArrowheads="1"/>
        </cdr:cNvSpPr>
      </cdr:nvSpPr>
      <cdr:spPr bwMode="auto">
        <a:xfrm xmlns:a="http://schemas.openxmlformats.org/drawingml/2006/main">
          <a:off x="596494" y="211865"/>
          <a:ext cx="1791443" cy="1890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69</xdr:row>
      <xdr:rowOff>95250</xdr:rowOff>
    </xdr:from>
    <xdr:to>
      <xdr:col>15</xdr:col>
      <xdr:colOff>495300</xdr:colOff>
      <xdr:row>98</xdr:row>
      <xdr:rowOff>76200</xdr:rowOff>
    </xdr:to>
    <xdr:graphicFrame macro="">
      <xdr:nvGraphicFramePr>
        <xdr:cNvPr id="9832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0.06722</cdr:x>
      <cdr:y>0.04176</cdr:y>
    </cdr:from>
    <cdr:to>
      <cdr:x>0.271</cdr:x>
      <cdr:y>0.0758</cdr:y>
    </cdr:to>
    <cdr:sp macro="" textlink="">
      <cdr:nvSpPr>
        <cdr:cNvPr id="99329" name="Text Box 1"/>
        <cdr:cNvSpPr txBox="1">
          <a:spLocks xmlns:a="http://schemas.openxmlformats.org/drawingml/2006/main" noChangeArrowheads="1"/>
        </cdr:cNvSpPr>
      </cdr:nvSpPr>
      <cdr:spPr bwMode="auto">
        <a:xfrm xmlns:a="http://schemas.openxmlformats.org/drawingml/2006/main">
          <a:off x="596106" y="198861"/>
          <a:ext cx="1797330" cy="159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6.xml><?xml version="1.0" encoding="utf-8"?>
<xdr:wsDr xmlns:xdr="http://schemas.openxmlformats.org/drawingml/2006/spreadsheetDrawing" xmlns:a="http://schemas.openxmlformats.org/drawingml/2006/main">
  <xdr:twoCellAnchor>
    <xdr:from>
      <xdr:col>14</xdr:col>
      <xdr:colOff>342900</xdr:colOff>
      <xdr:row>77</xdr:row>
      <xdr:rowOff>57150</xdr:rowOff>
    </xdr:from>
    <xdr:to>
      <xdr:col>15</xdr:col>
      <xdr:colOff>390525</xdr:colOff>
      <xdr:row>77</xdr:row>
      <xdr:rowOff>57150</xdr:rowOff>
    </xdr:to>
    <xdr:sp macro="" textlink="">
      <xdr:nvSpPr>
        <xdr:cNvPr id="95288" name="Line 27"/>
        <xdr:cNvSpPr>
          <a:spLocks noChangeShapeType="1"/>
        </xdr:cNvSpPr>
      </xdr:nvSpPr>
      <xdr:spPr bwMode="auto">
        <a:xfrm>
          <a:off x="6629400" y="1346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54709</xdr:colOff>
      <xdr:row>254</xdr:row>
      <xdr:rowOff>66678</xdr:rowOff>
    </xdr:from>
    <xdr:to>
      <xdr:col>17</xdr:col>
      <xdr:colOff>704851</xdr:colOff>
      <xdr:row>271</xdr:row>
      <xdr:rowOff>32167</xdr:rowOff>
    </xdr:to>
    <xdr:grpSp>
      <xdr:nvGrpSpPr>
        <xdr:cNvPr id="568562" name="Group 74"/>
        <xdr:cNvGrpSpPr>
          <a:grpSpLocks/>
        </xdr:cNvGrpSpPr>
      </xdr:nvGrpSpPr>
      <xdr:grpSpPr bwMode="auto">
        <a:xfrm>
          <a:off x="5788759" y="42224328"/>
          <a:ext cx="4507767" cy="2718214"/>
          <a:chOff x="609" y="4556"/>
          <a:chExt cx="449" cy="285"/>
        </a:xfrm>
      </xdr:grpSpPr>
      <xdr:sp macro="" textlink="">
        <xdr:nvSpPr>
          <xdr:cNvPr id="568591" name="Rectangle 2"/>
          <xdr:cNvSpPr>
            <a:spLocks noChangeArrowheads="1"/>
          </xdr:cNvSpPr>
        </xdr:nvSpPr>
        <xdr:spPr bwMode="auto">
          <a:xfrm>
            <a:off x="705" y="4704"/>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2" name="Rectangle 3"/>
          <xdr:cNvSpPr>
            <a:spLocks noChangeArrowheads="1"/>
          </xdr:cNvSpPr>
        </xdr:nvSpPr>
        <xdr:spPr bwMode="auto">
          <a:xfrm>
            <a:off x="705" y="4722"/>
            <a:ext cx="58"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3" name="Rectangle 4"/>
          <xdr:cNvSpPr>
            <a:spLocks noChangeArrowheads="1"/>
          </xdr:cNvSpPr>
        </xdr:nvSpPr>
        <xdr:spPr bwMode="auto">
          <a:xfrm>
            <a:off x="859" y="4722"/>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4" name="Rectangle 5"/>
          <xdr:cNvSpPr>
            <a:spLocks noChangeArrowheads="1"/>
          </xdr:cNvSpPr>
        </xdr:nvSpPr>
        <xdr:spPr bwMode="auto">
          <a:xfrm rot="-5400000">
            <a:off x="647"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5" name="Rectangle 6"/>
          <xdr:cNvSpPr>
            <a:spLocks noChangeArrowheads="1"/>
          </xdr:cNvSpPr>
        </xdr:nvSpPr>
        <xdr:spPr bwMode="auto">
          <a:xfrm rot="-5400000">
            <a:off x="846"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6" name="Line 10"/>
          <xdr:cNvSpPr>
            <a:spLocks noChangeShapeType="1"/>
          </xdr:cNvSpPr>
        </xdr:nvSpPr>
        <xdr:spPr bwMode="auto">
          <a:xfrm>
            <a:off x="916"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7" name="Line 12"/>
          <xdr:cNvSpPr>
            <a:spLocks noChangeShapeType="1"/>
          </xdr:cNvSpPr>
        </xdr:nvSpPr>
        <xdr:spPr bwMode="auto">
          <a:xfrm>
            <a:off x="859"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8" name="Line 13"/>
          <xdr:cNvSpPr>
            <a:spLocks noChangeShapeType="1"/>
          </xdr:cNvSpPr>
        </xdr:nvSpPr>
        <xdr:spPr bwMode="auto">
          <a:xfrm>
            <a:off x="859" y="4793"/>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79" name="Text Box 15"/>
          <xdr:cNvSpPr txBox="1">
            <a:spLocks noChangeArrowheads="1"/>
          </xdr:cNvSpPr>
        </xdr:nvSpPr>
        <xdr:spPr bwMode="auto">
          <a:xfrm>
            <a:off x="864" y="4806"/>
            <a:ext cx="76" cy="3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Breite B /</a:t>
            </a:r>
            <a:br>
              <a:rPr lang="de-CH" sz="1000" b="0" i="0" strike="noStrike">
                <a:solidFill>
                  <a:srgbClr val="000000"/>
                </a:solidFill>
                <a:latin typeface="Arial"/>
                <a:cs typeface="Arial"/>
              </a:rPr>
            </a:br>
            <a:r>
              <a:rPr lang="de-CH" sz="1000" b="0" i="0" strike="noStrike">
                <a:solidFill>
                  <a:srgbClr val="000000"/>
                </a:solidFill>
                <a:latin typeface="Arial"/>
                <a:cs typeface="Arial"/>
              </a:rPr>
              <a:t>Largeur B </a:t>
            </a:r>
          </a:p>
          <a:p>
            <a:pPr algn="l" rtl="0">
              <a:defRPr sz="1000"/>
            </a:pPr>
            <a:endParaRPr lang="de-CH" sz="1000" b="0" i="0" strike="noStrike">
              <a:solidFill>
                <a:srgbClr val="000000"/>
              </a:solidFill>
              <a:latin typeface="Arial"/>
              <a:cs typeface="Arial"/>
            </a:endParaRPr>
          </a:p>
        </xdr:txBody>
      </xdr:sp>
      <xdr:sp macro="" textlink="">
        <xdr:nvSpPr>
          <xdr:cNvPr id="568600" name="Line 16"/>
          <xdr:cNvSpPr>
            <a:spLocks noChangeShapeType="1"/>
          </xdr:cNvSpPr>
        </xdr:nvSpPr>
        <xdr:spPr bwMode="auto">
          <a:xfrm rot="-5400000">
            <a:off x="936"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1" name="Line 17"/>
          <xdr:cNvSpPr>
            <a:spLocks noChangeShapeType="1"/>
          </xdr:cNvSpPr>
        </xdr:nvSpPr>
        <xdr:spPr bwMode="auto">
          <a:xfrm rot="-5400000">
            <a:off x="936" y="4719"/>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2" name="Line 18"/>
          <xdr:cNvSpPr>
            <a:spLocks noChangeShapeType="1"/>
          </xdr:cNvSpPr>
        </xdr:nvSpPr>
        <xdr:spPr bwMode="auto">
          <a:xfrm>
            <a:off x="940" y="4689"/>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03" name="Line 19"/>
          <xdr:cNvSpPr>
            <a:spLocks noChangeShapeType="1"/>
          </xdr:cNvSpPr>
        </xdr:nvSpPr>
        <xdr:spPr bwMode="auto">
          <a:xfrm flipV="1">
            <a:off x="940" y="4738"/>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5" name="Text Box 21"/>
          <xdr:cNvSpPr txBox="1">
            <a:spLocks noChangeArrowheads="1"/>
          </xdr:cNvSpPr>
        </xdr:nvSpPr>
        <xdr:spPr bwMode="auto">
          <a:xfrm>
            <a:off x="957" y="4722"/>
            <a:ext cx="101" cy="49"/>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605" name="Line 22"/>
          <xdr:cNvSpPr>
            <a:spLocks noChangeShapeType="1"/>
          </xdr:cNvSpPr>
        </xdr:nvSpPr>
        <xdr:spPr bwMode="auto">
          <a:xfrm>
            <a:off x="940" y="4600"/>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7" name="Text Box 23"/>
          <xdr:cNvSpPr txBox="1">
            <a:spLocks noChangeArrowheads="1"/>
          </xdr:cNvSpPr>
        </xdr:nvSpPr>
        <xdr:spPr bwMode="auto">
          <a:xfrm>
            <a:off x="958" y="4612"/>
            <a:ext cx="86" cy="46"/>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607" name="Line 24"/>
          <xdr:cNvSpPr>
            <a:spLocks noChangeShapeType="1"/>
          </xdr:cNvSpPr>
        </xdr:nvSpPr>
        <xdr:spPr bwMode="auto">
          <a:xfrm rot="-5400000">
            <a:off x="684"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8" name="Line 25"/>
          <xdr:cNvSpPr>
            <a:spLocks noChangeShapeType="1"/>
          </xdr:cNvSpPr>
        </xdr:nvSpPr>
        <xdr:spPr bwMode="auto">
          <a:xfrm rot="-5400000">
            <a:off x="638" y="4679"/>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90" name="Text Box 26"/>
          <xdr:cNvSpPr txBox="1">
            <a:spLocks noChangeArrowheads="1"/>
          </xdr:cNvSpPr>
        </xdr:nvSpPr>
        <xdr:spPr bwMode="auto">
          <a:xfrm>
            <a:off x="609" y="4650"/>
            <a:ext cx="74" cy="73"/>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a:p>
            <a:pPr algn="l" rtl="0">
              <a:defRPr sz="1000"/>
            </a:pPr>
            <a:endParaRPr lang="de-CH" sz="1000" b="0" i="0" strike="noStrike">
              <a:solidFill>
                <a:srgbClr val="000000"/>
              </a:solidFill>
              <a:latin typeface="Arial"/>
              <a:cs typeface="Arial"/>
            </a:endParaRPr>
          </a:p>
        </xdr:txBody>
      </xdr:sp>
      <xdr:sp macro="" textlink="">
        <xdr:nvSpPr>
          <xdr:cNvPr id="568610" name="Line 27"/>
          <xdr:cNvSpPr>
            <a:spLocks noChangeShapeType="1"/>
          </xdr:cNvSpPr>
        </xdr:nvSpPr>
        <xdr:spPr bwMode="auto">
          <a:xfrm rot="10800000">
            <a:off x="705"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1" name="Line 29"/>
          <xdr:cNvSpPr>
            <a:spLocks noChangeShapeType="1"/>
          </xdr:cNvSpPr>
        </xdr:nvSpPr>
        <xdr:spPr bwMode="auto">
          <a:xfrm rot="-5400000">
            <a:off x="692" y="4551"/>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2" name="Line 30"/>
          <xdr:cNvSpPr>
            <a:spLocks noChangeShapeType="1"/>
          </xdr:cNvSpPr>
        </xdr:nvSpPr>
        <xdr:spPr bwMode="auto">
          <a:xfrm rot="16200000" flipV="1">
            <a:off x="730" y="4552"/>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3" name="Line 32"/>
          <xdr:cNvSpPr>
            <a:spLocks noChangeShapeType="1"/>
          </xdr:cNvSpPr>
        </xdr:nvSpPr>
        <xdr:spPr bwMode="auto">
          <a:xfrm rot="10800000">
            <a:off x="717"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497" name="Text Box 33"/>
          <xdr:cNvSpPr txBox="1">
            <a:spLocks noChangeArrowheads="1"/>
          </xdr:cNvSpPr>
        </xdr:nvSpPr>
        <xdr:spPr bwMode="auto">
          <a:xfrm>
            <a:off x="748" y="4556"/>
            <a:ext cx="133" cy="47"/>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 la parois</a:t>
            </a:r>
          </a:p>
          <a:p>
            <a:pPr algn="l" rtl="0">
              <a:defRPr sz="1000"/>
            </a:pPr>
            <a:endParaRPr lang="de-CH" sz="1000" b="0" i="0" strike="noStrike">
              <a:solidFill>
                <a:srgbClr val="000000"/>
              </a:solidFill>
              <a:latin typeface="Arial"/>
              <a:cs typeface="Arial"/>
            </a:endParaRPr>
          </a:p>
          <a:p>
            <a:pPr algn="l" rtl="0">
              <a:defRPr sz="1000"/>
            </a:pPr>
            <a:endParaRPr lang="de-CH" sz="1000" b="0" i="0" strike="noStrike">
              <a:solidFill>
                <a:srgbClr val="000000"/>
              </a:solidFill>
              <a:latin typeface="Arial"/>
              <a:cs typeface="Arial"/>
            </a:endParaRPr>
          </a:p>
        </xdr:txBody>
      </xdr:sp>
      <xdr:sp macro="" textlink="">
        <xdr:nvSpPr>
          <xdr:cNvPr id="568615" name="Line 34"/>
          <xdr:cNvSpPr>
            <a:spLocks noChangeShapeType="1"/>
          </xdr:cNvSpPr>
        </xdr:nvSpPr>
        <xdr:spPr bwMode="auto">
          <a:xfrm>
            <a:off x="916" y="4635"/>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6" name="Line 35"/>
          <xdr:cNvSpPr>
            <a:spLocks noChangeShapeType="1"/>
          </xdr:cNvSpPr>
        </xdr:nvSpPr>
        <xdr:spPr bwMode="auto">
          <a:xfrm>
            <a:off x="656" y="4635"/>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10</xdr:col>
      <xdr:colOff>28194</xdr:colOff>
      <xdr:row>371</xdr:row>
      <xdr:rowOff>66664</xdr:rowOff>
    </xdr:from>
    <xdr:to>
      <xdr:col>17</xdr:col>
      <xdr:colOff>571500</xdr:colOff>
      <xdr:row>388</xdr:row>
      <xdr:rowOff>16529</xdr:rowOff>
    </xdr:to>
    <xdr:grpSp>
      <xdr:nvGrpSpPr>
        <xdr:cNvPr id="568563" name="Group 73"/>
        <xdr:cNvGrpSpPr>
          <a:grpSpLocks/>
        </xdr:cNvGrpSpPr>
      </xdr:nvGrpSpPr>
      <xdr:grpSpPr bwMode="auto">
        <a:xfrm>
          <a:off x="5762244" y="61607689"/>
          <a:ext cx="4400931" cy="2702590"/>
          <a:chOff x="606" y="6602"/>
          <a:chExt cx="438" cy="284"/>
        </a:xfrm>
      </xdr:grpSpPr>
      <xdr:sp macro="" textlink="">
        <xdr:nvSpPr>
          <xdr:cNvPr id="568564" name="Rectangle 40"/>
          <xdr:cNvSpPr>
            <a:spLocks noChangeArrowheads="1"/>
          </xdr:cNvSpPr>
        </xdr:nvSpPr>
        <xdr:spPr bwMode="auto">
          <a:xfrm>
            <a:off x="705" y="6750"/>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5" name="Rectangle 41"/>
          <xdr:cNvSpPr>
            <a:spLocks noChangeArrowheads="1"/>
          </xdr:cNvSpPr>
        </xdr:nvSpPr>
        <xdr:spPr bwMode="auto">
          <a:xfrm rot="-5400000">
            <a:off x="668" y="6788"/>
            <a:ext cx="56"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6" name="Rectangle 42"/>
          <xdr:cNvSpPr>
            <a:spLocks noChangeArrowheads="1"/>
          </xdr:cNvSpPr>
        </xdr:nvSpPr>
        <xdr:spPr bwMode="auto">
          <a:xfrm rot="-5400000">
            <a:off x="896" y="6788"/>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7" name="Rectangle 43"/>
          <xdr:cNvSpPr>
            <a:spLocks noChangeArrowheads="1"/>
          </xdr:cNvSpPr>
        </xdr:nvSpPr>
        <xdr:spPr bwMode="auto">
          <a:xfrm rot="-5400000">
            <a:off x="647"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8" name="Rectangle 44"/>
          <xdr:cNvSpPr>
            <a:spLocks noChangeArrowheads="1"/>
          </xdr:cNvSpPr>
        </xdr:nvSpPr>
        <xdr:spPr bwMode="auto">
          <a:xfrm rot="-5400000">
            <a:off x="846"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9" name="Line 46"/>
          <xdr:cNvSpPr>
            <a:spLocks noChangeShapeType="1"/>
          </xdr:cNvSpPr>
        </xdr:nvSpPr>
        <xdr:spPr bwMode="auto">
          <a:xfrm>
            <a:off x="916"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12" name="Text Box 48"/>
          <xdr:cNvSpPr txBox="1">
            <a:spLocks noChangeArrowheads="1"/>
          </xdr:cNvSpPr>
        </xdr:nvSpPr>
        <xdr:spPr bwMode="auto">
          <a:xfrm>
            <a:off x="606" y="6785"/>
            <a:ext cx="67" cy="4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Höhe H /</a:t>
            </a:r>
            <a:br>
              <a:rPr lang="de-CH" sz="1000" b="0" i="0" strike="noStrike">
                <a:solidFill>
                  <a:srgbClr val="000000"/>
                </a:solidFill>
                <a:latin typeface="Arial"/>
                <a:cs typeface="Arial"/>
              </a:rPr>
            </a:br>
            <a:r>
              <a:rPr lang="de-CH" sz="1000" b="0" i="0" strike="noStrike">
                <a:solidFill>
                  <a:srgbClr val="000000"/>
                </a:solidFill>
                <a:latin typeface="Arial"/>
                <a:cs typeface="Arial"/>
              </a:rPr>
              <a:t>Hauteur H</a:t>
            </a:r>
          </a:p>
        </xdr:txBody>
      </xdr:sp>
      <xdr:sp macro="" textlink="">
        <xdr:nvSpPr>
          <xdr:cNvPr id="62517" name="Text Box 53"/>
          <xdr:cNvSpPr txBox="1">
            <a:spLocks noChangeArrowheads="1"/>
          </xdr:cNvSpPr>
        </xdr:nvSpPr>
        <xdr:spPr bwMode="auto">
          <a:xfrm>
            <a:off x="886" y="6852"/>
            <a:ext cx="118" cy="3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572" name="Line 54"/>
          <xdr:cNvSpPr>
            <a:spLocks noChangeShapeType="1"/>
          </xdr:cNvSpPr>
        </xdr:nvSpPr>
        <xdr:spPr bwMode="auto">
          <a:xfrm>
            <a:off x="940" y="6646"/>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519" name="Text Box 55"/>
          <xdr:cNvSpPr txBox="1">
            <a:spLocks noChangeArrowheads="1"/>
          </xdr:cNvSpPr>
        </xdr:nvSpPr>
        <xdr:spPr bwMode="auto">
          <a:xfrm>
            <a:off x="958" y="6658"/>
            <a:ext cx="86" cy="5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574" name="Line 56"/>
          <xdr:cNvSpPr>
            <a:spLocks noChangeShapeType="1"/>
          </xdr:cNvSpPr>
        </xdr:nvSpPr>
        <xdr:spPr bwMode="auto">
          <a:xfrm rot="-5400000">
            <a:off x="684" y="6748"/>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5" name="Line 57"/>
          <xdr:cNvSpPr>
            <a:spLocks noChangeShapeType="1"/>
          </xdr:cNvSpPr>
        </xdr:nvSpPr>
        <xdr:spPr bwMode="auto">
          <a:xfrm rot="-5400000">
            <a:off x="638" y="6725"/>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522" name="Text Box 58"/>
          <xdr:cNvSpPr txBox="1">
            <a:spLocks noChangeArrowheads="1"/>
          </xdr:cNvSpPr>
        </xdr:nvSpPr>
        <xdr:spPr bwMode="auto">
          <a:xfrm>
            <a:off x="609" y="6691"/>
            <a:ext cx="74" cy="60"/>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xdr:txBody>
      </xdr:sp>
      <xdr:sp macro="" textlink="">
        <xdr:nvSpPr>
          <xdr:cNvPr id="568577" name="Line 59"/>
          <xdr:cNvSpPr>
            <a:spLocks noChangeShapeType="1"/>
          </xdr:cNvSpPr>
        </xdr:nvSpPr>
        <xdr:spPr bwMode="auto">
          <a:xfrm rot="10800000">
            <a:off x="705"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8" name="Line 60"/>
          <xdr:cNvSpPr>
            <a:spLocks noChangeShapeType="1"/>
          </xdr:cNvSpPr>
        </xdr:nvSpPr>
        <xdr:spPr bwMode="auto">
          <a:xfrm rot="-5400000">
            <a:off x="692" y="6597"/>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79" name="Line 61"/>
          <xdr:cNvSpPr>
            <a:spLocks noChangeShapeType="1"/>
          </xdr:cNvSpPr>
        </xdr:nvSpPr>
        <xdr:spPr bwMode="auto">
          <a:xfrm rot="16200000" flipV="1">
            <a:off x="730" y="6598"/>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0" name="Line 62"/>
          <xdr:cNvSpPr>
            <a:spLocks noChangeShapeType="1"/>
          </xdr:cNvSpPr>
        </xdr:nvSpPr>
        <xdr:spPr bwMode="auto">
          <a:xfrm rot="10800000">
            <a:off x="717"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27" name="Text Box 63"/>
          <xdr:cNvSpPr txBox="1">
            <a:spLocks noChangeArrowheads="1"/>
          </xdr:cNvSpPr>
        </xdr:nvSpPr>
        <xdr:spPr bwMode="auto">
          <a:xfrm>
            <a:off x="748" y="6602"/>
            <a:ext cx="138" cy="52"/>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a:t>
            </a:r>
            <a:r>
              <a:rPr lang="de-CH" sz="1000" b="0" i="0" strike="noStrike" baseline="0">
                <a:solidFill>
                  <a:srgbClr val="000000"/>
                </a:solidFill>
                <a:latin typeface="Arial"/>
                <a:cs typeface="Arial"/>
              </a:rPr>
              <a:t> </a:t>
            </a:r>
            <a:r>
              <a:rPr lang="de-CH" sz="1000" b="0" i="0" strike="noStrike">
                <a:solidFill>
                  <a:srgbClr val="000000"/>
                </a:solidFill>
                <a:latin typeface="Arial"/>
                <a:cs typeface="Arial"/>
              </a:rPr>
              <a:t>la parois</a:t>
            </a:r>
          </a:p>
          <a:p>
            <a:pPr algn="l" rtl="0">
              <a:defRPr sz="1000"/>
            </a:pPr>
            <a:endParaRPr lang="de-CH" sz="1000" b="0" i="0" strike="noStrike">
              <a:solidFill>
                <a:srgbClr val="000000"/>
              </a:solidFill>
              <a:latin typeface="Arial"/>
              <a:cs typeface="Arial"/>
            </a:endParaRPr>
          </a:p>
        </xdr:txBody>
      </xdr:sp>
      <xdr:sp macro="" textlink="">
        <xdr:nvSpPr>
          <xdr:cNvPr id="568582" name="Line 64"/>
          <xdr:cNvSpPr>
            <a:spLocks noChangeShapeType="1"/>
          </xdr:cNvSpPr>
        </xdr:nvSpPr>
        <xdr:spPr bwMode="auto">
          <a:xfrm>
            <a:off x="916" y="6681"/>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3" name="Line 65"/>
          <xdr:cNvSpPr>
            <a:spLocks noChangeShapeType="1"/>
          </xdr:cNvSpPr>
        </xdr:nvSpPr>
        <xdr:spPr bwMode="auto">
          <a:xfrm>
            <a:off x="656" y="6681"/>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4" name="Rectangle 66"/>
          <xdr:cNvSpPr>
            <a:spLocks noChangeArrowheads="1"/>
          </xdr:cNvSpPr>
        </xdr:nvSpPr>
        <xdr:spPr bwMode="auto">
          <a:xfrm rot="-5400000">
            <a:off x="881"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5" name="Rectangle 67"/>
          <xdr:cNvSpPr>
            <a:spLocks noChangeArrowheads="1"/>
          </xdr:cNvSpPr>
        </xdr:nvSpPr>
        <xdr:spPr bwMode="auto">
          <a:xfrm rot="-5400000">
            <a:off x="682"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6" name="Line 68"/>
          <xdr:cNvSpPr>
            <a:spLocks noChangeShapeType="1"/>
          </xdr:cNvSpPr>
        </xdr:nvSpPr>
        <xdr:spPr bwMode="auto">
          <a:xfrm>
            <a:off x="933"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7" name="Line 69"/>
          <xdr:cNvSpPr>
            <a:spLocks noChangeShapeType="1"/>
          </xdr:cNvSpPr>
        </xdr:nvSpPr>
        <xdr:spPr bwMode="auto">
          <a:xfrm rot="-5400000">
            <a:off x="903" y="6826"/>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8" name="Line 70"/>
          <xdr:cNvSpPr>
            <a:spLocks noChangeShapeType="1"/>
          </xdr:cNvSpPr>
        </xdr:nvSpPr>
        <xdr:spPr bwMode="auto">
          <a:xfrm rot="16200000" flipV="1">
            <a:off x="946" y="6827"/>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9" name="Line 71"/>
          <xdr:cNvSpPr>
            <a:spLocks noChangeShapeType="1"/>
          </xdr:cNvSpPr>
        </xdr:nvSpPr>
        <xdr:spPr bwMode="auto">
          <a:xfrm rot="-5400000">
            <a:off x="675" y="681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0" name="Line 72"/>
          <xdr:cNvSpPr>
            <a:spLocks noChangeShapeType="1"/>
          </xdr:cNvSpPr>
        </xdr:nvSpPr>
        <xdr:spPr bwMode="auto">
          <a:xfrm rot="-5400000">
            <a:off x="643" y="6796"/>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xdr:from>
      <xdr:col>23</xdr:col>
      <xdr:colOff>409575</xdr:colOff>
      <xdr:row>269</xdr:row>
      <xdr:rowOff>28575</xdr:rowOff>
    </xdr:from>
    <xdr:to>
      <xdr:col>24</xdr:col>
      <xdr:colOff>714375</xdr:colOff>
      <xdr:row>270</xdr:row>
      <xdr:rowOff>66675</xdr:rowOff>
    </xdr:to>
    <xdr:sp macro="" textlink="">
      <xdr:nvSpPr>
        <xdr:cNvPr id="85" name="Text Box 2"/>
        <xdr:cNvSpPr txBox="1">
          <a:spLocks noChangeArrowheads="1"/>
        </xdr:cNvSpPr>
      </xdr:nvSpPr>
      <xdr:spPr bwMode="auto">
        <a:xfrm>
          <a:off x="8883015" y="46221015"/>
          <a:ext cx="8305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409575</xdr:colOff>
      <xdr:row>320</xdr:row>
      <xdr:rowOff>28575</xdr:rowOff>
    </xdr:from>
    <xdr:to>
      <xdr:col>24</xdr:col>
      <xdr:colOff>714375</xdr:colOff>
      <xdr:row>321</xdr:row>
      <xdr:rowOff>66675</xdr:rowOff>
    </xdr:to>
    <xdr:sp macro="" textlink="">
      <xdr:nvSpPr>
        <xdr:cNvPr id="112" name="Text Box 2"/>
        <xdr:cNvSpPr txBox="1">
          <a:spLocks noChangeArrowheads="1"/>
        </xdr:cNvSpPr>
      </xdr:nvSpPr>
      <xdr:spPr bwMode="auto">
        <a:xfrm>
          <a:off x="14389735" y="47607855"/>
          <a:ext cx="929640" cy="21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12</xdr:row>
      <xdr:rowOff>0</xdr:rowOff>
    </xdr:from>
    <xdr:to>
      <xdr:col>17</xdr:col>
      <xdr:colOff>0</xdr:colOff>
      <xdr:row>25</xdr:row>
      <xdr:rowOff>0</xdr:rowOff>
    </xdr:to>
    <xdr:graphicFrame macro="">
      <xdr:nvGraphicFramePr>
        <xdr:cNvPr id="2940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27</xdr:row>
      <xdr:rowOff>0</xdr:rowOff>
    </xdr:from>
    <xdr:to>
      <xdr:col>9</xdr:col>
      <xdr:colOff>0</xdr:colOff>
      <xdr:row>39</xdr:row>
      <xdr:rowOff>0</xdr:rowOff>
    </xdr:to>
    <xdr:graphicFrame macro="">
      <xdr:nvGraphicFramePr>
        <xdr:cNvPr id="2940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27</xdr:row>
      <xdr:rowOff>0</xdr:rowOff>
    </xdr:from>
    <xdr:to>
      <xdr:col>16</xdr:col>
      <xdr:colOff>0</xdr:colOff>
      <xdr:row>38</xdr:row>
      <xdr:rowOff>161925</xdr:rowOff>
    </xdr:to>
    <xdr:graphicFrame macro="">
      <xdr:nvGraphicFramePr>
        <xdr:cNvPr id="2940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27</xdr:row>
      <xdr:rowOff>0</xdr:rowOff>
    </xdr:from>
    <xdr:to>
      <xdr:col>9</xdr:col>
      <xdr:colOff>0</xdr:colOff>
      <xdr:row>40</xdr:row>
      <xdr:rowOff>0</xdr:rowOff>
    </xdr:to>
    <xdr:graphicFrame macro="">
      <xdr:nvGraphicFramePr>
        <xdr:cNvPr id="2940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17</xdr:col>
      <xdr:colOff>0</xdr:colOff>
      <xdr:row>40</xdr:row>
      <xdr:rowOff>0</xdr:rowOff>
    </xdr:to>
    <xdr:graphicFrame macro="">
      <xdr:nvGraphicFramePr>
        <xdr:cNvPr id="2940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42</xdr:row>
      <xdr:rowOff>0</xdr:rowOff>
    </xdr:from>
    <xdr:to>
      <xdr:col>9</xdr:col>
      <xdr:colOff>0</xdr:colOff>
      <xdr:row>55</xdr:row>
      <xdr:rowOff>0</xdr:rowOff>
    </xdr:to>
    <xdr:graphicFrame macro="">
      <xdr:nvGraphicFramePr>
        <xdr:cNvPr id="29409"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42</xdr:row>
      <xdr:rowOff>0</xdr:rowOff>
    </xdr:from>
    <xdr:to>
      <xdr:col>17</xdr:col>
      <xdr:colOff>0</xdr:colOff>
      <xdr:row>55</xdr:row>
      <xdr:rowOff>0</xdr:rowOff>
    </xdr:to>
    <xdr:graphicFrame macro="">
      <xdr:nvGraphicFramePr>
        <xdr:cNvPr id="2941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57</xdr:row>
      <xdr:rowOff>0</xdr:rowOff>
    </xdr:from>
    <xdr:to>
      <xdr:col>9</xdr:col>
      <xdr:colOff>0</xdr:colOff>
      <xdr:row>69</xdr:row>
      <xdr:rowOff>152400</xdr:rowOff>
    </xdr:to>
    <xdr:graphicFrame macro="">
      <xdr:nvGraphicFramePr>
        <xdr:cNvPr id="29411"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57</xdr:row>
      <xdr:rowOff>0</xdr:rowOff>
    </xdr:from>
    <xdr:to>
      <xdr:col>17</xdr:col>
      <xdr:colOff>0</xdr:colOff>
      <xdr:row>69</xdr:row>
      <xdr:rowOff>152400</xdr:rowOff>
    </xdr:to>
    <xdr:graphicFrame macro="">
      <xdr:nvGraphicFramePr>
        <xdr:cNvPr id="29412"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72</xdr:row>
      <xdr:rowOff>0</xdr:rowOff>
    </xdr:from>
    <xdr:to>
      <xdr:col>9</xdr:col>
      <xdr:colOff>0</xdr:colOff>
      <xdr:row>85</xdr:row>
      <xdr:rowOff>0</xdr:rowOff>
    </xdr:to>
    <xdr:graphicFrame macro="">
      <xdr:nvGraphicFramePr>
        <xdr:cNvPr id="29413"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72</xdr:row>
      <xdr:rowOff>0</xdr:rowOff>
    </xdr:from>
    <xdr:to>
      <xdr:col>17</xdr:col>
      <xdr:colOff>0</xdr:colOff>
      <xdr:row>85</xdr:row>
      <xdr:rowOff>0</xdr:rowOff>
    </xdr:to>
    <xdr:graphicFrame macro="">
      <xdr:nvGraphicFramePr>
        <xdr:cNvPr id="29414"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88</xdr:row>
      <xdr:rowOff>0</xdr:rowOff>
    </xdr:from>
    <xdr:to>
      <xdr:col>9</xdr:col>
      <xdr:colOff>0</xdr:colOff>
      <xdr:row>101</xdr:row>
      <xdr:rowOff>0</xdr:rowOff>
    </xdr:to>
    <xdr:graphicFrame macro="">
      <xdr:nvGraphicFramePr>
        <xdr:cNvPr id="29415"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88</xdr:row>
      <xdr:rowOff>0</xdr:rowOff>
    </xdr:from>
    <xdr:to>
      <xdr:col>17</xdr:col>
      <xdr:colOff>0</xdr:colOff>
      <xdr:row>101</xdr:row>
      <xdr:rowOff>0</xdr:rowOff>
    </xdr:to>
    <xdr:graphicFrame macro="">
      <xdr:nvGraphicFramePr>
        <xdr:cNvPr id="29416"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103</xdr:row>
      <xdr:rowOff>0</xdr:rowOff>
    </xdr:from>
    <xdr:to>
      <xdr:col>9</xdr:col>
      <xdr:colOff>0</xdr:colOff>
      <xdr:row>116</xdr:row>
      <xdr:rowOff>0</xdr:rowOff>
    </xdr:to>
    <xdr:graphicFrame macro="">
      <xdr:nvGraphicFramePr>
        <xdr:cNvPr id="29417"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103</xdr:row>
      <xdr:rowOff>0</xdr:rowOff>
    </xdr:from>
    <xdr:to>
      <xdr:col>17</xdr:col>
      <xdr:colOff>0</xdr:colOff>
      <xdr:row>116</xdr:row>
      <xdr:rowOff>0</xdr:rowOff>
    </xdr:to>
    <xdr:graphicFrame macro="">
      <xdr:nvGraphicFramePr>
        <xdr:cNvPr id="29418"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331470</xdr:colOff>
      <xdr:row>8</xdr:row>
      <xdr:rowOff>132080</xdr:rowOff>
    </xdr:from>
    <xdr:to>
      <xdr:col>8</xdr:col>
      <xdr:colOff>238125</xdr:colOff>
      <xdr:row>8</xdr:row>
      <xdr:rowOff>141605</xdr:rowOff>
    </xdr:to>
    <xdr:sp macro="" textlink="">
      <xdr:nvSpPr>
        <xdr:cNvPr id="29419" name="Line 172"/>
        <xdr:cNvSpPr>
          <a:spLocks noChangeShapeType="1"/>
        </xdr:cNvSpPr>
      </xdr:nvSpPr>
      <xdr:spPr bwMode="auto">
        <a:xfrm>
          <a:off x="2637790" y="1656080"/>
          <a:ext cx="363855" cy="95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321945</xdr:colOff>
      <xdr:row>9</xdr:row>
      <xdr:rowOff>134620</xdr:rowOff>
    </xdr:from>
    <xdr:to>
      <xdr:col>8</xdr:col>
      <xdr:colOff>228600</xdr:colOff>
      <xdr:row>9</xdr:row>
      <xdr:rowOff>144145</xdr:rowOff>
    </xdr:to>
    <xdr:sp macro="" textlink="">
      <xdr:nvSpPr>
        <xdr:cNvPr id="29420" name="Line 174"/>
        <xdr:cNvSpPr>
          <a:spLocks noChangeShapeType="1"/>
        </xdr:cNvSpPr>
      </xdr:nvSpPr>
      <xdr:spPr bwMode="auto">
        <a:xfrm>
          <a:off x="2628265" y="1871980"/>
          <a:ext cx="363855"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142</xdr:row>
      <xdr:rowOff>0</xdr:rowOff>
    </xdr:from>
    <xdr:to>
      <xdr:col>9</xdr:col>
      <xdr:colOff>95250</xdr:colOff>
      <xdr:row>154</xdr:row>
      <xdr:rowOff>142875</xdr:rowOff>
    </xdr:to>
    <xdr:graphicFrame macro="">
      <xdr:nvGraphicFramePr>
        <xdr:cNvPr id="29421"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95250</xdr:colOff>
      <xdr:row>142</xdr:row>
      <xdr:rowOff>0</xdr:rowOff>
    </xdr:from>
    <xdr:to>
      <xdr:col>17</xdr:col>
      <xdr:colOff>0</xdr:colOff>
      <xdr:row>154</xdr:row>
      <xdr:rowOff>142875</xdr:rowOff>
    </xdr:to>
    <xdr:graphicFrame macro="">
      <xdr:nvGraphicFramePr>
        <xdr:cNvPr id="2942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12</xdr:row>
      <xdr:rowOff>0</xdr:rowOff>
    </xdr:from>
    <xdr:to>
      <xdr:col>9</xdr:col>
      <xdr:colOff>0</xdr:colOff>
      <xdr:row>25</xdr:row>
      <xdr:rowOff>9525</xdr:rowOff>
    </xdr:to>
    <xdr:graphicFrame macro="">
      <xdr:nvGraphicFramePr>
        <xdr:cNvPr id="29423"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159</xdr:row>
      <xdr:rowOff>0</xdr:rowOff>
    </xdr:from>
    <xdr:to>
      <xdr:col>9</xdr:col>
      <xdr:colOff>95250</xdr:colOff>
      <xdr:row>171</xdr:row>
      <xdr:rowOff>142875</xdr:rowOff>
    </xdr:to>
    <xdr:graphicFrame macro="">
      <xdr:nvGraphicFramePr>
        <xdr:cNvPr id="29424"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95250</xdr:colOff>
      <xdr:row>159</xdr:row>
      <xdr:rowOff>0</xdr:rowOff>
    </xdr:from>
    <xdr:to>
      <xdr:col>17</xdr:col>
      <xdr:colOff>0</xdr:colOff>
      <xdr:row>171</xdr:row>
      <xdr:rowOff>142875</xdr:rowOff>
    </xdr:to>
    <xdr:graphicFrame macro="">
      <xdr:nvGraphicFramePr>
        <xdr:cNvPr id="29425"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176</xdr:row>
      <xdr:rowOff>0</xdr:rowOff>
    </xdr:from>
    <xdr:to>
      <xdr:col>9</xdr:col>
      <xdr:colOff>95250</xdr:colOff>
      <xdr:row>188</xdr:row>
      <xdr:rowOff>142875</xdr:rowOff>
    </xdr:to>
    <xdr:graphicFrame macro="">
      <xdr:nvGraphicFramePr>
        <xdr:cNvPr id="29426"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95250</xdr:colOff>
      <xdr:row>176</xdr:row>
      <xdr:rowOff>0</xdr:rowOff>
    </xdr:from>
    <xdr:to>
      <xdr:col>17</xdr:col>
      <xdr:colOff>0</xdr:colOff>
      <xdr:row>188</xdr:row>
      <xdr:rowOff>142875</xdr:rowOff>
    </xdr:to>
    <xdr:graphicFrame macro="">
      <xdr:nvGraphicFramePr>
        <xdr:cNvPr id="29427"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152400</xdr:colOff>
      <xdr:row>126</xdr:row>
      <xdr:rowOff>50800</xdr:rowOff>
    </xdr:from>
    <xdr:to>
      <xdr:col>14</xdr:col>
      <xdr:colOff>232410</xdr:colOff>
      <xdr:row>130</xdr:row>
      <xdr:rowOff>154939</xdr:rowOff>
    </xdr:to>
    <xdr:pic>
      <xdr:nvPicPr>
        <xdr:cNvPr id="59784" name="Picture 13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23347680"/>
          <a:ext cx="3505200" cy="916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647701</xdr:colOff>
      <xdr:row>123</xdr:row>
      <xdr:rowOff>133350</xdr:rowOff>
    </xdr:from>
    <xdr:to>
      <xdr:col>73</xdr:col>
      <xdr:colOff>390526</xdr:colOff>
      <xdr:row>130</xdr:row>
      <xdr:rowOff>161290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xdr:row>
      <xdr:rowOff>38100</xdr:rowOff>
    </xdr:from>
    <xdr:to>
      <xdr:col>9</xdr:col>
      <xdr:colOff>523875</xdr:colOff>
      <xdr:row>24</xdr:row>
      <xdr:rowOff>47625</xdr:rowOff>
    </xdr:to>
    <xdr:graphicFrame macro="">
      <xdr:nvGraphicFramePr>
        <xdr:cNvPr id="93211"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0.00701</cdr:x>
      <cdr:y>0.94816</cdr:y>
    </cdr:from>
    <cdr:to>
      <cdr:x>0.24069</cdr:x>
      <cdr:y>0.98607</cdr:y>
    </cdr:to>
    <cdr:sp macro="" textlink="">
      <cdr:nvSpPr>
        <cdr:cNvPr id="94209" name="Text Box 1"/>
        <cdr:cNvSpPr txBox="1">
          <a:spLocks xmlns:a="http://schemas.openxmlformats.org/drawingml/2006/main" noChangeArrowheads="1"/>
        </cdr:cNvSpPr>
      </cdr:nvSpPr>
      <cdr:spPr bwMode="auto">
        <a:xfrm xmlns:a="http://schemas.openxmlformats.org/drawingml/2006/main">
          <a:off x="50800" y="3245380"/>
          <a:ext cx="1586970" cy="1296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00" b="1" i="1" u="none" strike="noStrike" baseline="0">
              <a:solidFill>
                <a:srgbClr val="000000"/>
              </a:solidFill>
              <a:latin typeface="Arial"/>
              <a:cs typeface="Arial"/>
            </a:rPr>
            <a:t>Programm ENTECH 380/1</a:t>
          </a:r>
        </a:p>
      </cdr:txBody>
    </cdr:sp>
  </cdr:relSizeAnchor>
  <cdr:relSizeAnchor xmlns:cdr="http://schemas.openxmlformats.org/drawingml/2006/chartDrawing">
    <cdr:from>
      <cdr:x>0.79185</cdr:x>
      <cdr:y>0.90806</cdr:y>
    </cdr:from>
    <cdr:to>
      <cdr:x>0.98066</cdr:x>
      <cdr:y>0.96177</cdr:y>
    </cdr:to>
    <cdr:sp macro="" textlink="">
      <cdr:nvSpPr>
        <cdr:cNvPr id="94210" name="Text Box 2"/>
        <cdr:cNvSpPr txBox="1">
          <a:spLocks xmlns:a="http://schemas.openxmlformats.org/drawingml/2006/main" noChangeArrowheads="1"/>
        </cdr:cNvSpPr>
      </cdr:nvSpPr>
      <cdr:spPr bwMode="auto">
        <a:xfrm xmlns:a="http://schemas.openxmlformats.org/drawingml/2006/main">
          <a:off x="5380876" y="3108256"/>
          <a:ext cx="1282298" cy="1836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Bauteile gegen beheizt</a:t>
          </a:r>
        </a:p>
      </cdr:txBody>
    </cdr:sp>
  </cdr:relSizeAnchor>
  <cdr:relSizeAnchor xmlns:cdr="http://schemas.openxmlformats.org/drawingml/2006/chartDrawing">
    <cdr:from>
      <cdr:x>0.79185</cdr:x>
      <cdr:y>0.43875</cdr:y>
    </cdr:from>
    <cdr:to>
      <cdr:x>0.98066</cdr:x>
      <cdr:y>0.49052</cdr:y>
    </cdr:to>
    <cdr:sp macro="" textlink="">
      <cdr:nvSpPr>
        <cdr:cNvPr id="94211" name="Text Box 3"/>
        <cdr:cNvSpPr txBox="1">
          <a:spLocks xmlns:a="http://schemas.openxmlformats.org/drawingml/2006/main" noChangeArrowheads="1"/>
        </cdr:cNvSpPr>
      </cdr:nvSpPr>
      <cdr:spPr bwMode="auto">
        <a:xfrm xmlns:a="http://schemas.openxmlformats.org/drawingml/2006/main">
          <a:off x="5380876" y="1503486"/>
          <a:ext cx="1282298" cy="1770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Boden gegen aussen: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9628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29</xdr:row>
          <xdr:rowOff>9525</xdr:rowOff>
        </xdr:from>
        <xdr:to>
          <xdr:col>10</xdr:col>
          <xdr:colOff>466725</xdr:colOff>
          <xdr:row>30</xdr:row>
          <xdr:rowOff>47625</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erneuerbar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47</xdr:row>
          <xdr:rowOff>0</xdr:rowOff>
        </xdr:from>
        <xdr:to>
          <xdr:col>5</xdr:col>
          <xdr:colOff>733425</xdr:colOff>
          <xdr:row>48</xdr:row>
          <xdr:rowOff>57150</xdr:rowOff>
        </xdr:to>
        <xdr:sp macro="" textlink="">
          <xdr:nvSpPr>
            <xdr:cNvPr id="23584" name="Option Button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Wasservorwärmung Deckungsgrad bis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0</xdr:rowOff>
        </xdr:from>
        <xdr:to>
          <xdr:col>5</xdr:col>
          <xdr:colOff>666750</xdr:colOff>
          <xdr:row>49</xdr:row>
          <xdr:rowOff>57150</xdr:rowOff>
        </xdr:to>
        <xdr:sp macro="" textlink="">
          <xdr:nvSpPr>
            <xdr:cNvPr id="23585" name="Option Button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25 bis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161925</xdr:rowOff>
        </xdr:from>
        <xdr:to>
          <xdr:col>5</xdr:col>
          <xdr:colOff>742950</xdr:colOff>
          <xdr:row>50</xdr:row>
          <xdr:rowOff>38100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50 bis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49</xdr:row>
          <xdr:rowOff>152400</xdr:rowOff>
        </xdr:from>
        <xdr:to>
          <xdr:col>6</xdr:col>
          <xdr:colOff>28575</xdr:colOff>
          <xdr:row>51</xdr:row>
          <xdr:rowOff>28575</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70% + Heizungsunterstützung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50</xdr:row>
          <xdr:rowOff>161925</xdr:rowOff>
        </xdr:from>
        <xdr:to>
          <xdr:col>6</xdr:col>
          <xdr:colOff>28575</xdr:colOff>
          <xdr:row>52</xdr:row>
          <xdr:rowOff>38100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Beitrag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37</xdr:row>
          <xdr:rowOff>142875</xdr:rowOff>
        </xdr:from>
        <xdr:to>
          <xdr:col>3</xdr:col>
          <xdr:colOff>876300</xdr:colOff>
          <xdr:row>39</xdr:row>
          <xdr:rowOff>19050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142875</xdr:rowOff>
        </xdr:from>
        <xdr:to>
          <xdr:col>5</xdr:col>
          <xdr:colOff>495300</xdr:colOff>
          <xdr:row>39</xdr:row>
          <xdr:rowOff>19050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il@hetag.ch" TargetMode="External"/><Relationship Id="rId2" Type="http://schemas.openxmlformats.org/officeDocument/2006/relationships/hyperlink" Target="http://www.hetag.ch/huber/download" TargetMode="External"/><Relationship Id="rId1" Type="http://schemas.openxmlformats.org/officeDocument/2006/relationships/hyperlink" Target="http://www.hetag.ch/"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energytools.ch/index.php/de/downloads/datenbanken/category/4-datenbanken"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B3:J33"/>
  <sheetViews>
    <sheetView tabSelected="1" workbookViewId="0">
      <selection activeCell="D16" sqref="D16:H16"/>
    </sheetView>
  </sheetViews>
  <sheetFormatPr baseColWidth="10" defaultColWidth="11.5703125" defaultRowHeight="12.75"/>
  <cols>
    <col min="1" max="21" width="7.7109375" style="1" customWidth="1"/>
    <col min="22" max="16384" width="11.5703125" style="1"/>
  </cols>
  <sheetData>
    <row r="3" spans="2:10" ht="26.25">
      <c r="B3" s="956" t="str">
        <f>Uebersetzung!D6</f>
        <v>ENTECH 380/1, Ver. 6.1</v>
      </c>
    </row>
    <row r="4" spans="2:10">
      <c r="B4" s="1729" t="str">
        <f>Uebersetzung!D7</f>
        <v>(Dernière modification le 10.01.2019)</v>
      </c>
    </row>
    <row r="6" spans="2:10">
      <c r="B6" s="1" t="str">
        <f>Uebersetzung!D8</f>
        <v>Logiciel pour le calcul des besoins de chaleur pour le chauffage dans bâtiments selon la norme sia 380/1</v>
      </c>
    </row>
    <row r="7" spans="2:10">
      <c r="B7" s="1" t="str">
        <f>Uebersetzung!D9</f>
        <v>'L'énergie thermique dans le bâtiment', édition 2016 et 2009 et la norme bernoise 2016</v>
      </c>
    </row>
    <row r="10" spans="2:10">
      <c r="B10" s="1" t="s">
        <v>2019</v>
      </c>
      <c r="H10" s="2137" t="s">
        <v>1022</v>
      </c>
      <c r="I10" s="2137"/>
      <c r="J10" s="2137"/>
    </row>
    <row r="11" spans="2:10">
      <c r="B11" s="1" t="s">
        <v>1897</v>
      </c>
      <c r="H11" s="1" t="s">
        <v>845</v>
      </c>
    </row>
    <row r="12" spans="2:10">
      <c r="B12" s="1" t="s">
        <v>531</v>
      </c>
      <c r="H12" s="1" t="s">
        <v>846</v>
      </c>
    </row>
    <row r="13" spans="2:10">
      <c r="B13" s="1" t="s">
        <v>532</v>
      </c>
      <c r="H13" s="2138" t="s">
        <v>847</v>
      </c>
      <c r="I13" s="2139"/>
      <c r="J13" s="957"/>
    </row>
    <row r="16" spans="2:10">
      <c r="B16" s="1" t="str">
        <f>Uebersetzung!D10</f>
        <v>No. de licence:</v>
      </c>
      <c r="D16" s="2140"/>
      <c r="E16" s="2141"/>
      <c r="F16" s="2141"/>
      <c r="G16" s="2141"/>
      <c r="H16" s="2141"/>
    </row>
    <row r="17" spans="2:8">
      <c r="B17" s="1" t="str">
        <f>Uebersetzung!D11</f>
        <v>Entreprise:</v>
      </c>
      <c r="D17" s="2142"/>
      <c r="E17" s="2142"/>
      <c r="F17" s="2142"/>
      <c r="G17" s="2142"/>
      <c r="H17" s="2142"/>
    </row>
    <row r="18" spans="2:8">
      <c r="B18" s="1" t="str">
        <f>Uebersetzung!D12</f>
        <v>Adresse:</v>
      </c>
      <c r="D18" s="2135"/>
      <c r="E18" s="2136"/>
      <c r="F18" s="2136"/>
      <c r="G18" s="1792" t="str">
        <f>Uebersetzung!D27</f>
        <v xml:space="preserve">N°  </v>
      </c>
      <c r="H18" s="1793"/>
    </row>
    <row r="19" spans="2:8">
      <c r="B19" s="447" t="str">
        <f>Uebersetzung!D29</f>
        <v xml:space="preserve">NP:  </v>
      </c>
      <c r="D19" s="1782"/>
      <c r="E19" s="1792" t="str">
        <f>Uebersetzung!D26</f>
        <v>Lieu:</v>
      </c>
      <c r="F19" s="2140"/>
      <c r="G19" s="2141"/>
      <c r="H19" s="2141"/>
    </row>
    <row r="20" spans="2:8">
      <c r="B20" s="1" t="str">
        <f>Uebersetzung!D13</f>
        <v>Tél.:</v>
      </c>
      <c r="D20" s="2133"/>
      <c r="E20" s="2133"/>
      <c r="F20" s="2133"/>
      <c r="G20" s="2133"/>
      <c r="H20" s="2133"/>
    </row>
    <row r="21" spans="2:8">
      <c r="B21" s="1" t="str">
        <f>Uebersetzung!D15</f>
        <v>e-mail:</v>
      </c>
      <c r="D21" s="2134"/>
      <c r="E21" s="2134"/>
      <c r="F21" s="2134"/>
      <c r="G21" s="2134"/>
      <c r="H21" s="2134"/>
    </row>
    <row r="22" spans="2:8">
      <c r="D22" s="958" t="str">
        <f>IF(Projekt!$AE$2="entech","","Bitte Firma und korrekte Lizenznummer eingeben")</f>
        <v>Bitte Firma und korrekte Lizenznummer eingeben</v>
      </c>
    </row>
    <row r="23" spans="2:8">
      <c r="D23" s="2101" t="str">
        <f>IF(Projekt!$AE$3="entech","",IF(Lizenz="","","Falsche Lizenznummer"))</f>
        <v/>
      </c>
    </row>
    <row r="25" spans="2:8">
      <c r="B25" s="958" t="str">
        <f>Uebersetzung!D16</f>
        <v>Documents pour les justifications</v>
      </c>
    </row>
    <row r="27" spans="2:8">
      <c r="B27" s="1" t="str">
        <f>Uebersetzung!D17</f>
        <v>Pour la justification globale selon la norme sia 380/1 if faut imprimer les feuilles suivantes:</v>
      </c>
    </row>
    <row r="29" spans="2:8">
      <c r="B29" s="1914" t="s">
        <v>3988</v>
      </c>
      <c r="C29" s="959"/>
      <c r="D29" s="959"/>
      <c r="E29" s="959"/>
    </row>
    <row r="30" spans="2:8">
      <c r="B30" s="1914"/>
    </row>
    <row r="33" hidden="1"/>
  </sheetData>
  <sheetProtection password="C9AE" sheet="1" objects="1" scenarios="1"/>
  <mergeCells count="8">
    <mergeCell ref="D20:H20"/>
    <mergeCell ref="D21:H21"/>
    <mergeCell ref="D18:F18"/>
    <mergeCell ref="H10:J10"/>
    <mergeCell ref="H13:I13"/>
    <mergeCell ref="D16:H16"/>
    <mergeCell ref="D17:H17"/>
    <mergeCell ref="F19:H19"/>
  </mergeCells>
  <phoneticPr fontId="0" type="noConversion"/>
  <hyperlinks>
    <hyperlink ref="H10" r:id="rId1"/>
    <hyperlink ref="H10:J10" r:id="rId2" display="http://www.hetag.ch"/>
    <hyperlink ref="H13" r:id="rId3"/>
  </hyperlinks>
  <pageMargins left="0.63" right="0.39370078740157483" top="0.39370078740157483" bottom="0.39370078740157483" header="0.19685039370078741" footer="0.19685039370078741"/>
  <pageSetup paperSize="9" orientation="portrait" r:id="rId4"/>
  <headerFooter alignWithMargins="0">
    <oddFooter>&amp;L&amp;"Times New Roman,Kursiv"&amp;6Huber Energietechnik, AG Zürich  &amp;C&amp;6&amp;F  &amp;R&amp;"Times New Roman,Kursiv"&amp;6ENTECH 380/1, Ver. 5.4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BF99"/>
  <sheetViews>
    <sheetView zoomScale="80" zoomScaleNormal="8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8.42578125"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f>
        <v>Programme Entech 380/1, Ver. 6.1, BFE/EnFK-Zert.-Nr. 1639, SIA 380/1 (Edition 2016)</v>
      </c>
      <c r="J1" s="1417" t="str">
        <f>IF(Projekt!E5&gt;0,Projekt!E5,"")</f>
        <v/>
      </c>
      <c r="O1" s="707"/>
      <c r="P1" s="710" t="str">
        <f>"Qh= "&amp;ROUND(Qh,0)&amp;" MJ/m2"</f>
        <v>Qh= 0 MJ/m2</v>
      </c>
      <c r="S1" s="1715"/>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08"/>
      <c r="AW1" s="1708"/>
      <c r="AX1" s="1708"/>
      <c r="AY1" s="1708"/>
      <c r="AZ1" s="1708"/>
      <c r="BA1" s="1708"/>
      <c r="BB1" s="1708"/>
      <c r="BC1" s="1708"/>
      <c r="BD1" s="1708"/>
      <c r="BE1" s="1708"/>
      <c r="BF1" s="1708"/>
    </row>
    <row r="2" spans="2:58">
      <c r="B2" s="712" t="str">
        <f>Fenster!D2</f>
        <v>imprimé le:</v>
      </c>
      <c r="C2" s="2502">
        <f ca="1">NOW()</f>
        <v>43566.628989236109</v>
      </c>
      <c r="D2" s="2502"/>
      <c r="E2" s="2502"/>
      <c r="F2" s="712" t="str">
        <f>Bau!J2</f>
        <v xml:space="preserve">pour </v>
      </c>
      <c r="G2" s="713"/>
      <c r="H2" s="712"/>
      <c r="I2" s="712"/>
      <c r="J2" s="712"/>
      <c r="K2" s="712"/>
      <c r="L2" s="712"/>
      <c r="M2" s="714"/>
      <c r="N2" s="715"/>
      <c r="O2" s="716"/>
      <c r="P2" s="717" t="str">
        <f>Uebersetzung!D334</f>
        <v>Page 8 de 8</v>
      </c>
      <c r="Q2" s="718"/>
      <c r="R2" s="1917"/>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row>
    <row r="3" spans="2:58" ht="33.6" customHeight="1" thickBot="1">
      <c r="B3" s="719" t="s">
        <v>2319</v>
      </c>
      <c r="C3" s="720"/>
      <c r="D3" s="721"/>
      <c r="E3" s="721"/>
      <c r="F3" s="722"/>
      <c r="G3" s="723"/>
      <c r="H3" s="722"/>
      <c r="I3" s="724"/>
      <c r="J3" s="723"/>
      <c r="K3" s="725"/>
      <c r="L3" s="722"/>
      <c r="M3" s="722"/>
      <c r="N3" s="722"/>
      <c r="O3" s="726"/>
      <c r="P3" s="727" t="str">
        <f>Uebersetzung!D335</f>
        <v>Calcul des besoins de chaleur pour le chauffage dans bâtiments, SIA 380/1</v>
      </c>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row>
    <row r="4" spans="2:58" ht="18" customHeight="1">
      <c r="O4" s="707"/>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8"/>
      <c r="BF4" s="1708"/>
    </row>
    <row r="5" spans="2:58" ht="18" customHeight="1">
      <c r="B5" s="728" t="str">
        <f>IF(Projekt!AV34="Minergie-P",Uebersetzung!D336,Uebersetzung!D337)</f>
        <v>Débit d'air neuf V/EBF0 selon la norme SIA 380/1</v>
      </c>
      <c r="O5" s="707"/>
      <c r="S5" s="1708"/>
      <c r="T5" s="1708"/>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c r="AT5" s="1708"/>
      <c r="AU5" s="1708"/>
      <c r="AV5" s="1708"/>
      <c r="AW5" s="1708"/>
      <c r="AX5" s="1708"/>
      <c r="AY5" s="1708"/>
      <c r="AZ5" s="1708"/>
      <c r="BA5" s="1708"/>
      <c r="BB5" s="1708"/>
      <c r="BC5" s="1708"/>
      <c r="BD5" s="1708"/>
      <c r="BE5" s="1708"/>
      <c r="BF5" s="1708"/>
    </row>
    <row r="6" spans="2:58" ht="18" customHeight="1">
      <c r="B6" s="728" t="str">
        <f>IF(Projekt!AV34="Minergie-P",Uebersetzung!D338,Uebersetzung!D339)</f>
        <v>Pour les justifications globales selon la norme SIA 380/1</v>
      </c>
      <c r="O6" s="707"/>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row>
    <row r="7" spans="2:58" ht="18" customHeight="1">
      <c r="O7" s="707"/>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row>
    <row r="8" spans="2:58" ht="16.149999999999999" customHeight="1">
      <c r="B8" s="729" t="str">
        <f>Uebersetzung!D340</f>
        <v>A:  Objet</v>
      </c>
      <c r="C8" s="729" t="str">
        <f>IF(Projekt!E5&lt;&gt;"",Projekt!E5,"")</f>
        <v/>
      </c>
      <c r="O8" s="707"/>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row>
    <row r="9" spans="2:58" ht="3.6" hidden="1" customHeight="1">
      <c r="O9" s="707"/>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8"/>
      <c r="S10" s="1711"/>
      <c r="T10" s="1711"/>
      <c r="U10" s="1711">
        <f>C10</f>
        <v>1</v>
      </c>
      <c r="V10" s="1711"/>
      <c r="W10" s="1711"/>
      <c r="X10" s="1711">
        <f>D10</f>
        <v>2</v>
      </c>
      <c r="Y10" s="1711"/>
      <c r="Z10" s="1711"/>
      <c r="AA10" s="1711">
        <f>E10</f>
        <v>3</v>
      </c>
      <c r="AB10" s="1711"/>
      <c r="AC10" s="1711"/>
      <c r="AD10" s="1711">
        <f>F10</f>
        <v>4</v>
      </c>
      <c r="AE10" s="1711"/>
      <c r="AF10" s="1711"/>
      <c r="AG10" s="1711">
        <f>G10</f>
        <v>5</v>
      </c>
      <c r="AH10" s="1711"/>
      <c r="AI10" s="1711"/>
      <c r="AJ10" s="1711">
        <f>H10</f>
        <v>6</v>
      </c>
      <c r="AK10" s="1711"/>
      <c r="AL10" s="1711"/>
      <c r="AM10" s="1711">
        <f>I10</f>
        <v>7</v>
      </c>
      <c r="AN10" s="1711"/>
      <c r="AO10" s="1711"/>
      <c r="AP10" s="1711">
        <f>J10</f>
        <v>8</v>
      </c>
      <c r="AQ10" s="1711"/>
      <c r="AR10" s="1711"/>
      <c r="AS10" s="1711">
        <f>K10</f>
        <v>9</v>
      </c>
      <c r="AT10" s="1711"/>
      <c r="AU10" s="1711"/>
      <c r="AV10" s="1711">
        <f>L10</f>
        <v>10</v>
      </c>
      <c r="AW10" s="1711"/>
      <c r="AX10" s="1711"/>
      <c r="AY10" s="1711">
        <f>M10</f>
        <v>11</v>
      </c>
      <c r="AZ10" s="1711"/>
      <c r="BA10" s="1711"/>
      <c r="BB10" s="1711">
        <f>N10</f>
        <v>12</v>
      </c>
      <c r="BC10" s="1711"/>
      <c r="BD10" s="1711"/>
      <c r="BE10" s="1711"/>
      <c r="BF10" s="1711"/>
    </row>
    <row r="11" spans="2:58" s="730" customFormat="1" ht="18" customHeight="1">
      <c r="C11" s="732" t="str">
        <f>Uebersetzung!D341</f>
        <v>Jan</v>
      </c>
      <c r="D11" s="732" t="str">
        <f>Uebersetzung!D342</f>
        <v>Fev</v>
      </c>
      <c r="E11" s="732" t="str">
        <f>Uebersetzung!D343</f>
        <v>Mar</v>
      </c>
      <c r="F11" s="732" t="str">
        <f>Uebersetzung!D344</f>
        <v>Avr</v>
      </c>
      <c r="G11" s="732" t="str">
        <f>Uebersetzung!D345</f>
        <v>Mai</v>
      </c>
      <c r="H11" s="732" t="str">
        <f>Uebersetzung!D346</f>
        <v>Juin</v>
      </c>
      <c r="I11" s="732" t="str">
        <f>Uebersetzung!D347</f>
        <v>Juil</v>
      </c>
      <c r="J11" s="732" t="str">
        <f>Uebersetzung!D348</f>
        <v>Août</v>
      </c>
      <c r="K11" s="732" t="str">
        <f>Uebersetzung!D349</f>
        <v>Sep</v>
      </c>
      <c r="L11" s="732" t="str">
        <f>Uebersetzung!D350</f>
        <v>Oct</v>
      </c>
      <c r="M11" s="732" t="str">
        <f>Uebersetzung!D351</f>
        <v>Nov</v>
      </c>
      <c r="N11" s="733" t="str">
        <f>Uebersetzung!D352</f>
        <v>Déc</v>
      </c>
      <c r="O11" s="732" t="str">
        <f>Uebersetzung!D413</f>
        <v>Année</v>
      </c>
      <c r="R11" s="1918"/>
      <c r="S11" s="1712"/>
      <c r="T11" s="1712"/>
      <c r="U11" s="1712"/>
      <c r="V11" s="1712" t="s">
        <v>489</v>
      </c>
      <c r="W11" s="1712"/>
      <c r="X11" s="1712"/>
      <c r="Y11" s="1712" t="s">
        <v>490</v>
      </c>
      <c r="Z11" s="1712"/>
      <c r="AA11" s="1712"/>
      <c r="AB11" s="1712" t="s">
        <v>491</v>
      </c>
      <c r="AC11" s="1712"/>
      <c r="AD11" s="1712"/>
      <c r="AE11" s="1712" t="s">
        <v>492</v>
      </c>
      <c r="AF11" s="1712"/>
      <c r="AG11" s="1712"/>
      <c r="AH11" s="1712" t="s">
        <v>493</v>
      </c>
      <c r="AI11" s="1712"/>
      <c r="AJ11" s="1712"/>
      <c r="AK11" s="1712" t="s">
        <v>494</v>
      </c>
      <c r="AL11" s="1712"/>
      <c r="AM11" s="1712"/>
      <c r="AN11" s="1712" t="s">
        <v>495</v>
      </c>
      <c r="AO11" s="1712"/>
      <c r="AP11" s="1712"/>
      <c r="AQ11" s="1712" t="s">
        <v>496</v>
      </c>
      <c r="AR11" s="1712"/>
      <c r="AS11" s="1712"/>
      <c r="AT11" s="1712" t="s">
        <v>497</v>
      </c>
      <c r="AU11" s="1712"/>
      <c r="AV11" s="1712"/>
      <c r="AW11" s="1712" t="s">
        <v>498</v>
      </c>
      <c r="AX11" s="1712"/>
      <c r="AY11" s="1712"/>
      <c r="AZ11" s="1712" t="s">
        <v>499</v>
      </c>
      <c r="BA11" s="1712"/>
      <c r="BB11" s="1712"/>
      <c r="BC11" s="1712" t="s">
        <v>500</v>
      </c>
      <c r="BD11" s="1712"/>
      <c r="BE11" s="1712" t="s">
        <v>501</v>
      </c>
      <c r="BF11" s="1712"/>
    </row>
    <row r="12" spans="2:58" s="734" customFormat="1" ht="18" customHeight="1">
      <c r="C12" s="735"/>
      <c r="D12" s="735"/>
      <c r="E12" s="735"/>
      <c r="F12" s="735"/>
      <c r="G12" s="735"/>
      <c r="H12" s="735"/>
      <c r="I12" s="735"/>
      <c r="J12" s="735"/>
      <c r="K12" s="735"/>
      <c r="L12" s="735"/>
      <c r="M12" s="735"/>
      <c r="N12" s="736"/>
      <c r="O12" s="737"/>
      <c r="R12" s="1918"/>
      <c r="S12" s="1712" t="str">
        <f>B42</f>
        <v>Déperditions par transmission QT:</v>
      </c>
      <c r="T12" s="1712" t="s">
        <v>2383</v>
      </c>
      <c r="U12" s="1712">
        <f>C42</f>
        <v>0</v>
      </c>
      <c r="V12" s="1712"/>
      <c r="W12" s="1712"/>
      <c r="X12" s="1712">
        <f>D42</f>
        <v>0</v>
      </c>
      <c r="Y12" s="1712"/>
      <c r="Z12" s="1712"/>
      <c r="AA12" s="1712">
        <f>E42</f>
        <v>0</v>
      </c>
      <c r="AB12" s="1712"/>
      <c r="AC12" s="1712"/>
      <c r="AD12" s="1712">
        <f>F42</f>
        <v>0</v>
      </c>
      <c r="AE12" s="1712"/>
      <c r="AF12" s="1712"/>
      <c r="AG12" s="1712">
        <f>G42</f>
        <v>0</v>
      </c>
      <c r="AH12" s="1712"/>
      <c r="AI12" s="1712"/>
      <c r="AJ12" s="1712">
        <f>H42</f>
        <v>0</v>
      </c>
      <c r="AK12" s="1712"/>
      <c r="AL12" s="1712"/>
      <c r="AM12" s="1712">
        <f>I42</f>
        <v>0</v>
      </c>
      <c r="AN12" s="1712"/>
      <c r="AO12" s="1712"/>
      <c r="AP12" s="1712">
        <f>J42</f>
        <v>0</v>
      </c>
      <c r="AQ12" s="1712"/>
      <c r="AR12" s="1712"/>
      <c r="AS12" s="1712">
        <f>K42</f>
        <v>0</v>
      </c>
      <c r="AT12" s="1712"/>
      <c r="AU12" s="1712"/>
      <c r="AV12" s="1712">
        <f>L42</f>
        <v>0</v>
      </c>
      <c r="AW12" s="1712"/>
      <c r="AX12" s="1712"/>
      <c r="AY12" s="1712">
        <f>M42</f>
        <v>0</v>
      </c>
      <c r="AZ12" s="1712"/>
      <c r="BA12" s="1712"/>
      <c r="BB12" s="1712">
        <f>N42</f>
        <v>0</v>
      </c>
      <c r="BC12" s="1712"/>
      <c r="BD12" s="1712"/>
      <c r="BE12" s="1712">
        <f>O42</f>
        <v>0</v>
      </c>
      <c r="BF12" s="1712" t="str">
        <f>P42</f>
        <v>MJ/m2a</v>
      </c>
    </row>
    <row r="13" spans="2:58" s="734" customFormat="1" ht="18" customHeight="1">
      <c r="B13" s="729" t="str">
        <f>Uebersetzung!D353</f>
        <v>B:  Données climatiques</v>
      </c>
      <c r="C13" s="707"/>
      <c r="D13" s="707"/>
      <c r="E13" s="707"/>
      <c r="F13" s="707"/>
      <c r="G13" s="707"/>
      <c r="H13" s="707"/>
      <c r="I13" s="707"/>
      <c r="J13" s="707"/>
      <c r="K13" s="707"/>
      <c r="L13" s="707"/>
      <c r="M13" s="707"/>
      <c r="N13" s="740"/>
      <c r="O13" s="730"/>
      <c r="S13" s="1712" t="str">
        <f>B44</f>
        <v>Dép. par renouvellement de l'air QV:</v>
      </c>
      <c r="T13" s="1712" t="s">
        <v>2375</v>
      </c>
      <c r="U13" s="1712">
        <f>C44</f>
        <v>0</v>
      </c>
      <c r="V13" s="1712"/>
      <c r="W13" s="1712"/>
      <c r="X13" s="1712">
        <f>D44</f>
        <v>0</v>
      </c>
      <c r="Y13" s="1712"/>
      <c r="Z13" s="1712"/>
      <c r="AA13" s="1712">
        <f>E44</f>
        <v>0</v>
      </c>
      <c r="AB13" s="1712"/>
      <c r="AC13" s="1712"/>
      <c r="AD13" s="1712">
        <f>F44</f>
        <v>0</v>
      </c>
      <c r="AE13" s="1712"/>
      <c r="AF13" s="1712"/>
      <c r="AG13" s="1712">
        <f>G44</f>
        <v>0</v>
      </c>
      <c r="AH13" s="1712"/>
      <c r="AI13" s="1712"/>
      <c r="AJ13" s="1712">
        <f>H44</f>
        <v>0</v>
      </c>
      <c r="AK13" s="1712"/>
      <c r="AL13" s="1712"/>
      <c r="AM13" s="1712">
        <f>I44</f>
        <v>0</v>
      </c>
      <c r="AN13" s="1712"/>
      <c r="AO13" s="1712"/>
      <c r="AP13" s="1712">
        <f>J44</f>
        <v>0</v>
      </c>
      <c r="AQ13" s="1712"/>
      <c r="AR13" s="1712"/>
      <c r="AS13" s="1712">
        <f>K44</f>
        <v>0</v>
      </c>
      <c r="AT13" s="1712"/>
      <c r="AU13" s="1712"/>
      <c r="AV13" s="1712">
        <f>L44</f>
        <v>0</v>
      </c>
      <c r="AW13" s="1712"/>
      <c r="AX13" s="1712"/>
      <c r="AY13" s="1712">
        <f>M44</f>
        <v>0</v>
      </c>
      <c r="AZ13" s="1712"/>
      <c r="BA13" s="1712"/>
      <c r="BB13" s="1712">
        <f>N44</f>
        <v>0</v>
      </c>
      <c r="BC13" s="1712"/>
      <c r="BD13" s="1712"/>
      <c r="BE13" s="1712">
        <f>O44</f>
        <v>0</v>
      </c>
      <c r="BF13" s="1712" t="str">
        <f>P44</f>
        <v>MJ/m2a</v>
      </c>
    </row>
    <row r="14" spans="2:58" ht="18" customHeight="1">
      <c r="B14" s="738" t="str">
        <f>Uebersetzung!D354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Q14" s="780">
        <v>1</v>
      </c>
      <c r="R14" s="780">
        <v>1</v>
      </c>
      <c r="S14" s="1712" t="str">
        <f>B68</f>
        <v>Besoins de chaleur  Qh:</v>
      </c>
      <c r="T14" s="1712" t="s">
        <v>2376</v>
      </c>
      <c r="U14" s="1712"/>
      <c r="V14" s="1712">
        <f>C68</f>
        <v>0</v>
      </c>
      <c r="W14" s="1712"/>
      <c r="X14" s="1712"/>
      <c r="Y14" s="1712">
        <f>D68</f>
        <v>0</v>
      </c>
      <c r="Z14" s="1712"/>
      <c r="AA14" s="1712"/>
      <c r="AB14" s="1712">
        <f>E68</f>
        <v>0</v>
      </c>
      <c r="AC14" s="1712"/>
      <c r="AD14" s="1712"/>
      <c r="AE14" s="1712">
        <f>F68</f>
        <v>0</v>
      </c>
      <c r="AF14" s="1712"/>
      <c r="AG14" s="1712"/>
      <c r="AH14" s="1712">
        <f>G68</f>
        <v>0</v>
      </c>
      <c r="AI14" s="1712"/>
      <c r="AJ14" s="1712"/>
      <c r="AK14" s="1712">
        <f>H68</f>
        <v>0</v>
      </c>
      <c r="AL14" s="1712"/>
      <c r="AM14" s="1712"/>
      <c r="AN14" s="1712">
        <f>I68</f>
        <v>0</v>
      </c>
      <c r="AO14" s="1712"/>
      <c r="AP14" s="1712"/>
      <c r="AQ14" s="1712">
        <f>J68</f>
        <v>0</v>
      </c>
      <c r="AR14" s="1712"/>
      <c r="AS14" s="1712"/>
      <c r="AT14" s="1712">
        <f>K68</f>
        <v>0</v>
      </c>
      <c r="AU14" s="1712"/>
      <c r="AV14" s="1712"/>
      <c r="AW14" s="1712">
        <f>L68</f>
        <v>0</v>
      </c>
      <c r="AX14" s="1712"/>
      <c r="AY14" s="1712"/>
      <c r="AZ14" s="1712">
        <f>M68</f>
        <v>0</v>
      </c>
      <c r="BA14" s="1712"/>
      <c r="BB14" s="1712"/>
      <c r="BC14" s="1712">
        <f>N68</f>
        <v>0</v>
      </c>
      <c r="BD14" s="1712"/>
      <c r="BE14" s="1712">
        <f>O68</f>
        <v>0</v>
      </c>
      <c r="BF14" s="1712" t="str">
        <f>P68</f>
        <v>MJ/m2a</v>
      </c>
    </row>
    <row r="15" spans="2:58" ht="18" customHeight="1">
      <c r="B15" s="738" t="str">
        <f>Uebersetzung!D355</f>
        <v>Température extérieure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Q15" s="780">
        <f ca="1">TaMinPA-Takorr</f>
        <v>-8</v>
      </c>
      <c r="R15" s="780">
        <f ca="1">TaMin</f>
        <v>-8</v>
      </c>
      <c r="S15" s="1712" t="str">
        <f>B59</f>
        <v>Apports totaux de chaleur Qg:</v>
      </c>
      <c r="T15" s="1712" t="s">
        <v>2377</v>
      </c>
      <c r="U15" s="1712"/>
      <c r="V15" s="1712">
        <f>C59</f>
        <v>0</v>
      </c>
      <c r="W15" s="1712"/>
      <c r="X15" s="1712"/>
      <c r="Y15" s="1712">
        <f>D59</f>
        <v>0</v>
      </c>
      <c r="Z15" s="1712"/>
      <c r="AA15" s="1712"/>
      <c r="AB15" s="1712">
        <f>E59</f>
        <v>0</v>
      </c>
      <c r="AC15" s="1712"/>
      <c r="AD15" s="1712"/>
      <c r="AE15" s="1712">
        <f>F59</f>
        <v>0</v>
      </c>
      <c r="AF15" s="1712"/>
      <c r="AG15" s="1712"/>
      <c r="AH15" s="1712">
        <f>G59</f>
        <v>0</v>
      </c>
      <c r="AI15" s="1712"/>
      <c r="AJ15" s="1712"/>
      <c r="AK15" s="1712">
        <f>H59</f>
        <v>0</v>
      </c>
      <c r="AL15" s="1712"/>
      <c r="AM15" s="1712"/>
      <c r="AN15" s="1712">
        <f>I59</f>
        <v>0</v>
      </c>
      <c r="AO15" s="1712"/>
      <c r="AP15" s="1712"/>
      <c r="AQ15" s="1712">
        <f>J59</f>
        <v>0</v>
      </c>
      <c r="AR15" s="1712"/>
      <c r="AS15" s="1712"/>
      <c r="AT15" s="1712">
        <f>K59</f>
        <v>0</v>
      </c>
      <c r="AU15" s="1712"/>
      <c r="AV15" s="1712"/>
      <c r="AW15" s="1712">
        <f>L59</f>
        <v>0</v>
      </c>
      <c r="AX15" s="1712"/>
      <c r="AY15" s="1712"/>
      <c r="AZ15" s="1712">
        <f>M59</f>
        <v>0</v>
      </c>
      <c r="BA15" s="1712"/>
      <c r="BB15" s="1712"/>
      <c r="BC15" s="1712">
        <f>N59</f>
        <v>0</v>
      </c>
      <c r="BD15" s="1712"/>
      <c r="BE15" s="1712">
        <f>O59</f>
        <v>0</v>
      </c>
      <c r="BF15" s="1712" t="str">
        <f>P59</f>
        <v>MJ/m2a</v>
      </c>
    </row>
    <row r="16" spans="2:58" ht="18" customHeight="1">
      <c r="B16" s="738" t="str">
        <f>Uebersetzung!D356</f>
        <v>Durée de la période de calcul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Q16" s="1943" t="str">
        <f>Uebersetzung!D672</f>
        <v>Ti</v>
      </c>
      <c r="R16" s="780">
        <f>Thetai-Projekt!Q49</f>
        <v>20</v>
      </c>
      <c r="S16" s="1712" t="s">
        <v>2378</v>
      </c>
      <c r="T16" s="1712" t="s">
        <v>2379</v>
      </c>
      <c r="U16" s="1712"/>
      <c r="V16" s="1712">
        <f>U12+U13-V14</f>
        <v>0</v>
      </c>
      <c r="W16" s="1712"/>
      <c r="X16" s="1712"/>
      <c r="Y16" s="1712">
        <f>X12+X13-Y14</f>
        <v>0</v>
      </c>
      <c r="Z16" s="1712"/>
      <c r="AA16" s="1712"/>
      <c r="AB16" s="1712">
        <f>AA12+AA13-AB14</f>
        <v>0</v>
      </c>
      <c r="AC16" s="1712"/>
      <c r="AD16" s="1712"/>
      <c r="AE16" s="1712">
        <f>AD12+AD13-AE14</f>
        <v>0</v>
      </c>
      <c r="AF16" s="1712"/>
      <c r="AG16" s="1712"/>
      <c r="AH16" s="1712">
        <f>AG12+AG13-AH14</f>
        <v>0</v>
      </c>
      <c r="AI16" s="1712"/>
      <c r="AJ16" s="1712"/>
      <c r="AK16" s="1712">
        <f>AJ12+AJ13-AK14</f>
        <v>0</v>
      </c>
      <c r="AL16" s="1712"/>
      <c r="AM16" s="1712"/>
      <c r="AN16" s="1712">
        <f>AM12+AM13-AN14</f>
        <v>0</v>
      </c>
      <c r="AO16" s="1712"/>
      <c r="AP16" s="1712"/>
      <c r="AQ16" s="1712">
        <f>AP12+AP13-AQ14</f>
        <v>0</v>
      </c>
      <c r="AR16" s="1712"/>
      <c r="AS16" s="1712"/>
      <c r="AT16" s="1712">
        <f>AS12+AS13-AT14</f>
        <v>0</v>
      </c>
      <c r="AU16" s="1712"/>
      <c r="AV16" s="1712"/>
      <c r="AW16" s="1712">
        <f>AV12+AV13-AW14</f>
        <v>0</v>
      </c>
      <c r="AX16" s="1712"/>
      <c r="AY16" s="1712"/>
      <c r="AZ16" s="1712">
        <f>AY12+AY13-AZ14</f>
        <v>0</v>
      </c>
      <c r="BA16" s="1712"/>
      <c r="BB16" s="1712"/>
      <c r="BC16" s="1712">
        <f>BB12+BB13-BC14</f>
        <v>0</v>
      </c>
      <c r="BD16" s="1712"/>
      <c r="BE16" s="1712"/>
      <c r="BF16" s="1712"/>
    </row>
    <row r="17" spans="2:58" ht="18" customHeight="1">
      <c r="B17" s="738" t="str">
        <f>Uebersetzung!D357</f>
        <v>Rayonnement solaire glob. horizontale:</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2" t="s">
        <v>2380</v>
      </c>
      <c r="T17" s="1712" t="s">
        <v>2381</v>
      </c>
      <c r="U17" s="1712"/>
      <c r="V17" s="1712">
        <f>V14+V15-U13-U12</f>
        <v>0</v>
      </c>
      <c r="W17" s="1712"/>
      <c r="X17" s="1712"/>
      <c r="Y17" s="1712">
        <f>Y14+Y15-X13-X12</f>
        <v>0</v>
      </c>
      <c r="Z17" s="1712"/>
      <c r="AA17" s="1712"/>
      <c r="AB17" s="1712">
        <f>AB14+AB15-AA13-AA12</f>
        <v>0</v>
      </c>
      <c r="AC17" s="1712"/>
      <c r="AD17" s="1712"/>
      <c r="AE17" s="1712">
        <f>AE14+AE15-AD13-AD12</f>
        <v>0</v>
      </c>
      <c r="AF17" s="1712"/>
      <c r="AG17" s="1712"/>
      <c r="AH17" s="1712">
        <f>AH14+AH15-AG13-AG12</f>
        <v>0</v>
      </c>
      <c r="AI17" s="1712"/>
      <c r="AJ17" s="1712"/>
      <c r="AK17" s="1712">
        <f>AK14+AK15-AJ13-AJ12</f>
        <v>0</v>
      </c>
      <c r="AL17" s="1712"/>
      <c r="AM17" s="1712"/>
      <c r="AN17" s="1712">
        <f>AN14+AN15-AM13-AM12</f>
        <v>0</v>
      </c>
      <c r="AO17" s="1712"/>
      <c r="AP17" s="1712"/>
      <c r="AQ17" s="1712">
        <f>AQ14+AQ15-AP13-AP12</f>
        <v>0</v>
      </c>
      <c r="AR17" s="1712"/>
      <c r="AS17" s="1712"/>
      <c r="AT17" s="1712">
        <f>AT14+AT15-AS13-AS12</f>
        <v>0</v>
      </c>
      <c r="AU17" s="1712"/>
      <c r="AV17" s="1712"/>
      <c r="AW17" s="1712">
        <f>AW14+AW15-AV13-AV12</f>
        <v>0</v>
      </c>
      <c r="AX17" s="1712"/>
      <c r="AY17" s="1712"/>
      <c r="AZ17" s="1712">
        <f>AZ14+AZ15-AY13-AY12</f>
        <v>0</v>
      </c>
      <c r="BA17" s="1712"/>
      <c r="BB17" s="1712"/>
      <c r="BC17" s="1712">
        <f>BC14+BC15-BB13-BB12</f>
        <v>0</v>
      </c>
      <c r="BD17" s="1712"/>
      <c r="BE17" s="1712"/>
      <c r="BF17" s="1712"/>
    </row>
    <row r="18" spans="2:58" ht="18" customHeight="1">
      <c r="B18" s="738" t="str">
        <f>Uebersetzung!D358</f>
        <v>Rayonnement solaire global Sud: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2" t="str">
        <f>B63</f>
        <v>Taux d'utilisation des apports:</v>
      </c>
      <c r="T18" s="1713" t="s">
        <v>1125</v>
      </c>
      <c r="U18" s="1714">
        <f>C63</f>
        <v>0</v>
      </c>
      <c r="V18" s="1714"/>
      <c r="W18" s="1714"/>
      <c r="X18" s="1714">
        <f>D63</f>
        <v>0</v>
      </c>
      <c r="Y18" s="1714"/>
      <c r="Z18" s="1714"/>
      <c r="AA18" s="1714">
        <f>E63</f>
        <v>0</v>
      </c>
      <c r="AB18" s="1714"/>
      <c r="AC18" s="1714"/>
      <c r="AD18" s="1714">
        <f>F63</f>
        <v>0</v>
      </c>
      <c r="AE18" s="1714"/>
      <c r="AF18" s="1714"/>
      <c r="AG18" s="1714">
        <f>G63</f>
        <v>0</v>
      </c>
      <c r="AH18" s="1714"/>
      <c r="AI18" s="1714"/>
      <c r="AJ18" s="1714">
        <f>H63</f>
        <v>0</v>
      </c>
      <c r="AK18" s="1714"/>
      <c r="AL18" s="1714"/>
      <c r="AM18" s="1714">
        <f>I63</f>
        <v>0</v>
      </c>
      <c r="AN18" s="1714"/>
      <c r="AO18" s="1714"/>
      <c r="AP18" s="1714">
        <f>J63</f>
        <v>0</v>
      </c>
      <c r="AQ18" s="1714"/>
      <c r="AR18" s="1714"/>
      <c r="AS18" s="1714">
        <f>K63</f>
        <v>0</v>
      </c>
      <c r="AT18" s="1714"/>
      <c r="AU18" s="1714"/>
      <c r="AV18" s="1714">
        <f>L63</f>
        <v>0</v>
      </c>
      <c r="AW18" s="1714"/>
      <c r="AX18" s="1714"/>
      <c r="AY18" s="1714">
        <f>M63</f>
        <v>0</v>
      </c>
      <c r="AZ18" s="1714"/>
      <c r="BA18" s="1714"/>
      <c r="BB18" s="1714">
        <f>N63</f>
        <v>0</v>
      </c>
      <c r="BC18" s="1714"/>
      <c r="BD18" s="1714"/>
      <c r="BE18" s="1714">
        <f>O63</f>
        <v>0</v>
      </c>
      <c r="BF18" s="1712"/>
    </row>
    <row r="19" spans="2:58" ht="18" customHeight="1">
      <c r="B19" s="738" t="str">
        <f>Uebersetzung!D359</f>
        <v>Rayonnement solaire global Est: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Uebersetzung!D360</f>
        <v>Rayonnement solaire global Ouest: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Uebersetzung!D361</f>
        <v>Rayonnement solaire global Nord:</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c r="Q22" s="2528" t="str">
        <f>Uebersetzung!D671</f>
        <v>Puissance [kW]</v>
      </c>
      <c r="R22" s="2528"/>
    </row>
    <row r="23" spans="2:58" ht="18" customHeight="1">
      <c r="B23" s="742" t="str">
        <f>Uebersetzung!D362</f>
        <v>F: Déperditions par transmission</v>
      </c>
      <c r="C23" s="734"/>
      <c r="D23" s="742"/>
      <c r="E23" s="2525"/>
      <c r="F23" s="2525"/>
      <c r="G23" s="734"/>
      <c r="H23" s="734"/>
      <c r="I23" s="734"/>
      <c r="J23" s="734"/>
      <c r="K23" s="734"/>
      <c r="L23" s="734"/>
      <c r="M23" s="734"/>
      <c r="N23" s="736"/>
      <c r="O23" s="741"/>
      <c r="Q23" s="780" t="str">
        <f>Uebersetzung!D673</f>
        <v>Justif.</v>
      </c>
      <c r="R23" s="780" t="s">
        <v>3996</v>
      </c>
    </row>
    <row r="24" spans="2:58" ht="18" customHeight="1">
      <c r="B24" s="738" t="str">
        <f>Uebersetzung!D363</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1924">
        <f>SUM(C24:N24)</f>
        <v>0</v>
      </c>
      <c r="P24" s="707" t="s">
        <v>250</v>
      </c>
      <c r="Q24" s="2061">
        <f>IF(ARe&gt;0,Q$14*((Theta-Q$15)*Bau!$I$84*Bau!$M$84+(Theta-Q$15)*Bau!$I$85*Bau!$M$85+(Theta-Q$15)*Bau!$I$86*Bau!$M$86),0)/1000</f>
        <v>0</v>
      </c>
      <c r="R24" s="771">
        <f>IF(ARe&gt;0,R$14*(IF(Bau!$AW$15=TRUE,deltaTheta+Theta-R$15,Theta-R$15)*Bau!$I$84*Bau!$M$84+IF(Bau!$AW$16=TRUE,deltaTheta+Theta-R$15,Theta-R$15)*Bau!$I$85*Bau!$M$85+IF(Bau!$AW$17=TRUE,deltaTheta+Theta-R$15,Theta-R$15)*Bau!$I$86*Bau!$M$86),0)/1000</f>
        <v>0</v>
      </c>
      <c r="S24" s="769" t="s">
        <v>1659</v>
      </c>
    </row>
    <row r="25" spans="2:58" ht="18" customHeight="1">
      <c r="B25" s="738" t="str">
        <f>Uebersetzung!D364</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1924">
        <f>SUM(C25:N25)</f>
        <v>0</v>
      </c>
      <c r="P25" s="707" t="s">
        <v>250</v>
      </c>
      <c r="Q25" s="2061">
        <f>IF(ARu&gt;0,Q$14*((Theta-Q$15)*Bau!$I$88*Bau!$M$88*Bau!$T$88+(Theta-Q$15)*Bau!$I$89*Bau!$M$89*Bau!$T$89),0)/1000</f>
        <v>0</v>
      </c>
      <c r="R25" s="771">
        <f>IF(ARu&gt;0,R$14*(IF(Bau!$AW$18=TRUE,deltaTheta+Theta-R$15,Theta-R$15)*Bau!$I$88*Bau!$M$88*Bau!$T$88+IF(Bau!$AW$19=TRUE,deltaTheta+Theta-R$15,Theta-R$15)*Bau!$I$89*Bau!$M$89*Bau!$T$89),0)/1000</f>
        <v>0</v>
      </c>
      <c r="S25" s="769" t="s">
        <v>1659</v>
      </c>
    </row>
    <row r="26" spans="2:58" ht="18" customHeight="1">
      <c r="B26" s="738" t="str">
        <f>Uebersetzung!D365</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1924">
        <f>SUM(C26:N26)</f>
        <v>0</v>
      </c>
      <c r="P26" s="707" t="s">
        <v>250</v>
      </c>
      <c r="Q26" s="2061">
        <f>IF(ARn&gt;0,Q$14*(IF(Bau!AC85,0,(Theta-Bau!$R$91)*Bau!$I$91*Bau!$M$91)+IF(Bau!AC86,0,(Theta-Bau!$R$92)*Bau!$I$92*Bau!$M$92)),0)/1000</f>
        <v>0</v>
      </c>
      <c r="R26" s="771">
        <f>IF(ARn&gt;0,R$14*(IF(Bau!$AW$20=TRUE,deltaTheta+Theta-Bau!$R$91,Theta-Bau!$R$91)*Bau!$I$91*Bau!$M$91+IF(Bau!$AW$21=TRUE,deltaTheta+Theta-Bau!$R$92,Theta-Bau!$R$92)*Bau!$I$92*Bau!$M$92),0)/1000</f>
        <v>0</v>
      </c>
      <c r="S26" s="769" t="s">
        <v>1659</v>
      </c>
    </row>
    <row r="27" spans="2:58" ht="18" customHeight="1">
      <c r="B27" s="738" t="str">
        <f>Uebersetzung!D366</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1924">
        <f>SUM(C27:N27)</f>
        <v>0</v>
      </c>
      <c r="P27" s="707" t="s">
        <v>250</v>
      </c>
      <c r="Q27" s="2061">
        <f>IF(AW.e&gt;0,Q$14*((Theta-Q$15)*Bau!$BD$33*Bau!$BG$33+(Theta-Q$15)*Bau!$BD$32*Bau!$BG$32),0)/1000</f>
        <v>0</v>
      </c>
      <c r="R27" s="771">
        <f>IF(AW.e&gt;0,R$14*((deltaTheta+Theta-R$15)*Bau!$BD$33*Bau!$BG$33+(Theta-R$15)*Bau!$BD$32*Bau!$BG$32),0)/1000</f>
        <v>0</v>
      </c>
      <c r="S27" s="769" t="s">
        <v>1659</v>
      </c>
    </row>
    <row r="28" spans="2:58" ht="18" customHeight="1">
      <c r="B28" s="738" t="str">
        <f>Uebersetzung!D367</f>
        <v>Mur contre des locaux non chauffés:</v>
      </c>
      <c r="C28" s="743">
        <f t="shared" ref="C28:N28" si="1">IF(AWu&gt;0,C$14*((Thetai-C$15)*AWu*UWu*buW)*0.0864/EBF,0)</f>
        <v>0</v>
      </c>
      <c r="D28" s="743">
        <f t="shared" si="1"/>
        <v>0</v>
      </c>
      <c r="E28" s="743">
        <f t="shared" si="1"/>
        <v>0</v>
      </c>
      <c r="F28" s="743">
        <f t="shared" si="1"/>
        <v>0</v>
      </c>
      <c r="G28" s="743">
        <f t="shared" si="1"/>
        <v>0</v>
      </c>
      <c r="H28" s="743">
        <f t="shared" si="1"/>
        <v>0</v>
      </c>
      <c r="I28" s="743">
        <f t="shared" si="1"/>
        <v>0</v>
      </c>
      <c r="J28" s="743">
        <f t="shared" si="1"/>
        <v>0</v>
      </c>
      <c r="K28" s="743">
        <f t="shared" si="1"/>
        <v>0</v>
      </c>
      <c r="L28" s="743">
        <f t="shared" si="1"/>
        <v>0</v>
      </c>
      <c r="M28" s="743">
        <f t="shared" si="1"/>
        <v>0</v>
      </c>
      <c r="N28" s="744">
        <f t="shared" si="1"/>
        <v>0</v>
      </c>
      <c r="O28" s="1924">
        <f t="shared" ref="O28:O38" si="2">SUM(C28:N28)</f>
        <v>0</v>
      </c>
      <c r="P28" s="707" t="s">
        <v>250</v>
      </c>
      <c r="Q28" s="2061">
        <f>IF(AWu&gt;0,Q$14*((Theta-Q$15)*AWu*UWu*buW),0)/1000</f>
        <v>0</v>
      </c>
      <c r="R28" s="771">
        <f>IF(AWu&gt;0,R$14*((Theta-R$15)*AWu*UWu*buW),0)/1000</f>
        <v>0</v>
      </c>
      <c r="S28" s="769" t="s">
        <v>1659</v>
      </c>
    </row>
    <row r="29" spans="2:58" ht="18" customHeight="1">
      <c r="B29" s="738" t="str">
        <f>Uebersetzung!D368</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1924">
        <f t="shared" si="2"/>
        <v>0</v>
      </c>
      <c r="P29" s="707" t="s">
        <v>250</v>
      </c>
      <c r="Q29" s="2061">
        <f>IF(AWG&gt;0,Q$14*(Theta-Q$15)*(AWG*UWG0*bGW+Bau!$I$94*UDecke1*Bau!$T$94),0)/1000</f>
        <v>0</v>
      </c>
      <c r="R29" s="771">
        <f>IF(AWG&gt;0,R$14*(Theta-R$15)*(AWG*UWG0*bGW+Bau!$I$94*UDecke1*Bau!$T$94),0)/1000</f>
        <v>0</v>
      </c>
      <c r="S29" s="769" t="s">
        <v>1659</v>
      </c>
    </row>
    <row r="30" spans="2:58" ht="18" customHeight="1">
      <c r="B30" s="738" t="str">
        <f>Uebersetzung!D369</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1924">
        <f>SUM(C30:N30)</f>
        <v>0</v>
      </c>
      <c r="P30" s="707" t="s">
        <v>250</v>
      </c>
      <c r="Q30" s="2061">
        <f>IF(AW.n&gt;0,Q$14*(IF(Bau!AC48,0,(Theta-Bau!$T$51)*Bau!$V51*Bau!$Z$51)+IF(Bau!AC49,0,(Theta-Bau!$T$52)*Bau!$V52*Bau!$Z$52))/1000,0)</f>
        <v>0</v>
      </c>
      <c r="R30" s="771">
        <f>IF(AW.n&gt;0,R$14*(IF(Bau!$AQ$17=TRUE,deltaTheta+Theta-Bau!$T$51,Theta-Bau!$T$51)*Bau!$V51*Bau!$Z$51+IF(Bau!$AQ$18=TRUE,deltaTheta+Theta-Bau!$T$52,Theta-Bau!$T$52)*Bau!$V52*Bau!$Z$52)/1000,0)</f>
        <v>0</v>
      </c>
      <c r="S30" s="769" t="s">
        <v>1659</v>
      </c>
    </row>
    <row r="31" spans="2:58" ht="18" customHeight="1">
      <c r="B31" s="738" t="str">
        <f>Uebersetzung!D370</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1924">
        <f t="shared" si="2"/>
        <v>0</v>
      </c>
      <c r="P31" s="707" t="s">
        <v>250</v>
      </c>
      <c r="Q31" s="2061">
        <f>IF(AFe&gt;0,Q$14*((Theta-Q$15)*Bau!$I64*Bau!$M$64+(Theta-Q$15)*Bau!$I65*Bau!$M$65)/1000,0)</f>
        <v>0</v>
      </c>
      <c r="R31" s="771">
        <f>IF(AFe&gt;0,R$14*(IF(Bau!$AT$15=TRUE,deltaTheta+Theta-R$15,Theta-R$15)*Bau!$I64*Bau!$M$64+IF(Bau!$AT$16=TRUE,deltaTheta+Theta-R$15,Theta-R$15)*Bau!$I65*Bau!$M$65)/1000,0)</f>
        <v>0</v>
      </c>
      <c r="S31" s="769" t="s">
        <v>1659</v>
      </c>
    </row>
    <row r="32" spans="2:58" ht="18" customHeight="1">
      <c r="B32" s="738" t="str">
        <f>Uebersetzung!D371</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1924">
        <f t="shared" si="2"/>
        <v>0</v>
      </c>
      <c r="P32" s="707" t="s">
        <v>250</v>
      </c>
      <c r="Q32" s="2061">
        <f>IF(AFu&gt;0,Q$14*((Theta-Q$15)*Bau!$I70*Bau!$M70*Bau!$T70+(Theta-Q$15)*Bau!$I71*Bau!$M71*Bau!$T71+(Theta-Q$15)*Bau!$I$73*Bau!$L$73*Bau!$T$73)/1000,0)</f>
        <v>0</v>
      </c>
      <c r="R32" s="771">
        <f>IF(AFu&gt;0,R$14*(IF(Bau!$AT$19=TRUE,deltaTheta+Theta-R$15,Theta-R$15)*Bau!$I70*Bau!$M70*Bau!$T70+IF(Bau!$AT$20=TRUE,deltaTheta+Theta-R$15,Theta-R$15)*Bau!$I71*Bau!$M71*Bau!$T71+(Theta-R$15)*Bau!$I$73*Bau!$L$73*Bau!$T$73)/1000,0)</f>
        <v>0</v>
      </c>
      <c r="S32" s="769" t="s">
        <v>1659</v>
      </c>
    </row>
    <row r="33" spans="2:20" ht="18" customHeight="1">
      <c r="B33" s="738" t="str">
        <f>Uebersetzung!D372</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1924">
        <f t="shared" si="2"/>
        <v>0</v>
      </c>
      <c r="P33" s="707" t="s">
        <v>250</v>
      </c>
      <c r="Q33" s="2061">
        <f>IF(EBF=0,0,IF(AFG&gt;0,Q$14*((Theta-Q$15)*Bau!$I67*Bau!$M67*Bau!$T67+(Theta-Q$15)*Bau!$I68*Bau!$M68*Bau!$T68)/1000,0))</f>
        <v>0</v>
      </c>
      <c r="R33" s="771">
        <f>IF(EBF=0,0,IF(AFG&gt;0,R$14*(IF(Bau!$AT$17=TRUE,deltaTheta+Theta-R$15,Theta-R$15)*Bau!$I67*Bau!$M67*Bau!$T67+IF(Bau!$AT$18=TRUE,deltaTheta+Theta-R$15,Theta-R$15)*Bau!$I68*Bau!$M68*Bau!$T68)/1000,0))</f>
        <v>0</v>
      </c>
      <c r="S33" s="769" t="s">
        <v>1659</v>
      </c>
    </row>
    <row r="34" spans="2:20" ht="18" customHeight="1">
      <c r="B34" s="738" t="str">
        <f>Uebersetzung!D373</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1924">
        <f>SUM(C34:N34)</f>
        <v>0</v>
      </c>
      <c r="P34" s="707" t="s">
        <v>250</v>
      </c>
      <c r="Q34" s="2061">
        <f>IF(AFn&gt;0,Q$14*(IF(Bau!AC75,0,(Theta-Bau!$R$75)*Bau!$I75*Bau!$M75)+IF(Bau!AC76,0,(Theta-Bau!$R$76)*Bau!$I76*Bau!$M76))/1000,0)</f>
        <v>0</v>
      </c>
      <c r="R34" s="771">
        <f>IF(AFn&gt;0,R$14*(IF(Bau!$AT$21=TRUE,deltaTheta+Theta-Bau!$R$75,Theta-Bau!$R$75)*Bau!$I75*Bau!$M75+IF(Bau!$AT$22=TRUE,deltaTheta+Theta-Bau!$R$76,Theta-Bau!$R$76)*Bau!$I76*Bau!$M76)/1000,0)</f>
        <v>0</v>
      </c>
      <c r="S34" s="769" t="s">
        <v>1659</v>
      </c>
    </row>
    <row r="35" spans="2:20" ht="18" customHeight="1">
      <c r="B35" s="738" t="str">
        <f>Uebersetzung!D374</f>
        <v>Fenêtre zénithale:</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1924">
        <f t="shared" si="2"/>
        <v>0</v>
      </c>
      <c r="P35" s="707" t="s">
        <v>250</v>
      </c>
      <c r="Q35" s="2061">
        <f>IF(EBF&gt;0,Q$14*(Theta-Q$15)*AwH*UwH/1000,0)</f>
        <v>0</v>
      </c>
      <c r="R35" s="771">
        <f>IF(EBF&gt;0,R$14*(Theta-R$15)*AwH*UwH/1000,0)</f>
        <v>0</v>
      </c>
      <c r="S35" s="769" t="s">
        <v>1659</v>
      </c>
    </row>
    <row r="36" spans="2:20" ht="18" customHeight="1">
      <c r="B36" s="738" t="str">
        <f>IF(Drehung&gt;1,Uebersetzung!D147&amp;" "&amp;Bau!V29&amp;" :",IF(Drehung&lt;&gt;1,Uebersetzung!D376,Uebersetzung!D375))</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1924">
        <f t="shared" si="2"/>
        <v>0</v>
      </c>
      <c r="P36" s="707" t="s">
        <v>250</v>
      </c>
      <c r="Q36" s="2061">
        <f>IF(AwS&gt;0,Q$14*(Theta-Q$15)*AwS*UwS/1000,0)</f>
        <v>0</v>
      </c>
      <c r="R36" s="771">
        <f>IF(AwS&gt;0,R$14*(deltaThetaH*ASHK/AwS+Theta-R$15)*AwS*UwS/1000,0)</f>
        <v>0</v>
      </c>
      <c r="S36" s="769" t="s">
        <v>1659</v>
      </c>
    </row>
    <row r="37" spans="2:20" ht="18" customHeight="1">
      <c r="B37" s="738" t="str">
        <f>IF(Drehung&gt;1,Uebersetzung!D147&amp;" "&amp;Bau!V10&amp;" :",IF(Drehung&lt;&gt;1,Uebersetzung!D378,Uebersetzung!D377))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1924">
        <f t="shared" si="2"/>
        <v>0</v>
      </c>
      <c r="P37" s="707" t="s">
        <v>250</v>
      </c>
      <c r="Q37" s="2061">
        <f>IF(AwE&gt;0,Q$14*(Theta-Q$15)*AwE*UwE/1000,0)</f>
        <v>0</v>
      </c>
      <c r="R37" s="771">
        <f>IF(AwE&gt;0,R$14*(deltaThetaH*AEHK/AwE+Theta-R$15)*AwE*UwE/1000,0)</f>
        <v>0</v>
      </c>
      <c r="S37" s="769" t="s">
        <v>1659</v>
      </c>
    </row>
    <row r="38" spans="2:20" ht="18" customHeight="1">
      <c r="B38" s="738" t="str">
        <f>IF(Drehung&gt;1,Uebersetzung!D147&amp;" "&amp;Bau!I29&amp;" :",IF(Drehung&lt;&gt;1,Uebersetzung!D380,Uebersetzung!D379))</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1924">
        <f t="shared" si="2"/>
        <v>0</v>
      </c>
      <c r="P38" s="707" t="s">
        <v>250</v>
      </c>
      <c r="Q38" s="2061">
        <f>IF(AwW&gt;0,Q$14*(Theta-Q$15)*AwW*UwW/1000,0)</f>
        <v>0</v>
      </c>
      <c r="R38" s="771">
        <f>IF(AwW&gt;0,R$14*(deltaThetaH*AWHK/AwW+Theta-R$15)*AwW*UwW/1000,0)</f>
        <v>0</v>
      </c>
      <c r="S38" s="769" t="s">
        <v>1659</v>
      </c>
    </row>
    <row r="39" spans="2:20" ht="18" customHeight="1">
      <c r="B39" s="738" t="str">
        <f>IF(Drehung&gt;1,Uebersetzung!D147&amp;" "&amp;Bau!I10&amp;" :",IF(Drehung&lt;&gt;1,Uebersetzung!D382,Uebersetzung!D381))</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1924">
        <f>SUM(C39:N39)</f>
        <v>0</v>
      </c>
      <c r="P39" s="707" t="s">
        <v>250</v>
      </c>
      <c r="Q39" s="2061">
        <f>IF(AwN&gt;0,Q$14*(Theta-Q$15)*AwN*UwN/1000,0)</f>
        <v>0</v>
      </c>
      <c r="R39" s="771">
        <f>IF(AwN&gt;0,R$14*(deltaThetaH*ANHK/AwN+Theta-R$15)*AwN*UwN/1000,0)</f>
        <v>0</v>
      </c>
      <c r="S39" s="769" t="s">
        <v>1659</v>
      </c>
    </row>
    <row r="40" spans="2:20" ht="18" customHeight="1">
      <c r="B40" s="738" t="str">
        <f>Uebersetzung!D383</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1924">
        <f>SUM(C40:N40)</f>
        <v>0</v>
      </c>
      <c r="P40" s="707" t="s">
        <v>250</v>
      </c>
      <c r="Q40" s="2061">
        <f>IF(EBF&gt;0,Q$14*(Theta-Q$15)*(lRW*PsiRW+lWF*PsiWF+lB*PsiB+lW*PsiW+lF*PsiF+z.*Chi+PsiR*lR)/1000,0)</f>
        <v>0</v>
      </c>
      <c r="R40" s="771">
        <f>IF(EBF&gt;0,R$14*(Theta-R$15)*(lRW*PsiRW+lWF*PsiWF+lB*PsiB+lW*PsiW+lF*PsiF+z.*Chi+PsiR*lR)/1000,0)</f>
        <v>0</v>
      </c>
      <c r="S40" s="769" t="s">
        <v>1659</v>
      </c>
    </row>
    <row r="41" spans="2:20" ht="18" customHeight="1">
      <c r="B41" s="738" t="str">
        <f>Uebersetzung!D384</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1924">
        <f>SUM(C41:N41)</f>
        <v>0</v>
      </c>
      <c r="P41" s="707" t="s">
        <v>250</v>
      </c>
      <c r="Q41" s="2062">
        <f>IF(AND(EBF&gt;0,Bau!$I$98&gt;0),Q$14*(Theta-Q$15)*A_TWD*Bau!BC13/1000,0)</f>
        <v>0</v>
      </c>
      <c r="R41" s="1966">
        <f>IF(AND(EBF&gt;0,Bau!$I$98&gt;0),R$14*(Theta-R$15)*A_TWD*Bau!BD13/1000,0)</f>
        <v>0</v>
      </c>
      <c r="S41" s="769" t="s">
        <v>1659</v>
      </c>
    </row>
    <row r="42" spans="2:20" ht="18" customHeight="1">
      <c r="B42" s="738" t="str">
        <f>Uebersetzung!D385</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1924">
        <f>SUM(C42:N42)</f>
        <v>0</v>
      </c>
      <c r="P42" s="707" t="s">
        <v>250</v>
      </c>
      <c r="Q42" s="1386">
        <f>SUM(Q24:Q41)</f>
        <v>0</v>
      </c>
      <c r="R42" s="1386">
        <f>SUM(R24:R41)</f>
        <v>0</v>
      </c>
      <c r="S42" s="769" t="s">
        <v>1659</v>
      </c>
    </row>
    <row r="43" spans="2:20" ht="29.45" customHeight="1">
      <c r="B43" s="687" t="str">
        <f>Uebersetzung!D386</f>
        <v>G: Déperditions par renouvellement d'air:</v>
      </c>
      <c r="C43" s="711"/>
      <c r="D43" s="743"/>
      <c r="E43" s="711"/>
      <c r="F43" s="711"/>
      <c r="G43" s="711"/>
      <c r="H43" s="711"/>
      <c r="I43" s="711"/>
      <c r="J43" s="711"/>
      <c r="K43" s="711"/>
      <c r="L43" s="711"/>
      <c r="M43" s="711"/>
      <c r="N43" s="747"/>
      <c r="O43" s="708"/>
      <c r="Q43" s="1919"/>
      <c r="R43" s="1919"/>
    </row>
    <row r="44" spans="2:20" ht="18" customHeight="1">
      <c r="B44" s="738" t="str">
        <f>Uebersetzung!D387</f>
        <v>Dép. par renouvellement de l'air QV:</v>
      </c>
      <c r="C44" s="745">
        <f t="shared" ref="C44:N44" si="10">IF(C42=0,0,IF(EBF&gt;0,(Thetai-C15)*C14*VStandard*EBF0*(1220-0.14*h)*0.000024/EBF,0))</f>
        <v>0</v>
      </c>
      <c r="D44" s="745">
        <f t="shared" si="10"/>
        <v>0</v>
      </c>
      <c r="E44" s="745">
        <f t="shared" si="10"/>
        <v>0</v>
      </c>
      <c r="F44" s="745">
        <f t="shared" si="10"/>
        <v>0</v>
      </c>
      <c r="G44" s="745">
        <f t="shared" si="10"/>
        <v>0</v>
      </c>
      <c r="H44" s="745">
        <f t="shared" si="10"/>
        <v>0</v>
      </c>
      <c r="I44" s="745">
        <f t="shared" si="10"/>
        <v>0</v>
      </c>
      <c r="J44" s="745">
        <f t="shared" si="10"/>
        <v>0</v>
      </c>
      <c r="K44" s="745">
        <f t="shared" si="10"/>
        <v>0</v>
      </c>
      <c r="L44" s="745">
        <f t="shared" si="10"/>
        <v>0</v>
      </c>
      <c r="M44" s="745">
        <f t="shared" si="10"/>
        <v>0</v>
      </c>
      <c r="N44" s="746">
        <f t="shared" si="10"/>
        <v>0</v>
      </c>
      <c r="O44" s="1924">
        <f>SUM(C44:N44)</f>
        <v>0</v>
      </c>
      <c r="P44" s="707" t="s">
        <v>250</v>
      </c>
      <c r="Q44" s="745">
        <f>IF(Q42=0,0,IF(EBF&gt;0,(Theta-Q15)*Q14*Vth*EBF*(1220-0.14*h)/3600/1000,0))</f>
        <v>0</v>
      </c>
      <c r="R44" s="745">
        <f>IF(R42=0,0,IF(EBF&gt;0,(Theta-R15)*R14*Vth*EBF*(1220-0.14*h)/3600/1000,0))</f>
        <v>0</v>
      </c>
      <c r="S44" s="769" t="s">
        <v>1659</v>
      </c>
      <c r="T44" s="749"/>
    </row>
    <row r="45" spans="2:20" ht="18" customHeight="1">
      <c r="B45" s="738"/>
      <c r="C45" s="750"/>
      <c r="D45" s="750"/>
      <c r="E45" s="750"/>
      <c r="F45" s="750"/>
      <c r="G45" s="750"/>
      <c r="H45" s="750"/>
      <c r="I45" s="750"/>
      <c r="J45" s="750"/>
      <c r="K45" s="750"/>
      <c r="L45" s="750"/>
      <c r="M45" s="751"/>
      <c r="N45" s="752"/>
      <c r="O45" s="708"/>
      <c r="R45" s="1919"/>
    </row>
    <row r="46" spans="2:20" ht="18" customHeight="1">
      <c r="B46" s="742" t="str">
        <f>Uebersetzung!D388</f>
        <v>H: Déperditions totales:</v>
      </c>
      <c r="D46" s="711"/>
      <c r="N46" s="740"/>
      <c r="O46" s="708"/>
      <c r="R46" s="1919"/>
    </row>
    <row r="47" spans="2:20" ht="18" customHeight="1">
      <c r="B47" s="738" t="str">
        <f>Uebersetzung!D389</f>
        <v>Déperditions totales Qt:</v>
      </c>
      <c r="C47" s="743">
        <f t="shared" ref="C47:N47" si="11">C42+C44</f>
        <v>0</v>
      </c>
      <c r="D47" s="743">
        <f t="shared" si="11"/>
        <v>0</v>
      </c>
      <c r="E47" s="743">
        <f t="shared" si="11"/>
        <v>0</v>
      </c>
      <c r="F47" s="743">
        <f t="shared" si="11"/>
        <v>0</v>
      </c>
      <c r="G47" s="743">
        <f t="shared" si="11"/>
        <v>0</v>
      </c>
      <c r="H47" s="743">
        <f t="shared" si="11"/>
        <v>0</v>
      </c>
      <c r="I47" s="743">
        <f t="shared" si="11"/>
        <v>0</v>
      </c>
      <c r="J47" s="743">
        <f t="shared" si="11"/>
        <v>0</v>
      </c>
      <c r="K47" s="743">
        <f t="shared" si="11"/>
        <v>0</v>
      </c>
      <c r="L47" s="743">
        <f t="shared" si="11"/>
        <v>0</v>
      </c>
      <c r="M47" s="743">
        <f t="shared" si="11"/>
        <v>0</v>
      </c>
      <c r="N47" s="744">
        <f t="shared" si="11"/>
        <v>0</v>
      </c>
      <c r="O47" s="1924">
        <f>SUM(C47:N47)</f>
        <v>0</v>
      </c>
      <c r="P47" s="707" t="s">
        <v>250</v>
      </c>
      <c r="Q47" s="1386">
        <f>Q44+Q42</f>
        <v>0</v>
      </c>
      <c r="R47" s="1386">
        <f>R44+R42</f>
        <v>0</v>
      </c>
      <c r="S47" s="769" t="s">
        <v>1659</v>
      </c>
      <c r="T47" s="749"/>
    </row>
    <row r="48" spans="2:20" ht="29.45" customHeight="1">
      <c r="B48" s="754" t="str">
        <f>Uebersetzung!D390</f>
        <v>I: Apports de chaleur:</v>
      </c>
      <c r="C48" s="743"/>
      <c r="D48" s="745" t="s">
        <v>506</v>
      </c>
      <c r="E48" s="734"/>
      <c r="F48" s="734"/>
      <c r="G48" s="734"/>
      <c r="H48" s="734"/>
      <c r="I48" s="734"/>
      <c r="J48" s="734"/>
      <c r="K48" s="734"/>
      <c r="L48" s="734"/>
      <c r="M48" s="734"/>
      <c r="N48" s="736"/>
      <c r="O48" s="1924"/>
      <c r="R48" s="1919"/>
    </row>
    <row r="49" spans="2:20" ht="18" customHeight="1">
      <c r="B49" s="738" t="str">
        <f>Uebersetzung!D391</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4">
        <f>SUM(C49:N49)</f>
        <v>0</v>
      </c>
      <c r="P49" s="707" t="s">
        <v>250</v>
      </c>
      <c r="R49" s="1919"/>
    </row>
    <row r="50" spans="2:20" ht="18" customHeight="1">
      <c r="B50" s="738" t="str">
        <f>Uebersetzung!D392</f>
        <v>interne des installations élec. QiE:</v>
      </c>
      <c r="C50" s="745">
        <f>IF(EBF&gt;0,QE*fE*C14*EBF0/(EBF*365),0)</f>
        <v>0</v>
      </c>
      <c r="D50" s="745">
        <f t="shared" ref="D50:N50" si="12">IF(EBF&gt;0,QE*fE*D14*EBF0/(EBF*365),0)</f>
        <v>0</v>
      </c>
      <c r="E50" s="745">
        <f t="shared" si="12"/>
        <v>0</v>
      </c>
      <c r="F50" s="745">
        <f t="shared" si="12"/>
        <v>0</v>
      </c>
      <c r="G50" s="745">
        <f t="shared" si="12"/>
        <v>0</v>
      </c>
      <c r="H50" s="745">
        <f t="shared" si="12"/>
        <v>0</v>
      </c>
      <c r="I50" s="745">
        <f t="shared" si="12"/>
        <v>0</v>
      </c>
      <c r="J50" s="745">
        <f t="shared" si="12"/>
        <v>0</v>
      </c>
      <c r="K50" s="745">
        <f t="shared" si="12"/>
        <v>0</v>
      </c>
      <c r="L50" s="745">
        <f t="shared" si="12"/>
        <v>0</v>
      </c>
      <c r="M50" s="745">
        <f t="shared" si="12"/>
        <v>0</v>
      </c>
      <c r="N50" s="746">
        <f t="shared" si="12"/>
        <v>0</v>
      </c>
      <c r="O50" s="1924">
        <f>SUM(C50:N50)</f>
        <v>0</v>
      </c>
      <c r="P50" s="707" t="s">
        <v>250</v>
      </c>
      <c r="Q50" s="755" t="s">
        <v>350</v>
      </c>
      <c r="R50" s="1919"/>
    </row>
    <row r="51" spans="2:20" ht="18" customHeight="1">
      <c r="B51" s="738" t="str">
        <f>Uebersetzung!D393</f>
        <v>interne dus aux personnes QiP:</v>
      </c>
      <c r="C51" s="745">
        <f>IF(EBF&gt;0,QP*tP*C14*EBF0*0.0036/(AP*EBF),0)</f>
        <v>0</v>
      </c>
      <c r="D51" s="745">
        <f t="shared" ref="D51:N51" si="13">IF(EBF&gt;0,QP*tP*D14*EBF0*0.0036/(AP*EBF),0)</f>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4">
        <f>SUM(C51:N51)</f>
        <v>0</v>
      </c>
      <c r="P51" s="707" t="s">
        <v>250</v>
      </c>
      <c r="Q51" s="755" t="s">
        <v>350</v>
      </c>
      <c r="R51" s="1919"/>
    </row>
    <row r="52" spans="2:20" ht="18" customHeight="1">
      <c r="B52" s="738" t="str">
        <f>Uebersetzung!D394</f>
        <v>Apports de chaleur internes Qi:</v>
      </c>
      <c r="C52" s="745">
        <f>SUM(C50:C51)</f>
        <v>0</v>
      </c>
      <c r="D52" s="745">
        <f t="shared" ref="D52:N52" si="14">SUM(D50:D51)</f>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5">
        <f>SUM(C52:N52)</f>
        <v>0</v>
      </c>
      <c r="P52" s="707" t="s">
        <v>250</v>
      </c>
      <c r="Q52" s="756"/>
      <c r="R52" s="1919"/>
    </row>
    <row r="53" spans="2:20" s="757" customFormat="1" ht="18" customHeight="1">
      <c r="B53" s="738" t="str">
        <f>Uebersetzung!D395</f>
        <v>Apports solaires zénithaux:</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4">
        <f t="shared" ref="O53:O59" si="16">SUM(C53:N53)</f>
        <v>0</v>
      </c>
      <c r="P53" s="707" t="s">
        <v>250</v>
      </c>
      <c r="Q53" s="755" t="s">
        <v>350</v>
      </c>
      <c r="R53" s="1919"/>
    </row>
    <row r="54" spans="2:20" ht="18" customHeight="1">
      <c r="B54" s="738" t="str">
        <f>IF(Drehung&gt;1,Uebersetzung!D682&amp;Bau!V29,IF(Drehung&lt;&gt;1,Uebersetzung!D396,Uebersetzung!D397))</f>
        <v>Apports solaires sud:</v>
      </c>
      <c r="C54" s="745">
        <f t="shared" ref="C54:N54" si="17">IF(EBF&gt;0,IF(Drehung=3,SQRT(C18*SQRT(C18*C20)),IF(Drehung=2,SQRT(C18*SQRT(C18*C19)),IF(Drehung&lt;&gt;1,C18,SQRT(C18*C20))))*AwS*gS*0.9*FFS*FSS/EBF,0)</f>
        <v>0</v>
      </c>
      <c r="D54" s="745">
        <f t="shared" si="17"/>
        <v>0</v>
      </c>
      <c r="E54" s="745">
        <f t="shared" si="17"/>
        <v>0</v>
      </c>
      <c r="F54" s="745">
        <f t="shared" si="17"/>
        <v>0</v>
      </c>
      <c r="G54" s="745">
        <f t="shared" si="17"/>
        <v>0</v>
      </c>
      <c r="H54" s="745">
        <f t="shared" si="17"/>
        <v>0</v>
      </c>
      <c r="I54" s="745">
        <f t="shared" si="17"/>
        <v>0</v>
      </c>
      <c r="J54" s="745">
        <f t="shared" si="17"/>
        <v>0</v>
      </c>
      <c r="K54" s="745">
        <f t="shared" si="17"/>
        <v>0</v>
      </c>
      <c r="L54" s="745">
        <f t="shared" si="17"/>
        <v>0</v>
      </c>
      <c r="M54" s="745">
        <f t="shared" si="17"/>
        <v>0</v>
      </c>
      <c r="N54" s="1972">
        <f t="shared" si="17"/>
        <v>0</v>
      </c>
      <c r="O54" s="1924">
        <f t="shared" si="16"/>
        <v>0</v>
      </c>
      <c r="P54" s="707" t="s">
        <v>250</v>
      </c>
      <c r="Q54" s="755" t="s">
        <v>350</v>
      </c>
      <c r="R54" s="1919"/>
    </row>
    <row r="55" spans="2:20" ht="18" customHeight="1">
      <c r="B55" s="738" t="str">
        <f>IF(Drehung&gt;1,Uebersetzung!D682&amp;Bau!V10,IF(Drehung&lt;&gt;1,Uebersetzung!D398,Uebersetzung!D399))</f>
        <v>Apports solaires est:</v>
      </c>
      <c r="C55" s="745">
        <f t="shared" ref="C55:N55" si="18">IF(EBF&gt;0,IF(Drehung=3,SQRT(C19*SQRT(C18*C19)),IF(Drehung=2,SQRT(C19*SQRT(C21*C19)),IF(Drehung&lt;&gt;1,C19,SQRT(C18*C19))))*AwE*gE*0.9*FFE*FSE/EBF,0)</f>
        <v>0</v>
      </c>
      <c r="D55" s="745">
        <f t="shared" si="18"/>
        <v>0</v>
      </c>
      <c r="E55" s="745">
        <f t="shared" si="18"/>
        <v>0</v>
      </c>
      <c r="F55" s="745">
        <f t="shared" si="18"/>
        <v>0</v>
      </c>
      <c r="G55" s="745">
        <f t="shared" si="18"/>
        <v>0</v>
      </c>
      <c r="H55" s="745">
        <f t="shared" si="18"/>
        <v>0</v>
      </c>
      <c r="I55" s="745">
        <f t="shared" si="18"/>
        <v>0</v>
      </c>
      <c r="J55" s="745">
        <f t="shared" si="18"/>
        <v>0</v>
      </c>
      <c r="K55" s="745">
        <f t="shared" si="18"/>
        <v>0</v>
      </c>
      <c r="L55" s="745">
        <f t="shared" si="18"/>
        <v>0</v>
      </c>
      <c r="M55" s="745">
        <f t="shared" si="18"/>
        <v>0</v>
      </c>
      <c r="N55" s="1972">
        <f t="shared" si="18"/>
        <v>0</v>
      </c>
      <c r="O55" s="1924">
        <f t="shared" si="16"/>
        <v>0</v>
      </c>
      <c r="P55" s="707" t="s">
        <v>250</v>
      </c>
      <c r="Q55" s="755"/>
      <c r="R55" s="1919"/>
    </row>
    <row r="56" spans="2:20" ht="18" customHeight="1">
      <c r="B56" s="738" t="str">
        <f>IF(Drehung&gt;1,Uebersetzung!D682&amp;Bau!I29,IF(Drehung&lt;&gt;1,Uebersetzung!D400,Uebersetzung!D401))</f>
        <v>Apports solaires ouest:</v>
      </c>
      <c r="C56" s="745">
        <f t="shared" ref="C56:N56" si="19">IF(EBF&gt;0,IF(Drehung=3,SQRT(C20*SQRT(C21*C20)),IF(Drehung=2,SQRT(C20*SQRT(C18*C20)),IF(Drehung&lt;&gt;1,C20,SQRT(C20*C21))))*AwW*gW*0.9*FFW*FSW/EBF,0)</f>
        <v>0</v>
      </c>
      <c r="D56" s="745">
        <f t="shared" si="19"/>
        <v>0</v>
      </c>
      <c r="E56" s="745">
        <f t="shared" si="19"/>
        <v>0</v>
      </c>
      <c r="F56" s="745">
        <f t="shared" si="19"/>
        <v>0</v>
      </c>
      <c r="G56" s="745">
        <f t="shared" si="19"/>
        <v>0</v>
      </c>
      <c r="H56" s="745">
        <f t="shared" si="19"/>
        <v>0</v>
      </c>
      <c r="I56" s="745">
        <f t="shared" si="19"/>
        <v>0</v>
      </c>
      <c r="J56" s="745">
        <f t="shared" si="19"/>
        <v>0</v>
      </c>
      <c r="K56" s="745">
        <f t="shared" si="19"/>
        <v>0</v>
      </c>
      <c r="L56" s="745">
        <f t="shared" si="19"/>
        <v>0</v>
      </c>
      <c r="M56" s="745">
        <f t="shared" si="19"/>
        <v>0</v>
      </c>
      <c r="N56" s="1972">
        <f t="shared" si="19"/>
        <v>0</v>
      </c>
      <c r="O56" s="1924">
        <f t="shared" si="16"/>
        <v>0</v>
      </c>
      <c r="P56" s="707" t="s">
        <v>250</v>
      </c>
      <c r="Q56" s="755"/>
      <c r="R56" s="1919"/>
    </row>
    <row r="57" spans="2:20" ht="18" customHeight="1">
      <c r="B57" s="758" t="str">
        <f>IF(Drehung&gt;1,Uebersetzung!D682&amp;Bau!I10,IF(Drehung&lt;&gt;1,Uebersetzung!D402,Uebersetzung!D403))</f>
        <v>Apports solaires nord:</v>
      </c>
      <c r="C57" s="745">
        <f t="shared" ref="C57:N57" si="20">IF(EBF&gt;0,IF(Drehung=3,SQRT(C21*SQRT(C19*C21)),IF(Drehung=2,SQRT(C21*SQRT(C21*C20)),IF(Drehung&lt;&gt;1,C21,SQRT(C19*C21))))*AwN*gN*0.9*FFN*FSN/EBF,0)</f>
        <v>0</v>
      </c>
      <c r="D57" s="745">
        <f t="shared" si="20"/>
        <v>0</v>
      </c>
      <c r="E57" s="745">
        <f t="shared" si="20"/>
        <v>0</v>
      </c>
      <c r="F57" s="745">
        <f t="shared" si="20"/>
        <v>0</v>
      </c>
      <c r="G57" s="745">
        <f t="shared" si="20"/>
        <v>0</v>
      </c>
      <c r="H57" s="745">
        <f t="shared" si="20"/>
        <v>0</v>
      </c>
      <c r="I57" s="745">
        <f t="shared" si="20"/>
        <v>0</v>
      </c>
      <c r="J57" s="745">
        <f t="shared" si="20"/>
        <v>0</v>
      </c>
      <c r="K57" s="745">
        <f t="shared" si="20"/>
        <v>0</v>
      </c>
      <c r="L57" s="745">
        <f t="shared" si="20"/>
        <v>0</v>
      </c>
      <c r="M57" s="745">
        <f t="shared" si="20"/>
        <v>0</v>
      </c>
      <c r="N57" s="1972">
        <f t="shared" si="20"/>
        <v>0</v>
      </c>
      <c r="O57" s="1924">
        <f t="shared" si="16"/>
        <v>0</v>
      </c>
      <c r="P57" s="707" t="s">
        <v>250</v>
      </c>
      <c r="Q57" s="759"/>
      <c r="R57" s="1919"/>
    </row>
    <row r="58" spans="2:20" ht="18" customHeight="1">
      <c r="B58" s="738" t="str">
        <f>Uebersetzung!D404</f>
        <v>Apports solaires totaux Qs:</v>
      </c>
      <c r="C58" s="745">
        <f>SUM(C53:C57)+C49</f>
        <v>0</v>
      </c>
      <c r="D58" s="745">
        <f t="shared" ref="D58:N58" si="21">SUM(D53:D57)+D49</f>
        <v>0</v>
      </c>
      <c r="E58" s="745">
        <f t="shared" si="21"/>
        <v>0</v>
      </c>
      <c r="F58" s="745">
        <f t="shared" si="21"/>
        <v>0</v>
      </c>
      <c r="G58" s="745">
        <f t="shared" si="21"/>
        <v>0</v>
      </c>
      <c r="H58" s="745">
        <f t="shared" si="21"/>
        <v>0</v>
      </c>
      <c r="I58" s="745">
        <f t="shared" si="21"/>
        <v>0</v>
      </c>
      <c r="J58" s="745">
        <f t="shared" si="21"/>
        <v>0</v>
      </c>
      <c r="K58" s="745">
        <f t="shared" si="21"/>
        <v>0</v>
      </c>
      <c r="L58" s="745">
        <f t="shared" si="21"/>
        <v>0</v>
      </c>
      <c r="M58" s="745">
        <f t="shared" si="21"/>
        <v>0</v>
      </c>
      <c r="N58" s="746">
        <f t="shared" si="21"/>
        <v>0</v>
      </c>
      <c r="O58" s="1924">
        <f t="shared" si="16"/>
        <v>0</v>
      </c>
      <c r="P58" s="707" t="s">
        <v>250</v>
      </c>
      <c r="Q58" s="755"/>
      <c r="R58" s="1919"/>
    </row>
    <row r="59" spans="2:20" ht="18" customHeight="1">
      <c r="B59" s="738" t="str">
        <f>Uebersetzung!D405</f>
        <v>Apports totaux de chaleur Qg:</v>
      </c>
      <c r="C59" s="745">
        <f>C52+C58</f>
        <v>0</v>
      </c>
      <c r="D59" s="745">
        <f t="shared" ref="D59:N59" si="22">D52+D58</f>
        <v>0</v>
      </c>
      <c r="E59" s="745">
        <f t="shared" si="22"/>
        <v>0</v>
      </c>
      <c r="F59" s="745">
        <f t="shared" si="22"/>
        <v>0</v>
      </c>
      <c r="G59" s="745">
        <f t="shared" si="22"/>
        <v>0</v>
      </c>
      <c r="H59" s="745">
        <f t="shared" si="22"/>
        <v>0</v>
      </c>
      <c r="I59" s="745">
        <f t="shared" si="22"/>
        <v>0</v>
      </c>
      <c r="J59" s="745">
        <f t="shared" si="22"/>
        <v>0</v>
      </c>
      <c r="K59" s="745">
        <f t="shared" si="22"/>
        <v>0</v>
      </c>
      <c r="L59" s="745">
        <f t="shared" si="22"/>
        <v>0</v>
      </c>
      <c r="M59" s="745">
        <f t="shared" si="22"/>
        <v>0</v>
      </c>
      <c r="N59" s="746">
        <f t="shared" si="22"/>
        <v>0</v>
      </c>
      <c r="O59" s="1924">
        <f t="shared" si="16"/>
        <v>0</v>
      </c>
      <c r="P59" s="707" t="s">
        <v>250</v>
      </c>
      <c r="Q59" s="755"/>
      <c r="R59" s="1919"/>
      <c r="S59" s="741"/>
    </row>
    <row r="60" spans="2:20" ht="18" customHeight="1">
      <c r="B60" s="738" t="str">
        <f>Uebersetzung!D406</f>
        <v>Apports totaux / déperditions totales:</v>
      </c>
      <c r="C60" s="743">
        <f>IF(C47&gt;0,C59/C47,0)</f>
        <v>0</v>
      </c>
      <c r="D60" s="743">
        <f>IF(D47&gt;0,D59/D47,0)</f>
        <v>0</v>
      </c>
      <c r="E60" s="743">
        <f>IF(E47&gt;0,E59/E47,0)</f>
        <v>0</v>
      </c>
      <c r="F60" s="743">
        <f>IF(F47&lt;&gt;0,F59/F47,0)</f>
        <v>0</v>
      </c>
      <c r="G60" s="743">
        <f t="shared" ref="G60:N60" si="23">IF(G47&gt;0,G59/G47,0)</f>
        <v>0</v>
      </c>
      <c r="H60" s="743">
        <f t="shared" si="23"/>
        <v>0</v>
      </c>
      <c r="I60" s="743">
        <f t="shared" si="23"/>
        <v>0</v>
      </c>
      <c r="J60" s="743">
        <f t="shared" si="23"/>
        <v>0</v>
      </c>
      <c r="K60" s="743">
        <f t="shared" si="23"/>
        <v>0</v>
      </c>
      <c r="L60" s="743">
        <f t="shared" si="23"/>
        <v>0</v>
      </c>
      <c r="M60" s="743">
        <f t="shared" si="23"/>
        <v>0</v>
      </c>
      <c r="N60" s="744">
        <f t="shared" si="23"/>
        <v>0</v>
      </c>
      <c r="O60" s="755" t="s">
        <v>350</v>
      </c>
      <c r="R60" s="1919"/>
    </row>
    <row r="61" spans="2:20" ht="18" customHeight="1">
      <c r="B61" s="738" t="str">
        <f>Uebersetzung!D407</f>
        <v>Constante de temps du bâtiment:</v>
      </c>
      <c r="C61" s="743">
        <f t="shared" ref="C61:N61" si="24">IF(C47&lt;&gt;0,CEBF0*EBF0*1000000/((ARe*URe+ARu*URu*buR+AW.e*UW.e+AWu*UWu*buW+AWG*UWG0*bGW+AFe*UFe+AFu*UFu*buF+AFG*UFG0*bGF+AwH*UwH+AwS*UwS+AwE*UwE+AwW*UwW+AwN*UwN+lRW*PsiRW+lWF*PsiWF+lB*PsiB+lW*PsiW+lF*PsiF+z.*Chi)*3600+VStandard*EBF0*(1220-0.14*h)),0)</f>
        <v>0</v>
      </c>
      <c r="D61" s="743">
        <f t="shared" si="24"/>
        <v>0</v>
      </c>
      <c r="E61" s="743">
        <f t="shared" si="24"/>
        <v>0</v>
      </c>
      <c r="F61" s="743">
        <f t="shared" si="24"/>
        <v>0</v>
      </c>
      <c r="G61" s="743">
        <f t="shared" si="24"/>
        <v>0</v>
      </c>
      <c r="H61" s="743">
        <f t="shared" si="24"/>
        <v>0</v>
      </c>
      <c r="I61" s="743">
        <f t="shared" si="24"/>
        <v>0</v>
      </c>
      <c r="J61" s="743">
        <f t="shared" si="24"/>
        <v>0</v>
      </c>
      <c r="K61" s="743">
        <f t="shared" si="24"/>
        <v>0</v>
      </c>
      <c r="L61" s="743">
        <f t="shared" si="24"/>
        <v>0</v>
      </c>
      <c r="M61" s="743">
        <f t="shared" si="24"/>
        <v>0</v>
      </c>
      <c r="N61" s="744">
        <f t="shared" si="24"/>
        <v>0</v>
      </c>
      <c r="O61" s="755"/>
      <c r="R61" s="1919"/>
    </row>
    <row r="62" spans="2:20" ht="18" customHeight="1">
      <c r="B62" s="738" t="str">
        <f>Uebersetzung!D408</f>
        <v>Paramètre numérique a:</v>
      </c>
      <c r="C62" s="743">
        <f>a0+C61/tau0</f>
        <v>1</v>
      </c>
      <c r="D62" s="743">
        <f>a0+D61/tau0</f>
        <v>1</v>
      </c>
      <c r="E62" s="743">
        <f>a0+E61/tau0</f>
        <v>1</v>
      </c>
      <c r="F62" s="743">
        <f>a0+F61/tau0</f>
        <v>1</v>
      </c>
      <c r="G62" s="743">
        <f>a0+G61/tau0</f>
        <v>1</v>
      </c>
      <c r="H62" s="743">
        <f t="shared" ref="H62:N62" si="25">a0+H61/tau0</f>
        <v>1</v>
      </c>
      <c r="I62" s="743">
        <f t="shared" si="25"/>
        <v>1</v>
      </c>
      <c r="J62" s="743">
        <f t="shared" si="25"/>
        <v>1</v>
      </c>
      <c r="K62" s="743">
        <f t="shared" si="25"/>
        <v>1</v>
      </c>
      <c r="L62" s="743">
        <f t="shared" si="25"/>
        <v>1</v>
      </c>
      <c r="M62" s="743">
        <f t="shared" si="25"/>
        <v>1</v>
      </c>
      <c r="N62" s="744">
        <f t="shared" si="25"/>
        <v>1</v>
      </c>
      <c r="O62" s="755"/>
      <c r="R62" s="1919"/>
    </row>
    <row r="63" spans="2:20" ht="18" customHeight="1">
      <c r="B63" s="738" t="str">
        <f>Uebersetzung!D409</f>
        <v>Taux d'utilisation des apports:</v>
      </c>
      <c r="C63" s="760">
        <f>IF(C60=1,Fg*C62/(C62+1),IF(C47&lt;=0,0,Fg*(1-C60^C62)/(1-C60^(C62+1))))</f>
        <v>0</v>
      </c>
      <c r="D63" s="760">
        <f t="shared" ref="D63:N63" si="26">IF(D60=1,Fg*D62/(D62+1),IF(D47&lt;=0,0,Fg*(1-D60^D62)/(1-D60^(D62+1))))</f>
        <v>0</v>
      </c>
      <c r="E63" s="760">
        <f t="shared" si="26"/>
        <v>0</v>
      </c>
      <c r="F63" s="760">
        <f t="shared" si="26"/>
        <v>0</v>
      </c>
      <c r="G63" s="760">
        <f t="shared" si="26"/>
        <v>0</v>
      </c>
      <c r="H63" s="760">
        <f t="shared" si="26"/>
        <v>0</v>
      </c>
      <c r="I63" s="760">
        <f t="shared" si="26"/>
        <v>0</v>
      </c>
      <c r="J63" s="760">
        <f t="shared" si="26"/>
        <v>0</v>
      </c>
      <c r="K63" s="760">
        <f t="shared" si="26"/>
        <v>0</v>
      </c>
      <c r="L63" s="760">
        <f t="shared" si="26"/>
        <v>0</v>
      </c>
      <c r="M63" s="760">
        <f t="shared" si="26"/>
        <v>0</v>
      </c>
      <c r="N63" s="761">
        <f t="shared" si="26"/>
        <v>0</v>
      </c>
      <c r="O63" s="762">
        <f>IF(O59&gt;0,O64/O59,0)</f>
        <v>0</v>
      </c>
      <c r="Q63" s="755"/>
      <c r="R63" s="1919"/>
      <c r="T63" s="763"/>
    </row>
    <row r="64" spans="2:20" ht="18" customHeight="1">
      <c r="B64" s="738" t="str">
        <f>Uebersetzung!D410</f>
        <v>Apports utiles de chaleur Qug:</v>
      </c>
      <c r="C64" s="743">
        <f>IF(C47=0,C47,C63*C59)</f>
        <v>0</v>
      </c>
      <c r="D64" s="743">
        <f>IF(D47=0,D47,D63*D59)</f>
        <v>0</v>
      </c>
      <c r="E64" s="743">
        <f>IF(E47=0,E47,E63*E59)</f>
        <v>0</v>
      </c>
      <c r="F64" s="743">
        <f>IF(F47=0,F47,F63*F59)</f>
        <v>0</v>
      </c>
      <c r="G64" s="743">
        <f>IF(G47=0,G47,G63*G59)</f>
        <v>0</v>
      </c>
      <c r="H64" s="743">
        <f t="shared" ref="H64:N64" si="27">IF(H47=0,H47,H63*H59)</f>
        <v>0</v>
      </c>
      <c r="I64" s="743">
        <f t="shared" si="27"/>
        <v>0</v>
      </c>
      <c r="J64" s="743">
        <f t="shared" si="27"/>
        <v>0</v>
      </c>
      <c r="K64" s="743">
        <f t="shared" si="27"/>
        <v>0</v>
      </c>
      <c r="L64" s="743">
        <f t="shared" si="27"/>
        <v>0</v>
      </c>
      <c r="M64" s="743">
        <f>IF(M47=0,M47,M63*M59)</f>
        <v>0</v>
      </c>
      <c r="N64" s="744">
        <f t="shared" si="27"/>
        <v>0</v>
      </c>
      <c r="O64" s="1924">
        <f>SUM(C64:N64)</f>
        <v>0</v>
      </c>
      <c r="P64" s="707" t="s">
        <v>250</v>
      </c>
      <c r="Q64" s="755"/>
      <c r="R64" s="1919"/>
    </row>
    <row r="65" spans="1:18" ht="18" customHeight="1">
      <c r="B65" s="738"/>
      <c r="C65" s="760"/>
      <c r="D65" s="745"/>
      <c r="E65" s="760"/>
      <c r="F65" s="760"/>
      <c r="G65" s="760"/>
      <c r="H65" s="760"/>
      <c r="I65" s="760"/>
      <c r="J65" s="760"/>
      <c r="K65" s="760"/>
      <c r="L65" s="760"/>
      <c r="M65" s="760"/>
      <c r="N65" s="761"/>
      <c r="O65" s="1924"/>
      <c r="Q65" s="755"/>
      <c r="R65" s="1919"/>
    </row>
    <row r="66" spans="1:18" ht="1.9" customHeight="1">
      <c r="D66" s="760"/>
      <c r="N66" s="740"/>
      <c r="O66" s="711"/>
      <c r="R66" s="1919"/>
    </row>
    <row r="67" spans="1:18" ht="18" customHeight="1">
      <c r="B67" s="729" t="str">
        <f>Uebersetzung!D411</f>
        <v>K: Besoins de chaleur pour le chauffage:</v>
      </c>
      <c r="D67" s="760"/>
      <c r="N67" s="740"/>
      <c r="O67" s="711"/>
      <c r="R67" s="1919"/>
    </row>
    <row r="68" spans="1:18" ht="18" customHeight="1" thickBot="1">
      <c r="B68" s="738" t="str">
        <f>Uebersetzung!D412</f>
        <v>Besoins de chaleur  Qh:</v>
      </c>
      <c r="C68" s="743">
        <f t="shared" ref="C68:N68" si="28">C47-C64</f>
        <v>0</v>
      </c>
      <c r="D68" s="743">
        <f t="shared" si="28"/>
        <v>0</v>
      </c>
      <c r="E68" s="743">
        <f t="shared" si="28"/>
        <v>0</v>
      </c>
      <c r="F68" s="743">
        <f t="shared" si="28"/>
        <v>0</v>
      </c>
      <c r="G68" s="743">
        <f t="shared" si="28"/>
        <v>0</v>
      </c>
      <c r="H68" s="743">
        <f t="shared" si="28"/>
        <v>0</v>
      </c>
      <c r="I68" s="743">
        <f t="shared" si="28"/>
        <v>0</v>
      </c>
      <c r="J68" s="743">
        <f t="shared" si="28"/>
        <v>0</v>
      </c>
      <c r="K68" s="743">
        <f t="shared" si="28"/>
        <v>0</v>
      </c>
      <c r="L68" s="743">
        <f t="shared" si="28"/>
        <v>0</v>
      </c>
      <c r="M68" s="743">
        <f t="shared" si="28"/>
        <v>0</v>
      </c>
      <c r="N68" s="744">
        <f t="shared" si="28"/>
        <v>0</v>
      </c>
      <c r="O68" s="1926">
        <f>SUM(C68:N68)</f>
        <v>0</v>
      </c>
      <c r="P68" s="687" t="s">
        <v>251</v>
      </c>
      <c r="R68" s="1919"/>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3">
    <mergeCell ref="C2:E2"/>
    <mergeCell ref="E23:F23"/>
    <mergeCell ref="Q22:R22"/>
  </mergeCells>
  <phoneticPr fontId="0" type="noConversion"/>
  <pageMargins left="0.71" right="0.39370078740157483" top="0.39370078740157483"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809"/>
  <sheetViews>
    <sheetView topLeftCell="B1" zoomScale="80" zoomScaleNormal="80" workbookViewId="0">
      <selection activeCell="D1" sqref="D1"/>
    </sheetView>
  </sheetViews>
  <sheetFormatPr baseColWidth="10" defaultColWidth="11.5703125" defaultRowHeight="12"/>
  <cols>
    <col min="1" max="1" width="6.85546875" style="1755" customWidth="1"/>
    <col min="2" max="2" width="12.7109375" style="1756" customWidth="1"/>
    <col min="3" max="3" width="10.7109375" style="1756" customWidth="1"/>
    <col min="4" max="4" width="46.28515625" style="1755" customWidth="1"/>
    <col min="5" max="5" width="51.28515625" style="1746" customWidth="1"/>
    <col min="6" max="6" width="46.28515625" style="1747" customWidth="1"/>
    <col min="7" max="7" width="46.28515625" style="1748" customWidth="1"/>
    <col min="8" max="16384" width="11.5703125" style="1739"/>
  </cols>
  <sheetData>
    <row r="1" spans="1:9" s="1741" customFormat="1" ht="25.9" customHeight="1">
      <c r="A1" s="1732">
        <f>VLOOKUP(C1,H1:I3,2)</f>
        <v>2</v>
      </c>
      <c r="B1" s="1733" t="s">
        <v>2430</v>
      </c>
      <c r="C1" s="1734" t="s">
        <v>2436</v>
      </c>
      <c r="D1" s="1735"/>
      <c r="E1" s="1736" t="s">
        <v>2432</v>
      </c>
      <c r="F1" s="1737"/>
      <c r="G1" s="1738"/>
      <c r="H1" s="1739" t="str">
        <f>E3</f>
        <v>deutsch</v>
      </c>
      <c r="I1" s="1740">
        <v>1</v>
      </c>
    </row>
    <row r="2" spans="1:9" ht="34.5" customHeight="1">
      <c r="A2" s="1742">
        <v>3</v>
      </c>
      <c r="B2" s="1743"/>
      <c r="C2" s="1744">
        <v>2017</v>
      </c>
      <c r="D2" s="1745" t="s">
        <v>2433</v>
      </c>
      <c r="H2" s="1739" t="str">
        <f>F3</f>
        <v>französisch</v>
      </c>
      <c r="I2" s="1740">
        <v>2</v>
      </c>
    </row>
    <row r="3" spans="1:9" s="1754" customFormat="1" ht="25.9" customHeight="1">
      <c r="A3" s="1749"/>
      <c r="B3" s="1750" t="s">
        <v>2434</v>
      </c>
      <c r="C3" s="1750" t="s">
        <v>2435</v>
      </c>
      <c r="D3" s="1749" t="s">
        <v>1376</v>
      </c>
      <c r="E3" s="1751" t="s">
        <v>2431</v>
      </c>
      <c r="F3" s="1752" t="s">
        <v>2436</v>
      </c>
      <c r="G3" s="1753" t="s">
        <v>2437</v>
      </c>
      <c r="H3" s="1739" t="str">
        <f>G3</f>
        <v>italienisch</v>
      </c>
      <c r="I3" s="1740">
        <v>3</v>
      </c>
    </row>
    <row r="4" spans="1:9" ht="25.9" customHeight="1">
      <c r="A4" s="1755">
        <v>1</v>
      </c>
      <c r="D4" s="1757" t="str">
        <f t="shared" ref="D4:D35" si="0">INDEX($E$4:$G$809,$A4,$A$1)</f>
        <v>Ver. 6.1</v>
      </c>
      <c r="E4" s="1758" t="s">
        <v>9373</v>
      </c>
      <c r="F4" s="1747" t="str">
        <f>E4</f>
        <v>Ver. 6.1</v>
      </c>
      <c r="G4" s="1748" t="str">
        <f>E4</f>
        <v>Ver. 6.1</v>
      </c>
    </row>
    <row r="5" spans="1:9" ht="25.9" customHeight="1">
      <c r="A5" s="1755">
        <v>2</v>
      </c>
      <c r="D5" s="1757" t="str">
        <f t="shared" si="0"/>
        <v>10.01.2019</v>
      </c>
      <c r="E5" s="1785" t="s">
        <v>9376</v>
      </c>
      <c r="F5" s="1747" t="str">
        <f>E5</f>
        <v>10.01.2019</v>
      </c>
      <c r="G5" s="1748" t="str">
        <f>E5</f>
        <v>10.01.2019</v>
      </c>
    </row>
    <row r="6" spans="1:9" ht="25.9" customHeight="1">
      <c r="A6" s="1755">
        <v>3</v>
      </c>
      <c r="B6" s="1756" t="s">
        <v>2518</v>
      </c>
      <c r="C6" s="1756" t="s">
        <v>2521</v>
      </c>
      <c r="D6" s="1757" t="str">
        <f t="shared" si="0"/>
        <v>ENTECH 380/1, Ver. 6.1</v>
      </c>
      <c r="E6" s="1759" t="str">
        <f>"ENTECH 380/1, "&amp;E4</f>
        <v>ENTECH 380/1, Ver. 6.1</v>
      </c>
      <c r="F6" s="1747" t="str">
        <f>"ENTECH 380/1, "&amp;F4</f>
        <v>ENTECH 380/1, Ver. 6.1</v>
      </c>
    </row>
    <row r="7" spans="1:9" ht="25.9" customHeight="1">
      <c r="A7" s="1755">
        <v>4</v>
      </c>
      <c r="B7" s="1756" t="s">
        <v>2518</v>
      </c>
      <c r="C7" s="1756" t="s">
        <v>2522</v>
      </c>
      <c r="D7" s="1757" t="str">
        <f t="shared" si="0"/>
        <v>(Dernière modification le 10.01.2019)</v>
      </c>
      <c r="E7" s="1759" t="str">
        <f>"(Zuletzt geändert am "&amp;E5&amp;")"</f>
        <v>(Zuletzt geändert am 10.01.2019)</v>
      </c>
      <c r="F7" s="1747" t="str">
        <f>"(Dernière modification le "&amp;F5&amp;")"</f>
        <v>(Dernière modification le 10.01.2019)</v>
      </c>
    </row>
    <row r="8" spans="1:9" ht="25.9" customHeight="1">
      <c r="A8" s="1755">
        <v>5</v>
      </c>
      <c r="B8" s="1756" t="s">
        <v>2518</v>
      </c>
      <c r="C8" s="1756" t="s">
        <v>1276</v>
      </c>
      <c r="D8" s="1757" t="str">
        <f t="shared" si="0"/>
        <v>Logiciel pour le calcul des besoins de chaleur pour le chauffage dans bâtiments selon la norme sia 380/1</v>
      </c>
      <c r="E8" s="1759" t="s">
        <v>2520</v>
      </c>
      <c r="F8" s="1747" t="s">
        <v>2523</v>
      </c>
    </row>
    <row r="9" spans="1:9" ht="25.9" customHeight="1">
      <c r="A9" s="1755">
        <v>6</v>
      </c>
      <c r="B9" s="1756" t="s">
        <v>2518</v>
      </c>
      <c r="C9" s="1756" t="s">
        <v>2440</v>
      </c>
      <c r="D9" s="1757" t="str">
        <f t="shared" si="0"/>
        <v>'L'énergie thermique dans le bâtiment', édition 2016 et 2009 et la norme bernoise 2016</v>
      </c>
      <c r="E9" s="1759" t="s">
        <v>2519</v>
      </c>
      <c r="F9" s="1780" t="s">
        <v>2524</v>
      </c>
    </row>
    <row r="10" spans="1:9" ht="25.9" customHeight="1">
      <c r="A10" s="1755">
        <v>7</v>
      </c>
      <c r="B10" s="1756" t="s">
        <v>2518</v>
      </c>
      <c r="C10" s="1756" t="s">
        <v>2451</v>
      </c>
      <c r="D10" s="1757" t="str">
        <f t="shared" si="0"/>
        <v>No. de licence:</v>
      </c>
      <c r="E10" s="1759" t="s">
        <v>1058</v>
      </c>
      <c r="F10" s="1747" t="s">
        <v>2525</v>
      </c>
    </row>
    <row r="11" spans="1:9" ht="25.9" customHeight="1">
      <c r="A11" s="1755">
        <v>8</v>
      </c>
      <c r="B11" s="1756" t="s">
        <v>2518</v>
      </c>
      <c r="C11" s="1756" t="s">
        <v>2452</v>
      </c>
      <c r="D11" s="1757" t="str">
        <f t="shared" si="0"/>
        <v>Entreprise:</v>
      </c>
      <c r="E11" s="1759" t="s">
        <v>530</v>
      </c>
      <c r="F11" s="1747" t="s">
        <v>2526</v>
      </c>
    </row>
    <row r="12" spans="1:9" ht="25.9" customHeight="1">
      <c r="A12" s="1755">
        <v>9</v>
      </c>
      <c r="B12" s="1756" t="s">
        <v>2518</v>
      </c>
      <c r="C12" s="1756" t="s">
        <v>2503</v>
      </c>
      <c r="D12" s="1757" t="str">
        <f t="shared" si="0"/>
        <v>Adresse:</v>
      </c>
      <c r="E12" s="1759" t="s">
        <v>2321</v>
      </c>
      <c r="F12" s="1747" t="s">
        <v>2321</v>
      </c>
    </row>
    <row r="13" spans="1:9" ht="25.9" customHeight="1">
      <c r="A13" s="1755">
        <v>10</v>
      </c>
      <c r="B13" s="1756" t="s">
        <v>2518</v>
      </c>
      <c r="C13" s="1756" t="s">
        <v>2453</v>
      </c>
      <c r="D13" s="1757" t="str">
        <f t="shared" si="0"/>
        <v>Tél.:</v>
      </c>
      <c r="E13" s="1759" t="s">
        <v>2020</v>
      </c>
      <c r="F13" s="1747" t="s">
        <v>2527</v>
      </c>
    </row>
    <row r="14" spans="1:9" ht="25.9" customHeight="1">
      <c r="A14" s="1755">
        <v>11</v>
      </c>
      <c r="B14" s="1756" t="s">
        <v>2518</v>
      </c>
      <c r="C14" s="1756" t="s">
        <v>2504</v>
      </c>
      <c r="D14" s="1757" t="str">
        <f t="shared" si="0"/>
        <v>Fax.:</v>
      </c>
      <c r="E14" s="1759" t="s">
        <v>2021</v>
      </c>
      <c r="F14" s="1747" t="s">
        <v>2021</v>
      </c>
    </row>
    <row r="15" spans="1:9" ht="25.9" customHeight="1">
      <c r="A15" s="1755">
        <v>12</v>
      </c>
      <c r="B15" s="1756" t="s">
        <v>2518</v>
      </c>
      <c r="C15" s="1756" t="s">
        <v>2454</v>
      </c>
      <c r="D15" s="1757" t="str">
        <f t="shared" si="0"/>
        <v>e-mail:</v>
      </c>
      <c r="E15" s="1759" t="s">
        <v>124</v>
      </c>
      <c r="F15" s="1747" t="s">
        <v>2022</v>
      </c>
    </row>
    <row r="16" spans="1:9" ht="25.9" customHeight="1">
      <c r="A16" s="1755">
        <v>13</v>
      </c>
      <c r="B16" s="1756" t="s">
        <v>2518</v>
      </c>
      <c r="C16" s="1756" t="s">
        <v>2487</v>
      </c>
      <c r="D16" s="1757" t="str">
        <f t="shared" si="0"/>
        <v>Documents pour les justifications</v>
      </c>
      <c r="E16" s="1759" t="s">
        <v>1187</v>
      </c>
      <c r="F16" s="1747" t="s">
        <v>2528</v>
      </c>
    </row>
    <row r="17" spans="1:6" ht="25.9" customHeight="1">
      <c r="A17" s="1755">
        <v>14</v>
      </c>
      <c r="B17" s="1756" t="s">
        <v>2518</v>
      </c>
      <c r="C17" s="1756" t="s">
        <v>2457</v>
      </c>
      <c r="D17" s="1757" t="str">
        <f t="shared" si="0"/>
        <v>Pour la justification globale selon la norme sia 380/1 if faut imprimer les feuilles suivantes:</v>
      </c>
      <c r="E17" s="1759" t="s">
        <v>2516</v>
      </c>
      <c r="F17" s="1747" t="s">
        <v>2529</v>
      </c>
    </row>
    <row r="18" spans="1:6" ht="25.9" customHeight="1">
      <c r="A18" s="1755">
        <v>15</v>
      </c>
      <c r="B18" s="1756" t="s">
        <v>2518</v>
      </c>
      <c r="C18" s="1756" t="s">
        <v>2459</v>
      </c>
      <c r="D18" s="1757" t="str">
        <f t="shared" si="0"/>
        <v>'Justification',  'Projet',  'Surfaces',  'Fenêtre',  'ValeurU',  'M1'</v>
      </c>
      <c r="E18" s="1759" t="s">
        <v>425</v>
      </c>
      <c r="F18" s="1747" t="s">
        <v>2530</v>
      </c>
    </row>
    <row r="19" spans="1:6" ht="25.9" customHeight="1">
      <c r="A19" s="1755">
        <v>16</v>
      </c>
      <c r="B19" s="1756" t="s">
        <v>2518</v>
      </c>
      <c r="C19" s="1756" t="s">
        <v>2461</v>
      </c>
      <c r="D19" s="1757" t="str">
        <f t="shared" si="0"/>
        <v>Additionellement, pour le justificatif MINERGIE, on l'imprime avec la feuille 'Minergie'.</v>
      </c>
      <c r="E19" s="1759" t="s">
        <v>2517</v>
      </c>
      <c r="F19" s="1747" t="s">
        <v>2531</v>
      </c>
    </row>
    <row r="20" spans="1:6" ht="25.9" customHeight="1">
      <c r="A20" s="1755">
        <v>17</v>
      </c>
      <c r="B20" s="1756" t="s">
        <v>2515</v>
      </c>
      <c r="C20" s="1756" t="s">
        <v>2438</v>
      </c>
      <c r="D20" s="1757" t="str">
        <f t="shared" si="0"/>
        <v>Programme Entech 380/1, Ver. 6.1, BFE/EnFK-Zert.-Nr. 1639, SIA 380/1 (Edition 2016)</v>
      </c>
      <c r="E20" s="1759" t="str">
        <f>"Programm Entech 380/1, "&amp;E4&amp;", BFE/EnFK-Zert.-Nr. "&amp;Zertifikat&amp;", "&amp;Projekt!AV35</f>
        <v>Programm Entech 380/1, Ver. 6.1, BFE/EnFK-Zert.-Nr. 1639, SIA 380/1 (Edition 2016)</v>
      </c>
      <c r="F20" s="1747" t="str">
        <f>"Programme Entech 380/1, "&amp;F4&amp;", BFE/EnFK-Zert.-Nr. "&amp;Zertifikat&amp;", "&amp;Projekt!AV35</f>
        <v>Programme Entech 380/1, Ver. 6.1, BFE/EnFK-Zert.-Nr. 1639, SIA 380/1 (Edition 2016)</v>
      </c>
    </row>
    <row r="21" spans="1:6" ht="25.9" customHeight="1">
      <c r="A21" s="1755">
        <v>18</v>
      </c>
      <c r="B21" s="1756" t="s">
        <v>2515</v>
      </c>
      <c r="C21" s="1756" t="s">
        <v>2502</v>
      </c>
      <c r="D21" s="1757" t="str">
        <f t="shared" si="0"/>
        <v>imprimé le:</v>
      </c>
      <c r="E21" s="1759" t="s">
        <v>1967</v>
      </c>
      <c r="F21" s="1747" t="s">
        <v>2533</v>
      </c>
    </row>
    <row r="22" spans="1:6" ht="25.9" customHeight="1">
      <c r="A22" s="1755">
        <v>19</v>
      </c>
      <c r="B22" s="1756" t="s">
        <v>2515</v>
      </c>
      <c r="C22" s="1756" t="s">
        <v>2439</v>
      </c>
      <c r="D22" s="1757" t="str">
        <f t="shared" si="0"/>
        <v xml:space="preserve">pour </v>
      </c>
      <c r="E22" s="1759" t="str">
        <f>IF(Wettbewerb,"für   **** anonymer Programmbenutzer ****","für "&amp;Firma)</f>
        <v xml:space="preserve">für </v>
      </c>
      <c r="F22" s="1747" t="str">
        <f>IF(Wettbewerb,"pour   **** anonyme ****","pour "&amp;Firma)</f>
        <v xml:space="preserve">pour </v>
      </c>
    </row>
    <row r="23" spans="1:6" ht="25.9" customHeight="1">
      <c r="A23" s="1755">
        <v>20</v>
      </c>
      <c r="B23" s="1756" t="s">
        <v>2515</v>
      </c>
      <c r="C23" s="1756" t="s">
        <v>2532</v>
      </c>
      <c r="D23" s="1757" t="str">
        <f t="shared" si="0"/>
        <v>page 3 de 10</v>
      </c>
      <c r="E23" s="1759" t="s">
        <v>4072</v>
      </c>
      <c r="F23" s="1747" t="s">
        <v>4073</v>
      </c>
    </row>
    <row r="24" spans="1:6" ht="25.9" customHeight="1">
      <c r="A24" s="1755">
        <v>21</v>
      </c>
      <c r="B24" s="1756" t="s">
        <v>2515</v>
      </c>
      <c r="C24" s="1756" t="s">
        <v>2535</v>
      </c>
      <c r="D24" s="1757" t="str">
        <f t="shared" si="0"/>
        <v>Projet:</v>
      </c>
      <c r="E24" s="1759" t="s">
        <v>1412</v>
      </c>
      <c r="F24" s="1747" t="s">
        <v>2632</v>
      </c>
    </row>
    <row r="25" spans="1:6" ht="25.9" customHeight="1">
      <c r="A25" s="1755">
        <v>22</v>
      </c>
      <c r="B25" s="1756" t="s">
        <v>2515</v>
      </c>
      <c r="C25" s="1756" t="s">
        <v>2536</v>
      </c>
      <c r="D25" s="1757" t="str">
        <f t="shared" si="0"/>
        <v>Adresse:</v>
      </c>
      <c r="E25" s="1759" t="s">
        <v>1413</v>
      </c>
      <c r="F25" s="1747" t="s">
        <v>2321</v>
      </c>
    </row>
    <row r="26" spans="1:6" ht="25.9" customHeight="1">
      <c r="A26" s="1755">
        <v>23</v>
      </c>
      <c r="B26" s="1756" t="s">
        <v>2515</v>
      </c>
      <c r="C26" s="1756" t="s">
        <v>2540</v>
      </c>
      <c r="D26" s="1757" t="str">
        <f t="shared" si="0"/>
        <v>Lieu:</v>
      </c>
      <c r="E26" s="1759" t="s">
        <v>2537</v>
      </c>
      <c r="F26" s="1747" t="s">
        <v>2639</v>
      </c>
    </row>
    <row r="27" spans="1:6" ht="25.9" customHeight="1">
      <c r="A27" s="1755">
        <v>24</v>
      </c>
      <c r="B27" s="1756" t="s">
        <v>2515</v>
      </c>
      <c r="C27" s="1756" t="s">
        <v>2539</v>
      </c>
      <c r="D27" s="1757" t="str">
        <f t="shared" si="0"/>
        <v xml:space="preserve">N°  </v>
      </c>
      <c r="E27" s="1759" t="s">
        <v>1191</v>
      </c>
      <c r="F27" s="1747" t="s">
        <v>2722</v>
      </c>
    </row>
    <row r="28" spans="1:6" ht="25.9" customHeight="1">
      <c r="A28" s="1755">
        <v>25</v>
      </c>
      <c r="B28" s="1756" t="s">
        <v>2515</v>
      </c>
      <c r="C28" s="1756" t="s">
        <v>2538</v>
      </c>
      <c r="D28" s="1757" t="str">
        <f t="shared" si="0"/>
        <v>an de con-struction</v>
      </c>
      <c r="E28" s="1759" t="s">
        <v>921</v>
      </c>
      <c r="F28" s="1747" t="s">
        <v>2701</v>
      </c>
    </row>
    <row r="29" spans="1:6" ht="25.9" customHeight="1">
      <c r="A29" s="1755">
        <v>26</v>
      </c>
      <c r="B29" s="1756" t="s">
        <v>2515</v>
      </c>
      <c r="C29" s="1756" t="s">
        <v>2539</v>
      </c>
      <c r="D29" s="1757" t="str">
        <f t="shared" si="0"/>
        <v xml:space="preserve">NP:  </v>
      </c>
      <c r="E29" s="1759" t="s">
        <v>2541</v>
      </c>
      <c r="F29" s="1747" t="s">
        <v>2723</v>
      </c>
    </row>
    <row r="30" spans="1:6" ht="25.9" customHeight="1">
      <c r="A30" s="1755">
        <v>27</v>
      </c>
      <c r="B30" s="1756" t="s">
        <v>2515</v>
      </c>
      <c r="C30" s="1756" t="s">
        <v>2543</v>
      </c>
      <c r="D30" s="1757" t="str">
        <f t="shared" si="0"/>
        <v>Cadastre</v>
      </c>
      <c r="E30" s="1759" t="s">
        <v>2542</v>
      </c>
      <c r="F30" s="1747" t="s">
        <v>3976</v>
      </c>
    </row>
    <row r="31" spans="1:6" ht="25.9" customHeight="1">
      <c r="A31" s="1755">
        <v>28</v>
      </c>
      <c r="B31" s="1756" t="s">
        <v>2515</v>
      </c>
      <c r="C31" s="1756" t="s">
        <v>2544</v>
      </c>
      <c r="D31" s="1757" t="str">
        <f t="shared" si="0"/>
        <v>Adresse:</v>
      </c>
      <c r="E31" s="1759" t="s">
        <v>2534</v>
      </c>
      <c r="F31" s="1747" t="s">
        <v>2321</v>
      </c>
    </row>
    <row r="32" spans="1:6" ht="25.9" customHeight="1">
      <c r="A32" s="1755">
        <v>29</v>
      </c>
      <c r="B32" s="1756" t="s">
        <v>2515</v>
      </c>
      <c r="C32" s="1756" t="s">
        <v>2545</v>
      </c>
      <c r="D32" s="1757" t="str">
        <f t="shared" si="0"/>
        <v>Maître de l'ouvrage:</v>
      </c>
      <c r="E32" s="1759" t="s">
        <v>1414</v>
      </c>
      <c r="F32" s="1747" t="s">
        <v>2633</v>
      </c>
    </row>
    <row r="33" spans="1:6" ht="25.9" customHeight="1">
      <c r="A33" s="1755">
        <v>30</v>
      </c>
      <c r="B33" s="1756" t="s">
        <v>2515</v>
      </c>
      <c r="C33" s="1756" t="s">
        <v>2546</v>
      </c>
      <c r="D33" s="1757" t="str">
        <f t="shared" si="0"/>
        <v>Tél.:</v>
      </c>
      <c r="E33" s="1759" t="s">
        <v>2020</v>
      </c>
      <c r="F33" s="1747" t="s">
        <v>2527</v>
      </c>
    </row>
    <row r="34" spans="1:6" ht="25.9" customHeight="1">
      <c r="A34" s="1755">
        <v>31</v>
      </c>
      <c r="B34" s="1756" t="s">
        <v>2515</v>
      </c>
      <c r="C34" s="1756" t="s">
        <v>2547</v>
      </c>
      <c r="D34" s="1757" t="str">
        <f t="shared" si="0"/>
        <v>Email:</v>
      </c>
      <c r="E34" s="1759" t="s">
        <v>2548</v>
      </c>
      <c r="F34" s="1747" t="s">
        <v>2548</v>
      </c>
    </row>
    <row r="35" spans="1:6" ht="25.9" customHeight="1">
      <c r="A35" s="1755">
        <v>32</v>
      </c>
      <c r="B35" s="1756" t="s">
        <v>2515</v>
      </c>
      <c r="C35" s="1756" t="s">
        <v>2549</v>
      </c>
      <c r="D35" s="1757" t="str">
        <f t="shared" si="0"/>
        <v>Représentant:</v>
      </c>
      <c r="E35" s="1759" t="s">
        <v>1415</v>
      </c>
      <c r="F35" s="1747" t="s">
        <v>2634</v>
      </c>
    </row>
    <row r="36" spans="1:6" ht="25.9" customHeight="1">
      <c r="A36" s="1755">
        <v>33</v>
      </c>
      <c r="B36" s="1756" t="s">
        <v>2515</v>
      </c>
      <c r="C36" s="1756" t="s">
        <v>2550</v>
      </c>
      <c r="D36" s="1757" t="str">
        <f t="shared" ref="D36:D56" si="1">INDEX($E$4:$G$809,$A36,$A$1)</f>
        <v>Auteur du projet:</v>
      </c>
      <c r="E36" s="1759" t="s">
        <v>1416</v>
      </c>
      <c r="F36" s="1747" t="s">
        <v>2635</v>
      </c>
    </row>
    <row r="37" spans="1:6" ht="25.9" customHeight="1">
      <c r="A37" s="1755">
        <v>34</v>
      </c>
      <c r="B37" s="1756" t="s">
        <v>2515</v>
      </c>
      <c r="C37" s="1756" t="s">
        <v>2551</v>
      </c>
      <c r="D37" s="1757" t="str">
        <f t="shared" si="1"/>
        <v>Entreprise:</v>
      </c>
      <c r="E37" s="1759" t="s">
        <v>530</v>
      </c>
      <c r="F37" s="1747" t="s">
        <v>2526</v>
      </c>
    </row>
    <row r="38" spans="1:6" ht="25.9" customHeight="1">
      <c r="A38" s="1755">
        <v>35</v>
      </c>
      <c r="B38" s="1756" t="s">
        <v>2515</v>
      </c>
      <c r="C38" s="1756" t="s">
        <v>2552</v>
      </c>
      <c r="D38" s="1757" t="str">
        <f t="shared" si="1"/>
        <v>Collaborateur:</v>
      </c>
      <c r="E38" s="1759" t="s">
        <v>876</v>
      </c>
      <c r="F38" s="1747" t="s">
        <v>2636</v>
      </c>
    </row>
    <row r="39" spans="1:6" ht="25.9" customHeight="1">
      <c r="A39" s="1755">
        <v>36</v>
      </c>
      <c r="B39" s="1756" t="s">
        <v>2515</v>
      </c>
      <c r="C39" s="1756" t="s">
        <v>2553</v>
      </c>
      <c r="D39" s="1757" t="str">
        <f t="shared" si="1"/>
        <v>Justification:</v>
      </c>
      <c r="E39" s="1759" t="s">
        <v>1417</v>
      </c>
      <c r="F39" s="1747" t="s">
        <v>2640</v>
      </c>
    </row>
    <row r="40" spans="1:6" ht="25.9" customHeight="1">
      <c r="A40" s="1755">
        <v>37</v>
      </c>
      <c r="B40" s="1756" t="s">
        <v>2515</v>
      </c>
      <c r="C40" s="1756" t="s">
        <v>2555</v>
      </c>
      <c r="D40" s="1757" t="str">
        <f t="shared" si="1"/>
        <v>Dossier:</v>
      </c>
      <c r="E40" s="1759" t="s">
        <v>2554</v>
      </c>
      <c r="F40" s="1747" t="s">
        <v>2637</v>
      </c>
    </row>
    <row r="41" spans="1:6" ht="25.9" customHeight="1">
      <c r="A41" s="1755">
        <v>38</v>
      </c>
      <c r="B41" s="1756" t="s">
        <v>2483</v>
      </c>
      <c r="C41" s="1756" t="s">
        <v>2468</v>
      </c>
      <c r="D41" s="1757" t="str">
        <f t="shared" si="1"/>
        <v>Nature des travaux:</v>
      </c>
      <c r="E41" s="1759" t="s">
        <v>77</v>
      </c>
      <c r="F41" s="1747" t="s">
        <v>2641</v>
      </c>
    </row>
    <row r="42" spans="1:6" ht="25.9" customHeight="1">
      <c r="A42" s="1755">
        <v>39</v>
      </c>
      <c r="B42" s="1756" t="s">
        <v>2515</v>
      </c>
      <c r="C42" s="1756" t="s">
        <v>2556</v>
      </c>
      <c r="D42" s="1757" t="str">
        <f t="shared" si="1"/>
        <v>Nature des travaux:</v>
      </c>
      <c r="E42" s="1759" t="s">
        <v>2023</v>
      </c>
      <c r="F42" s="1747" t="s">
        <v>2641</v>
      </c>
    </row>
    <row r="43" spans="1:6" ht="25.9" customHeight="1">
      <c r="A43" s="1755">
        <v>40</v>
      </c>
      <c r="B43" s="1756" t="s">
        <v>2483</v>
      </c>
      <c r="C43" s="1756" t="s">
        <v>2473</v>
      </c>
      <c r="D43" s="1757" t="str">
        <f t="shared" si="1"/>
        <v>Justification globale</v>
      </c>
      <c r="E43" s="1759" t="s">
        <v>2557</v>
      </c>
      <c r="F43" s="1747" t="s">
        <v>2642</v>
      </c>
    </row>
    <row r="44" spans="1:6" ht="25.9" customHeight="1">
      <c r="A44" s="1755">
        <v>41</v>
      </c>
      <c r="B44" s="1756" t="s">
        <v>2483</v>
      </c>
      <c r="C44" s="1756" t="s">
        <v>2474</v>
      </c>
      <c r="D44" s="1757" t="str">
        <f t="shared" si="1"/>
        <v>Exigences d'après:</v>
      </c>
      <c r="E44" s="1759" t="s">
        <v>2558</v>
      </c>
      <c r="F44" s="1747" t="s">
        <v>2643</v>
      </c>
    </row>
    <row r="45" spans="1:6" ht="25.9" customHeight="1">
      <c r="A45" s="1755">
        <v>42</v>
      </c>
      <c r="B45" s="1756" t="s">
        <v>2483</v>
      </c>
      <c r="C45" s="1756" t="s">
        <v>2522</v>
      </c>
      <c r="D45" s="1757" t="str">
        <f t="shared" si="1"/>
        <v>imprimé le:</v>
      </c>
      <c r="E45" s="1759" t="s">
        <v>1967</v>
      </c>
      <c r="F45" s="1747" t="s">
        <v>2533</v>
      </c>
    </row>
    <row r="46" spans="1:6" ht="25.9" customHeight="1">
      <c r="A46" s="1755">
        <v>43</v>
      </c>
      <c r="B46" s="1756" t="s">
        <v>2483</v>
      </c>
      <c r="C46" s="1756" t="s">
        <v>2559</v>
      </c>
      <c r="D46" s="1757" t="str">
        <f t="shared" si="1"/>
        <v>pour</v>
      </c>
      <c r="E46" s="1759" t="s">
        <v>2560</v>
      </c>
      <c r="F46" s="1747" t="s">
        <v>2644</v>
      </c>
    </row>
    <row r="47" spans="1:6" ht="25.9" customHeight="1">
      <c r="A47" s="1755">
        <v>44</v>
      </c>
      <c r="B47" s="1756" t="s">
        <v>2483</v>
      </c>
      <c r="C47" s="1756" t="s">
        <v>2562</v>
      </c>
      <c r="D47" s="1757" t="str">
        <f t="shared" si="1"/>
        <v xml:space="preserve">  **** anonyme ****</v>
      </c>
      <c r="E47" s="1759" t="s">
        <v>2561</v>
      </c>
      <c r="F47" s="1780" t="s">
        <v>2645</v>
      </c>
    </row>
    <row r="48" spans="1:6" ht="25.9" customHeight="1">
      <c r="A48" s="1755">
        <v>45</v>
      </c>
      <c r="B48" s="1756" t="s">
        <v>2483</v>
      </c>
      <c r="C48" s="1756" t="s">
        <v>2563</v>
      </c>
      <c r="D48" s="1757" t="str">
        <f t="shared" si="1"/>
        <v>page 1 de 10</v>
      </c>
      <c r="E48" s="1759" t="s">
        <v>4076</v>
      </c>
      <c r="F48" s="1747" t="s">
        <v>4077</v>
      </c>
    </row>
    <row r="49" spans="1:6" ht="25.9" customHeight="1">
      <c r="A49" s="1755">
        <v>46</v>
      </c>
      <c r="B49" s="1756" t="s">
        <v>2483</v>
      </c>
      <c r="C49" s="1756" t="s">
        <v>2492</v>
      </c>
      <c r="D49" s="1757" t="str">
        <f t="shared" si="1"/>
        <v>SIA 380/1 (Edition 2016)</v>
      </c>
      <c r="E49" s="1759" t="s">
        <v>2565</v>
      </c>
      <c r="F49" s="1747" t="s">
        <v>2647</v>
      </c>
    </row>
    <row r="50" spans="1:6" ht="25.9" customHeight="1">
      <c r="A50" s="1755">
        <v>47</v>
      </c>
      <c r="B50" s="1756" t="s">
        <v>2483</v>
      </c>
      <c r="C50" s="1756" t="s">
        <v>2492</v>
      </c>
      <c r="D50" s="1757" t="str">
        <f t="shared" si="1"/>
        <v>SIA 380/1 (Edition 2009)</v>
      </c>
      <c r="E50" s="1759" t="s">
        <v>2566</v>
      </c>
      <c r="F50" s="1747" t="s">
        <v>2646</v>
      </c>
    </row>
    <row r="51" spans="1:6" ht="25.9" customHeight="1">
      <c r="A51" s="1755">
        <v>48</v>
      </c>
      <c r="B51" s="1756" t="s">
        <v>2483</v>
      </c>
      <c r="C51" s="1756" t="s">
        <v>2492</v>
      </c>
      <c r="D51" s="1757" t="str">
        <f t="shared" si="1"/>
        <v>Norme bernoise 2016</v>
      </c>
      <c r="E51" s="1759" t="s">
        <v>2417</v>
      </c>
      <c r="F51" s="1747" t="s">
        <v>2648</v>
      </c>
    </row>
    <row r="52" spans="1:6" ht="25.9" customHeight="1">
      <c r="A52" s="1755">
        <v>49</v>
      </c>
      <c r="B52" s="1756" t="s">
        <v>2515</v>
      </c>
      <c r="C52" s="1756" t="s">
        <v>2569</v>
      </c>
      <c r="D52" s="1757" t="str">
        <f t="shared" si="1"/>
        <v>Optimisation</v>
      </c>
      <c r="E52" s="1759" t="s">
        <v>1227</v>
      </c>
      <c r="F52" s="1747" t="s">
        <v>2649</v>
      </c>
    </row>
    <row r="53" spans="1:6" ht="25.9" customHeight="1">
      <c r="A53" s="1755">
        <v>50</v>
      </c>
      <c r="B53" s="1756" t="s">
        <v>2515</v>
      </c>
      <c r="C53" s="1756" t="s">
        <v>2570</v>
      </c>
      <c r="D53" s="1757" t="str">
        <f t="shared" si="1"/>
        <v>Comparaison</v>
      </c>
      <c r="E53" s="1759" t="s">
        <v>1228</v>
      </c>
      <c r="F53" s="1747" t="s">
        <v>2650</v>
      </c>
    </row>
    <row r="54" spans="1:6" ht="25.9" customHeight="1">
      <c r="A54" s="1755">
        <v>51</v>
      </c>
      <c r="B54" s="1756" t="s">
        <v>2515</v>
      </c>
      <c r="C54" s="1756" t="s">
        <v>2571</v>
      </c>
      <c r="D54" s="1757" t="str">
        <f t="shared" si="1"/>
        <v>Nouvelle construction</v>
      </c>
      <c r="E54" s="1759" t="s">
        <v>981</v>
      </c>
      <c r="F54" s="1747" t="s">
        <v>2455</v>
      </c>
    </row>
    <row r="55" spans="1:6" ht="25.9" customHeight="1">
      <c r="A55" s="1755">
        <v>52</v>
      </c>
      <c r="B55" s="1756" t="s">
        <v>2515</v>
      </c>
      <c r="C55" s="1756" t="s">
        <v>2572</v>
      </c>
      <c r="D55" s="1757" t="str">
        <f t="shared" si="1"/>
        <v>Extension</v>
      </c>
      <c r="E55" s="1759" t="s">
        <v>2345</v>
      </c>
      <c r="F55" s="1747" t="s">
        <v>2651</v>
      </c>
    </row>
    <row r="56" spans="1:6" ht="25.9" customHeight="1">
      <c r="A56" s="1755">
        <v>53</v>
      </c>
      <c r="B56" s="1756" t="s">
        <v>2515</v>
      </c>
      <c r="C56" s="1756" t="s">
        <v>2573</v>
      </c>
      <c r="D56" s="1757" t="str">
        <f t="shared" si="1"/>
        <v>Transformation</v>
      </c>
      <c r="E56" s="1759" t="s">
        <v>982</v>
      </c>
      <c r="F56" s="1747" t="s">
        <v>2652</v>
      </c>
    </row>
    <row r="57" spans="1:6" ht="25.9" customHeight="1">
      <c r="A57" s="1755">
        <v>54</v>
      </c>
      <c r="B57" s="1756" t="s">
        <v>2515</v>
      </c>
      <c r="C57" s="1756" t="s">
        <v>2574</v>
      </c>
      <c r="D57" s="1757" t="str">
        <f t="shared" ref="D57:D67" si="2">INDEX($E$4:$G$809,$A57,$A$1)</f>
        <v>Transformation</v>
      </c>
      <c r="E57" s="1759" t="s">
        <v>2346</v>
      </c>
      <c r="F57" s="1747" t="s">
        <v>2652</v>
      </c>
    </row>
    <row r="58" spans="1:6" ht="25.9" customHeight="1">
      <c r="A58" s="1755">
        <v>55</v>
      </c>
      <c r="B58" s="1756" t="s">
        <v>2515</v>
      </c>
      <c r="C58" s="1756" t="s">
        <v>2575</v>
      </c>
      <c r="D58" s="1757" t="str">
        <f t="shared" si="2"/>
        <v>Valeurs d'utilisation normale</v>
      </c>
      <c r="E58" s="1759" t="s">
        <v>2313</v>
      </c>
      <c r="F58" s="1747" t="s">
        <v>2653</v>
      </c>
    </row>
    <row r="59" spans="1:6" ht="25.9" customHeight="1">
      <c r="A59" s="1755">
        <v>56</v>
      </c>
      <c r="B59" s="1756" t="s">
        <v>2515</v>
      </c>
      <c r="C59" s="1756" t="s">
        <v>2576</v>
      </c>
      <c r="D59" s="1757" t="str">
        <f t="shared" si="2"/>
        <v>Catégorie d'ouvrage:</v>
      </c>
      <c r="E59" s="1759" t="s">
        <v>1673</v>
      </c>
      <c r="F59" s="1747" t="s">
        <v>2654</v>
      </c>
    </row>
    <row r="60" spans="1:6" ht="25.9" customHeight="1">
      <c r="A60" s="1755">
        <v>57</v>
      </c>
      <c r="B60" s="1756" t="s">
        <v>2515</v>
      </c>
      <c r="C60" s="1756" t="s">
        <v>2507</v>
      </c>
      <c r="D60" s="1757" t="str">
        <f t="shared" si="2"/>
        <v>Canton (justification):</v>
      </c>
      <c r="E60" s="1759" t="s">
        <v>652</v>
      </c>
      <c r="F60" s="1747" t="s">
        <v>2655</v>
      </c>
    </row>
    <row r="61" spans="1:6" ht="25.9" customHeight="1">
      <c r="A61" s="1755">
        <v>58</v>
      </c>
      <c r="B61" s="1756" t="s">
        <v>2515</v>
      </c>
      <c r="C61" s="1756" t="s">
        <v>2577</v>
      </c>
      <c r="D61" s="1757" t="str">
        <f t="shared" si="2"/>
        <v>Station météorologique:</v>
      </c>
      <c r="E61" s="1759" t="s">
        <v>1411</v>
      </c>
      <c r="F61" s="1747" t="s">
        <v>2656</v>
      </c>
    </row>
    <row r="62" spans="1:6" ht="25.9" customHeight="1">
      <c r="A62" s="1755">
        <v>59</v>
      </c>
      <c r="B62" s="1756" t="s">
        <v>2515</v>
      </c>
      <c r="C62" s="1756" t="s">
        <v>2578</v>
      </c>
      <c r="D62" s="1757" t="str">
        <f t="shared" si="2"/>
        <v>Fonction:</v>
      </c>
      <c r="E62" s="1759" t="s">
        <v>1681</v>
      </c>
      <c r="F62" s="1747" t="s">
        <v>2657</v>
      </c>
    </row>
    <row r="63" spans="1:6" ht="25.9" customHeight="1">
      <c r="A63" s="1755">
        <v>60</v>
      </c>
      <c r="B63" s="1756" t="s">
        <v>2515</v>
      </c>
      <c r="C63" s="1756" t="s">
        <v>2579</v>
      </c>
      <c r="D63" s="1757" t="str">
        <f t="shared" si="2"/>
        <v>Altitude:</v>
      </c>
      <c r="E63" s="1759" t="s">
        <v>2320</v>
      </c>
      <c r="F63" s="1747" t="s">
        <v>2658</v>
      </c>
    </row>
    <row r="64" spans="1:6" ht="25.9" customHeight="1">
      <c r="A64" s="1755">
        <v>61</v>
      </c>
      <c r="B64" s="1756" t="s">
        <v>2515</v>
      </c>
      <c r="C64" s="1756" t="s">
        <v>2581</v>
      </c>
      <c r="D64" s="1757" t="str">
        <f t="shared" si="2"/>
        <v>Employez les valeurs d'utilisation normale pour la justification!</v>
      </c>
      <c r="E64" s="1759" t="s">
        <v>2580</v>
      </c>
      <c r="F64" s="1747" t="s">
        <v>2659</v>
      </c>
    </row>
    <row r="65" spans="1:6" ht="25.9" customHeight="1">
      <c r="A65" s="1755">
        <v>62</v>
      </c>
      <c r="B65" s="1756" t="s">
        <v>2515</v>
      </c>
      <c r="C65" s="1756" t="s">
        <v>2582</v>
      </c>
      <c r="D65" s="1757" t="str">
        <f t="shared" si="2"/>
        <v>Valeurs d'utilisation</v>
      </c>
      <c r="E65" s="1759" t="s">
        <v>3990</v>
      </c>
      <c r="F65" s="1747" t="s">
        <v>2669</v>
      </c>
    </row>
    <row r="66" spans="1:6" ht="25.9" customHeight="1">
      <c r="A66" s="1755">
        <v>63</v>
      </c>
      <c r="B66" s="1756" t="s">
        <v>2515</v>
      </c>
      <c r="C66" s="1756" t="s">
        <v>2584</v>
      </c>
      <c r="D66" s="1757" t="str">
        <f t="shared" si="2"/>
        <v>Température ambiante + supplément de régulation</v>
      </c>
      <c r="E66" s="1759" t="s">
        <v>2585</v>
      </c>
      <c r="F66" s="1747" t="s">
        <v>2660</v>
      </c>
    </row>
    <row r="67" spans="1:6" ht="25.9" customHeight="1">
      <c r="A67" s="1755">
        <v>64</v>
      </c>
      <c r="B67" s="1756" t="s">
        <v>2515</v>
      </c>
      <c r="C67" s="1756" t="s">
        <v>2586</v>
      </c>
      <c r="D67" s="1757" t="str">
        <f t="shared" si="2"/>
        <v>Surface par personne</v>
      </c>
      <c r="E67" s="1759" t="s">
        <v>1419</v>
      </c>
      <c r="F67" s="1747" t="s">
        <v>2661</v>
      </c>
    </row>
    <row r="68" spans="1:6" ht="25.9" customHeight="1">
      <c r="A68" s="1755">
        <v>65</v>
      </c>
      <c r="B68" s="1756" t="s">
        <v>2515</v>
      </c>
      <c r="C68" s="1756" t="s">
        <v>2587</v>
      </c>
      <c r="D68" s="1757" t="str">
        <f t="shared" ref="D68:D131" si="3">INDEX($E$4:$G$809,$A68,$A$1)</f>
        <v>Chaleur moyenne dégagée par une personne</v>
      </c>
      <c r="E68" s="1759" t="s">
        <v>1420</v>
      </c>
      <c r="F68" s="1747" t="s">
        <v>2662</v>
      </c>
    </row>
    <row r="69" spans="1:6" ht="25.9" customHeight="1">
      <c r="A69" s="1755">
        <v>66</v>
      </c>
      <c r="B69" s="1756" t="s">
        <v>2515</v>
      </c>
      <c r="C69" s="1756" t="s">
        <v>2588</v>
      </c>
      <c r="D69" s="1757" t="str">
        <f t="shared" si="3"/>
        <v>Durée de présence des personnes</v>
      </c>
      <c r="E69" s="1759" t="s">
        <v>1019</v>
      </c>
      <c r="F69" s="1747" t="s">
        <v>2663</v>
      </c>
    </row>
    <row r="70" spans="1:6" ht="25.9" customHeight="1">
      <c r="A70" s="1755">
        <v>67</v>
      </c>
      <c r="B70" s="1756" t="s">
        <v>2515</v>
      </c>
      <c r="C70" s="1756" t="s">
        <v>2589</v>
      </c>
      <c r="D70" s="1757" t="str">
        <f t="shared" si="3"/>
        <v>Consommation d'électricité</v>
      </c>
      <c r="E70" s="1759" t="s">
        <v>1118</v>
      </c>
      <c r="F70" s="1747" t="s">
        <v>2664</v>
      </c>
    </row>
    <row r="71" spans="1:6" ht="25.9" customHeight="1">
      <c r="A71" s="1755">
        <v>68</v>
      </c>
      <c r="B71" s="1756" t="s">
        <v>2515</v>
      </c>
      <c r="C71" s="1756" t="s">
        <v>2590</v>
      </c>
      <c r="D71" s="1757" t="str">
        <f t="shared" si="3"/>
        <v>Facteur de réduction des apports de chaleur des installations électr.</v>
      </c>
      <c r="E71" s="1759" t="s">
        <v>1122</v>
      </c>
      <c r="F71" s="1747" t="s">
        <v>2665</v>
      </c>
    </row>
    <row r="72" spans="1:6" ht="25.9" customHeight="1">
      <c r="A72" s="1755">
        <v>69</v>
      </c>
      <c r="B72" s="1756" t="s">
        <v>2515</v>
      </c>
      <c r="C72" s="1756" t="s">
        <v>2591</v>
      </c>
      <c r="D72" s="1757" t="str">
        <f t="shared" si="3"/>
        <v>Débit d'air neuf thermiquement significatif</v>
      </c>
      <c r="E72" s="1759" t="s">
        <v>2625</v>
      </c>
      <c r="F72" s="1747" t="s">
        <v>2700</v>
      </c>
    </row>
    <row r="73" spans="1:6" ht="25.9" customHeight="1">
      <c r="A73" s="1755">
        <v>70</v>
      </c>
      <c r="B73" s="1756" t="s">
        <v>2515</v>
      </c>
      <c r="C73" s="1756" t="s">
        <v>2490</v>
      </c>
      <c r="D73" s="1757" t="str">
        <f t="shared" si="3"/>
        <v>Besoins de chaleur pour l'eau chaude san. par année et par SRE</v>
      </c>
      <c r="E73" s="1759" t="s">
        <v>2338</v>
      </c>
      <c r="F73" s="1747" t="s">
        <v>2666</v>
      </c>
    </row>
    <row r="74" spans="1:6" ht="25.9" customHeight="1">
      <c r="A74" s="1755">
        <v>71</v>
      </c>
      <c r="B74" s="1756" t="s">
        <v>2515</v>
      </c>
      <c r="C74" s="1756" t="s">
        <v>2477</v>
      </c>
      <c r="D74" s="1757" t="str">
        <f t="shared" si="3"/>
        <v>Capacité thermique / SRE:</v>
      </c>
      <c r="E74" s="1759" t="s">
        <v>2592</v>
      </c>
      <c r="F74" s="1747" t="s">
        <v>2667</v>
      </c>
    </row>
    <row r="75" spans="1:6" ht="25.9" customHeight="1">
      <c r="A75" s="1755">
        <v>72</v>
      </c>
      <c r="B75" s="1756" t="s">
        <v>2515</v>
      </c>
      <c r="C75" s="1756" t="s">
        <v>2593</v>
      </c>
      <c r="D75" s="1757" t="str">
        <f t="shared" si="3"/>
        <v>Supplément de régulation</v>
      </c>
      <c r="E75" s="1759" t="s">
        <v>964</v>
      </c>
      <c r="F75" s="1747" t="s">
        <v>2668</v>
      </c>
    </row>
    <row r="76" spans="1:6" ht="25.9" customHeight="1">
      <c r="A76" s="1755">
        <v>73</v>
      </c>
      <c r="B76" s="1756" t="s">
        <v>2515</v>
      </c>
      <c r="C76" s="1756" t="s">
        <v>2594</v>
      </c>
      <c r="D76" s="1757" t="str">
        <f t="shared" si="3"/>
        <v>Systèmes de chauffage intégrés aux éléments d'enveloppe</v>
      </c>
      <c r="E76" s="1759" t="s">
        <v>2343</v>
      </c>
      <c r="F76" s="1747" t="s">
        <v>2670</v>
      </c>
    </row>
    <row r="77" spans="1:6" ht="25.9" customHeight="1">
      <c r="A77" s="1755">
        <v>74</v>
      </c>
      <c r="B77" s="1756" t="s">
        <v>2515</v>
      </c>
      <c r="C77" s="1756" t="s">
        <v>2595</v>
      </c>
      <c r="D77" s="1757" t="str">
        <f t="shared" si="3"/>
        <v>Température de départ maximale</v>
      </c>
      <c r="E77" s="1759" t="s">
        <v>1127</v>
      </c>
      <c r="F77" s="1747" t="s">
        <v>2671</v>
      </c>
    </row>
    <row r="78" spans="1:6" ht="25.9" customHeight="1">
      <c r="A78" s="1755">
        <v>75</v>
      </c>
      <c r="B78" s="1756" t="s">
        <v>2515</v>
      </c>
      <c r="C78" s="1756" t="s">
        <v>2596</v>
      </c>
      <c r="D78" s="1757" t="str">
        <f t="shared" si="3"/>
        <v>existant</v>
      </c>
      <c r="E78" s="1759" t="s">
        <v>2344</v>
      </c>
      <c r="F78" s="1747" t="s">
        <v>2673</v>
      </c>
    </row>
    <row r="79" spans="1:6" ht="25.9" customHeight="1">
      <c r="A79" s="1755">
        <v>76</v>
      </c>
      <c r="B79" s="1756" t="s">
        <v>2515</v>
      </c>
      <c r="C79" s="1756" t="s">
        <v>2598</v>
      </c>
      <c r="D79" s="1757" t="str">
        <f t="shared" si="3"/>
        <v>Majoration de la température</v>
      </c>
      <c r="E79" s="1759" t="s">
        <v>140</v>
      </c>
      <c r="F79" s="1747" t="s">
        <v>2672</v>
      </c>
    </row>
    <row r="80" spans="1:6" ht="25.9" customHeight="1">
      <c r="A80" s="1755">
        <v>77</v>
      </c>
      <c r="B80" s="1756" t="s">
        <v>2515</v>
      </c>
      <c r="C80" s="1756" t="s">
        <v>2597</v>
      </c>
      <c r="D80" s="1757" t="str">
        <f t="shared" si="3"/>
        <v>Corps de chauffe placés devant des éléments translucides</v>
      </c>
      <c r="E80" s="1759" t="s">
        <v>1968</v>
      </c>
      <c r="F80" s="1747" t="s">
        <v>2674</v>
      </c>
    </row>
    <row r="81" spans="1:6" ht="25.9" customHeight="1">
      <c r="A81" s="1755">
        <v>78</v>
      </c>
      <c r="B81" s="1756" t="s">
        <v>2515</v>
      </c>
      <c r="C81" s="1756" t="s">
        <v>2496</v>
      </c>
      <c r="D81" s="1757" t="str">
        <f t="shared" si="3"/>
        <v>Température de départ maximale</v>
      </c>
      <c r="E81" s="1759" t="s">
        <v>1127</v>
      </c>
      <c r="F81" s="1747" t="s">
        <v>2671</v>
      </c>
    </row>
    <row r="82" spans="1:6" ht="25.9" customHeight="1">
      <c r="A82" s="1755">
        <v>79</v>
      </c>
      <c r="B82" s="1756" t="s">
        <v>2515</v>
      </c>
      <c r="C82" s="1756" t="s">
        <v>2600</v>
      </c>
      <c r="D82" s="1757" t="str">
        <f t="shared" si="3"/>
        <v>Surface de référence énergétique SRE  ( AE ):</v>
      </c>
      <c r="E82" s="1759" t="s">
        <v>2599</v>
      </c>
      <c r="F82" s="1747" t="s">
        <v>2675</v>
      </c>
    </row>
    <row r="83" spans="1:6" ht="25.9" customHeight="1">
      <c r="A83" s="1755">
        <v>80</v>
      </c>
      <c r="B83" s="1756" t="s">
        <v>2515</v>
      </c>
      <c r="C83" s="1756" t="s">
        <v>2499</v>
      </c>
      <c r="D83" s="1757" t="str">
        <f t="shared" si="3"/>
        <v>Total SRE (AE):</v>
      </c>
      <c r="E83" s="1759" t="s">
        <v>2601</v>
      </c>
      <c r="F83" s="1747" t="s">
        <v>2676</v>
      </c>
    </row>
    <row r="84" spans="1:6" ht="25.9" customHeight="1">
      <c r="A84" s="1755">
        <v>81</v>
      </c>
      <c r="B84" s="1756" t="s">
        <v>2515</v>
      </c>
      <c r="C84" s="1756" t="s">
        <v>2500</v>
      </c>
      <c r="D84" s="1757" t="str">
        <f t="shared" si="3"/>
        <v>SRE avec chauffage actif</v>
      </c>
      <c r="E84" s="1759" t="s">
        <v>669</v>
      </c>
      <c r="F84" s="1747" t="s">
        <v>2725</v>
      </c>
    </row>
    <row r="85" spans="1:6" ht="25.9" customHeight="1">
      <c r="A85" s="1755">
        <v>82</v>
      </c>
      <c r="B85" s="1756" t="s">
        <v>2515</v>
      </c>
      <c r="C85" s="1756" t="s">
        <v>2511</v>
      </c>
      <c r="D85" s="1757" t="str">
        <f t="shared" si="3"/>
        <v>Description:</v>
      </c>
      <c r="E85" s="1759" t="s">
        <v>2348</v>
      </c>
      <c r="F85" s="1747" t="s">
        <v>2677</v>
      </c>
    </row>
    <row r="86" spans="1:6" ht="25.9" customHeight="1">
      <c r="A86" s="1755">
        <v>83</v>
      </c>
      <c r="B86" s="1756" t="s">
        <v>2515</v>
      </c>
      <c r="C86" s="1756" t="s">
        <v>2602</v>
      </c>
      <c r="D86" s="1757" t="str">
        <f t="shared" si="3"/>
        <v>SRE</v>
      </c>
      <c r="E86" s="1759" t="s">
        <v>1189</v>
      </c>
      <c r="F86" s="1747" t="s">
        <v>2638</v>
      </c>
    </row>
    <row r="87" spans="1:6" ht="25.9" customHeight="1">
      <c r="A87" s="1755">
        <v>84</v>
      </c>
      <c r="B87" s="1756" t="s">
        <v>2515</v>
      </c>
      <c r="C87" s="1756" t="s">
        <v>2604</v>
      </c>
      <c r="D87" s="1757" t="str">
        <f t="shared" si="3"/>
        <v>Hauteur
brute [m]</v>
      </c>
      <c r="E87" s="1759" t="s">
        <v>2603</v>
      </c>
      <c r="F87" s="1747" t="s">
        <v>2724</v>
      </c>
    </row>
    <row r="88" spans="1:6" ht="25.9" customHeight="1">
      <c r="A88" s="1755">
        <v>85</v>
      </c>
      <c r="B88" s="1756" t="s">
        <v>2515</v>
      </c>
      <c r="C88" s="1756" t="s">
        <v>2605</v>
      </c>
      <c r="D88" s="1757" t="str">
        <f t="shared" si="3"/>
        <v>Volume:</v>
      </c>
      <c r="E88" s="1759" t="s">
        <v>2028</v>
      </c>
      <c r="F88" s="1747" t="s">
        <v>2680</v>
      </c>
    </row>
    <row r="89" spans="1:6" ht="25.9" customHeight="1">
      <c r="A89" s="1755">
        <v>86</v>
      </c>
      <c r="B89" s="1756" t="s">
        <v>2515</v>
      </c>
      <c r="C89" s="1756" t="s">
        <v>2606</v>
      </c>
      <c r="D89" s="1757" t="str">
        <f t="shared" si="3"/>
        <v>brut</v>
      </c>
      <c r="E89" s="1759" t="s">
        <v>2029</v>
      </c>
      <c r="F89" s="1747" t="s">
        <v>2678</v>
      </c>
    </row>
    <row r="90" spans="1:6" ht="25.9" customHeight="1">
      <c r="A90" s="1755">
        <v>87</v>
      </c>
      <c r="B90" s="1756" t="s">
        <v>2515</v>
      </c>
      <c r="C90" s="1756" t="s">
        <v>2607</v>
      </c>
      <c r="D90" s="1757" t="str">
        <f t="shared" si="3"/>
        <v>net</v>
      </c>
      <c r="E90" s="1759" t="s">
        <v>2030</v>
      </c>
      <c r="F90" s="1747" t="s">
        <v>2679</v>
      </c>
    </row>
    <row r="91" spans="1:6" ht="25.9" customHeight="1">
      <c r="A91" s="1755">
        <v>88</v>
      </c>
      <c r="B91" s="1756" t="s">
        <v>2515</v>
      </c>
      <c r="C91" s="1756" t="s">
        <v>2608</v>
      </c>
      <c r="D91" s="1757" t="str">
        <f t="shared" si="3"/>
        <v>Ponts thermiques:</v>
      </c>
      <c r="E91" s="1759" t="s">
        <v>1840</v>
      </c>
      <c r="F91" s="1747" t="s">
        <v>2681</v>
      </c>
    </row>
    <row r="92" spans="1:6" ht="25.9" customHeight="1">
      <c r="A92" s="1755">
        <v>89</v>
      </c>
      <c r="B92" s="1756" t="s">
        <v>2515</v>
      </c>
      <c r="C92" s="1756" t="s">
        <v>2609</v>
      </c>
      <c r="D92" s="1757" t="str">
        <f t="shared" si="3"/>
        <v>No. du catalogue</v>
      </c>
      <c r="E92" s="1759" t="s">
        <v>2371</v>
      </c>
      <c r="F92" s="1747" t="s">
        <v>2682</v>
      </c>
    </row>
    <row r="93" spans="1:6" ht="25.9" customHeight="1">
      <c r="A93" s="1755">
        <v>90</v>
      </c>
      <c r="B93" s="1756" t="s">
        <v>2515</v>
      </c>
      <c r="C93" s="1756" t="s">
        <v>2611</v>
      </c>
      <c r="D93" s="1757" t="str">
        <f t="shared" si="3"/>
        <v>Longeur l</v>
      </c>
      <c r="E93" s="1759" t="s">
        <v>2610</v>
      </c>
      <c r="F93" s="1747" t="s">
        <v>2683</v>
      </c>
    </row>
    <row r="94" spans="1:6" ht="25.9" customHeight="1">
      <c r="A94" s="1755">
        <v>91</v>
      </c>
      <c r="B94" s="1756" t="s">
        <v>2515</v>
      </c>
      <c r="C94" s="1756" t="s">
        <v>2614</v>
      </c>
      <c r="D94" s="1757" t="str">
        <f t="shared" si="3"/>
        <v>Valeur</v>
      </c>
      <c r="E94" s="1759" t="s">
        <v>2613</v>
      </c>
      <c r="F94" s="1747" t="s">
        <v>2684</v>
      </c>
    </row>
    <row r="95" spans="1:6" ht="25.9" customHeight="1">
      <c r="A95" s="1755">
        <v>92</v>
      </c>
      <c r="B95" s="1756" t="s">
        <v>2515</v>
      </c>
      <c r="C95" s="1756" t="s">
        <v>2615</v>
      </c>
      <c r="D95" s="1757" t="str">
        <f t="shared" si="3"/>
        <v>Toiture / façade:</v>
      </c>
      <c r="E95" s="1759" t="s">
        <v>2011</v>
      </c>
      <c r="F95" s="1747" t="s">
        <v>2690</v>
      </c>
    </row>
    <row r="96" spans="1:6" ht="25.9" customHeight="1">
      <c r="A96" s="1755">
        <v>93</v>
      </c>
      <c r="B96" s="1756" t="s">
        <v>2515</v>
      </c>
      <c r="C96" s="1756" t="s">
        <v>2616</v>
      </c>
      <c r="D96" s="1757" t="str">
        <f t="shared" si="3"/>
        <v>Pied de façade:</v>
      </c>
      <c r="E96" s="1759" t="s">
        <v>2012</v>
      </c>
      <c r="F96" s="1747" t="s">
        <v>2685</v>
      </c>
    </row>
    <row r="97" spans="1:6" ht="25.9" customHeight="1">
      <c r="A97" s="1755">
        <v>94</v>
      </c>
      <c r="B97" s="1756" t="s">
        <v>2515</v>
      </c>
      <c r="C97" s="1756" t="s">
        <v>2617</v>
      </c>
      <c r="D97" s="1757" t="str">
        <f t="shared" si="3"/>
        <v>Dalle de balcon:</v>
      </c>
      <c r="E97" s="1759" t="s">
        <v>1772</v>
      </c>
      <c r="F97" s="1747" t="s">
        <v>2689</v>
      </c>
    </row>
    <row r="98" spans="1:6" ht="25.9" customHeight="1">
      <c r="A98" s="1755">
        <v>95</v>
      </c>
      <c r="B98" s="1756" t="s">
        <v>2515</v>
      </c>
      <c r="C98" s="1756" t="s">
        <v>2618</v>
      </c>
      <c r="D98" s="1757" t="str">
        <f t="shared" si="3"/>
        <v>Appui fenêtre / mur:</v>
      </c>
      <c r="E98" s="1759" t="s">
        <v>2013</v>
      </c>
      <c r="F98" s="1747" t="s">
        <v>2686</v>
      </c>
    </row>
    <row r="99" spans="1:6" ht="25.9" customHeight="1">
      <c r="A99" s="1755">
        <v>96</v>
      </c>
      <c r="B99" s="1756" t="s">
        <v>2515</v>
      </c>
      <c r="C99" s="1756" t="s">
        <v>2619</v>
      </c>
      <c r="D99" s="1757" t="str">
        <f t="shared" si="3"/>
        <v>Sol / mur de cave:</v>
      </c>
      <c r="E99" s="1759" t="s">
        <v>2014</v>
      </c>
      <c r="F99" s="1747" t="s">
        <v>2687</v>
      </c>
    </row>
    <row r="100" spans="1:6" ht="25.9" customHeight="1">
      <c r="A100" s="1755">
        <v>97</v>
      </c>
      <c r="B100" s="1756" t="s">
        <v>2515</v>
      </c>
      <c r="C100" s="1756" t="s">
        <v>2620</v>
      </c>
      <c r="D100" s="1757" t="str">
        <f t="shared" si="3"/>
        <v>caisson de volet roulant:</v>
      </c>
      <c r="E100" s="1759" t="s">
        <v>872</v>
      </c>
      <c r="F100" s="1747" t="s">
        <v>2691</v>
      </c>
    </row>
    <row r="101" spans="1:6" ht="25.9" customHeight="1">
      <c r="A101" s="1755">
        <v>98</v>
      </c>
      <c r="B101" s="1756" t="s">
        <v>2515</v>
      </c>
      <c r="C101" s="1756" t="s">
        <v>2621</v>
      </c>
      <c r="D101" s="1757" t="str">
        <f t="shared" si="3"/>
        <v>Piliers, supports:</v>
      </c>
      <c r="E101" s="1759" t="s">
        <v>1599</v>
      </c>
      <c r="F101" s="1747" t="s">
        <v>2688</v>
      </c>
    </row>
    <row r="102" spans="1:6" ht="25.9" customHeight="1">
      <c r="A102" s="1755">
        <v>99</v>
      </c>
      <c r="B102" s="1756" t="s">
        <v>2515</v>
      </c>
      <c r="C102" s="1756" t="s">
        <v>2623</v>
      </c>
      <c r="D102" s="1757" t="str">
        <f t="shared" si="3"/>
        <v>**  Longeur des appuis fenêtre / mur: 3m/m2</v>
      </c>
      <c r="E102" s="1759" t="s">
        <v>2622</v>
      </c>
      <c r="F102" s="1747" t="s">
        <v>2692</v>
      </c>
    </row>
    <row r="103" spans="1:6" ht="25.9" customHeight="1">
      <c r="A103" s="1755">
        <v>100</v>
      </c>
      <c r="B103" s="1756" t="s">
        <v>2626</v>
      </c>
      <c r="C103" s="1756" t="s">
        <v>2498</v>
      </c>
      <c r="D103" s="1757" t="str">
        <f t="shared" si="3"/>
        <v xml:space="preserve">construction massive </v>
      </c>
      <c r="E103" s="1759" t="s">
        <v>2294</v>
      </c>
      <c r="F103" s="1747" t="s">
        <v>2693</v>
      </c>
    </row>
    <row r="104" spans="1:6" ht="25.9" customHeight="1">
      <c r="A104" s="1755">
        <v>101</v>
      </c>
      <c r="B104" s="1756" t="s">
        <v>2626</v>
      </c>
      <c r="C104" s="1756" t="s">
        <v>2510</v>
      </c>
      <c r="D104" s="1757" t="str">
        <f t="shared" si="3"/>
        <v xml:space="preserve">construction moyenne </v>
      </c>
      <c r="E104" s="1759" t="s">
        <v>2295</v>
      </c>
      <c r="F104" s="1747" t="s">
        <v>2694</v>
      </c>
    </row>
    <row r="105" spans="1:6" ht="25.9" customHeight="1">
      <c r="A105" s="1755">
        <v>102</v>
      </c>
      <c r="B105" s="1756" t="s">
        <v>2626</v>
      </c>
      <c r="C105" s="1756" t="s">
        <v>2627</v>
      </c>
      <c r="D105" s="1757" t="str">
        <f t="shared" si="3"/>
        <v>construction légère</v>
      </c>
      <c r="E105" s="1759" t="s">
        <v>1151</v>
      </c>
      <c r="F105" s="1747" t="s">
        <v>2695</v>
      </c>
    </row>
    <row r="106" spans="1:6" ht="25.9" customHeight="1">
      <c r="A106" s="1755">
        <v>103</v>
      </c>
      <c r="B106" s="1756" t="s">
        <v>2626</v>
      </c>
      <c r="C106" s="1756" t="s">
        <v>2628</v>
      </c>
      <c r="D106" s="1757" t="str">
        <f t="shared" si="3"/>
        <v>construction très légère: ossature bois</v>
      </c>
      <c r="E106" s="1759" t="s">
        <v>1150</v>
      </c>
      <c r="F106" s="1747" t="s">
        <v>2696</v>
      </c>
    </row>
    <row r="107" spans="1:6" ht="25.9" customHeight="1">
      <c r="A107" s="1755">
        <v>104</v>
      </c>
      <c r="B107" s="1756" t="s">
        <v>2626</v>
      </c>
      <c r="C107" s="1756" t="s">
        <v>2629</v>
      </c>
      <c r="D107" s="1757" t="str">
        <f t="shared" si="3"/>
        <v>régulation par pièce</v>
      </c>
      <c r="E107" s="1759" t="s">
        <v>213</v>
      </c>
      <c r="F107" s="1747" t="s">
        <v>2697</v>
      </c>
    </row>
    <row r="108" spans="1:6" ht="25.9" customHeight="1">
      <c r="A108" s="1755">
        <v>105</v>
      </c>
      <c r="B108" s="1756" t="s">
        <v>2626</v>
      </c>
      <c r="C108" s="1756" t="s">
        <v>2631</v>
      </c>
      <c r="D108" s="1757" t="str">
        <f t="shared" si="3"/>
        <v>régulation à partir d' une pièce de référence</v>
      </c>
      <c r="E108" s="1759" t="s">
        <v>693</v>
      </c>
      <c r="F108" s="1747" t="s">
        <v>2698</v>
      </c>
    </row>
    <row r="109" spans="1:6" ht="25.9" customHeight="1">
      <c r="A109" s="1755">
        <v>106</v>
      </c>
      <c r="B109" s="1756" t="s">
        <v>2626</v>
      </c>
      <c r="C109" s="1756" t="s">
        <v>2630</v>
      </c>
      <c r="D109" s="1757" t="str">
        <f t="shared" si="3"/>
        <v>commande par la température extérieure</v>
      </c>
      <c r="E109" s="1759" t="s">
        <v>1186</v>
      </c>
      <c r="F109" s="1747" t="s">
        <v>2699</v>
      </c>
    </row>
    <row r="110" spans="1:6" ht="25.9" customHeight="1">
      <c r="A110" s="1755">
        <v>107</v>
      </c>
      <c r="B110" s="1756" t="s">
        <v>2626</v>
      </c>
      <c r="C110" s="1756" t="s">
        <v>2714</v>
      </c>
      <c r="D110" s="1757" t="str">
        <f t="shared" si="3"/>
        <v>I: habitat collectif</v>
      </c>
      <c r="E110" s="1759" t="s">
        <v>1889</v>
      </c>
      <c r="F110" s="1747" t="s">
        <v>2702</v>
      </c>
    </row>
    <row r="111" spans="1:6" ht="25.9" customHeight="1">
      <c r="A111" s="1755">
        <v>108</v>
      </c>
      <c r="B111" s="1756" t="s">
        <v>2626</v>
      </c>
      <c r="C111" s="1756" t="s">
        <v>2715</v>
      </c>
      <c r="D111" s="1757" t="str">
        <f t="shared" si="3"/>
        <v>II: habitat individuel</v>
      </c>
      <c r="E111" s="1759" t="s">
        <v>1890</v>
      </c>
      <c r="F111" s="1747" t="s">
        <v>2703</v>
      </c>
    </row>
    <row r="112" spans="1:6" ht="25.9" customHeight="1">
      <c r="A112" s="1755">
        <v>109</v>
      </c>
      <c r="B112" s="1756" t="s">
        <v>2626</v>
      </c>
      <c r="C112" s="1756" t="s">
        <v>2556</v>
      </c>
      <c r="D112" s="1757" t="str">
        <f t="shared" si="3"/>
        <v>III: administration</v>
      </c>
      <c r="E112" s="1759" t="s">
        <v>516</v>
      </c>
      <c r="F112" s="1747" t="s">
        <v>2704</v>
      </c>
    </row>
    <row r="113" spans="1:6" ht="25.9" customHeight="1">
      <c r="A113" s="1755">
        <v>110</v>
      </c>
      <c r="B113" s="1756" t="s">
        <v>2626</v>
      </c>
      <c r="C113" s="1756" t="s">
        <v>2716</v>
      </c>
      <c r="D113" s="1757" t="str">
        <f t="shared" si="3"/>
        <v>IV: écoles</v>
      </c>
      <c r="E113" s="1759" t="s">
        <v>1892</v>
      </c>
      <c r="F113" s="1747" t="s">
        <v>2705</v>
      </c>
    </row>
    <row r="114" spans="1:6" ht="25.9" customHeight="1">
      <c r="A114" s="1755">
        <v>111</v>
      </c>
      <c r="B114" s="1756" t="s">
        <v>2626</v>
      </c>
      <c r="C114" s="1756" t="s">
        <v>2507</v>
      </c>
      <c r="D114" s="1757" t="str">
        <f t="shared" si="3"/>
        <v>V: commerce</v>
      </c>
      <c r="E114" s="1759" t="s">
        <v>1891</v>
      </c>
      <c r="F114" s="1747" t="s">
        <v>2706</v>
      </c>
    </row>
    <row r="115" spans="1:6" ht="25.9" customHeight="1">
      <c r="A115" s="1755">
        <v>112</v>
      </c>
      <c r="B115" s="1756" t="s">
        <v>2626</v>
      </c>
      <c r="C115" s="1756" t="s">
        <v>2717</v>
      </c>
      <c r="D115" s="1757" t="str">
        <f t="shared" si="3"/>
        <v>VI: restauration</v>
      </c>
      <c r="E115" s="1759" t="s">
        <v>1893</v>
      </c>
      <c r="F115" s="1747" t="s">
        <v>2707</v>
      </c>
    </row>
    <row r="116" spans="1:6" ht="25.9" customHeight="1">
      <c r="A116" s="1755">
        <v>113</v>
      </c>
      <c r="B116" s="1756" t="s">
        <v>2626</v>
      </c>
      <c r="C116" s="1756" t="s">
        <v>2578</v>
      </c>
      <c r="D116" s="1757" t="str">
        <f t="shared" si="3"/>
        <v>VII: lieux de rassemblement</v>
      </c>
      <c r="E116" s="1759" t="s">
        <v>517</v>
      </c>
      <c r="F116" s="1747" t="s">
        <v>2708</v>
      </c>
    </row>
    <row r="117" spans="1:6" ht="25.9" customHeight="1">
      <c r="A117" s="1755">
        <v>114</v>
      </c>
      <c r="B117" s="1756" t="s">
        <v>2626</v>
      </c>
      <c r="C117" s="1756" t="s">
        <v>2718</v>
      </c>
      <c r="D117" s="1757" t="str">
        <f t="shared" si="3"/>
        <v>VIII: hôpitaux</v>
      </c>
      <c r="E117" s="1759" t="s">
        <v>518</v>
      </c>
      <c r="F117" s="1747" t="s">
        <v>2709</v>
      </c>
    </row>
    <row r="118" spans="1:6" ht="25.9" customHeight="1">
      <c r="A118" s="1755">
        <v>115</v>
      </c>
      <c r="B118" s="1756" t="s">
        <v>2626</v>
      </c>
      <c r="C118" s="1756" t="s">
        <v>2582</v>
      </c>
      <c r="D118" s="1757" t="str">
        <f t="shared" si="3"/>
        <v>IX: industrie</v>
      </c>
      <c r="E118" s="1759" t="s">
        <v>1898</v>
      </c>
      <c r="F118" s="1747" t="s">
        <v>2710</v>
      </c>
    </row>
    <row r="119" spans="1:6" ht="25.9" customHeight="1">
      <c r="A119" s="1755">
        <v>116</v>
      </c>
      <c r="B119" s="1756" t="s">
        <v>2626</v>
      </c>
      <c r="C119" s="1756" t="s">
        <v>2719</v>
      </c>
      <c r="D119" s="1757" t="str">
        <f t="shared" si="3"/>
        <v>X: dépôts</v>
      </c>
      <c r="E119" s="1759" t="s">
        <v>1899</v>
      </c>
      <c r="F119" s="1747" t="s">
        <v>2711</v>
      </c>
    </row>
    <row r="120" spans="1:6" ht="25.9" customHeight="1">
      <c r="A120" s="1755">
        <v>117</v>
      </c>
      <c r="B120" s="1756" t="s">
        <v>2626</v>
      </c>
      <c r="C120" s="1756" t="s">
        <v>2720</v>
      </c>
      <c r="D120" s="1757" t="str">
        <f t="shared" si="3"/>
        <v>XI: installations sportives</v>
      </c>
      <c r="E120" s="1759" t="s">
        <v>1900</v>
      </c>
      <c r="F120" s="1747" t="s">
        <v>2712</v>
      </c>
    </row>
    <row r="121" spans="1:6" ht="25.9" customHeight="1">
      <c r="A121" s="1755">
        <v>118</v>
      </c>
      <c r="B121" s="1756" t="s">
        <v>2626</v>
      </c>
      <c r="C121" s="1756" t="s">
        <v>2721</v>
      </c>
      <c r="D121" s="1757" t="str">
        <f t="shared" si="3"/>
        <v>XII: piscines couvertes</v>
      </c>
      <c r="E121" s="1759" t="s">
        <v>1901</v>
      </c>
      <c r="F121" s="1747" t="s">
        <v>2713</v>
      </c>
    </row>
    <row r="122" spans="1:6" ht="25.9" customHeight="1">
      <c r="A122" s="1755">
        <v>119</v>
      </c>
      <c r="B122" s="1756" t="s">
        <v>2726</v>
      </c>
      <c r="C122" s="1756" t="s">
        <v>2727</v>
      </c>
      <c r="D122" s="1757" t="str">
        <f t="shared" si="3"/>
        <v>page 4 de 10</v>
      </c>
      <c r="E122" s="1759" t="s">
        <v>4070</v>
      </c>
      <c r="F122" s="1747" t="s">
        <v>4071</v>
      </c>
    </row>
    <row r="123" spans="1:6" ht="25.9" customHeight="1">
      <c r="A123" s="1755">
        <v>120</v>
      </c>
      <c r="B123" s="1756" t="s">
        <v>2726</v>
      </c>
      <c r="C123" s="1756" t="s">
        <v>2522</v>
      </c>
      <c r="D123" s="1757" t="str">
        <f t="shared" si="3"/>
        <v>Surfaces et coefficients de transmission thermique (éléments d'enveloppe)</v>
      </c>
      <c r="E123" s="1759" t="s">
        <v>2318</v>
      </c>
      <c r="F123" s="1747" t="s">
        <v>2728</v>
      </c>
    </row>
    <row r="124" spans="1:6" ht="25.9" customHeight="1">
      <c r="A124" s="1755">
        <v>121</v>
      </c>
      <c r="B124" s="1756" t="s">
        <v>2726</v>
      </c>
      <c r="C124" s="1756" t="s">
        <v>2729</v>
      </c>
      <c r="D124" s="1757" t="str">
        <f t="shared" si="3"/>
        <v>Bâtiment tourné ?</v>
      </c>
      <c r="E124" s="1759" t="s">
        <v>4020</v>
      </c>
      <c r="F124" s="1747" t="s">
        <v>4021</v>
      </c>
    </row>
    <row r="125" spans="1:6" ht="25.9" customHeight="1">
      <c r="A125" s="1755">
        <v>122</v>
      </c>
      <c r="B125" s="1756" t="s">
        <v>2726</v>
      </c>
      <c r="C125" s="1756" t="s">
        <v>2731</v>
      </c>
      <c r="D125" s="1757" t="str">
        <f t="shared" si="3"/>
        <v>(Oui / Non)</v>
      </c>
      <c r="E125" s="1759" t="s">
        <v>1849</v>
      </c>
      <c r="F125" s="1747" t="s">
        <v>2730</v>
      </c>
    </row>
    <row r="126" spans="1:6" ht="25.9" customHeight="1">
      <c r="A126" s="1755">
        <v>123</v>
      </c>
      <c r="B126" s="1756" t="s">
        <v>2726</v>
      </c>
      <c r="C126" s="1756" t="s">
        <v>2734</v>
      </c>
      <c r="D126" s="1757" t="str">
        <f t="shared" si="3"/>
        <v>Oui</v>
      </c>
      <c r="E126" s="1759" t="s">
        <v>1240</v>
      </c>
      <c r="F126" s="1747" t="s">
        <v>2732</v>
      </c>
    </row>
    <row r="127" spans="1:6" ht="25.9" customHeight="1">
      <c r="A127" s="1755">
        <v>124</v>
      </c>
      <c r="B127" s="1756" t="s">
        <v>2726</v>
      </c>
      <c r="C127" s="1756" t="s">
        <v>2735</v>
      </c>
      <c r="D127" s="1757" t="str">
        <f t="shared" si="3"/>
        <v>oui</v>
      </c>
      <c r="E127" s="1759" t="s">
        <v>522</v>
      </c>
      <c r="F127" s="1747" t="s">
        <v>2448</v>
      </c>
    </row>
    <row r="128" spans="1:6" ht="25.9" customHeight="1">
      <c r="A128" s="1755">
        <v>125</v>
      </c>
      <c r="B128" s="1756" t="s">
        <v>2726</v>
      </c>
      <c r="C128" s="1756" t="s">
        <v>2736</v>
      </c>
      <c r="D128" s="1757" t="str">
        <f t="shared" si="3"/>
        <v>Non</v>
      </c>
      <c r="E128" s="1759" t="s">
        <v>1241</v>
      </c>
      <c r="F128" s="1747" t="s">
        <v>2733</v>
      </c>
    </row>
    <row r="129" spans="1:6" ht="25.9" customHeight="1">
      <c r="A129" s="1755">
        <v>126</v>
      </c>
      <c r="B129" s="1756" t="s">
        <v>2726</v>
      </c>
      <c r="C129" s="1756" t="s">
        <v>2737</v>
      </c>
      <c r="D129" s="1757" t="str">
        <f t="shared" si="3"/>
        <v>non</v>
      </c>
      <c r="E129" s="1759" t="s">
        <v>523</v>
      </c>
      <c r="F129" s="1747" t="s">
        <v>2449</v>
      </c>
    </row>
    <row r="130" spans="1:6" ht="25.9" customHeight="1">
      <c r="A130" s="1755">
        <v>127</v>
      </c>
      <c r="B130" s="1756" t="s">
        <v>2726</v>
      </c>
      <c r="C130" s="1756" t="s">
        <v>2739</v>
      </c>
      <c r="D130" s="1757" t="str">
        <f t="shared" si="3"/>
        <v xml:space="preserve"> : Systémes de chauffage intégrés aux éléments d'enveloppe ou </v>
      </c>
      <c r="E130" s="1759" t="s">
        <v>875</v>
      </c>
      <c r="F130" s="1747" t="s">
        <v>2738</v>
      </c>
    </row>
    <row r="131" spans="1:6" ht="25.9" customHeight="1">
      <c r="A131" s="1755">
        <v>128</v>
      </c>
      <c r="B131" s="1756" t="s">
        <v>2726</v>
      </c>
      <c r="C131" s="1756" t="s">
        <v>2741</v>
      </c>
      <c r="D131" s="1757" t="str">
        <f t="shared" si="3"/>
        <v xml:space="preserve">  corps de chauffe placés devant des éléments translucides</v>
      </c>
      <c r="E131" s="1759" t="s">
        <v>524</v>
      </c>
      <c r="F131" s="1747" t="s">
        <v>2740</v>
      </c>
    </row>
    <row r="132" spans="1:6" ht="25.9" customHeight="1">
      <c r="A132" s="1755">
        <v>129</v>
      </c>
      <c r="B132" s="1756" t="s">
        <v>2726</v>
      </c>
      <c r="C132" s="1756" t="s">
        <v>2743</v>
      </c>
      <c r="D132" s="1757" t="str">
        <f t="shared" ref="D132:D195" si="4">INDEX($E$4:$G$809,$A132,$A$1)</f>
        <v>Façades</v>
      </c>
      <c r="E132" s="1759" t="s">
        <v>1973</v>
      </c>
      <c r="F132" s="1747" t="s">
        <v>2742</v>
      </c>
    </row>
    <row r="133" spans="1:6" ht="25.9" customHeight="1">
      <c r="A133" s="1755">
        <v>130</v>
      </c>
      <c r="B133" s="1756" t="s">
        <v>2726</v>
      </c>
      <c r="C133" s="1756" t="s">
        <v>2745</v>
      </c>
      <c r="D133" s="1757" t="str">
        <f t="shared" si="4"/>
        <v>Chauffage intégré</v>
      </c>
      <c r="E133" s="1759" t="s">
        <v>873</v>
      </c>
      <c r="F133" s="1747" t="s">
        <v>2744</v>
      </c>
    </row>
    <row r="134" spans="1:6" ht="25.9" customHeight="1">
      <c r="A134" s="1755">
        <v>131</v>
      </c>
      <c r="B134" s="1756" t="s">
        <v>2726</v>
      </c>
      <c r="C134" s="1756" t="s">
        <v>2746</v>
      </c>
      <c r="D134" s="1757" t="str">
        <f t="shared" si="4"/>
        <v>Chauffage</v>
      </c>
      <c r="E134" s="1759" t="s">
        <v>873</v>
      </c>
      <c r="F134" s="1747" t="s">
        <v>2485</v>
      </c>
    </row>
    <row r="135" spans="1:6" ht="25.9" customHeight="1">
      <c r="A135" s="1755">
        <v>132</v>
      </c>
      <c r="B135" s="1756" t="s">
        <v>2726</v>
      </c>
      <c r="C135" s="1756" t="s">
        <v>2747</v>
      </c>
      <c r="D135" s="1757" t="str">
        <f t="shared" si="4"/>
        <v>Chauffage</v>
      </c>
      <c r="E135" s="1759" t="s">
        <v>874</v>
      </c>
      <c r="F135" s="1747" t="s">
        <v>2485</v>
      </c>
    </row>
    <row r="136" spans="1:6" ht="25.9" customHeight="1">
      <c r="A136" s="1755">
        <v>133</v>
      </c>
      <c r="B136" s="1756" t="s">
        <v>2726</v>
      </c>
      <c r="C136" s="1756" t="s">
        <v>2748</v>
      </c>
      <c r="D136" s="1757" t="str">
        <f t="shared" si="4"/>
        <v>Nord-Est</v>
      </c>
      <c r="E136" s="1759" t="s">
        <v>11</v>
      </c>
      <c r="F136" s="1747" t="s">
        <v>2749</v>
      </c>
    </row>
    <row r="137" spans="1:6" ht="25.9" customHeight="1">
      <c r="A137" s="1755">
        <v>134</v>
      </c>
      <c r="B137" s="1756" t="s">
        <v>2726</v>
      </c>
      <c r="C137" s="1756" t="s">
        <v>2748</v>
      </c>
      <c r="D137" s="1757" t="str">
        <f t="shared" si="4"/>
        <v>Nord</v>
      </c>
      <c r="E137" s="1759" t="s">
        <v>1236</v>
      </c>
      <c r="F137" s="1747" t="s">
        <v>1236</v>
      </c>
    </row>
    <row r="138" spans="1:6" ht="25.9" customHeight="1">
      <c r="A138" s="1755">
        <v>135</v>
      </c>
      <c r="B138" s="1756" t="s">
        <v>2726</v>
      </c>
      <c r="C138" s="1756" t="s">
        <v>2756</v>
      </c>
      <c r="D138" s="1757" t="str">
        <f t="shared" si="4"/>
        <v>Sud-Est</v>
      </c>
      <c r="E138" s="1759" t="s">
        <v>12</v>
      </c>
      <c r="F138" s="1747" t="s">
        <v>2750</v>
      </c>
    </row>
    <row r="139" spans="1:6" ht="25.9" customHeight="1">
      <c r="A139" s="1755">
        <v>136</v>
      </c>
      <c r="B139" s="1756" t="s">
        <v>2726</v>
      </c>
      <c r="C139" s="1756" t="s">
        <v>2756</v>
      </c>
      <c r="D139" s="1757" t="str">
        <f t="shared" si="4"/>
        <v>Est</v>
      </c>
      <c r="E139" s="1759" t="s">
        <v>1234</v>
      </c>
      <c r="F139" s="1747" t="s">
        <v>2751</v>
      </c>
    </row>
    <row r="140" spans="1:6" ht="25.9" customHeight="1">
      <c r="A140" s="1755">
        <v>137</v>
      </c>
      <c r="B140" s="1756" t="s">
        <v>2726</v>
      </c>
      <c r="C140" s="1756" t="s">
        <v>2488</v>
      </c>
      <c r="D140" s="1757" t="str">
        <f t="shared" si="4"/>
        <v>Nord-Ouest</v>
      </c>
      <c r="E140" s="1759" t="s">
        <v>13</v>
      </c>
      <c r="F140" s="1747" t="s">
        <v>2752</v>
      </c>
    </row>
    <row r="141" spans="1:6" ht="25.9" customHeight="1">
      <c r="A141" s="1755">
        <v>138</v>
      </c>
      <c r="B141" s="1756" t="s">
        <v>2726</v>
      </c>
      <c r="C141" s="1756" t="s">
        <v>2488</v>
      </c>
      <c r="D141" s="1757" t="str">
        <f t="shared" si="4"/>
        <v>Ouest</v>
      </c>
      <c r="E141" s="1759" t="s">
        <v>1235</v>
      </c>
      <c r="F141" s="1747" t="s">
        <v>2753</v>
      </c>
    </row>
    <row r="142" spans="1:6" ht="25.9" customHeight="1">
      <c r="A142" s="1755">
        <v>139</v>
      </c>
      <c r="B142" s="1756" t="s">
        <v>2726</v>
      </c>
      <c r="C142" s="1756" t="s">
        <v>2757</v>
      </c>
      <c r="D142" s="1757" t="str">
        <f t="shared" si="4"/>
        <v>Sud-Ouest</v>
      </c>
      <c r="E142" s="1759" t="s">
        <v>10</v>
      </c>
      <c r="F142" s="1747" t="s">
        <v>2754</v>
      </c>
    </row>
    <row r="143" spans="1:6" ht="25.9" customHeight="1">
      <c r="A143" s="1755">
        <v>140</v>
      </c>
      <c r="B143" s="1756" t="s">
        <v>2726</v>
      </c>
      <c r="C143" s="1756" t="s">
        <v>2757</v>
      </c>
      <c r="D143" s="1757" t="str">
        <f t="shared" si="4"/>
        <v>Sud</v>
      </c>
      <c r="E143" s="1759" t="s">
        <v>1233</v>
      </c>
      <c r="F143" s="1747" t="s">
        <v>2755</v>
      </c>
    </row>
    <row r="144" spans="1:6" ht="25.9" customHeight="1">
      <c r="A144" s="1755">
        <v>141</v>
      </c>
      <c r="B144" s="1756" t="s">
        <v>2726</v>
      </c>
      <c r="C144" s="1756" t="s">
        <v>2758</v>
      </c>
      <c r="D144" s="1757" t="str">
        <f t="shared" si="4"/>
        <v>Paroi exposée à l'air extérieur:</v>
      </c>
      <c r="E144" s="1759" t="s">
        <v>2008</v>
      </c>
      <c r="F144" s="1747" t="s">
        <v>2759</v>
      </c>
    </row>
    <row r="145" spans="1:6" ht="25.9" customHeight="1">
      <c r="A145" s="1755">
        <v>142</v>
      </c>
      <c r="B145" s="1756" t="s">
        <v>2726</v>
      </c>
      <c r="C145" s="1756" t="s">
        <v>2443</v>
      </c>
      <c r="D145" s="1757" t="str">
        <f t="shared" si="4"/>
        <v>Paroi avec</v>
      </c>
      <c r="E145" s="1759" t="s">
        <v>977</v>
      </c>
      <c r="F145" s="1747" t="s">
        <v>2760</v>
      </c>
    </row>
    <row r="146" spans="1:6" ht="25.9" customHeight="1">
      <c r="A146" s="1755">
        <v>143</v>
      </c>
      <c r="B146" s="1756" t="s">
        <v>2726</v>
      </c>
      <c r="C146" s="1756" t="s">
        <v>2446</v>
      </c>
      <c r="D146" s="1757" t="str">
        <f t="shared" si="4"/>
        <v>fenêtre</v>
      </c>
      <c r="E146" s="1759" t="s">
        <v>322</v>
      </c>
      <c r="F146" s="1747" t="s">
        <v>2761</v>
      </c>
    </row>
    <row r="147" spans="1:6" ht="25.9" customHeight="1">
      <c r="A147" s="1755">
        <v>144</v>
      </c>
      <c r="B147" s="1756" t="s">
        <v>2726</v>
      </c>
      <c r="C147" s="1756" t="s">
        <v>2444</v>
      </c>
      <c r="D147" s="1757" t="str">
        <f t="shared" si="4"/>
        <v>Fenêtre</v>
      </c>
      <c r="E147" s="1759" t="s">
        <v>1193</v>
      </c>
      <c r="F147" s="1747" t="s">
        <v>2762</v>
      </c>
    </row>
    <row r="148" spans="1:6" ht="25.9" customHeight="1">
      <c r="A148" s="1755">
        <v>145</v>
      </c>
      <c r="B148" s="1756" t="s">
        <v>2726</v>
      </c>
      <c r="C148" s="1756" t="s">
        <v>2764</v>
      </c>
      <c r="D148" s="1757" t="str">
        <f t="shared" si="4"/>
        <v>Paroi sans</v>
      </c>
      <c r="E148" s="1759" t="s">
        <v>977</v>
      </c>
      <c r="F148" s="1747" t="s">
        <v>2763</v>
      </c>
    </row>
    <row r="149" spans="1:6" ht="25.9" customHeight="1">
      <c r="A149" s="1755">
        <v>146</v>
      </c>
      <c r="B149" s="1756" t="s">
        <v>2726</v>
      </c>
      <c r="C149" s="1756" t="s">
        <v>2765</v>
      </c>
      <c r="D149" s="1757" t="str">
        <f t="shared" si="4"/>
        <v>fenêtre</v>
      </c>
      <c r="E149" s="1759" t="s">
        <v>2009</v>
      </c>
      <c r="F149" s="1747" t="s">
        <v>2761</v>
      </c>
    </row>
    <row r="150" spans="1:6" ht="25.9" customHeight="1">
      <c r="A150" s="1755">
        <v>147</v>
      </c>
      <c r="B150" s="1756" t="s">
        <v>2726</v>
      </c>
      <c r="C150" s="1756" t="s">
        <v>2766</v>
      </c>
      <c r="D150" s="1757" t="str">
        <f t="shared" si="4"/>
        <v>No</v>
      </c>
      <c r="E150" s="1759" t="s">
        <v>1191</v>
      </c>
      <c r="F150" s="1747" t="s">
        <v>1198</v>
      </c>
    </row>
    <row r="151" spans="1:6" ht="25.9" customHeight="1">
      <c r="A151" s="1755">
        <v>148</v>
      </c>
      <c r="B151" s="1756" t="s">
        <v>2726</v>
      </c>
      <c r="C151" s="1756" t="s">
        <v>2768</v>
      </c>
      <c r="D151" s="1757" t="str">
        <f t="shared" si="4"/>
        <v>Valeur U</v>
      </c>
      <c r="E151" s="1759" t="s">
        <v>2015</v>
      </c>
      <c r="F151" s="1747" t="s">
        <v>2767</v>
      </c>
    </row>
    <row r="152" spans="1:6" ht="25.9" customHeight="1">
      <c r="A152" s="1755">
        <v>149</v>
      </c>
      <c r="B152" s="1756" t="s">
        <v>2726</v>
      </c>
      <c r="C152" s="1756" t="s">
        <v>2770</v>
      </c>
      <c r="D152" s="1757" t="str">
        <f t="shared" si="4"/>
        <v>Porte à l'extérieur:</v>
      </c>
      <c r="E152" s="1759" t="s">
        <v>1194</v>
      </c>
      <c r="F152" s="1747" t="s">
        <v>2769</v>
      </c>
    </row>
    <row r="153" spans="1:6" ht="25.9" customHeight="1">
      <c r="A153" s="1755">
        <v>150</v>
      </c>
      <c r="B153" s="1756" t="s">
        <v>2726</v>
      </c>
      <c r="C153" s="1756" t="s">
        <v>2773</v>
      </c>
      <c r="D153" s="1757" t="str">
        <f t="shared" si="4"/>
        <v>Total façade au NE:</v>
      </c>
      <c r="E153" s="1759" t="s">
        <v>2777</v>
      </c>
      <c r="F153" s="1747" t="s">
        <v>2778</v>
      </c>
    </row>
    <row r="154" spans="1:6" ht="25.9" customHeight="1">
      <c r="A154" s="1755">
        <v>151</v>
      </c>
      <c r="B154" s="1756" t="s">
        <v>2726</v>
      </c>
      <c r="C154" s="1756" t="s">
        <v>2773</v>
      </c>
      <c r="D154" s="1757" t="str">
        <f t="shared" si="4"/>
        <v>Total façade au nord:</v>
      </c>
      <c r="E154" s="1759" t="s">
        <v>2771</v>
      </c>
      <c r="F154" s="1747" t="s">
        <v>2772</v>
      </c>
    </row>
    <row r="155" spans="1:6" ht="25.9" customHeight="1">
      <c r="A155" s="1755">
        <v>152</v>
      </c>
      <c r="B155" s="1756" t="s">
        <v>2726</v>
      </c>
      <c r="C155" s="1756" t="s">
        <v>2776</v>
      </c>
      <c r="D155" s="1757" t="str">
        <f t="shared" si="4"/>
        <v>Total façade au SE:</v>
      </c>
      <c r="E155" s="1759" t="s">
        <v>2779</v>
      </c>
      <c r="F155" s="1747" t="s">
        <v>2780</v>
      </c>
    </row>
    <row r="156" spans="1:6" ht="25.9" customHeight="1">
      <c r="A156" s="1755">
        <v>153</v>
      </c>
      <c r="B156" s="1756" t="s">
        <v>2726</v>
      </c>
      <c r="C156" s="1756" t="s">
        <v>2776</v>
      </c>
      <c r="D156" s="1757" t="str">
        <f t="shared" si="4"/>
        <v>Total façade à l'est:</v>
      </c>
      <c r="E156" s="1759" t="s">
        <v>2775</v>
      </c>
      <c r="F156" s="1747" t="s">
        <v>2774</v>
      </c>
    </row>
    <row r="157" spans="1:6" ht="25.9" customHeight="1">
      <c r="A157" s="1755">
        <v>154</v>
      </c>
      <c r="B157" s="1756" t="s">
        <v>2726</v>
      </c>
      <c r="C157" s="1756" t="s">
        <v>2586</v>
      </c>
      <c r="D157" s="1757" t="str">
        <f t="shared" si="4"/>
        <v>Total façade au NO:</v>
      </c>
      <c r="E157" s="1759" t="s">
        <v>2781</v>
      </c>
      <c r="F157" s="1747" t="s">
        <v>2784</v>
      </c>
    </row>
    <row r="158" spans="1:6" ht="25.9" customHeight="1">
      <c r="A158" s="1755">
        <v>155</v>
      </c>
      <c r="B158" s="1756" t="s">
        <v>2726</v>
      </c>
      <c r="C158" s="1756" t="s">
        <v>2586</v>
      </c>
      <c r="D158" s="1757" t="str">
        <f t="shared" si="4"/>
        <v>Total façade à l'ouest:</v>
      </c>
      <c r="E158" s="1759" t="s">
        <v>2782</v>
      </c>
      <c r="F158" s="1747" t="s">
        <v>2783</v>
      </c>
    </row>
    <row r="159" spans="1:6" ht="25.9" customHeight="1">
      <c r="A159" s="1755">
        <v>156</v>
      </c>
      <c r="B159" s="1756" t="s">
        <v>2726</v>
      </c>
      <c r="C159" s="1756" t="s">
        <v>2785</v>
      </c>
      <c r="D159" s="1757" t="str">
        <f t="shared" si="4"/>
        <v>Total façade au SO:</v>
      </c>
      <c r="E159" s="1759" t="s">
        <v>2786</v>
      </c>
      <c r="F159" s="1747" t="s">
        <v>2789</v>
      </c>
    </row>
    <row r="160" spans="1:6" ht="25.9" customHeight="1">
      <c r="A160" s="1755">
        <v>157</v>
      </c>
      <c r="B160" s="1756" t="s">
        <v>2726</v>
      </c>
      <c r="C160" s="1756" t="s">
        <v>2785</v>
      </c>
      <c r="D160" s="1757" t="str">
        <f t="shared" si="4"/>
        <v>Total façade au sud:</v>
      </c>
      <c r="E160" s="1759" t="s">
        <v>2787</v>
      </c>
      <c r="F160" s="1747" t="s">
        <v>2788</v>
      </c>
    </row>
    <row r="161" spans="1:6" ht="25.9" customHeight="1">
      <c r="A161" s="1755">
        <v>158</v>
      </c>
      <c r="B161" s="1756" t="s">
        <v>2726</v>
      </c>
      <c r="C161" s="1756" t="s">
        <v>2590</v>
      </c>
      <c r="D161" s="1757" t="str">
        <f t="shared" si="4"/>
        <v>Parois en contact avec le terrain:</v>
      </c>
      <c r="E161" s="1759" t="s">
        <v>3105</v>
      </c>
      <c r="F161" s="1747" t="s">
        <v>3106</v>
      </c>
    </row>
    <row r="162" spans="1:6" ht="25.9" customHeight="1">
      <c r="A162" s="1755">
        <v>159</v>
      </c>
      <c r="B162" s="1756" t="s">
        <v>2726</v>
      </c>
      <c r="C162" s="1756" t="s">
        <v>2491</v>
      </c>
      <c r="D162" s="1757" t="str">
        <f t="shared" si="4"/>
        <v>Surfaces</v>
      </c>
      <c r="E162" s="1759" t="s">
        <v>1192</v>
      </c>
      <c r="F162" s="1747" t="s">
        <v>2790</v>
      </c>
    </row>
    <row r="163" spans="1:6" ht="25.9" customHeight="1">
      <c r="A163" s="1755">
        <v>160</v>
      </c>
      <c r="B163" s="1756" t="s">
        <v>2726</v>
      </c>
      <c r="C163" s="1756" t="s">
        <v>2538</v>
      </c>
      <c r="D163" s="1757" t="str">
        <f t="shared" si="4"/>
        <v>Entrée fausse!</v>
      </c>
      <c r="E163" s="1759" t="s">
        <v>2791</v>
      </c>
      <c r="F163" s="1747" t="s">
        <v>2792</v>
      </c>
    </row>
    <row r="164" spans="1:6" ht="25.9" customHeight="1">
      <c r="A164" s="1755">
        <v>161</v>
      </c>
      <c r="B164" s="1756" t="s">
        <v>2726</v>
      </c>
      <c r="C164" s="1756" t="s">
        <v>2797</v>
      </c>
      <c r="D164" s="1757" t="str">
        <f t="shared" si="4"/>
        <v>OUI</v>
      </c>
      <c r="E164" s="1759" t="s">
        <v>2793</v>
      </c>
      <c r="F164" s="1747" t="s">
        <v>2795</v>
      </c>
    </row>
    <row r="165" spans="1:6" ht="25.9" customHeight="1">
      <c r="A165" s="1755">
        <v>162</v>
      </c>
      <c r="B165" s="1756" t="s">
        <v>2726</v>
      </c>
      <c r="C165" s="1756" t="s">
        <v>2797</v>
      </c>
      <c r="D165" s="1757" t="str">
        <f t="shared" si="4"/>
        <v>NON</v>
      </c>
      <c r="E165" s="1759" t="s">
        <v>2794</v>
      </c>
      <c r="F165" s="1747" t="s">
        <v>2796</v>
      </c>
    </row>
    <row r="166" spans="1:6" ht="25.9" customHeight="1">
      <c r="A166" s="1755">
        <v>163</v>
      </c>
      <c r="B166" s="1756" t="s">
        <v>2726</v>
      </c>
      <c r="C166" s="1756" t="s">
        <v>2490</v>
      </c>
      <c r="D166" s="1757" t="str">
        <f t="shared" si="4"/>
        <v>en contact avec le terrain</v>
      </c>
      <c r="E166" s="1759" t="s">
        <v>3046</v>
      </c>
      <c r="F166" s="1747" t="s">
        <v>2798</v>
      </c>
    </row>
    <row r="167" spans="1:6" ht="25.9" customHeight="1">
      <c r="A167" s="1755">
        <v>164</v>
      </c>
      <c r="B167" s="1756" t="s">
        <v>2726</v>
      </c>
      <c r="C167" s="1756" t="s">
        <v>2804</v>
      </c>
      <c r="D167" s="1757" t="str">
        <f t="shared" si="4"/>
        <v>2ème paroi</v>
      </c>
      <c r="E167" s="1759" t="s">
        <v>1114</v>
      </c>
      <c r="F167" s="1747" t="s">
        <v>2799</v>
      </c>
    </row>
    <row r="168" spans="1:6" ht="25.9" customHeight="1">
      <c r="A168" s="1755">
        <v>165</v>
      </c>
      <c r="B168" s="1756" t="s">
        <v>2726</v>
      </c>
      <c r="C168" s="1756" t="s">
        <v>2805</v>
      </c>
      <c r="D168" s="1757" t="str">
        <f t="shared" si="4"/>
        <v>Première paroi</v>
      </c>
      <c r="E168" s="1759" t="s">
        <v>3110</v>
      </c>
      <c r="F168" s="1747" t="s">
        <v>3112</v>
      </c>
    </row>
    <row r="169" spans="1:6" ht="25.9" customHeight="1">
      <c r="A169" s="1755">
        <v>166</v>
      </c>
      <c r="B169" s="1756" t="s">
        <v>2726</v>
      </c>
      <c r="C169" s="1756" t="s">
        <v>2806</v>
      </c>
      <c r="D169" s="1757" t="str">
        <f t="shared" si="4"/>
        <v>2ème paroi</v>
      </c>
      <c r="E169" s="1759" t="s">
        <v>3111</v>
      </c>
      <c r="F169" s="1747" t="s">
        <v>2799</v>
      </c>
    </row>
    <row r="170" spans="1:6" ht="25.9" customHeight="1">
      <c r="A170" s="1755">
        <v>167</v>
      </c>
      <c r="B170" s="1756" t="s">
        <v>2726</v>
      </c>
      <c r="C170" s="1756" t="s">
        <v>2807</v>
      </c>
      <c r="D170" s="1757" t="str">
        <f t="shared" si="4"/>
        <v>contre un local non chauffé</v>
      </c>
      <c r="E170" s="1759" t="s">
        <v>3047</v>
      </c>
      <c r="F170" s="1747" t="s">
        <v>2801</v>
      </c>
    </row>
    <row r="171" spans="1:6" ht="25.9" customHeight="1">
      <c r="A171" s="1755">
        <v>168</v>
      </c>
      <c r="B171" s="1756" t="s">
        <v>2726</v>
      </c>
      <c r="C171" s="1756" t="s">
        <v>2808</v>
      </c>
      <c r="D171" s="1757" t="str">
        <f t="shared" si="4"/>
        <v>2ème paroi</v>
      </c>
      <c r="E171" s="1759" t="s">
        <v>1111</v>
      </c>
      <c r="F171" s="1747" t="s">
        <v>2799</v>
      </c>
    </row>
    <row r="172" spans="1:6" ht="25.9" customHeight="1">
      <c r="A172" s="1755">
        <v>169</v>
      </c>
      <c r="B172" s="1756" t="s">
        <v>2726</v>
      </c>
      <c r="C172" s="1756" t="s">
        <v>2809</v>
      </c>
      <c r="D172" s="1757" t="str">
        <f t="shared" si="4"/>
        <v>3ème paroi</v>
      </c>
      <c r="E172" s="1759" t="s">
        <v>1112</v>
      </c>
      <c r="F172" s="1747" t="s">
        <v>2802</v>
      </c>
    </row>
    <row r="173" spans="1:6" ht="25.9" customHeight="1">
      <c r="A173" s="1755">
        <v>170</v>
      </c>
      <c r="B173" s="1756" t="s">
        <v>2726</v>
      </c>
      <c r="C173" s="1756" t="s">
        <v>2810</v>
      </c>
      <c r="D173" s="1757" t="str">
        <f t="shared" si="4"/>
        <v>Porte c. un local non chauffé</v>
      </c>
      <c r="E173" s="1759" t="s">
        <v>1113</v>
      </c>
      <c r="F173" s="1747" t="s">
        <v>2803</v>
      </c>
    </row>
    <row r="174" spans="1:6" ht="25.9" customHeight="1">
      <c r="A174" s="1755">
        <v>171</v>
      </c>
      <c r="B174" s="1756" t="s">
        <v>2726</v>
      </c>
      <c r="C174" s="1756" t="s">
        <v>2812</v>
      </c>
      <c r="D174" s="1757" t="str">
        <f t="shared" si="4"/>
        <v>Plancher:</v>
      </c>
      <c r="E174" s="1759" t="s">
        <v>1195</v>
      </c>
      <c r="F174" s="1747" t="s">
        <v>2811</v>
      </c>
    </row>
    <row r="175" spans="1:6" ht="25.9" customHeight="1">
      <c r="A175" s="1755">
        <v>172</v>
      </c>
      <c r="B175" s="1756" t="s">
        <v>2726</v>
      </c>
      <c r="C175" s="1756" t="s">
        <v>2815</v>
      </c>
      <c r="D175" s="1757" t="str">
        <f t="shared" si="4"/>
        <v>exposé à l'air extérieur</v>
      </c>
      <c r="E175" s="1759" t="s">
        <v>1117</v>
      </c>
      <c r="F175" s="1747" t="s">
        <v>2813</v>
      </c>
    </row>
    <row r="176" spans="1:6" ht="25.9" customHeight="1">
      <c r="A176" s="1755">
        <v>173</v>
      </c>
      <c r="B176" s="1756" t="s">
        <v>2726</v>
      </c>
      <c r="C176" s="1756" t="s">
        <v>2816</v>
      </c>
      <c r="D176" s="1757" t="str">
        <f t="shared" si="4"/>
        <v>2ème plancher</v>
      </c>
      <c r="E176" s="1759" t="s">
        <v>1116</v>
      </c>
      <c r="F176" s="1747" t="s">
        <v>2814</v>
      </c>
    </row>
    <row r="177" spans="1:6" ht="25.9" customHeight="1">
      <c r="A177" s="1755">
        <v>174</v>
      </c>
      <c r="B177" s="1756" t="s">
        <v>2726</v>
      </c>
      <c r="C177" s="1756" t="s">
        <v>2817</v>
      </c>
      <c r="D177" s="1757" t="str">
        <f t="shared" si="4"/>
        <v>en contact avec le terrain</v>
      </c>
      <c r="E177" s="1759" t="s">
        <v>305</v>
      </c>
      <c r="F177" s="1747" t="s">
        <v>2798</v>
      </c>
    </row>
    <row r="178" spans="1:6" ht="25.9" customHeight="1">
      <c r="A178" s="1755">
        <v>175</v>
      </c>
      <c r="B178" s="1756" t="s">
        <v>2726</v>
      </c>
      <c r="C178" s="1756" t="s">
        <v>2818</v>
      </c>
      <c r="D178" s="1757" t="str">
        <f t="shared" si="4"/>
        <v>2ème plancher</v>
      </c>
      <c r="E178" s="1759" t="s">
        <v>306</v>
      </c>
      <c r="F178" s="1747" t="s">
        <v>2814</v>
      </c>
    </row>
    <row r="179" spans="1:6" ht="25.9" customHeight="1">
      <c r="A179" s="1755">
        <v>176</v>
      </c>
      <c r="B179" s="1756" t="s">
        <v>2726</v>
      </c>
      <c r="C179" s="1756" t="s">
        <v>2819</v>
      </c>
      <c r="D179" s="1757" t="str">
        <f t="shared" si="4"/>
        <v>contre un local non chauffé</v>
      </c>
      <c r="E179" s="1759" t="s">
        <v>307</v>
      </c>
      <c r="F179" s="1747" t="s">
        <v>2801</v>
      </c>
    </row>
    <row r="180" spans="1:6" ht="25.9" customHeight="1">
      <c r="A180" s="1755">
        <v>177</v>
      </c>
      <c r="B180" s="1756" t="s">
        <v>2726</v>
      </c>
      <c r="C180" s="1756" t="s">
        <v>2820</v>
      </c>
      <c r="D180" s="1757" t="str">
        <f t="shared" si="4"/>
        <v>2ème plancher</v>
      </c>
      <c r="E180" s="1759" t="s">
        <v>1560</v>
      </c>
      <c r="F180" s="1747" t="s">
        <v>2814</v>
      </c>
    </row>
    <row r="181" spans="1:6" ht="25.9" customHeight="1">
      <c r="A181" s="1755">
        <v>178</v>
      </c>
      <c r="B181" s="1756" t="s">
        <v>2726</v>
      </c>
      <c r="C181" s="1756" t="s">
        <v>2821</v>
      </c>
      <c r="D181" s="1757" t="str">
        <f t="shared" si="4"/>
        <v>cage d'escalier</v>
      </c>
      <c r="E181" s="1759" t="s">
        <v>863</v>
      </c>
      <c r="F181" s="1747" t="s">
        <v>2867</v>
      </c>
    </row>
    <row r="182" spans="1:6" ht="25.9" customHeight="1">
      <c r="A182" s="1755">
        <v>179</v>
      </c>
      <c r="B182" s="1756" t="s">
        <v>2726</v>
      </c>
      <c r="C182" s="1756" t="s">
        <v>2822</v>
      </c>
      <c r="D182" s="1757" t="str">
        <f t="shared" si="4"/>
        <v>contre un local chauffé</v>
      </c>
      <c r="E182" s="1759" t="s">
        <v>1168</v>
      </c>
      <c r="F182" s="1747" t="s">
        <v>2800</v>
      </c>
    </row>
    <row r="183" spans="1:6" ht="25.9" customHeight="1">
      <c r="A183" s="1755">
        <v>180</v>
      </c>
      <c r="B183" s="1756" t="s">
        <v>2726</v>
      </c>
      <c r="C183" s="1756" t="s">
        <v>2823</v>
      </c>
      <c r="D183" s="1757" t="str">
        <f t="shared" si="4"/>
        <v>2ème plancher</v>
      </c>
      <c r="E183" s="1759" t="s">
        <v>237</v>
      </c>
      <c r="F183" s="1747" t="s">
        <v>2814</v>
      </c>
    </row>
    <row r="184" spans="1:6" ht="25.9" customHeight="1">
      <c r="A184" s="1755">
        <v>181</v>
      </c>
      <c r="B184" s="1756" t="s">
        <v>2726</v>
      </c>
      <c r="C184" s="1756" t="s">
        <v>2825</v>
      </c>
      <c r="D184" s="1757" t="str">
        <f t="shared" si="4"/>
        <v>Profondeur</v>
      </c>
      <c r="E184" s="1759" t="s">
        <v>1128</v>
      </c>
      <c r="F184" s="1747" t="s">
        <v>2824</v>
      </c>
    </row>
    <row r="185" spans="1:6" ht="25.9" customHeight="1">
      <c r="A185" s="1755">
        <v>182</v>
      </c>
      <c r="B185" s="1756" t="s">
        <v>2726</v>
      </c>
      <c r="C185" s="1756" t="s">
        <v>2604</v>
      </c>
      <c r="D185" s="1757" t="str">
        <f t="shared" si="4"/>
        <v>dans terrain:</v>
      </c>
      <c r="E185" s="1759" t="s">
        <v>3091</v>
      </c>
      <c r="F185" s="1747" t="s">
        <v>3092</v>
      </c>
    </row>
    <row r="186" spans="1:6" ht="25.9" customHeight="1">
      <c r="A186" s="1755">
        <v>183</v>
      </c>
      <c r="B186" s="1756" t="s">
        <v>2726</v>
      </c>
      <c r="C186" s="1756" t="s">
        <v>2828</v>
      </c>
      <c r="D186" s="1757" t="str">
        <f t="shared" si="4"/>
        <v>Longeur</v>
      </c>
      <c r="E186" s="1759" t="s">
        <v>1129</v>
      </c>
      <c r="F186" s="1747" t="s">
        <v>2826</v>
      </c>
    </row>
    <row r="187" spans="1:6" ht="25.9" customHeight="1">
      <c r="A187" s="1755">
        <v>184</v>
      </c>
      <c r="B187" s="1756" t="s">
        <v>2726</v>
      </c>
      <c r="C187" s="1756" t="s">
        <v>2829</v>
      </c>
      <c r="D187" s="1757" t="str">
        <f t="shared" si="4"/>
        <v>des côtés</v>
      </c>
      <c r="E187" s="1759" t="s">
        <v>1130</v>
      </c>
      <c r="F187" s="1747" t="s">
        <v>2827</v>
      </c>
    </row>
    <row r="188" spans="1:6" ht="25.9" customHeight="1">
      <c r="A188" s="1755">
        <v>185</v>
      </c>
      <c r="B188" s="1756" t="s">
        <v>2726</v>
      </c>
      <c r="C188" s="1756" t="s">
        <v>2831</v>
      </c>
      <c r="D188" s="1757" t="str">
        <f t="shared" si="4"/>
        <v>Valeur b</v>
      </c>
      <c r="E188" s="1759" t="s">
        <v>2010</v>
      </c>
      <c r="F188" s="1747" t="s">
        <v>2830</v>
      </c>
    </row>
    <row r="189" spans="1:6" ht="25.9" customHeight="1">
      <c r="A189" s="1755">
        <v>186</v>
      </c>
      <c r="B189" s="1756" t="s">
        <v>2726</v>
      </c>
      <c r="C189" s="1756" t="s">
        <v>2834</v>
      </c>
      <c r="D189" s="1757" t="str">
        <f t="shared" si="4"/>
        <v>Grosseur de</v>
      </c>
      <c r="E189" s="1759" t="s">
        <v>2361</v>
      </c>
      <c r="F189" s="1747" t="s">
        <v>2832</v>
      </c>
    </row>
    <row r="190" spans="1:6" ht="25.9" customHeight="1">
      <c r="A190" s="1755">
        <v>187</v>
      </c>
      <c r="B190" s="1756" t="s">
        <v>2726</v>
      </c>
      <c r="C190" s="1756" t="s">
        <v>2835</v>
      </c>
      <c r="D190" s="1757" t="str">
        <f t="shared" si="4"/>
        <v>la parois</v>
      </c>
      <c r="E190" s="1759" t="s">
        <v>2362</v>
      </c>
      <c r="F190" s="1747" t="s">
        <v>2833</v>
      </c>
    </row>
    <row r="191" spans="1:6" ht="25.9" customHeight="1">
      <c r="A191" s="1755">
        <v>188</v>
      </c>
      <c r="B191" s="1756" t="s">
        <v>2726</v>
      </c>
      <c r="C191" s="1756" t="s">
        <v>2837</v>
      </c>
      <c r="D191" s="1757" t="str">
        <f t="shared" si="4"/>
        <v>Espace non chauffé</v>
      </c>
      <c r="E191" s="1759" t="s">
        <v>56</v>
      </c>
      <c r="F191" s="1747" t="s">
        <v>2836</v>
      </c>
    </row>
    <row r="192" spans="1:6" ht="25.9" customHeight="1">
      <c r="A192" s="1755">
        <v>189</v>
      </c>
      <c r="B192" s="1756" t="s">
        <v>2726</v>
      </c>
      <c r="C192" s="1756" t="s">
        <v>2842</v>
      </c>
      <c r="D192" s="1757" t="str">
        <f t="shared" si="4"/>
        <v>Méthode</v>
      </c>
      <c r="E192" s="1759" t="s">
        <v>950</v>
      </c>
      <c r="F192" s="1747" t="s">
        <v>2838</v>
      </c>
    </row>
    <row r="193" spans="1:6" ht="25.9" customHeight="1">
      <c r="A193" s="1755">
        <v>190</v>
      </c>
      <c r="B193" s="1756" t="s">
        <v>2726</v>
      </c>
      <c r="C193" s="1756" t="s">
        <v>2843</v>
      </c>
      <c r="D193" s="1757" t="str">
        <f t="shared" si="4"/>
        <v>Bande de rive: *</v>
      </c>
      <c r="E193" s="1759" t="s">
        <v>2841</v>
      </c>
      <c r="F193" s="1747" t="s">
        <v>2839</v>
      </c>
    </row>
    <row r="194" spans="1:6" ht="25.9" customHeight="1">
      <c r="A194" s="1755">
        <v>191</v>
      </c>
      <c r="B194" s="1756" t="s">
        <v>2726</v>
      </c>
      <c r="C194" s="1756" t="s">
        <v>2844</v>
      </c>
      <c r="D194" s="1757" t="str">
        <f t="shared" si="4"/>
        <v>Mat. de terrain</v>
      </c>
      <c r="E194" s="1759" t="s">
        <v>226</v>
      </c>
      <c r="F194" s="1747" t="s">
        <v>2840</v>
      </c>
    </row>
    <row r="195" spans="1:6" ht="25.9" customHeight="1">
      <c r="A195" s="1755">
        <v>192</v>
      </c>
      <c r="B195" s="1756" t="s">
        <v>2726</v>
      </c>
      <c r="C195" s="1756" t="s">
        <v>2846</v>
      </c>
      <c r="D195" s="1757" t="str">
        <f t="shared" si="4"/>
        <v>Temp. loc. ch.</v>
      </c>
      <c r="E195" s="1759" t="s">
        <v>1685</v>
      </c>
      <c r="F195" s="1747" t="s">
        <v>2845</v>
      </c>
    </row>
    <row r="196" spans="1:6" ht="25.9" customHeight="1">
      <c r="A196" s="1755">
        <v>193</v>
      </c>
      <c r="B196" s="1756" t="s">
        <v>2726</v>
      </c>
      <c r="C196" s="1756" t="s">
        <v>2853</v>
      </c>
      <c r="D196" s="1757" t="str">
        <f t="shared" ref="D196:D259" si="5">INDEX($E$4:$G$809,$A196,$A$1)</f>
        <v xml:space="preserve">* H = Hauteur, D = Grosseur, l = Valeur lambda     </v>
      </c>
      <c r="E196" s="1759" t="s">
        <v>2847</v>
      </c>
      <c r="F196" s="1747" t="s">
        <v>2850</v>
      </c>
    </row>
    <row r="197" spans="1:6" ht="25.9" customHeight="1">
      <c r="A197" s="1755">
        <v>194</v>
      </c>
      <c r="B197" s="1756" t="s">
        <v>2726</v>
      </c>
      <c r="C197" s="1756" t="s">
        <v>2854</v>
      </c>
      <c r="D197" s="1757" t="str">
        <f t="shared" si="5"/>
        <v xml:space="preserve">* B = Largeur, D = Grosseur, l = Valeur lambda     </v>
      </c>
      <c r="E197" s="1759" t="s">
        <v>2848</v>
      </c>
      <c r="F197" s="1747" t="s">
        <v>2849</v>
      </c>
    </row>
    <row r="198" spans="1:6" ht="25.9" customHeight="1">
      <c r="A198" s="1755">
        <v>195</v>
      </c>
      <c r="B198" s="1756" t="s">
        <v>2726</v>
      </c>
      <c r="C198" s="1756" t="s">
        <v>2851</v>
      </c>
      <c r="D198" s="1757" t="str">
        <f t="shared" si="5"/>
        <v>Local non chauffé</v>
      </c>
      <c r="E198" s="1759" t="s">
        <v>694</v>
      </c>
      <c r="F198" s="1747" t="s">
        <v>2852</v>
      </c>
    </row>
    <row r="199" spans="1:6" ht="25.9" customHeight="1">
      <c r="A199" s="1755">
        <v>196</v>
      </c>
      <c r="B199" s="1756" t="s">
        <v>2726</v>
      </c>
      <c r="C199" s="1756" t="s">
        <v>2857</v>
      </c>
      <c r="D199" s="1757" t="str">
        <f t="shared" si="5"/>
        <v>Temp. du</v>
      </c>
      <c r="E199" s="1759" t="s">
        <v>2342</v>
      </c>
      <c r="F199" s="1747" t="s">
        <v>2855</v>
      </c>
    </row>
    <row r="200" spans="1:6" ht="25.9" customHeight="1">
      <c r="A200" s="1755">
        <v>197</v>
      </c>
      <c r="B200" s="1756" t="s">
        <v>2726</v>
      </c>
      <c r="C200" s="1756" t="s">
        <v>2858</v>
      </c>
      <c r="D200" s="1757" t="str">
        <f t="shared" si="5"/>
        <v>local chauff.</v>
      </c>
      <c r="E200" s="1759" t="s">
        <v>2341</v>
      </c>
      <c r="F200" s="1747" t="s">
        <v>2856</v>
      </c>
    </row>
    <row r="201" spans="1:6" ht="25.9" customHeight="1">
      <c r="A201" s="1755">
        <v>198</v>
      </c>
      <c r="B201" s="1756" t="s">
        <v>2726</v>
      </c>
      <c r="C201" s="1756" t="s">
        <v>2859</v>
      </c>
      <c r="D201" s="1757" t="str">
        <f t="shared" si="5"/>
        <v>Temp. loc. ch.</v>
      </c>
      <c r="E201" s="1759" t="s">
        <v>1685</v>
      </c>
      <c r="F201" s="1747" t="s">
        <v>2845</v>
      </c>
    </row>
    <row r="202" spans="1:6" ht="25.9" customHeight="1">
      <c r="A202" s="1755">
        <v>199</v>
      </c>
      <c r="B202" s="1756" t="s">
        <v>2726</v>
      </c>
      <c r="C202" s="1756" t="s">
        <v>2862</v>
      </c>
      <c r="D202" s="1757" t="str">
        <f t="shared" si="5"/>
        <v>Local non chauffé -&gt;</v>
      </c>
      <c r="E202" s="1759" t="s">
        <v>2860</v>
      </c>
      <c r="F202" s="1747" t="s">
        <v>2861</v>
      </c>
    </row>
    <row r="203" spans="1:6" ht="25.9" customHeight="1">
      <c r="A203" s="1755">
        <v>200</v>
      </c>
      <c r="B203" s="1756" t="s">
        <v>2726</v>
      </c>
      <c r="C203" s="1756" t="s">
        <v>2864</v>
      </c>
      <c r="D203" s="1757" t="str">
        <f t="shared" si="5"/>
        <v>(Supplément de régulation y inclu)</v>
      </c>
      <c r="E203" s="1759" t="s">
        <v>2863</v>
      </c>
      <c r="F203" s="1747" t="s">
        <v>2869</v>
      </c>
    </row>
    <row r="204" spans="1:6" ht="25.9" customHeight="1">
      <c r="A204" s="1755">
        <v>201</v>
      </c>
      <c r="B204" s="1756" t="s">
        <v>2726</v>
      </c>
      <c r="C204" s="1756" t="s">
        <v>2866</v>
      </c>
      <c r="D204" s="1757" t="str">
        <f t="shared" si="5"/>
        <v>si hermétiquement fermé</v>
      </c>
      <c r="E204" s="1759" t="s">
        <v>2865</v>
      </c>
      <c r="F204" s="1747" t="s">
        <v>2868</v>
      </c>
    </row>
    <row r="205" spans="1:6" ht="25.9" customHeight="1">
      <c r="A205" s="1755">
        <v>202</v>
      </c>
      <c r="B205" s="1756" t="s">
        <v>2726</v>
      </c>
      <c r="C205" s="1756" t="s">
        <v>2870</v>
      </c>
      <c r="D205" s="1757" t="str">
        <f t="shared" si="5"/>
        <v>erreur à la profondeur!</v>
      </c>
      <c r="E205" s="1759" t="s">
        <v>2871</v>
      </c>
      <c r="F205" s="1747" t="s">
        <v>2872</v>
      </c>
    </row>
    <row r="206" spans="1:6" ht="25.9" customHeight="1">
      <c r="A206" s="1755">
        <v>203</v>
      </c>
      <c r="B206" s="1756" t="s">
        <v>2726</v>
      </c>
      <c r="C206" s="1756" t="s">
        <v>2874</v>
      </c>
      <c r="D206" s="1757" t="str">
        <f t="shared" si="5"/>
        <v>Local  -&gt;</v>
      </c>
      <c r="E206" s="1759" t="s">
        <v>2873</v>
      </c>
      <c r="F206" s="1747" t="s">
        <v>2875</v>
      </c>
    </row>
    <row r="207" spans="1:6" ht="25.9" customHeight="1">
      <c r="A207" s="1755">
        <v>204</v>
      </c>
      <c r="B207" s="1756" t="s">
        <v>2726</v>
      </c>
      <c r="C207" s="1756" t="s">
        <v>2877</v>
      </c>
      <c r="D207" s="1757" t="str">
        <f t="shared" si="5"/>
        <v>*1: Valeur b est remplie manuelle</v>
      </c>
      <c r="E207" s="1759" t="s">
        <v>2876</v>
      </c>
      <c r="F207" s="1747" t="s">
        <v>2878</v>
      </c>
    </row>
    <row r="208" spans="1:6" ht="25.9" customHeight="1">
      <c r="A208" s="1755">
        <v>205</v>
      </c>
      <c r="B208" s="1756" t="s">
        <v>2726</v>
      </c>
      <c r="C208" s="1756" t="s">
        <v>2884</v>
      </c>
      <c r="D208" s="1757" t="str">
        <f t="shared" si="5"/>
        <v>Vitrage zénithal</v>
      </c>
      <c r="E208" s="1759" t="s">
        <v>205</v>
      </c>
      <c r="F208" s="1747" t="s">
        <v>2879</v>
      </c>
    </row>
    <row r="209" spans="1:6" ht="25.9" customHeight="1">
      <c r="A209" s="1755">
        <v>206</v>
      </c>
      <c r="B209" s="1756" t="s">
        <v>2726</v>
      </c>
      <c r="C209" s="1756" t="s">
        <v>2885</v>
      </c>
      <c r="D209" s="1757" t="str">
        <f t="shared" si="5"/>
        <v>Toit en terrasse</v>
      </c>
      <c r="E209" s="1759" t="s">
        <v>240</v>
      </c>
      <c r="F209" s="1747" t="s">
        <v>2880</v>
      </c>
    </row>
    <row r="210" spans="1:6" ht="25.9" customHeight="1">
      <c r="A210" s="1755">
        <v>207</v>
      </c>
      <c r="B210" s="1756" t="s">
        <v>2726</v>
      </c>
      <c r="C210" s="1756" t="s">
        <v>2886</v>
      </c>
      <c r="D210" s="1757" t="str">
        <f t="shared" si="5"/>
        <v>2ème toit en terrasse</v>
      </c>
      <c r="E210" s="1759" t="s">
        <v>241</v>
      </c>
      <c r="F210" s="1747" t="s">
        <v>2881</v>
      </c>
    </row>
    <row r="211" spans="1:6" ht="25.9" customHeight="1">
      <c r="A211" s="1755">
        <v>208</v>
      </c>
      <c r="B211" s="1756" t="s">
        <v>2726</v>
      </c>
      <c r="C211" s="1756" t="s">
        <v>2887</v>
      </c>
      <c r="D211" s="1757" t="str">
        <f t="shared" si="5"/>
        <v>Toit incliné</v>
      </c>
      <c r="E211" s="1759" t="s">
        <v>242</v>
      </c>
      <c r="F211" s="1747" t="s">
        <v>2882</v>
      </c>
    </row>
    <row r="212" spans="1:6" ht="25.9" customHeight="1">
      <c r="A212" s="1755">
        <v>209</v>
      </c>
      <c r="B212" s="1756" t="s">
        <v>2726</v>
      </c>
      <c r="C212" s="1756" t="s">
        <v>2888</v>
      </c>
      <c r="D212" s="1757" t="str">
        <f t="shared" si="5"/>
        <v>contre un local non chauffé</v>
      </c>
      <c r="E212" s="1759" t="s">
        <v>1109</v>
      </c>
      <c r="F212" s="1747" t="s">
        <v>2801</v>
      </c>
    </row>
    <row r="213" spans="1:6" ht="25.9" customHeight="1">
      <c r="A213" s="1755">
        <v>210</v>
      </c>
      <c r="B213" s="1756" t="s">
        <v>2726</v>
      </c>
      <c r="C213" s="1756" t="s">
        <v>2889</v>
      </c>
      <c r="D213" s="1757" t="str">
        <f t="shared" si="5"/>
        <v>2ème toit</v>
      </c>
      <c r="E213" s="1759" t="s">
        <v>1110</v>
      </c>
      <c r="F213" s="1747" t="s">
        <v>2883</v>
      </c>
    </row>
    <row r="214" spans="1:6" ht="25.9" customHeight="1">
      <c r="A214" s="1755">
        <v>211</v>
      </c>
      <c r="B214" s="1756" t="s">
        <v>2726</v>
      </c>
      <c r="C214" s="1756" t="s">
        <v>2890</v>
      </c>
      <c r="D214" s="1757" t="str">
        <f t="shared" si="5"/>
        <v>contre un local chauffé</v>
      </c>
      <c r="E214" s="1759" t="s">
        <v>1166</v>
      </c>
      <c r="F214" s="1747" t="s">
        <v>2800</v>
      </c>
    </row>
    <row r="215" spans="1:6" ht="25.9" customHeight="1">
      <c r="A215" s="1755">
        <v>212</v>
      </c>
      <c r="B215" s="1756" t="s">
        <v>2726</v>
      </c>
      <c r="C215" s="1756" t="s">
        <v>2891</v>
      </c>
      <c r="D215" s="1757" t="str">
        <f t="shared" si="5"/>
        <v>2ème toit</v>
      </c>
      <c r="E215" s="1759" t="s">
        <v>1167</v>
      </c>
      <c r="F215" s="1747" t="s">
        <v>2883</v>
      </c>
    </row>
    <row r="216" spans="1:6" ht="25.9" customHeight="1">
      <c r="A216" s="1755">
        <v>213</v>
      </c>
      <c r="B216" s="1756" t="s">
        <v>2726</v>
      </c>
      <c r="C216" s="1756" t="s">
        <v>2892</v>
      </c>
      <c r="D216" s="1757" t="str">
        <f t="shared" si="5"/>
        <v>( Supplément de régulation et température chauffage sol inclu)</v>
      </c>
      <c r="E216" s="1759" t="s">
        <v>228</v>
      </c>
      <c r="F216" s="1747" t="s">
        <v>2893</v>
      </c>
    </row>
    <row r="217" spans="1:6" ht="25.9" customHeight="1">
      <c r="A217" s="1755">
        <v>214</v>
      </c>
      <c r="B217" s="1756" t="s">
        <v>2726</v>
      </c>
      <c r="C217" s="1756" t="s">
        <v>2894</v>
      </c>
      <c r="D217" s="1757" t="str">
        <f t="shared" si="5"/>
        <v>Les valeurs mensuelles sont à remplir sur la feuille 'ValeurU'.</v>
      </c>
      <c r="E217" s="1759" t="s">
        <v>1422</v>
      </c>
      <c r="F217" s="1747" t="s">
        <v>2895</v>
      </c>
    </row>
    <row r="218" spans="1:6" ht="25.9" customHeight="1">
      <c r="A218" s="1755">
        <v>215</v>
      </c>
      <c r="B218" s="1756" t="s">
        <v>2726</v>
      </c>
      <c r="C218" s="1756" t="s">
        <v>3094</v>
      </c>
      <c r="D218" s="1757" t="str">
        <f t="shared" si="5"/>
        <v>Local non chauffé --&gt;</v>
      </c>
      <c r="E218" s="1759" t="s">
        <v>3096</v>
      </c>
      <c r="F218" s="1780" t="s">
        <v>3097</v>
      </c>
    </row>
    <row r="219" spans="1:6" ht="25.9" customHeight="1">
      <c r="A219" s="1755">
        <v>216</v>
      </c>
      <c r="B219" s="1756" t="s">
        <v>2726</v>
      </c>
      <c r="C219" s="1756" t="s">
        <v>3104</v>
      </c>
      <c r="D219" s="1757" t="str">
        <f t="shared" si="5"/>
        <v>local non chauffé</v>
      </c>
      <c r="E219" s="1759" t="s">
        <v>3103</v>
      </c>
      <c r="F219" s="1747" t="s">
        <v>3095</v>
      </c>
    </row>
    <row r="220" spans="1:6" ht="25.9" customHeight="1">
      <c r="A220" s="1755">
        <v>217</v>
      </c>
      <c r="B220" s="1756" t="s">
        <v>2726</v>
      </c>
      <c r="C220" s="1756" t="s">
        <v>3099</v>
      </c>
      <c r="D220" s="1757" t="str">
        <f t="shared" si="5"/>
        <v>*1: Valeur b est remplie manuelle</v>
      </c>
      <c r="E220" s="1759" t="s">
        <v>2876</v>
      </c>
      <c r="F220" s="1747" t="s">
        <v>2878</v>
      </c>
    </row>
    <row r="221" spans="1:6" ht="25.9" customHeight="1">
      <c r="A221" s="1755">
        <v>218</v>
      </c>
      <c r="B221" s="1756" t="s">
        <v>2726</v>
      </c>
      <c r="C221" s="1756" t="s">
        <v>3116</v>
      </c>
      <c r="D221" s="1757" t="str">
        <f t="shared" si="5"/>
        <v>Température</v>
      </c>
      <c r="E221" s="1759" t="s">
        <v>2209</v>
      </c>
      <c r="F221" s="1747" t="s">
        <v>3101</v>
      </c>
    </row>
    <row r="222" spans="1:6" ht="25.9" customHeight="1">
      <c r="A222" s="1755">
        <v>219</v>
      </c>
      <c r="B222" s="1756" t="s">
        <v>2726</v>
      </c>
      <c r="C222" s="1756" t="s">
        <v>3115</v>
      </c>
      <c r="D222" s="1757" t="str">
        <f t="shared" si="5"/>
        <v>voisine</v>
      </c>
      <c r="E222" s="1759" t="s">
        <v>3100</v>
      </c>
      <c r="F222" s="1747" t="s">
        <v>3102</v>
      </c>
    </row>
    <row r="223" spans="1:6" ht="25.9" customHeight="1">
      <c r="A223" s="1755">
        <v>220</v>
      </c>
      <c r="B223" s="1756" t="s">
        <v>2726</v>
      </c>
      <c r="C223" s="1756" t="s">
        <v>3109</v>
      </c>
      <c r="D223" s="1757" t="str">
        <f t="shared" si="5"/>
        <v>parois contre local non chauffé ou la terre:</v>
      </c>
      <c r="E223" s="1759" t="s">
        <v>3107</v>
      </c>
      <c r="F223" s="1747" t="s">
        <v>3108</v>
      </c>
    </row>
    <row r="224" spans="1:6" ht="25.9" customHeight="1">
      <c r="A224" s="1755">
        <v>221</v>
      </c>
      <c r="B224" s="1756" t="s">
        <v>2626</v>
      </c>
      <c r="C224" s="1756" t="s">
        <v>2909</v>
      </c>
      <c r="D224" s="1757" t="str">
        <f t="shared" si="5"/>
        <v>Argile ou Silt</v>
      </c>
      <c r="E224" s="1759" t="s">
        <v>1204</v>
      </c>
      <c r="F224" s="1747" t="s">
        <v>2906</v>
      </c>
    </row>
    <row r="225" spans="1:6" ht="25.9" customHeight="1">
      <c r="A225" s="1755">
        <v>222</v>
      </c>
      <c r="B225" s="1756" t="s">
        <v>2626</v>
      </c>
      <c r="C225" s="1756" t="s">
        <v>2910</v>
      </c>
      <c r="D225" s="1757" t="str">
        <f t="shared" si="5"/>
        <v>Sable ou gravier (humide)</v>
      </c>
      <c r="E225" s="1759" t="s">
        <v>1205</v>
      </c>
      <c r="F225" s="1747" t="s">
        <v>2907</v>
      </c>
    </row>
    <row r="226" spans="1:6" ht="25.9" customHeight="1">
      <c r="A226" s="1755">
        <v>223</v>
      </c>
      <c r="B226" s="1756" t="s">
        <v>2626</v>
      </c>
      <c r="C226" s="1756" t="s">
        <v>2911</v>
      </c>
      <c r="D226" s="1757" t="str">
        <f t="shared" si="5"/>
        <v>Roc homogène</v>
      </c>
      <c r="E226" s="1759" t="s">
        <v>1782</v>
      </c>
      <c r="F226" s="1747" t="s">
        <v>2908</v>
      </c>
    </row>
    <row r="227" spans="1:6" ht="25.9" customHeight="1">
      <c r="A227" s="1755">
        <v>224</v>
      </c>
      <c r="B227" s="1756" t="s">
        <v>1778</v>
      </c>
      <c r="C227" s="1756" t="s">
        <v>2913</v>
      </c>
      <c r="D227" s="1757" t="str">
        <f t="shared" si="5"/>
        <v>Pas de bandes de rive horizontale</v>
      </c>
      <c r="E227" s="1759" t="s">
        <v>1017</v>
      </c>
      <c r="F227" s="1747" t="s">
        <v>2912</v>
      </c>
    </row>
    <row r="228" spans="1:6" ht="25.9" customHeight="1">
      <c r="A228" s="1755">
        <v>225</v>
      </c>
      <c r="B228" s="1756" t="s">
        <v>1778</v>
      </c>
      <c r="C228" s="1756" t="s">
        <v>2915</v>
      </c>
      <c r="D228" s="1757" t="str">
        <f t="shared" si="5"/>
        <v>Pas de bandes de rive verticale</v>
      </c>
      <c r="E228" s="1759" t="s">
        <v>1997</v>
      </c>
      <c r="F228" s="1747" t="s">
        <v>2914</v>
      </c>
    </row>
    <row r="229" spans="1:6" ht="25.9" customHeight="1">
      <c r="A229" s="1755">
        <v>226</v>
      </c>
      <c r="B229" s="1756" t="s">
        <v>2483</v>
      </c>
      <c r="C229" s="1756" t="s">
        <v>2476</v>
      </c>
      <c r="D229" s="1757" t="str">
        <f t="shared" si="5"/>
        <v>Surface de référence énergétique:</v>
      </c>
      <c r="E229" s="1759" t="s">
        <v>78</v>
      </c>
      <c r="F229" s="1747" t="s">
        <v>2916</v>
      </c>
    </row>
    <row r="230" spans="1:6" ht="25.9" customHeight="1">
      <c r="A230" s="1755">
        <v>227</v>
      </c>
      <c r="B230" s="1756" t="s">
        <v>2483</v>
      </c>
      <c r="C230" s="1756" t="s">
        <v>2513</v>
      </c>
      <c r="D230" s="1757" t="str">
        <f t="shared" si="5"/>
        <v>Facteur d'ombrage de la façade ayant la plus grande surface vitrée:</v>
      </c>
      <c r="E230" s="1759" t="s">
        <v>2315</v>
      </c>
      <c r="F230" s="1747" t="s">
        <v>2917</v>
      </c>
    </row>
    <row r="231" spans="1:6" ht="25.9" customHeight="1">
      <c r="A231" s="1755">
        <v>228</v>
      </c>
      <c r="B231" s="1756" t="s">
        <v>2483</v>
      </c>
      <c r="C231" s="1756" t="s">
        <v>2514</v>
      </c>
      <c r="D231" s="1757" t="str">
        <f t="shared" si="5"/>
        <v>Longueur totale des ponts thermiques linéaires:</v>
      </c>
      <c r="E231" s="1759" t="s">
        <v>382</v>
      </c>
      <c r="F231" s="1747" t="s">
        <v>2918</v>
      </c>
    </row>
    <row r="232" spans="1:6" ht="25.9" customHeight="1">
      <c r="A232" s="1755">
        <v>229</v>
      </c>
      <c r="B232" s="1756" t="s">
        <v>2483</v>
      </c>
      <c r="C232" s="1756" t="s">
        <v>2478</v>
      </c>
      <c r="D232" s="1757" t="str">
        <f t="shared" si="5"/>
        <v>Bâtiment avec chauffage par sol</v>
      </c>
      <c r="E232" s="1759" t="s">
        <v>377</v>
      </c>
      <c r="F232" s="1747" t="s">
        <v>2919</v>
      </c>
    </row>
    <row r="233" spans="1:6" ht="25.9" customHeight="1">
      <c r="A233" s="1755">
        <v>230</v>
      </c>
      <c r="B233" s="1756" t="s">
        <v>2483</v>
      </c>
      <c r="C233" s="1756" t="s">
        <v>2479</v>
      </c>
      <c r="D233" s="1757" t="str">
        <f t="shared" si="5"/>
        <v>Supplément pour régulation non performante</v>
      </c>
      <c r="E233" s="1759" t="s">
        <v>380</v>
      </c>
      <c r="F233" s="1747" t="s">
        <v>2920</v>
      </c>
    </row>
    <row r="234" spans="1:6" ht="25.9" customHeight="1">
      <c r="A234" s="1755">
        <v>231</v>
      </c>
      <c r="B234" s="1756" t="s">
        <v>2483</v>
      </c>
      <c r="C234" s="1756" t="s">
        <v>2567</v>
      </c>
      <c r="D234" s="1757" t="str">
        <f t="shared" si="5"/>
        <v>Facteur d'envelope Ath/SRE</v>
      </c>
      <c r="E234" s="1759" t="s">
        <v>376</v>
      </c>
      <c r="F234" s="1747" t="s">
        <v>2921</v>
      </c>
    </row>
    <row r="235" spans="1:6" ht="25.9" customHeight="1">
      <c r="A235" s="1755">
        <v>232</v>
      </c>
      <c r="B235" s="1756" t="s">
        <v>2483</v>
      </c>
      <c r="C235" s="1756" t="s">
        <v>2923</v>
      </c>
      <c r="D235" s="1757" t="str">
        <f t="shared" si="5"/>
        <v xml:space="preserve">Temp. de dimensionnement </v>
      </c>
      <c r="E235" s="1759" t="s">
        <v>378</v>
      </c>
      <c r="F235" s="1747" t="s">
        <v>2922</v>
      </c>
    </row>
    <row r="236" spans="1:6" ht="25.9" customHeight="1">
      <c r="A236" s="1755">
        <v>233</v>
      </c>
      <c r="B236" s="1756" t="s">
        <v>2483</v>
      </c>
      <c r="C236" s="1756" t="s">
        <v>2568</v>
      </c>
      <c r="D236" s="1757" t="str">
        <f t="shared" si="5"/>
        <v>Système:</v>
      </c>
      <c r="E236" s="1759" t="s">
        <v>381</v>
      </c>
      <c r="F236" s="1747" t="s">
        <v>2924</v>
      </c>
    </row>
    <row r="237" spans="1:6" ht="25.9" customHeight="1">
      <c r="A237" s="1755">
        <v>234</v>
      </c>
      <c r="B237" s="1756" t="s">
        <v>2483</v>
      </c>
      <c r="C237" s="1756" t="s">
        <v>2493</v>
      </c>
      <c r="D237" s="1757" t="str">
        <f t="shared" si="5"/>
        <v>Besoins de chaleur pour le chauffage</v>
      </c>
      <c r="E237" s="1759" t="s">
        <v>2954</v>
      </c>
      <c r="F237" s="1747" t="s">
        <v>2955</v>
      </c>
    </row>
    <row r="238" spans="1:6" ht="25.9" customHeight="1">
      <c r="A238" s="1755">
        <v>235</v>
      </c>
      <c r="B238" s="1756" t="s">
        <v>2483</v>
      </c>
      <c r="C238" s="1756" t="s">
        <v>2950</v>
      </c>
      <c r="D238" s="1757" t="str">
        <f t="shared" si="5"/>
        <v>Valeur-limite MINERGIE-P</v>
      </c>
      <c r="E238" s="1759" t="s">
        <v>2925</v>
      </c>
      <c r="F238" s="1747" t="s">
        <v>2926</v>
      </c>
    </row>
    <row r="239" spans="1:6" ht="25.9" customHeight="1">
      <c r="A239" s="1755">
        <v>236</v>
      </c>
      <c r="B239" s="1756" t="s">
        <v>2483</v>
      </c>
      <c r="C239" s="1756" t="s">
        <v>2950</v>
      </c>
      <c r="D239" s="1757" t="str">
        <f t="shared" si="5"/>
        <v>Valeur-limite</v>
      </c>
      <c r="E239" s="1759" t="s">
        <v>272</v>
      </c>
      <c r="F239" s="1747" t="s">
        <v>2957</v>
      </c>
    </row>
    <row r="240" spans="1:6" ht="25.9" customHeight="1">
      <c r="A240" s="1755">
        <v>237</v>
      </c>
      <c r="B240" s="1756" t="s">
        <v>2483</v>
      </c>
      <c r="C240" s="1756" t="s">
        <v>2495</v>
      </c>
      <c r="D240" s="1757" t="str">
        <f t="shared" si="5"/>
        <v>Exigence globale</v>
      </c>
      <c r="E240" s="1759" t="s">
        <v>79</v>
      </c>
      <c r="F240" s="1747" t="s">
        <v>2927</v>
      </c>
    </row>
    <row r="241" spans="1:6" ht="25.9" customHeight="1">
      <c r="A241" s="1755">
        <v>238</v>
      </c>
      <c r="B241" s="1756" t="s">
        <v>2483</v>
      </c>
      <c r="C241" s="1756" t="s">
        <v>2930</v>
      </c>
      <c r="D241" s="1757" t="str">
        <f t="shared" si="5"/>
        <v>x   non respectée</v>
      </c>
      <c r="E241" s="1759" t="s">
        <v>2928</v>
      </c>
      <c r="F241" s="1747" t="s">
        <v>2929</v>
      </c>
    </row>
    <row r="242" spans="1:6" ht="25.9" customHeight="1">
      <c r="A242" s="1755">
        <v>239</v>
      </c>
      <c r="B242" s="1756" t="s">
        <v>2483</v>
      </c>
      <c r="C242" s="1756" t="s">
        <v>2494</v>
      </c>
      <c r="D242" s="1757" t="str">
        <f t="shared" si="5"/>
        <v>(Valeur-limite des cantons Basel-Land et Basel-Stadt: 90% de valeur-limite de l'SIA)</v>
      </c>
      <c r="E242" s="1759" t="s">
        <v>2931</v>
      </c>
      <c r="F242" s="1747" t="s">
        <v>2932</v>
      </c>
    </row>
    <row r="243" spans="1:6" ht="25.9" customHeight="1">
      <c r="A243" s="1755">
        <v>240</v>
      </c>
      <c r="B243" s="1756" t="s">
        <v>2483</v>
      </c>
      <c r="C243" s="1756" t="s">
        <v>2494</v>
      </c>
      <c r="D243" s="1757" t="str">
        <f t="shared" si="5"/>
        <v>(Valeur-limite des cantons Basel-Land et Basel-Stadt: 80% de valeur-limite de l'SIA)</v>
      </c>
      <c r="E243" s="1759" t="s">
        <v>2934</v>
      </c>
      <c r="F243" s="1747" t="s">
        <v>2933</v>
      </c>
    </row>
    <row r="244" spans="1:6" ht="25.9" customHeight="1">
      <c r="A244" s="1755">
        <v>241</v>
      </c>
      <c r="B244" s="1756" t="s">
        <v>2483</v>
      </c>
      <c r="C244" s="1756" t="s">
        <v>2494</v>
      </c>
      <c r="D244" s="1757" t="str">
        <f t="shared" si="5"/>
        <v>(Valeur-limite Fürstentum Liechtenstein: 90% de valeur-limite de l'SIA)</v>
      </c>
      <c r="E244" s="1759" t="s">
        <v>2937</v>
      </c>
      <c r="F244" s="1747" t="s">
        <v>2935</v>
      </c>
    </row>
    <row r="245" spans="1:6" ht="25.9" customHeight="1">
      <c r="A245" s="1755">
        <v>242</v>
      </c>
      <c r="B245" s="1756" t="s">
        <v>2483</v>
      </c>
      <c r="C245" s="1756" t="s">
        <v>2494</v>
      </c>
      <c r="D245" s="1757" t="str">
        <f t="shared" si="5"/>
        <v>(Valeur-limite Fürstentum Liechtenstein: 80% de valeur-limite de l'SIA)</v>
      </c>
      <c r="E245" s="1759" t="s">
        <v>2938</v>
      </c>
      <c r="F245" s="1747" t="s">
        <v>2936</v>
      </c>
    </row>
    <row r="246" spans="1:6" ht="25.9" customHeight="1">
      <c r="A246" s="1755">
        <v>243</v>
      </c>
      <c r="B246" s="1756" t="s">
        <v>2483</v>
      </c>
      <c r="C246" s="1756" t="s">
        <v>2497</v>
      </c>
      <c r="D246" s="1757" t="str">
        <f t="shared" si="5"/>
        <v>Les soussignés confirment par leur signature que les indications figurant ci-dessus et celles utilisées pour</v>
      </c>
      <c r="E246" s="1759" t="s">
        <v>959</v>
      </c>
      <c r="F246" s="1747" t="s">
        <v>2939</v>
      </c>
    </row>
    <row r="247" spans="1:6" ht="25.9" customHeight="1">
      <c r="A247" s="1755">
        <v>244</v>
      </c>
      <c r="B247" s="1756" t="s">
        <v>2483</v>
      </c>
      <c r="C247" s="1756" t="s">
        <v>2501</v>
      </c>
      <c r="D247" s="1757" t="str">
        <f t="shared" si="5"/>
        <v>établir la justification d'une isolation thermique suffisante sont exactes et complètes.</v>
      </c>
      <c r="E247" s="1759" t="s">
        <v>879</v>
      </c>
      <c r="F247" s="1747" t="s">
        <v>2940</v>
      </c>
    </row>
    <row r="248" spans="1:6" ht="25.9" customHeight="1">
      <c r="A248" s="1755">
        <v>245</v>
      </c>
      <c r="B248" s="1756" t="s">
        <v>2483</v>
      </c>
      <c r="C248" s="1756" t="s">
        <v>2627</v>
      </c>
      <c r="D248" s="1757" t="str">
        <f t="shared" si="5"/>
        <v>L'auteur du projet:</v>
      </c>
      <c r="E248" s="1759" t="s">
        <v>877</v>
      </c>
      <c r="F248" s="1747" t="s">
        <v>2941</v>
      </c>
    </row>
    <row r="249" spans="1:6" ht="25.9" customHeight="1">
      <c r="A249" s="1755">
        <v>246</v>
      </c>
      <c r="B249" s="1756" t="s">
        <v>2483</v>
      </c>
      <c r="C249" s="1756" t="s">
        <v>2943</v>
      </c>
      <c r="D249" s="1757" t="str">
        <f t="shared" si="5"/>
        <v>L'auteur du justificatif:</v>
      </c>
      <c r="E249" s="1759" t="s">
        <v>878</v>
      </c>
      <c r="F249" s="1747" t="s">
        <v>2942</v>
      </c>
    </row>
    <row r="250" spans="1:6" ht="25.9" customHeight="1">
      <c r="A250" s="1755">
        <v>247</v>
      </c>
      <c r="B250" s="1756" t="s">
        <v>2483</v>
      </c>
      <c r="C250" s="1756" t="s">
        <v>2945</v>
      </c>
      <c r="D250" s="1757" t="str">
        <f t="shared" si="5"/>
        <v>Date:</v>
      </c>
      <c r="E250" s="1759" t="s">
        <v>960</v>
      </c>
      <c r="F250" s="1747" t="s">
        <v>2944</v>
      </c>
    </row>
    <row r="251" spans="1:6" ht="25.9" customHeight="1">
      <c r="A251" s="1755">
        <v>248</v>
      </c>
      <c r="B251" s="1756" t="s">
        <v>2483</v>
      </c>
      <c r="C251" s="1756" t="s">
        <v>2946</v>
      </c>
      <c r="D251" s="1757" t="str">
        <f t="shared" si="5"/>
        <v>Justification:</v>
      </c>
      <c r="E251" s="1759" t="s">
        <v>1417</v>
      </c>
      <c r="F251" s="1747" t="s">
        <v>2640</v>
      </c>
    </row>
    <row r="252" spans="1:6" ht="25.9" customHeight="1">
      <c r="A252" s="1755">
        <v>249</v>
      </c>
      <c r="B252" s="1756" t="s">
        <v>2483</v>
      </c>
      <c r="C252" s="1756" t="s">
        <v>2947</v>
      </c>
      <c r="D252" s="1757" t="str">
        <f t="shared" si="5"/>
        <v>Page 2 de 10</v>
      </c>
      <c r="E252" s="1759" t="s">
        <v>4074</v>
      </c>
      <c r="F252" s="1747" t="s">
        <v>4075</v>
      </c>
    </row>
    <row r="253" spans="1:6" ht="25.9" customHeight="1">
      <c r="A253" s="1755">
        <v>250</v>
      </c>
      <c r="B253" s="1756" t="s">
        <v>2483</v>
      </c>
      <c r="C253" s="1756" t="s">
        <v>2480</v>
      </c>
      <c r="D253" s="1757" t="str">
        <f t="shared" si="5"/>
        <v>Puissance de chauffage spécifique</v>
      </c>
      <c r="E253" s="1759" t="s">
        <v>2948</v>
      </c>
      <c r="F253" s="1747" t="s">
        <v>2949</v>
      </c>
    </row>
    <row r="254" spans="1:6" ht="25.9" customHeight="1">
      <c r="A254" s="1755">
        <v>251</v>
      </c>
      <c r="B254" s="1756" t="s">
        <v>2483</v>
      </c>
      <c r="C254" s="1756" t="s">
        <v>2961</v>
      </c>
      <c r="D254" s="1757" t="str">
        <f t="shared" si="5"/>
        <v>et</v>
      </c>
      <c r="E254" s="1759" t="s">
        <v>2959</v>
      </c>
      <c r="F254" s="1747" t="s">
        <v>2960</v>
      </c>
    </row>
    <row r="255" spans="1:6" ht="25.9" customHeight="1">
      <c r="A255" s="1755">
        <v>252</v>
      </c>
      <c r="B255" s="1756" t="s">
        <v>2483</v>
      </c>
      <c r="C255" s="1756" t="s">
        <v>2964</v>
      </c>
      <c r="D255" s="1757" t="str">
        <f t="shared" si="5"/>
        <v>1. Surface de référence énergétique SRE (AE) et valeur-limite (Qh,li)</v>
      </c>
      <c r="E255" s="1759" t="s">
        <v>2962</v>
      </c>
      <c r="F255" s="1747" t="s">
        <v>2963</v>
      </c>
    </row>
    <row r="256" spans="1:6" ht="25.9" customHeight="1">
      <c r="A256" s="1755">
        <v>253</v>
      </c>
      <c r="B256" s="1756" t="s">
        <v>2483</v>
      </c>
      <c r="C256" s="1756" t="s">
        <v>2966</v>
      </c>
      <c r="D256" s="1757" t="str">
        <f t="shared" si="5"/>
        <v>zone thermique</v>
      </c>
      <c r="E256" s="1759" t="s">
        <v>748</v>
      </c>
      <c r="F256" s="1747" t="s">
        <v>2965</v>
      </c>
    </row>
    <row r="257" spans="1:6" ht="25.9" customHeight="1">
      <c r="A257" s="1755">
        <v>254</v>
      </c>
      <c r="B257" s="1756" t="s">
        <v>2483</v>
      </c>
      <c r="C257" s="1756" t="s">
        <v>2967</v>
      </c>
      <c r="D257" s="1757" t="str">
        <f t="shared" si="5"/>
        <v>Correction de Qh,li en fonction de la température extérieure moyenne annuelle</v>
      </c>
      <c r="E257" s="1759" t="s">
        <v>749</v>
      </c>
      <c r="F257" s="1747" t="s">
        <v>2968</v>
      </c>
    </row>
    <row r="258" spans="1:6" ht="25.9" customHeight="1">
      <c r="A258" s="1755">
        <v>255</v>
      </c>
      <c r="B258" s="1756" t="s">
        <v>2483</v>
      </c>
      <c r="C258" s="1756" t="s">
        <v>2973</v>
      </c>
      <c r="D258" s="1757" t="str">
        <f t="shared" si="5"/>
        <v>2. Distribution des éléments d'enveloppe et facteur de réduction dû à l'effet des ombres permanentes</v>
      </c>
      <c r="E258" s="1759" t="s">
        <v>2971</v>
      </c>
      <c r="F258" s="1747" t="s">
        <v>2972</v>
      </c>
    </row>
    <row r="259" spans="1:6" ht="25.9" customHeight="1">
      <c r="A259" s="1755">
        <v>256</v>
      </c>
      <c r="B259" s="1756" t="s">
        <v>2483</v>
      </c>
      <c r="C259" s="1756" t="s">
        <v>2887</v>
      </c>
      <c r="D259" s="1757" t="str">
        <f t="shared" si="5"/>
        <v>N</v>
      </c>
      <c r="E259" s="1759" t="s">
        <v>1576</v>
      </c>
      <c r="F259" s="1747" t="s">
        <v>1576</v>
      </c>
    </row>
    <row r="260" spans="1:6" ht="25.9" customHeight="1">
      <c r="A260" s="1755">
        <v>257</v>
      </c>
      <c r="B260" s="1756" t="s">
        <v>2483</v>
      </c>
      <c r="C260" s="1756" t="s">
        <v>2887</v>
      </c>
      <c r="D260" s="1757" t="str">
        <f t="shared" ref="D260:D323" si="6">INDEX($E$4:$G$809,$A260,$A$1)</f>
        <v>NE</v>
      </c>
      <c r="E260" s="1759" t="s">
        <v>2974</v>
      </c>
      <c r="F260" s="1747" t="s">
        <v>2974</v>
      </c>
    </row>
    <row r="261" spans="1:6" ht="25.9" customHeight="1">
      <c r="A261" s="1755">
        <v>258</v>
      </c>
      <c r="B261" s="1756" t="s">
        <v>2483</v>
      </c>
      <c r="C261" s="1756" t="s">
        <v>2978</v>
      </c>
      <c r="D261" s="1757" t="str">
        <f t="shared" si="6"/>
        <v>Est</v>
      </c>
      <c r="E261" s="1759" t="s">
        <v>1583</v>
      </c>
      <c r="F261" s="1747" t="s">
        <v>2751</v>
      </c>
    </row>
    <row r="262" spans="1:6" ht="25.9" customHeight="1">
      <c r="A262" s="1755">
        <v>259</v>
      </c>
      <c r="B262" s="1756" t="s">
        <v>2483</v>
      </c>
      <c r="C262" s="1756" t="s">
        <v>2978</v>
      </c>
      <c r="D262" s="1757" t="str">
        <f t="shared" si="6"/>
        <v>SE</v>
      </c>
      <c r="E262" s="1759" t="s">
        <v>716</v>
      </c>
      <c r="F262" s="1747" t="s">
        <v>716</v>
      </c>
    </row>
    <row r="263" spans="1:6" ht="25.9" customHeight="1">
      <c r="A263" s="1755">
        <v>260</v>
      </c>
      <c r="B263" s="1756" t="s">
        <v>2483</v>
      </c>
      <c r="C263" s="1756" t="s">
        <v>2979</v>
      </c>
      <c r="D263" s="1757" t="str">
        <f t="shared" si="6"/>
        <v>Sud</v>
      </c>
      <c r="E263" s="1759" t="s">
        <v>356</v>
      </c>
      <c r="F263" s="1747" t="s">
        <v>2755</v>
      </c>
    </row>
    <row r="264" spans="1:6" ht="25.9" customHeight="1">
      <c r="A264" s="1755">
        <v>261</v>
      </c>
      <c r="B264" s="1756" t="s">
        <v>2483</v>
      </c>
      <c r="C264" s="1756" t="s">
        <v>2979</v>
      </c>
      <c r="D264" s="1757" t="str">
        <f t="shared" si="6"/>
        <v>SO</v>
      </c>
      <c r="E264" s="1759" t="s">
        <v>2975</v>
      </c>
      <c r="F264" s="1747" t="s">
        <v>2976</v>
      </c>
    </row>
    <row r="265" spans="1:6" ht="25.9" customHeight="1">
      <c r="A265" s="1755">
        <v>262</v>
      </c>
      <c r="B265" s="1756" t="s">
        <v>2483</v>
      </c>
      <c r="C265" s="1756" t="s">
        <v>2980</v>
      </c>
      <c r="D265" s="1757" t="str">
        <f t="shared" si="6"/>
        <v>Ouest</v>
      </c>
      <c r="E265" s="1759" t="s">
        <v>1181</v>
      </c>
      <c r="F265" s="1747" t="s">
        <v>2753</v>
      </c>
    </row>
    <row r="266" spans="1:6" ht="25.9" customHeight="1">
      <c r="A266" s="1755">
        <v>263</v>
      </c>
      <c r="B266" s="1756" t="s">
        <v>2483</v>
      </c>
      <c r="C266" s="1756" t="s">
        <v>2980</v>
      </c>
      <c r="D266" s="1757" t="str">
        <f t="shared" si="6"/>
        <v>NO</v>
      </c>
      <c r="E266" s="1759" t="s">
        <v>704</v>
      </c>
      <c r="F266" s="1747" t="s">
        <v>2977</v>
      </c>
    </row>
    <row r="267" spans="1:6" ht="25.9" customHeight="1">
      <c r="A267" s="1755">
        <v>264</v>
      </c>
      <c r="B267" s="1756" t="s">
        <v>2483</v>
      </c>
      <c r="C267" s="1756" t="s">
        <v>2886</v>
      </c>
      <c r="D267" s="1757" t="str">
        <f t="shared" si="6"/>
        <v>façades</v>
      </c>
      <c r="E267" s="1759" t="s">
        <v>977</v>
      </c>
      <c r="F267" s="1747" t="s">
        <v>2981</v>
      </c>
    </row>
    <row r="268" spans="1:6" ht="25.9" customHeight="1">
      <c r="A268" s="1755">
        <v>265</v>
      </c>
      <c r="B268" s="1756" t="s">
        <v>2483</v>
      </c>
      <c r="C268" s="1756" t="s">
        <v>2619</v>
      </c>
      <c r="D268" s="1757" t="str">
        <f t="shared" si="6"/>
        <v>toit, plafond</v>
      </c>
      <c r="E268" s="1759" t="s">
        <v>2007</v>
      </c>
      <c r="F268" s="1747" t="s">
        <v>2982</v>
      </c>
    </row>
    <row r="269" spans="1:6" ht="25.9" customHeight="1">
      <c r="A269" s="1755">
        <v>266</v>
      </c>
      <c r="B269" s="1756" t="s">
        <v>2483</v>
      </c>
      <c r="C269" s="1756" t="s">
        <v>2984</v>
      </c>
      <c r="D269" s="1757" t="str">
        <f t="shared" si="6"/>
        <v>plancher</v>
      </c>
      <c r="E269" s="1759" t="s">
        <v>978</v>
      </c>
      <c r="F269" s="1747" t="s">
        <v>2983</v>
      </c>
    </row>
    <row r="270" spans="1:6" ht="25.9" customHeight="1">
      <c r="A270" s="1755">
        <v>267</v>
      </c>
      <c r="B270" s="1756" t="s">
        <v>2483</v>
      </c>
      <c r="C270" s="1756" t="s">
        <v>2988</v>
      </c>
      <c r="D270" s="1757" t="str">
        <f t="shared" si="6"/>
        <v>total</v>
      </c>
      <c r="E270" s="1759" t="s">
        <v>750</v>
      </c>
      <c r="F270" s="1747" t="s">
        <v>2985</v>
      </c>
    </row>
    <row r="271" spans="1:6" ht="25.9" customHeight="1">
      <c r="A271" s="1755">
        <v>268</v>
      </c>
      <c r="B271" s="1756" t="s">
        <v>2483</v>
      </c>
      <c r="C271" s="1756" t="s">
        <v>2989</v>
      </c>
      <c r="D271" s="1757" t="str">
        <f t="shared" si="6"/>
        <v>surface des éléments en m2</v>
      </c>
      <c r="E271" s="1759" t="s">
        <v>2987</v>
      </c>
      <c r="F271" s="1747" t="s">
        <v>2986</v>
      </c>
    </row>
    <row r="272" spans="1:6" ht="25.9" customHeight="1">
      <c r="A272" s="1755">
        <v>269</v>
      </c>
      <c r="B272" s="1756" t="s">
        <v>2483</v>
      </c>
      <c r="C272" s="1756" t="s">
        <v>2992</v>
      </c>
      <c r="D272" s="1757" t="str">
        <f t="shared" si="6"/>
        <v>opaques contre l’extérieur</v>
      </c>
      <c r="E272" s="1759" t="s">
        <v>2990</v>
      </c>
      <c r="F272" s="1747" t="s">
        <v>2991</v>
      </c>
    </row>
    <row r="273" spans="1:6" ht="25.9" customHeight="1">
      <c r="A273" s="1755">
        <v>270</v>
      </c>
      <c r="B273" s="1756" t="s">
        <v>2483</v>
      </c>
      <c r="C273" s="1756" t="s">
        <v>2995</v>
      </c>
      <c r="D273" s="1757" t="str">
        <f t="shared" si="6"/>
        <v>translucides et portes contre l’extérieur</v>
      </c>
      <c r="E273" s="1759" t="s">
        <v>2994</v>
      </c>
      <c r="F273" s="1747" t="s">
        <v>2993</v>
      </c>
    </row>
    <row r="274" spans="1:6" ht="25.9" customHeight="1">
      <c r="A274" s="1755">
        <v>271</v>
      </c>
      <c r="B274" s="1756" t="s">
        <v>2483</v>
      </c>
      <c r="C274" s="1756" t="s">
        <v>3002</v>
      </c>
      <c r="D274" s="1757" t="str">
        <f t="shared" si="6"/>
        <v>élements contre local non chauffé</v>
      </c>
      <c r="E274" s="1759" t="s">
        <v>2996</v>
      </c>
      <c r="F274" s="1747" t="s">
        <v>2999</v>
      </c>
    </row>
    <row r="275" spans="1:6" ht="25.9" customHeight="1">
      <c r="A275" s="1755">
        <v>272</v>
      </c>
      <c r="B275" s="1756" t="s">
        <v>2483</v>
      </c>
      <c r="C275" s="1756" t="s">
        <v>3003</v>
      </c>
      <c r="D275" s="1757" t="str">
        <f t="shared" si="6"/>
        <v>élements contre le terrain</v>
      </c>
      <c r="E275" s="1759" t="s">
        <v>2997</v>
      </c>
      <c r="F275" s="1747" t="s">
        <v>3000</v>
      </c>
    </row>
    <row r="276" spans="1:6" ht="25.9" customHeight="1">
      <c r="A276" s="1755">
        <v>273</v>
      </c>
      <c r="B276" s="1756" t="s">
        <v>2483</v>
      </c>
      <c r="C276" s="1756" t="s">
        <v>3004</v>
      </c>
      <c r="D276" s="1757" t="str">
        <f t="shared" si="6"/>
        <v>élements contre mitoyens</v>
      </c>
      <c r="E276" s="1759" t="s">
        <v>2998</v>
      </c>
      <c r="F276" s="1747" t="s">
        <v>3001</v>
      </c>
    </row>
    <row r="277" spans="1:6" ht="25.9" customHeight="1">
      <c r="A277" s="1755">
        <v>274</v>
      </c>
      <c r="B277" s="1756" t="s">
        <v>2483</v>
      </c>
      <c r="C277" s="1756" t="s">
        <v>3008</v>
      </c>
      <c r="D277" s="1757" t="str">
        <f t="shared" si="6"/>
        <v>rapport él. trans-lucides + portes/ surface enveloppe contre l’extérieur</v>
      </c>
      <c r="E277" s="1759" t="s">
        <v>3005</v>
      </c>
      <c r="F277" s="1747" t="s">
        <v>3006</v>
      </c>
    </row>
    <row r="278" spans="1:6" ht="25.9" customHeight="1">
      <c r="A278" s="1755">
        <v>275</v>
      </c>
      <c r="B278" s="1756" t="s">
        <v>2483</v>
      </c>
      <c r="C278" s="1756" t="s">
        <v>3009</v>
      </c>
      <c r="D278" s="1757" t="str">
        <f t="shared" si="6"/>
        <v>facteur de réduction Fs dû à l'effet des ombres permanentes (contre l’extérieur)</v>
      </c>
      <c r="E278" s="1759" t="s">
        <v>3007</v>
      </c>
      <c r="F278" s="1747" t="s">
        <v>3023</v>
      </c>
    </row>
    <row r="279" spans="1:6" ht="25.9" customHeight="1">
      <c r="A279" s="1755">
        <v>276</v>
      </c>
      <c r="B279" s="1756" t="s">
        <v>2483</v>
      </c>
      <c r="C279" s="1756" t="s">
        <v>3016</v>
      </c>
      <c r="D279" s="1757" t="str">
        <f t="shared" si="6"/>
        <v>(horizon)</v>
      </c>
      <c r="E279" s="1759" t="s">
        <v>3010</v>
      </c>
      <c r="F279" s="1747" t="s">
        <v>3011</v>
      </c>
    </row>
    <row r="280" spans="1:6" ht="25.9" customHeight="1">
      <c r="A280" s="1755">
        <v>277</v>
      </c>
      <c r="B280" s="1756" t="s">
        <v>2483</v>
      </c>
      <c r="C280" s="1756" t="s">
        <v>3017</v>
      </c>
      <c r="D280" s="1757" t="str">
        <f t="shared" si="6"/>
        <v>(surplomb)</v>
      </c>
      <c r="E280" s="1759" t="s">
        <v>3014</v>
      </c>
      <c r="F280" s="1747" t="s">
        <v>3012</v>
      </c>
    </row>
    <row r="281" spans="1:6" ht="25.9" customHeight="1">
      <c r="A281" s="1755">
        <v>278</v>
      </c>
      <c r="B281" s="1756" t="s">
        <v>2483</v>
      </c>
      <c r="C281" s="1756" t="s">
        <v>3018</v>
      </c>
      <c r="D281" s="1757" t="str">
        <f t="shared" si="6"/>
        <v>(écran latéral)</v>
      </c>
      <c r="E281" s="1759" t="s">
        <v>3015</v>
      </c>
      <c r="F281" s="1747" t="s">
        <v>3013</v>
      </c>
    </row>
    <row r="282" spans="1:6" ht="25.9" customHeight="1">
      <c r="A282" s="1755">
        <v>279</v>
      </c>
      <c r="B282" s="1756" t="s">
        <v>2483</v>
      </c>
      <c r="C282" s="1756" t="s">
        <v>3027</v>
      </c>
      <c r="D282" s="1757" t="str">
        <f t="shared" si="6"/>
        <v>Des déperditions vers le terrain et des déperditions vers des locaux non chauffés (valeur moyenne)</v>
      </c>
      <c r="E282" s="1759" t="s">
        <v>3024</v>
      </c>
      <c r="F282" s="1747" t="s">
        <v>3022</v>
      </c>
    </row>
    <row r="283" spans="1:6" ht="25.9" customHeight="1">
      <c r="A283" s="1755">
        <v>280</v>
      </c>
      <c r="B283" s="1756" t="s">
        <v>2483</v>
      </c>
      <c r="C283" s="1756" t="s">
        <v>3028</v>
      </c>
      <c r="D283" s="1757" t="str">
        <f t="shared" si="6"/>
        <v>facteur de réduction b</v>
      </c>
      <c r="E283" s="1759" t="s">
        <v>3025</v>
      </c>
      <c r="F283" s="1747" t="s">
        <v>3026</v>
      </c>
    </row>
    <row r="284" spans="1:6" ht="25.9" customHeight="1">
      <c r="A284" s="1755">
        <v>281</v>
      </c>
      <c r="B284" s="1756" t="s">
        <v>2483</v>
      </c>
      <c r="C284" s="1756" t="s">
        <v>3029</v>
      </c>
      <c r="D284" s="1757" t="str">
        <f t="shared" si="6"/>
        <v>Rapport des éléments translucides et des portes / SRE:</v>
      </c>
      <c r="E284" s="1759" t="s">
        <v>1751</v>
      </c>
      <c r="F284" s="1747" t="s">
        <v>3033</v>
      </c>
    </row>
    <row r="285" spans="1:6" ht="25.9" customHeight="1">
      <c r="A285" s="1755">
        <v>282</v>
      </c>
      <c r="B285" s="1756" t="s">
        <v>2483</v>
      </c>
      <c r="C285" s="1756" t="s">
        <v>3031</v>
      </c>
      <c r="D285" s="1757" t="str">
        <f t="shared" si="6"/>
        <v>Facteur d’enveloppe</v>
      </c>
      <c r="E285" s="1759" t="s">
        <v>376</v>
      </c>
      <c r="F285" s="1747" t="s">
        <v>3030</v>
      </c>
    </row>
    <row r="286" spans="1:6" ht="25.9" customHeight="1">
      <c r="A286" s="1755">
        <v>283</v>
      </c>
      <c r="B286" s="1756" t="s">
        <v>2726</v>
      </c>
      <c r="C286" s="1756" t="s">
        <v>3036</v>
      </c>
      <c r="D286" s="1757" t="str">
        <f t="shared" si="6"/>
        <v>double</v>
      </c>
      <c r="E286" s="1759" t="s">
        <v>1197</v>
      </c>
      <c r="F286" s="1747" t="s">
        <v>3037</v>
      </c>
    </row>
    <row r="287" spans="1:6" ht="25.9" customHeight="1">
      <c r="A287" s="1755">
        <v>284</v>
      </c>
      <c r="B287" s="1756" t="s">
        <v>2726</v>
      </c>
      <c r="C287" s="1756" t="s">
        <v>3043</v>
      </c>
      <c r="D287" s="1757" t="str">
        <f t="shared" si="6"/>
        <v>La surface n'est pas concordante avec la surface du page 'Fenster'!</v>
      </c>
      <c r="E287" s="1759" t="s">
        <v>3041</v>
      </c>
      <c r="F287" s="1747" t="s">
        <v>3042</v>
      </c>
    </row>
    <row r="288" spans="1:6" ht="25.9" customHeight="1">
      <c r="A288" s="1755">
        <v>285</v>
      </c>
      <c r="B288" s="1756" t="s">
        <v>2726</v>
      </c>
      <c r="C288" s="1756" t="s">
        <v>3045</v>
      </c>
      <c r="D288" s="1757" t="str">
        <f t="shared" si="6"/>
        <v>-&gt; No du local non chauffé manquant!</v>
      </c>
      <c r="E288" s="1759" t="s">
        <v>3040</v>
      </c>
      <c r="F288" s="1780" t="s">
        <v>3044</v>
      </c>
    </row>
    <row r="289" spans="1:6" ht="25.9" customHeight="1">
      <c r="A289" s="1755">
        <v>286</v>
      </c>
      <c r="B289" s="1756" t="s">
        <v>2726</v>
      </c>
      <c r="C289" s="1756" t="s">
        <v>3055</v>
      </c>
      <c r="D289" s="1757" t="str">
        <f t="shared" si="6"/>
        <v>No</v>
      </c>
      <c r="E289" s="1759" t="s">
        <v>1191</v>
      </c>
      <c r="F289" s="1747" t="s">
        <v>1198</v>
      </c>
    </row>
    <row r="290" spans="1:6" ht="25.9" customHeight="1">
      <c r="A290" s="1755">
        <v>287</v>
      </c>
      <c r="B290" s="1756" t="s">
        <v>2726</v>
      </c>
      <c r="C290" s="1756" t="s">
        <v>2511</v>
      </c>
      <c r="D290" s="1757" t="str">
        <f t="shared" si="6"/>
        <v>remplir les cellules rouges!</v>
      </c>
      <c r="E290" s="1759" t="s">
        <v>3053</v>
      </c>
      <c r="F290" s="1747" t="s">
        <v>3054</v>
      </c>
    </row>
    <row r="291" spans="1:6" ht="25.9" customHeight="1">
      <c r="A291" s="1755">
        <v>288</v>
      </c>
      <c r="B291" s="1756" t="s">
        <v>2726</v>
      </c>
      <c r="C291" s="1756" t="s">
        <v>2806</v>
      </c>
      <c r="D291" s="1757" t="str">
        <f t="shared" si="6"/>
        <v>Méthode? (Faites un choix)</v>
      </c>
      <c r="E291" s="1759" t="s">
        <v>3057</v>
      </c>
      <c r="F291" s="1747" t="s">
        <v>3058</v>
      </c>
    </row>
    <row r="292" spans="1:6" ht="25.9" customHeight="1">
      <c r="A292" s="1755">
        <v>289</v>
      </c>
      <c r="B292" s="1756" t="s">
        <v>2726</v>
      </c>
      <c r="C292" s="1756" t="s">
        <v>2806</v>
      </c>
      <c r="D292" s="1757" t="str">
        <f t="shared" si="6"/>
        <v>2 bandes de rive pas possible</v>
      </c>
      <c r="E292" s="1759" t="s">
        <v>3060</v>
      </c>
      <c r="F292" s="1747" t="s">
        <v>3059</v>
      </c>
    </row>
    <row r="293" spans="1:6" ht="25.9" customHeight="1">
      <c r="A293" s="1755">
        <v>290</v>
      </c>
      <c r="B293" s="1756" t="s">
        <v>2726</v>
      </c>
      <c r="C293" s="1756" t="s">
        <v>2806</v>
      </c>
      <c r="D293" s="1757" t="str">
        <f t="shared" si="6"/>
        <v>Mat. de terrain pas identique</v>
      </c>
      <c r="E293" s="1759" t="s">
        <v>3061</v>
      </c>
      <c r="F293" s="1747" t="s">
        <v>3062</v>
      </c>
    </row>
    <row r="294" spans="1:6" ht="25.9" customHeight="1">
      <c r="A294" s="1755">
        <v>291</v>
      </c>
      <c r="B294" s="1756" t="s">
        <v>2726</v>
      </c>
      <c r="C294" s="1756" t="s">
        <v>3064</v>
      </c>
      <c r="D294" s="1757" t="str">
        <f t="shared" si="6"/>
        <v>Parois contre le terrain</v>
      </c>
      <c r="E294" s="1759" t="s">
        <v>3056</v>
      </c>
      <c r="F294" s="1747" t="s">
        <v>3063</v>
      </c>
    </row>
    <row r="295" spans="1:6" ht="25.9" customHeight="1">
      <c r="A295" s="1755">
        <v>292</v>
      </c>
      <c r="B295" s="1756" t="s">
        <v>2726</v>
      </c>
      <c r="C295" s="1756" t="s">
        <v>3076</v>
      </c>
      <c r="D295" s="1757" t="str">
        <f t="shared" si="6"/>
        <v>Volume (Liechtenstein)</v>
      </c>
      <c r="E295" s="1759" t="s">
        <v>1733</v>
      </c>
      <c r="F295" s="1747" t="s">
        <v>3077</v>
      </c>
    </row>
    <row r="296" spans="1:6" ht="25.9" customHeight="1">
      <c r="A296" s="1755">
        <v>293</v>
      </c>
      <c r="B296" s="1756" t="s">
        <v>2626</v>
      </c>
      <c r="C296" s="1756" t="s">
        <v>2900</v>
      </c>
      <c r="D296" s="1757" t="str">
        <f t="shared" si="6"/>
        <v>combles, toit non isolé</v>
      </c>
      <c r="E296" s="1759" t="s">
        <v>2374</v>
      </c>
      <c r="F296" s="1747" t="s">
        <v>2896</v>
      </c>
    </row>
    <row r="297" spans="1:6" ht="25.9" customHeight="1">
      <c r="A297" s="1755">
        <v>294</v>
      </c>
      <c r="B297" s="1756" t="s">
        <v>2626</v>
      </c>
      <c r="C297" s="1756" t="s">
        <v>2901</v>
      </c>
      <c r="D297" s="1757" t="str">
        <f t="shared" si="6"/>
        <v>combles, toit isolé Uue&lt;0.4W/m2K</v>
      </c>
      <c r="E297" s="1759" t="s">
        <v>3078</v>
      </c>
      <c r="F297" s="1747" t="s">
        <v>3080</v>
      </c>
    </row>
    <row r="298" spans="1:6" ht="25.9" customHeight="1">
      <c r="A298" s="1755">
        <v>295</v>
      </c>
      <c r="B298" s="1756" t="s">
        <v>2626</v>
      </c>
      <c r="C298" s="1756" t="s">
        <v>2902</v>
      </c>
      <c r="D298" s="1757" t="str">
        <f t="shared" si="6"/>
        <v>sous-sol entièrement enterré</v>
      </c>
      <c r="E298" s="1759" t="s">
        <v>2137</v>
      </c>
      <c r="F298" s="1747" t="s">
        <v>2897</v>
      </c>
    </row>
    <row r="299" spans="1:6" ht="25.9" customHeight="1">
      <c r="A299" s="1755">
        <v>296</v>
      </c>
      <c r="B299" s="1756" t="s">
        <v>2626</v>
      </c>
      <c r="C299" s="1756" t="s">
        <v>2903</v>
      </c>
      <c r="D299" s="1757" t="str">
        <f t="shared" si="6"/>
        <v>sous-sol entièrement enterré, isolé Uue&lt;0.4W/m2K</v>
      </c>
      <c r="E299" s="1759" t="s">
        <v>3079</v>
      </c>
      <c r="F299" s="1747" t="s">
        <v>3081</v>
      </c>
    </row>
    <row r="300" spans="1:6" ht="25.9" customHeight="1">
      <c r="A300" s="1755">
        <v>297</v>
      </c>
      <c r="B300" s="1756" t="s">
        <v>2626</v>
      </c>
      <c r="C300" s="1756" t="s">
        <v>2904</v>
      </c>
      <c r="D300" s="1757" t="str">
        <f t="shared" si="6"/>
        <v>sous-sol partiellement enterré ou hors terre</v>
      </c>
      <c r="E300" s="1759" t="s">
        <v>650</v>
      </c>
      <c r="F300" s="1747" t="s">
        <v>3052</v>
      </c>
    </row>
    <row r="301" spans="1:6" ht="25.9" customHeight="1">
      <c r="A301" s="1755">
        <v>298</v>
      </c>
      <c r="B301" s="1756" t="s">
        <v>2626</v>
      </c>
      <c r="C301" s="1756" t="s">
        <v>2905</v>
      </c>
      <c r="D301" s="1757" t="str">
        <f t="shared" si="6"/>
        <v>sous-sol partiellement enterré, isolé Uue&lt;0.4W/m2K</v>
      </c>
      <c r="E301" s="1759" t="s">
        <v>3082</v>
      </c>
      <c r="F301" s="1747" t="s">
        <v>3083</v>
      </c>
    </row>
    <row r="302" spans="1:6" ht="25.9" customHeight="1">
      <c r="A302" s="1755">
        <v>299</v>
      </c>
      <c r="B302" s="1756" t="s">
        <v>2626</v>
      </c>
      <c r="C302" s="1756" t="s">
        <v>3087</v>
      </c>
      <c r="D302" s="1757" t="str">
        <f t="shared" si="6"/>
        <v>pièce annexe</v>
      </c>
      <c r="E302" s="1759" t="s">
        <v>3084</v>
      </c>
      <c r="F302" s="1747" t="s">
        <v>2898</v>
      </c>
    </row>
    <row r="303" spans="1:6" ht="25.9" customHeight="1">
      <c r="A303" s="1755">
        <v>300</v>
      </c>
      <c r="B303" s="1756" t="s">
        <v>2626</v>
      </c>
      <c r="C303" s="1756" t="s">
        <v>3088</v>
      </c>
      <c r="D303" s="1757" t="str">
        <f t="shared" si="6"/>
        <v>pièce annexe, isolé Uue&lt;0.4W/m2K</v>
      </c>
      <c r="E303" s="1759" t="s">
        <v>3085</v>
      </c>
      <c r="F303" s="1747" t="s">
        <v>3086</v>
      </c>
    </row>
    <row r="304" spans="1:6" ht="25.9" customHeight="1">
      <c r="A304" s="1755">
        <v>301</v>
      </c>
      <c r="B304" s="1756" t="s">
        <v>2626</v>
      </c>
      <c r="C304" s="1756" t="s">
        <v>3089</v>
      </c>
      <c r="D304" s="1757" t="str">
        <f t="shared" si="6"/>
        <v>jardin d' hiver, véranda</v>
      </c>
      <c r="E304" s="1759" t="s">
        <v>692</v>
      </c>
      <c r="F304" s="1747" t="s">
        <v>2899</v>
      </c>
    </row>
    <row r="305" spans="1:6" ht="25.9" customHeight="1">
      <c r="A305" s="1755">
        <v>302</v>
      </c>
      <c r="B305" s="1756" t="s">
        <v>1193</v>
      </c>
      <c r="C305" s="1756" t="s">
        <v>3119</v>
      </c>
      <c r="D305" s="1757" t="str">
        <f t="shared" si="6"/>
        <v>La surface n'est pas concordante avec la surface du page 'Bau'!</v>
      </c>
      <c r="E305" s="1759" t="s">
        <v>3117</v>
      </c>
      <c r="F305" s="1747" t="s">
        <v>3118</v>
      </c>
    </row>
    <row r="306" spans="1:6" ht="25.9" customHeight="1">
      <c r="A306" s="1755">
        <v>303</v>
      </c>
      <c r="B306" s="1756" t="s">
        <v>1193</v>
      </c>
      <c r="C306" s="1756" t="s">
        <v>3120</v>
      </c>
      <c r="D306" s="1757" t="str">
        <f t="shared" si="6"/>
        <v>page 5 de 10</v>
      </c>
      <c r="E306" s="1759" t="s">
        <v>4067</v>
      </c>
      <c r="F306" s="1747" t="s">
        <v>4068</v>
      </c>
    </row>
    <row r="307" spans="1:6" ht="25.9" customHeight="1">
      <c r="A307" s="1755">
        <v>304</v>
      </c>
      <c r="B307" s="1756" t="s">
        <v>2726</v>
      </c>
      <c r="C307" s="1756" t="s">
        <v>3114</v>
      </c>
      <c r="D307" s="1757" t="str">
        <f t="shared" si="6"/>
        <v>paroi contre contre local chauffé</v>
      </c>
      <c r="E307" s="1759" t="s">
        <v>1684</v>
      </c>
      <c r="F307" s="1747" t="s">
        <v>3113</v>
      </c>
    </row>
    <row r="308" spans="1:6" ht="25.9" customHeight="1">
      <c r="A308" s="1755">
        <v>305</v>
      </c>
      <c r="B308" s="1756" t="s">
        <v>1193</v>
      </c>
      <c r="C308" s="1756" t="s">
        <v>3121</v>
      </c>
      <c r="D308" s="1757" t="str">
        <f t="shared" si="6"/>
        <v>Fenêtre:</v>
      </c>
      <c r="E308" s="1759" t="s">
        <v>1193</v>
      </c>
      <c r="F308" s="1747" t="s">
        <v>3122</v>
      </c>
    </row>
    <row r="309" spans="1:6" ht="25.9" customHeight="1">
      <c r="A309" s="1755">
        <v>306</v>
      </c>
      <c r="B309" s="1756" t="s">
        <v>1193</v>
      </c>
      <c r="C309" s="1756" t="s">
        <v>334</v>
      </c>
      <c r="D309" s="1757" t="str">
        <f t="shared" si="6"/>
        <v>horizontal:</v>
      </c>
      <c r="E309" s="1759" t="s">
        <v>2271</v>
      </c>
      <c r="F309" s="1747" t="s">
        <v>2271</v>
      </c>
    </row>
    <row r="310" spans="1:6" ht="25.9" customHeight="1">
      <c r="A310" s="1755">
        <v>307</v>
      </c>
      <c r="B310" s="1756" t="s">
        <v>1193</v>
      </c>
      <c r="C310" s="1756" t="s">
        <v>3126</v>
      </c>
      <c r="D310" s="1757" t="str">
        <f t="shared" si="6"/>
        <v>( angle d'hoizont )</v>
      </c>
      <c r="E310" s="1759" t="s">
        <v>3123</v>
      </c>
      <c r="F310" s="1747" t="s">
        <v>3125</v>
      </c>
    </row>
    <row r="311" spans="1:6" ht="25.9" customHeight="1">
      <c r="A311" s="1755">
        <v>308</v>
      </c>
      <c r="B311" s="1756" t="s">
        <v>1193</v>
      </c>
      <c r="C311" s="1756" t="s">
        <v>3129</v>
      </c>
      <c r="D311" s="1757" t="str">
        <f t="shared" si="6"/>
        <v>Valeur U
[W/m2K]</v>
      </c>
      <c r="E311" s="1759" t="s">
        <v>3127</v>
      </c>
      <c r="F311" s="1747" t="s">
        <v>3128</v>
      </c>
    </row>
    <row r="312" spans="1:6" ht="25.9" customHeight="1">
      <c r="A312" s="1755">
        <v>309</v>
      </c>
      <c r="B312" s="1756" t="s">
        <v>1193</v>
      </c>
      <c r="C312" s="1756" t="s">
        <v>3130</v>
      </c>
      <c r="D312" s="1757" t="str">
        <f t="shared" si="6"/>
        <v>Surplomb</v>
      </c>
      <c r="E312" s="1759" t="s">
        <v>5</v>
      </c>
      <c r="F312" s="1747" t="s">
        <v>3131</v>
      </c>
    </row>
    <row r="313" spans="1:6" ht="25.9" customHeight="1">
      <c r="A313" s="1755">
        <v>310</v>
      </c>
      <c r="B313" s="1756" t="s">
        <v>1193</v>
      </c>
      <c r="C313" s="1756" t="s">
        <v>3133</v>
      </c>
      <c r="D313" s="1757" t="str">
        <f t="shared" si="6"/>
        <v>Ecran latéral</v>
      </c>
      <c r="E313" s="1759" t="s">
        <v>1825</v>
      </c>
      <c r="F313" s="1747" t="s">
        <v>3132</v>
      </c>
    </row>
    <row r="314" spans="1:6" ht="25.9" customHeight="1">
      <c r="A314" s="1755">
        <v>311</v>
      </c>
      <c r="B314" s="1756" t="s">
        <v>1193</v>
      </c>
      <c r="C314" s="1756" t="s">
        <v>3136</v>
      </c>
      <c r="D314" s="1757" t="str">
        <f t="shared" si="6"/>
        <v>(côté sud)</v>
      </c>
      <c r="E314" s="1759" t="s">
        <v>3134</v>
      </c>
      <c r="F314" s="1747" t="s">
        <v>3135</v>
      </c>
    </row>
    <row r="315" spans="1:6" ht="25.9" customHeight="1">
      <c r="A315" s="1755">
        <v>312</v>
      </c>
      <c r="B315" s="1756" t="s">
        <v>1193</v>
      </c>
      <c r="C315" s="1756" t="s">
        <v>3139</v>
      </c>
      <c r="D315" s="1757" t="str">
        <f t="shared" si="6"/>
        <v>(côté ouest)</v>
      </c>
      <c r="E315" s="1759" t="s">
        <v>3137</v>
      </c>
      <c r="F315" s="1747" t="s">
        <v>3138</v>
      </c>
    </row>
    <row r="316" spans="1:6" ht="25.9" customHeight="1">
      <c r="A316" s="1755">
        <v>313</v>
      </c>
      <c r="B316" s="1756" t="s">
        <v>1193</v>
      </c>
      <c r="C316" s="1756" t="s">
        <v>2459</v>
      </c>
      <c r="D316" s="1757" t="str">
        <f t="shared" si="6"/>
        <v>corps de chauffe</v>
      </c>
      <c r="E316" s="1759" t="s">
        <v>1975</v>
      </c>
      <c r="F316" s="1747" t="s">
        <v>3140</v>
      </c>
    </row>
    <row r="317" spans="1:6" ht="25.9" customHeight="1">
      <c r="A317" s="1755">
        <v>314</v>
      </c>
      <c r="B317" s="1756" t="s">
        <v>1193</v>
      </c>
      <c r="C317" s="1756" t="s">
        <v>3142</v>
      </c>
      <c r="D317" s="1757" t="str">
        <f t="shared" si="6"/>
        <v>Valeur g</v>
      </c>
      <c r="E317" s="1746" t="s">
        <v>3143</v>
      </c>
      <c r="F317" s="1747" t="s">
        <v>3141</v>
      </c>
    </row>
    <row r="318" spans="1:6" ht="25.9" customHeight="1">
      <c r="A318" s="1755">
        <v>315</v>
      </c>
      <c r="B318" s="1756" t="s">
        <v>1193</v>
      </c>
      <c r="C318" s="1756" t="s">
        <v>3145</v>
      </c>
      <c r="D318" s="1757" t="str">
        <f t="shared" si="6"/>
        <v>nombre</v>
      </c>
      <c r="E318" s="1746" t="s">
        <v>1885</v>
      </c>
      <c r="F318" s="1747" t="s">
        <v>3144</v>
      </c>
    </row>
    <row r="319" spans="1:6" ht="25.9" customHeight="1">
      <c r="A319" s="1755">
        <v>316</v>
      </c>
      <c r="B319" s="1756" t="s">
        <v>1193</v>
      </c>
      <c r="C319" s="1756" t="s">
        <v>3146</v>
      </c>
      <c r="D319" s="1757" t="str">
        <f t="shared" si="6"/>
        <v>Surfaces</v>
      </c>
      <c r="E319" s="1746" t="s">
        <v>1884</v>
      </c>
      <c r="F319" s="1747" t="s">
        <v>2790</v>
      </c>
    </row>
    <row r="320" spans="1:6" ht="25.9" customHeight="1">
      <c r="A320" s="1755">
        <v>317</v>
      </c>
      <c r="B320" s="1756" t="s">
        <v>1193</v>
      </c>
      <c r="C320" s="1756" t="s">
        <v>3147</v>
      </c>
      <c r="D320" s="1757" t="str">
        <f t="shared" si="6"/>
        <v>(au centre de la façade)</v>
      </c>
      <c r="E320" s="1746" t="s">
        <v>1827</v>
      </c>
      <c r="F320" s="1747" t="s">
        <v>3148</v>
      </c>
    </row>
    <row r="321" spans="1:7" ht="26.1" customHeight="1">
      <c r="A321" s="1755">
        <v>318</v>
      </c>
      <c r="B321" s="1756" t="s">
        <v>1193</v>
      </c>
      <c r="C321" s="1756" t="s">
        <v>3150</v>
      </c>
      <c r="D321" s="1757" t="str">
        <f t="shared" si="6"/>
        <v>part vitrée
(Val. FF):</v>
      </c>
      <c r="E321" s="1746" t="s">
        <v>3149</v>
      </c>
      <c r="F321" s="1747" t="s">
        <v>3151</v>
      </c>
    </row>
    <row r="322" spans="1:7" ht="26.1" customHeight="1">
      <c r="A322" s="1755">
        <v>319</v>
      </c>
      <c r="B322" s="1756" t="s">
        <v>1193</v>
      </c>
      <c r="C322" s="1756" t="s">
        <v>3152</v>
      </c>
      <c r="D322" s="1757" t="str">
        <f t="shared" si="6"/>
        <v>H</v>
      </c>
      <c r="E322" s="1746" t="s">
        <v>1823</v>
      </c>
      <c r="F322" s="1747" t="s">
        <v>1579</v>
      </c>
    </row>
    <row r="323" spans="1:7" ht="26.1" customHeight="1">
      <c r="A323" s="1755">
        <v>320</v>
      </c>
      <c r="B323" s="1756" t="s">
        <v>1193</v>
      </c>
      <c r="C323" s="1756" t="s">
        <v>3153</v>
      </c>
      <c r="D323" s="1757" t="str">
        <f t="shared" si="6"/>
        <v>angle</v>
      </c>
      <c r="E323" s="1760" t="s">
        <v>1712</v>
      </c>
      <c r="F323" s="1761" t="s">
        <v>3154</v>
      </c>
    </row>
    <row r="324" spans="1:7" ht="26.1" customHeight="1">
      <c r="A324" s="1755">
        <v>321</v>
      </c>
      <c r="B324" s="1756" t="s">
        <v>1193</v>
      </c>
      <c r="C324" s="1756" t="s">
        <v>3157</v>
      </c>
      <c r="D324" s="1757" t="str">
        <f t="shared" ref="D324:D387" si="7">INDEX($E$4:$G$809,$A324,$A$1)</f>
        <v>Valeur  FS</v>
      </c>
      <c r="E324" s="1746" t="s">
        <v>3156</v>
      </c>
      <c r="F324" s="1747" t="s">
        <v>3158</v>
      </c>
    </row>
    <row r="325" spans="1:7" ht="26.1" customHeight="1">
      <c r="A325" s="1755">
        <v>322</v>
      </c>
      <c r="B325" s="1756" t="s">
        <v>1193</v>
      </c>
      <c r="C325" s="1756" t="s">
        <v>3160</v>
      </c>
      <c r="D325" s="1757" t="str">
        <f t="shared" si="7"/>
        <v>deux côtés?</v>
      </c>
      <c r="E325" s="1746" t="s">
        <v>1830</v>
      </c>
      <c r="F325" s="1747" t="s">
        <v>3159</v>
      </c>
    </row>
    <row r="326" spans="1:7" ht="26.1" customHeight="1">
      <c r="A326" s="1755">
        <v>323</v>
      </c>
      <c r="B326" s="1756" t="s">
        <v>1193</v>
      </c>
      <c r="C326" s="1756" t="s">
        <v>3163</v>
      </c>
      <c r="D326" s="1757" t="str">
        <f t="shared" si="7"/>
        <v>(côté est)</v>
      </c>
      <c r="E326" s="1746" t="s">
        <v>3161</v>
      </c>
      <c r="F326" s="1747" t="s">
        <v>3162</v>
      </c>
    </row>
    <row r="327" spans="1:7" s="1765" customFormat="1" ht="26.1" customHeight="1">
      <c r="A327" s="1755">
        <v>324</v>
      </c>
      <c r="B327" s="1756" t="s">
        <v>1193</v>
      </c>
      <c r="C327" s="1756" t="s">
        <v>3165</v>
      </c>
      <c r="D327" s="1757" t="str">
        <f t="shared" si="7"/>
        <v xml:space="preserve">    B</v>
      </c>
      <c r="E327" s="1762" t="s">
        <v>1824</v>
      </c>
      <c r="F327" s="1763" t="s">
        <v>3164</v>
      </c>
      <c r="G327" s="1764"/>
    </row>
    <row r="328" spans="1:7" ht="26.1" customHeight="1">
      <c r="A328" s="1755">
        <v>325</v>
      </c>
      <c r="B328" s="1756" t="s">
        <v>1193</v>
      </c>
      <c r="C328" s="1756" t="s">
        <v>3167</v>
      </c>
      <c r="D328" s="1757" t="str">
        <f t="shared" si="7"/>
        <v>écran</v>
      </c>
      <c r="E328" s="1746" t="s">
        <v>15</v>
      </c>
      <c r="F328" s="1747" t="s">
        <v>3166</v>
      </c>
    </row>
    <row r="329" spans="1:7" ht="26.1" customHeight="1">
      <c r="A329" s="1755">
        <v>326</v>
      </c>
      <c r="B329" s="1756" t="s">
        <v>1193</v>
      </c>
      <c r="C329" s="1756" t="s">
        <v>1086</v>
      </c>
      <c r="D329" s="1757" t="str">
        <f t="shared" si="7"/>
        <v xml:space="preserve">  :  Calculer les données avec un outil exterieur pour les fenêtres</v>
      </c>
      <c r="E329" s="1746" t="s">
        <v>1562</v>
      </c>
      <c r="F329" s="1747" t="s">
        <v>3168</v>
      </c>
    </row>
    <row r="330" spans="1:7" ht="26.1" customHeight="1">
      <c r="A330" s="1755">
        <v>327</v>
      </c>
      <c r="B330" s="1756" t="s">
        <v>1193</v>
      </c>
      <c r="C330" s="1756" t="s">
        <v>3170</v>
      </c>
      <c r="D330" s="1757" t="str">
        <f t="shared" si="7"/>
        <v>total / valeur du milieu:</v>
      </c>
      <c r="E330" s="1746" t="s">
        <v>1833</v>
      </c>
      <c r="F330" s="1747" t="s">
        <v>3169</v>
      </c>
    </row>
    <row r="331" spans="1:7" ht="26.1" customHeight="1">
      <c r="A331" s="1755">
        <v>328</v>
      </c>
      <c r="B331" s="1756" t="s">
        <v>1193</v>
      </c>
      <c r="C331" s="1756" t="s">
        <v>3174</v>
      </c>
      <c r="D331" s="1757" t="str">
        <f t="shared" si="7"/>
        <v xml:space="preserve">  Fs  =  Fs1  = </v>
      </c>
      <c r="E331" s="1746" t="s">
        <v>3171</v>
      </c>
      <c r="F331" s="1747" t="s">
        <v>3173</v>
      </c>
    </row>
    <row r="332" spans="1:7" ht="26.1" customHeight="1">
      <c r="A332" s="1755">
        <v>329</v>
      </c>
      <c r="B332" s="1756" t="s">
        <v>1193</v>
      </c>
      <c r="C332" s="1756" t="s">
        <v>3175</v>
      </c>
      <c r="D332" s="1757" t="str">
        <f t="shared" si="7"/>
        <v xml:space="preserve">g (total) = </v>
      </c>
      <c r="E332" s="1746" t="s">
        <v>3172</v>
      </c>
      <c r="F332" s="1747" t="s">
        <v>3172</v>
      </c>
    </row>
    <row r="333" spans="1:7" ht="26.1" customHeight="1">
      <c r="A333" s="1755">
        <v>330</v>
      </c>
      <c r="B333" s="1756" t="s">
        <v>1193</v>
      </c>
      <c r="C333" s="1756" t="s">
        <v>3177</v>
      </c>
      <c r="D333" s="1757" t="str">
        <f t="shared" si="7"/>
        <v xml:space="preserve"> Fs = ( Fs1 * Fs2 * Fs3 ) = </v>
      </c>
      <c r="E333" s="1746" t="s">
        <v>3176</v>
      </c>
      <c r="F333" s="1747" t="s">
        <v>3178</v>
      </c>
    </row>
    <row r="334" spans="1:7" ht="26.1" customHeight="1">
      <c r="A334" s="1755">
        <v>331</v>
      </c>
      <c r="B334" s="1756" t="s">
        <v>3180</v>
      </c>
      <c r="C334" s="1756" t="s">
        <v>3181</v>
      </c>
      <c r="D334" s="1757" t="str">
        <f t="shared" si="7"/>
        <v>Page 8 de 8</v>
      </c>
      <c r="E334" s="1746" t="s">
        <v>1829</v>
      </c>
      <c r="F334" s="1747" t="s">
        <v>3179</v>
      </c>
    </row>
    <row r="335" spans="1:7" ht="26.1" customHeight="1">
      <c r="A335" s="1755">
        <v>332</v>
      </c>
      <c r="B335" s="1756" t="s">
        <v>3180</v>
      </c>
      <c r="C335" s="1756" t="s">
        <v>3183</v>
      </c>
      <c r="D335" s="1757" t="str">
        <f t="shared" si="7"/>
        <v>Calcul des besoins de chaleur pour le chauffage dans bâtiments, SIA 380/1</v>
      </c>
      <c r="E335" s="1746" t="s">
        <v>119</v>
      </c>
      <c r="F335" s="1747" t="s">
        <v>3182</v>
      </c>
    </row>
    <row r="336" spans="1:7" ht="26.1" customHeight="1">
      <c r="A336" s="1755">
        <v>333</v>
      </c>
      <c r="B336" s="1756" t="s">
        <v>3180</v>
      </c>
      <c r="C336" s="1756" t="s">
        <v>3186</v>
      </c>
      <c r="D336" s="1757" t="str">
        <f t="shared" si="7"/>
        <v>Débit d'air neuf V/EBF0 selon Minergie-P</v>
      </c>
      <c r="E336" s="1746" t="s">
        <v>3184</v>
      </c>
      <c r="F336" s="1747" t="s">
        <v>3187</v>
      </c>
    </row>
    <row r="337" spans="1:6" ht="26.1" customHeight="1">
      <c r="A337" s="1755">
        <v>334</v>
      </c>
      <c r="B337" s="1756" t="s">
        <v>3180</v>
      </c>
      <c r="C337" s="1756" t="s">
        <v>3186</v>
      </c>
      <c r="D337" s="1757" t="str">
        <f t="shared" si="7"/>
        <v>Débit d'air neuf V/EBF0 selon la norme SIA 380/1</v>
      </c>
      <c r="E337" s="1766" t="s">
        <v>3185</v>
      </c>
      <c r="F337" s="1767" t="s">
        <v>3188</v>
      </c>
    </row>
    <row r="338" spans="1:6" ht="26.1" customHeight="1">
      <c r="A338" s="1755">
        <v>335</v>
      </c>
      <c r="B338" s="1756" t="s">
        <v>3180</v>
      </c>
      <c r="C338" s="1756" t="s">
        <v>1276</v>
      </c>
      <c r="D338" s="1757" t="str">
        <f t="shared" si="7"/>
        <v>Pour les justifications globales selon Minergie-P</v>
      </c>
      <c r="E338" s="1746" t="s">
        <v>3189</v>
      </c>
      <c r="F338" s="1747" t="s">
        <v>3191</v>
      </c>
    </row>
    <row r="339" spans="1:6" ht="26.1" customHeight="1">
      <c r="A339" s="1755">
        <v>336</v>
      </c>
      <c r="B339" s="1756" t="s">
        <v>3180</v>
      </c>
      <c r="C339" s="1756" t="s">
        <v>1276</v>
      </c>
      <c r="D339" s="1757" t="str">
        <f t="shared" si="7"/>
        <v>Pour les justifications globales selon la norme SIA 380/1</v>
      </c>
      <c r="E339" s="1746" t="s">
        <v>3190</v>
      </c>
      <c r="F339" s="1747" t="s">
        <v>3192</v>
      </c>
    </row>
    <row r="340" spans="1:6" ht="26.1" customHeight="1">
      <c r="A340" s="1755">
        <v>337</v>
      </c>
      <c r="B340" s="1756" t="s">
        <v>3180</v>
      </c>
      <c r="C340" s="1756" t="s">
        <v>2441</v>
      </c>
      <c r="D340" s="1757" t="str">
        <f t="shared" si="7"/>
        <v>A:  Objet</v>
      </c>
      <c r="E340" s="1746" t="s">
        <v>488</v>
      </c>
      <c r="F340" s="1747" t="s">
        <v>3193</v>
      </c>
    </row>
    <row r="341" spans="1:6" ht="26.1" customHeight="1">
      <c r="A341" s="1755">
        <v>338</v>
      </c>
      <c r="B341" s="1756" t="s">
        <v>3180</v>
      </c>
      <c r="C341" s="1756" t="s">
        <v>2545</v>
      </c>
      <c r="D341" s="1757" t="str">
        <f t="shared" si="7"/>
        <v>Jan</v>
      </c>
      <c r="E341" s="1746" t="s">
        <v>489</v>
      </c>
      <c r="F341" s="1747" t="s">
        <v>489</v>
      </c>
    </row>
    <row r="342" spans="1:6" ht="26.1" customHeight="1">
      <c r="A342" s="1755">
        <v>339</v>
      </c>
      <c r="B342" s="1756" t="s">
        <v>3180</v>
      </c>
      <c r="C342" s="1756" t="s">
        <v>3202</v>
      </c>
      <c r="D342" s="1757" t="str">
        <f t="shared" si="7"/>
        <v>Fev</v>
      </c>
      <c r="E342" s="1746" t="s">
        <v>490</v>
      </c>
      <c r="F342" s="1747" t="s">
        <v>3194</v>
      </c>
    </row>
    <row r="343" spans="1:6" ht="26.1" customHeight="1">
      <c r="A343" s="1755">
        <v>340</v>
      </c>
      <c r="B343" s="1756" t="s">
        <v>3180</v>
      </c>
      <c r="C343" s="1756" t="s">
        <v>3203</v>
      </c>
      <c r="D343" s="1757" t="str">
        <f t="shared" si="7"/>
        <v>Mar</v>
      </c>
      <c r="E343" s="1746" t="s">
        <v>491</v>
      </c>
      <c r="F343" s="1747" t="s">
        <v>3195</v>
      </c>
    </row>
    <row r="344" spans="1:6" ht="26.1" customHeight="1">
      <c r="A344" s="1755">
        <v>341</v>
      </c>
      <c r="B344" s="1756" t="s">
        <v>3180</v>
      </c>
      <c r="C344" s="1756" t="s">
        <v>3204</v>
      </c>
      <c r="D344" s="1757" t="str">
        <f t="shared" si="7"/>
        <v>Avr</v>
      </c>
      <c r="E344" s="1746" t="s">
        <v>492</v>
      </c>
      <c r="F344" s="1747" t="s">
        <v>3196</v>
      </c>
    </row>
    <row r="345" spans="1:6" ht="26.1" customHeight="1">
      <c r="A345" s="1755">
        <v>342</v>
      </c>
      <c r="B345" s="1756" t="s">
        <v>3180</v>
      </c>
      <c r="C345" s="1756" t="s">
        <v>3205</v>
      </c>
      <c r="D345" s="1757" t="str">
        <f t="shared" si="7"/>
        <v>Mai</v>
      </c>
      <c r="E345" s="1746" t="s">
        <v>493</v>
      </c>
      <c r="F345" s="1747" t="s">
        <v>493</v>
      </c>
    </row>
    <row r="346" spans="1:6" ht="26.1" customHeight="1">
      <c r="A346" s="1755">
        <v>343</v>
      </c>
      <c r="B346" s="1756" t="s">
        <v>3180</v>
      </c>
      <c r="C346" s="1756" t="s">
        <v>3206</v>
      </c>
      <c r="D346" s="1757" t="str">
        <f t="shared" si="7"/>
        <v>Juin</v>
      </c>
      <c r="E346" s="1746" t="s">
        <v>494</v>
      </c>
      <c r="F346" s="1747" t="s">
        <v>3197</v>
      </c>
    </row>
    <row r="347" spans="1:6" ht="26.1" customHeight="1">
      <c r="A347" s="1755">
        <v>344</v>
      </c>
      <c r="B347" s="1756" t="s">
        <v>3180</v>
      </c>
      <c r="C347" s="1756" t="s">
        <v>2748</v>
      </c>
      <c r="D347" s="1757" t="str">
        <f t="shared" si="7"/>
        <v>Juil</v>
      </c>
      <c r="E347" s="1746" t="s">
        <v>495</v>
      </c>
      <c r="F347" s="1747" t="s">
        <v>3198</v>
      </c>
    </row>
    <row r="348" spans="1:6" ht="26.1" customHeight="1">
      <c r="A348" s="1755">
        <v>345</v>
      </c>
      <c r="B348" s="1756" t="s">
        <v>3180</v>
      </c>
      <c r="C348" s="1756" t="s">
        <v>3207</v>
      </c>
      <c r="D348" s="1757" t="str">
        <f t="shared" si="7"/>
        <v>Août</v>
      </c>
      <c r="E348" s="1746" t="s">
        <v>496</v>
      </c>
      <c r="F348" s="1747" t="s">
        <v>3199</v>
      </c>
    </row>
    <row r="349" spans="1:6" ht="26.1" customHeight="1">
      <c r="A349" s="1755">
        <v>346</v>
      </c>
      <c r="B349" s="1756" t="s">
        <v>3180</v>
      </c>
      <c r="C349" s="1756" t="s">
        <v>3208</v>
      </c>
      <c r="D349" s="1757" t="str">
        <f t="shared" si="7"/>
        <v>Sep</v>
      </c>
      <c r="E349" s="1746" t="s">
        <v>497</v>
      </c>
      <c r="F349" s="1747" t="s">
        <v>497</v>
      </c>
    </row>
    <row r="350" spans="1:6" ht="25.9" customHeight="1">
      <c r="A350" s="1755">
        <v>347</v>
      </c>
      <c r="B350" s="1756" t="s">
        <v>3180</v>
      </c>
      <c r="C350" s="1756" t="s">
        <v>3209</v>
      </c>
      <c r="D350" s="1757" t="str">
        <f t="shared" si="7"/>
        <v>Oct</v>
      </c>
      <c r="E350" s="1746" t="s">
        <v>498</v>
      </c>
      <c r="F350" s="1747" t="s">
        <v>3200</v>
      </c>
    </row>
    <row r="351" spans="1:6" ht="26.1" customHeight="1">
      <c r="A351" s="1755">
        <v>348</v>
      </c>
      <c r="B351" s="1756" t="s">
        <v>3180</v>
      </c>
      <c r="C351" s="1756" t="s">
        <v>3210</v>
      </c>
      <c r="D351" s="1757" t="str">
        <f t="shared" si="7"/>
        <v>Nov</v>
      </c>
      <c r="E351" s="1746" t="s">
        <v>499</v>
      </c>
      <c r="F351" s="1747" t="s">
        <v>499</v>
      </c>
    </row>
    <row r="352" spans="1:6" ht="26.1" customHeight="1">
      <c r="A352" s="1755">
        <v>349</v>
      </c>
      <c r="B352" s="1756" t="s">
        <v>3180</v>
      </c>
      <c r="C352" s="1756" t="s">
        <v>2450</v>
      </c>
      <c r="D352" s="1757" t="str">
        <f t="shared" si="7"/>
        <v>Déc</v>
      </c>
      <c r="E352" s="1746" t="s">
        <v>500</v>
      </c>
      <c r="F352" s="1747" t="s">
        <v>3201</v>
      </c>
    </row>
    <row r="353" spans="1:6" ht="26.1" customHeight="1">
      <c r="A353" s="1755">
        <v>350</v>
      </c>
      <c r="B353" s="1756" t="s">
        <v>3180</v>
      </c>
      <c r="C353" s="1756" t="s">
        <v>2442</v>
      </c>
      <c r="D353" s="1757" t="str">
        <f t="shared" si="7"/>
        <v>B:  Données climatiques</v>
      </c>
      <c r="E353" s="1746" t="s">
        <v>503</v>
      </c>
      <c r="F353" s="1747" t="s">
        <v>3211</v>
      </c>
    </row>
    <row r="354" spans="1:6" ht="26.1" customHeight="1">
      <c r="A354" s="1755">
        <v>351</v>
      </c>
      <c r="B354" s="1756" t="s">
        <v>3180</v>
      </c>
      <c r="C354" s="1756" t="s">
        <v>2445</v>
      </c>
      <c r="D354" s="1757" t="str">
        <f t="shared" si="7"/>
        <v>Jours par mois:</v>
      </c>
      <c r="E354" s="1746" t="s">
        <v>504</v>
      </c>
      <c r="F354" s="1747" t="s">
        <v>3213</v>
      </c>
    </row>
    <row r="355" spans="1:6" ht="26.1" customHeight="1">
      <c r="A355" s="1755">
        <v>352</v>
      </c>
      <c r="B355" s="1756" t="s">
        <v>3180</v>
      </c>
      <c r="C355" s="1756" t="s">
        <v>2484</v>
      </c>
      <c r="D355" s="1757" t="str">
        <f t="shared" si="7"/>
        <v>Température extérieure Thetae :</v>
      </c>
      <c r="E355" s="1746" t="s">
        <v>1682</v>
      </c>
      <c r="F355" s="1747" t="s">
        <v>3214</v>
      </c>
    </row>
    <row r="356" spans="1:6" ht="26.1" customHeight="1">
      <c r="A356" s="1755">
        <v>353</v>
      </c>
      <c r="B356" s="1756" t="s">
        <v>3180</v>
      </c>
      <c r="C356" s="1756" t="s">
        <v>2451</v>
      </c>
      <c r="D356" s="1757" t="str">
        <f t="shared" si="7"/>
        <v>Durée de la période de calcul tc :</v>
      </c>
      <c r="E356" s="1746" t="s">
        <v>3212</v>
      </c>
      <c r="F356" s="1747" t="s">
        <v>3215</v>
      </c>
    </row>
    <row r="357" spans="1:6" ht="26.1" customHeight="1">
      <c r="A357" s="1755">
        <v>354</v>
      </c>
      <c r="B357" s="1756" t="s">
        <v>3180</v>
      </c>
      <c r="C357" s="1756" t="s">
        <v>2452</v>
      </c>
      <c r="D357" s="1757" t="str">
        <f t="shared" si="7"/>
        <v>Rayonnement solaire glob. horizontale:</v>
      </c>
      <c r="E357" s="1746" t="s">
        <v>2</v>
      </c>
      <c r="F357" s="1747" t="s">
        <v>3216</v>
      </c>
    </row>
    <row r="358" spans="1:6" ht="25.9" customHeight="1">
      <c r="A358" s="1755">
        <v>355</v>
      </c>
      <c r="B358" s="1756" t="s">
        <v>3180</v>
      </c>
      <c r="C358" s="1756" t="s">
        <v>2503</v>
      </c>
      <c r="D358" s="1757" t="str">
        <f t="shared" si="7"/>
        <v>Rayonnement solaire global Sud:</v>
      </c>
      <c r="E358" s="1746" t="s">
        <v>1683</v>
      </c>
      <c r="F358" s="1747" t="s">
        <v>3217</v>
      </c>
    </row>
    <row r="359" spans="1:6" ht="25.9" customHeight="1">
      <c r="A359" s="1755">
        <v>356</v>
      </c>
      <c r="B359" s="1756" t="s">
        <v>3180</v>
      </c>
      <c r="C359" s="1756" t="s">
        <v>2453</v>
      </c>
      <c r="D359" s="1757" t="str">
        <f t="shared" si="7"/>
        <v>Rayonnement solaire global Est:</v>
      </c>
      <c r="E359" s="1746" t="s">
        <v>1002</v>
      </c>
      <c r="F359" s="1747" t="s">
        <v>3218</v>
      </c>
    </row>
    <row r="360" spans="1:6" ht="25.9" customHeight="1">
      <c r="A360" s="1755">
        <v>357</v>
      </c>
      <c r="B360" s="1756" t="s">
        <v>3180</v>
      </c>
      <c r="C360" s="1756" t="s">
        <v>2504</v>
      </c>
      <c r="D360" s="1757" t="str">
        <f t="shared" si="7"/>
        <v>Rayonnement solaire global Ouest:</v>
      </c>
      <c r="E360" s="1746" t="s">
        <v>1003</v>
      </c>
      <c r="F360" s="1747" t="s">
        <v>3219</v>
      </c>
    </row>
    <row r="361" spans="1:6" ht="25.9" customHeight="1">
      <c r="A361" s="1755">
        <v>358</v>
      </c>
      <c r="B361" s="1756" t="s">
        <v>3180</v>
      </c>
      <c r="C361" s="1756" t="s">
        <v>2454</v>
      </c>
      <c r="D361" s="1757" t="str">
        <f t="shared" si="7"/>
        <v>Rayonnement solaire global Nord:</v>
      </c>
      <c r="E361" s="1746" t="s">
        <v>4</v>
      </c>
      <c r="F361" s="1747" t="s">
        <v>3220</v>
      </c>
    </row>
    <row r="362" spans="1:6" ht="25.9" customHeight="1">
      <c r="A362" s="1755">
        <v>359</v>
      </c>
      <c r="B362" s="1756" t="s">
        <v>3180</v>
      </c>
      <c r="C362" s="1756" t="s">
        <v>2486</v>
      </c>
      <c r="D362" s="1757" t="str">
        <f t="shared" si="7"/>
        <v>F: Déperditions par transmission</v>
      </c>
      <c r="E362" s="1746" t="s">
        <v>1006</v>
      </c>
      <c r="F362" s="1747" t="s">
        <v>3226</v>
      </c>
    </row>
    <row r="363" spans="1:6" ht="25.9" customHeight="1">
      <c r="A363" s="1755">
        <v>360</v>
      </c>
      <c r="B363" s="1756" t="s">
        <v>3180</v>
      </c>
      <c r="C363" s="1756" t="s">
        <v>2456</v>
      </c>
      <c r="D363" s="1757" t="str">
        <f t="shared" si="7"/>
        <v>Toit exposé à l'air extérieur:</v>
      </c>
      <c r="E363" s="1746" t="s">
        <v>803</v>
      </c>
      <c r="F363" s="1747" t="s">
        <v>3227</v>
      </c>
    </row>
    <row r="364" spans="1:6" ht="25.9" customHeight="1">
      <c r="A364" s="1755">
        <v>361</v>
      </c>
      <c r="B364" s="1756" t="s">
        <v>3180</v>
      </c>
      <c r="C364" s="1756" t="s">
        <v>2487</v>
      </c>
      <c r="D364" s="1757" t="str">
        <f t="shared" si="7"/>
        <v>Plafond contre des loc. non chauffés:</v>
      </c>
      <c r="E364" s="1746" t="s">
        <v>805</v>
      </c>
      <c r="F364" s="1747" t="s">
        <v>3228</v>
      </c>
    </row>
    <row r="365" spans="1:6" ht="25.9" customHeight="1">
      <c r="A365" s="1755">
        <v>362</v>
      </c>
      <c r="B365" s="1756" t="s">
        <v>3180</v>
      </c>
      <c r="C365" s="1756" t="s">
        <v>2505</v>
      </c>
      <c r="D365" s="1757" t="str">
        <f t="shared" si="7"/>
        <v>Plafond contre des locaux chauffés:</v>
      </c>
      <c r="E365" s="1746" t="s">
        <v>238</v>
      </c>
      <c r="F365" s="1747" t="s">
        <v>3229</v>
      </c>
    </row>
    <row r="366" spans="1:6" ht="25.9" customHeight="1">
      <c r="A366" s="1755">
        <v>363</v>
      </c>
      <c r="B366" s="1756" t="s">
        <v>3180</v>
      </c>
      <c r="C366" s="1756" t="s">
        <v>2457</v>
      </c>
      <c r="D366" s="1757" t="str">
        <f t="shared" si="7"/>
        <v>Mur exposé à l'air extérieur:</v>
      </c>
      <c r="E366" s="1746" t="s">
        <v>806</v>
      </c>
      <c r="F366" s="1747" t="s">
        <v>3230</v>
      </c>
    </row>
    <row r="367" spans="1:6" ht="25.9" customHeight="1">
      <c r="A367" s="1755">
        <v>364</v>
      </c>
      <c r="B367" s="1756" t="s">
        <v>3180</v>
      </c>
      <c r="C367" s="1756" t="s">
        <v>2458</v>
      </c>
      <c r="D367" s="1757" t="str">
        <f t="shared" si="7"/>
        <v>Mur contre des locaux non chauffés:</v>
      </c>
      <c r="E367" s="1746" t="s">
        <v>807</v>
      </c>
      <c r="F367" s="1747" t="s">
        <v>3231</v>
      </c>
    </row>
    <row r="368" spans="1:6" ht="25.9" customHeight="1">
      <c r="A368" s="1755">
        <v>365</v>
      </c>
      <c r="B368" s="1756" t="s">
        <v>3180</v>
      </c>
      <c r="C368" s="1756" t="s">
        <v>2459</v>
      </c>
      <c r="D368" s="1757" t="str">
        <f t="shared" si="7"/>
        <v>Mur contre le terrain:</v>
      </c>
      <c r="E368" s="1746" t="s">
        <v>809</v>
      </c>
      <c r="F368" s="1747" t="s">
        <v>3232</v>
      </c>
    </row>
    <row r="369" spans="1:6" ht="25.9" customHeight="1">
      <c r="A369" s="1755">
        <v>366</v>
      </c>
      <c r="B369" s="1756" t="s">
        <v>3180</v>
      </c>
      <c r="C369" s="1756" t="s">
        <v>2465</v>
      </c>
      <c r="D369" s="1757" t="str">
        <f t="shared" si="7"/>
        <v>Mur contre des locaux chauffés:</v>
      </c>
      <c r="E369" s="1746" t="s">
        <v>1684</v>
      </c>
      <c r="F369" s="1747" t="s">
        <v>3233</v>
      </c>
    </row>
    <row r="370" spans="1:6" ht="25.9" customHeight="1">
      <c r="A370" s="1755">
        <v>367</v>
      </c>
      <c r="B370" s="1756" t="s">
        <v>3180</v>
      </c>
      <c r="C370" s="1756" t="s">
        <v>2460</v>
      </c>
      <c r="D370" s="1757" t="str">
        <f t="shared" si="7"/>
        <v>Plancher exposé à l'air extérieur:</v>
      </c>
      <c r="E370" s="1746" t="s">
        <v>810</v>
      </c>
      <c r="F370" s="1747" t="s">
        <v>3234</v>
      </c>
    </row>
    <row r="371" spans="1:6" ht="25.9" customHeight="1">
      <c r="A371" s="1755">
        <v>368</v>
      </c>
      <c r="B371" s="1756" t="s">
        <v>3180</v>
      </c>
      <c r="C371" s="1756" t="s">
        <v>2461</v>
      </c>
      <c r="D371" s="1757" t="str">
        <f t="shared" si="7"/>
        <v>Plancher contre des loc. non chauffés:</v>
      </c>
      <c r="E371" s="1746" t="s">
        <v>1231</v>
      </c>
      <c r="F371" s="1747" t="s">
        <v>3235</v>
      </c>
    </row>
    <row r="372" spans="1:6" ht="25.9" customHeight="1">
      <c r="A372" s="1755">
        <v>369</v>
      </c>
      <c r="B372" s="1756" t="s">
        <v>3180</v>
      </c>
      <c r="C372" s="1756" t="s">
        <v>2506</v>
      </c>
      <c r="D372" s="1757" t="str">
        <f t="shared" si="7"/>
        <v>Plancher contre le terrain:</v>
      </c>
      <c r="E372" s="1746" t="s">
        <v>1389</v>
      </c>
      <c r="F372" s="1747" t="s">
        <v>3236</v>
      </c>
    </row>
    <row r="373" spans="1:6" ht="25.9" customHeight="1">
      <c r="A373" s="1755">
        <v>370</v>
      </c>
      <c r="B373" s="1756" t="s">
        <v>3180</v>
      </c>
      <c r="C373" s="1756" t="s">
        <v>2462</v>
      </c>
      <c r="D373" s="1757" t="str">
        <f t="shared" si="7"/>
        <v>Plancher contre des locaux chauffés:</v>
      </c>
      <c r="E373" s="1746" t="s">
        <v>239</v>
      </c>
      <c r="F373" s="1747" t="s">
        <v>3237</v>
      </c>
    </row>
    <row r="374" spans="1:6" ht="25.9" customHeight="1">
      <c r="A374" s="1755">
        <v>371</v>
      </c>
      <c r="B374" s="1756" t="s">
        <v>3180</v>
      </c>
      <c r="C374" s="1756" t="s">
        <v>2464</v>
      </c>
      <c r="D374" s="1757" t="str">
        <f t="shared" si="7"/>
        <v>Fenêtre zénithale:</v>
      </c>
      <c r="E374" s="1746" t="s">
        <v>3</v>
      </c>
      <c r="F374" s="1747" t="s">
        <v>3238</v>
      </c>
    </row>
    <row r="375" spans="1:6" ht="25.9" customHeight="1">
      <c r="A375" s="1755">
        <v>372</v>
      </c>
      <c r="B375" s="1756" t="s">
        <v>3180</v>
      </c>
      <c r="C375" s="1756" t="s">
        <v>2509</v>
      </c>
      <c r="D375" s="1757" t="str">
        <f t="shared" si="7"/>
        <v>Fenêtre SW :</v>
      </c>
      <c r="E375" s="1746" t="s">
        <v>3221</v>
      </c>
      <c r="F375" s="1747" t="s">
        <v>3239</v>
      </c>
    </row>
    <row r="376" spans="1:6" ht="25.9" customHeight="1">
      <c r="A376" s="1755">
        <v>373</v>
      </c>
      <c r="B376" s="1756" t="s">
        <v>3180</v>
      </c>
      <c r="C376" s="1756" t="s">
        <v>2509</v>
      </c>
      <c r="D376" s="1757" t="str">
        <f t="shared" si="7"/>
        <v>Fenêtre orientée au sud:</v>
      </c>
      <c r="E376" s="1746" t="s">
        <v>1665</v>
      </c>
      <c r="F376" s="1747" t="s">
        <v>3244</v>
      </c>
    </row>
    <row r="377" spans="1:6" ht="25.9" customHeight="1">
      <c r="A377" s="1755">
        <v>374</v>
      </c>
      <c r="B377" s="1756" t="s">
        <v>3180</v>
      </c>
      <c r="C377" s="1756" t="s">
        <v>2463</v>
      </c>
      <c r="D377" s="1757" t="str">
        <f t="shared" si="7"/>
        <v>Fenêtre SE :</v>
      </c>
      <c r="E377" s="1746" t="s">
        <v>3222</v>
      </c>
      <c r="F377" s="1747" t="s">
        <v>3240</v>
      </c>
    </row>
    <row r="378" spans="1:6" ht="25.9" customHeight="1">
      <c r="A378" s="1755">
        <v>375</v>
      </c>
      <c r="B378" s="1756" t="s">
        <v>3180</v>
      </c>
      <c r="C378" s="1756" t="s">
        <v>2463</v>
      </c>
      <c r="D378" s="1757" t="str">
        <f t="shared" si="7"/>
        <v>Fenêtre orientée à l'est:</v>
      </c>
      <c r="E378" s="1746" t="s">
        <v>2273</v>
      </c>
      <c r="F378" s="1747" t="s">
        <v>3245</v>
      </c>
    </row>
    <row r="379" spans="1:6" ht="25.9" customHeight="1">
      <c r="A379" s="1755">
        <v>376</v>
      </c>
      <c r="B379" s="1756" t="s">
        <v>3180</v>
      </c>
      <c r="C379" s="1756" t="s">
        <v>2470</v>
      </c>
      <c r="D379" s="1757" t="str">
        <f t="shared" si="7"/>
        <v>Fenêtre NW :</v>
      </c>
      <c r="E379" s="1746" t="s">
        <v>3223</v>
      </c>
      <c r="F379" s="1747" t="s">
        <v>3241</v>
      </c>
    </row>
    <row r="380" spans="1:6" ht="25.9" customHeight="1">
      <c r="A380" s="1755">
        <v>377</v>
      </c>
      <c r="B380" s="1756" t="s">
        <v>3180</v>
      </c>
      <c r="C380" s="1756" t="s">
        <v>2470</v>
      </c>
      <c r="D380" s="1757" t="str">
        <f t="shared" si="7"/>
        <v>Fenêtre orientée à l'ouest:</v>
      </c>
      <c r="E380" s="1746" t="s">
        <v>2274</v>
      </c>
      <c r="F380" s="1747" t="s">
        <v>3246</v>
      </c>
    </row>
    <row r="381" spans="1:6" ht="25.9" customHeight="1">
      <c r="A381" s="1755">
        <v>378</v>
      </c>
      <c r="B381" s="1756" t="s">
        <v>3180</v>
      </c>
      <c r="C381" s="1756" t="s">
        <v>2471</v>
      </c>
      <c r="D381" s="1757" t="str">
        <f t="shared" si="7"/>
        <v>Fenêtre NE :</v>
      </c>
      <c r="E381" s="1746" t="s">
        <v>3224</v>
      </c>
      <c r="F381" s="1747" t="s">
        <v>3242</v>
      </c>
    </row>
    <row r="382" spans="1:6" ht="25.9" customHeight="1">
      <c r="A382" s="1755">
        <v>379</v>
      </c>
      <c r="B382" s="1756" t="s">
        <v>3180</v>
      </c>
      <c r="C382" s="1756" t="s">
        <v>2471</v>
      </c>
      <c r="D382" s="1757" t="str">
        <f t="shared" si="7"/>
        <v>Fenêtre orientée au nord:</v>
      </c>
      <c r="E382" s="1746" t="s">
        <v>2275</v>
      </c>
      <c r="F382" s="1747" t="s">
        <v>3247</v>
      </c>
    </row>
    <row r="383" spans="1:6" ht="25.9" customHeight="1">
      <c r="A383" s="1755">
        <v>380</v>
      </c>
      <c r="B383" s="1756" t="s">
        <v>3180</v>
      </c>
      <c r="C383" s="1756" t="s">
        <v>2466</v>
      </c>
      <c r="D383" s="1757" t="str">
        <f t="shared" si="7"/>
        <v>Ponts thermiques:</v>
      </c>
      <c r="E383" s="1746" t="s">
        <v>1840</v>
      </c>
      <c r="F383" s="1747" t="s">
        <v>2681</v>
      </c>
    </row>
    <row r="384" spans="1:6" ht="25.9" customHeight="1">
      <c r="A384" s="1755">
        <v>381</v>
      </c>
      <c r="B384" s="1756" t="s">
        <v>3180</v>
      </c>
      <c r="C384" s="1756" t="s">
        <v>2467</v>
      </c>
      <c r="D384" s="1757" t="str">
        <f t="shared" si="7"/>
        <v>Lucido / TWD:</v>
      </c>
      <c r="E384" s="1746" t="s">
        <v>1232</v>
      </c>
      <c r="F384" s="1747" t="s">
        <v>1232</v>
      </c>
    </row>
    <row r="385" spans="1:7" ht="25.9" customHeight="1">
      <c r="A385" s="1755">
        <v>382</v>
      </c>
      <c r="B385" s="1756" t="s">
        <v>3180</v>
      </c>
      <c r="C385" s="1756" t="s">
        <v>2468</v>
      </c>
      <c r="D385" s="1757" t="str">
        <f t="shared" si="7"/>
        <v>Déperditions par transmission QT:</v>
      </c>
      <c r="E385" s="1768" t="s">
        <v>3225</v>
      </c>
      <c r="F385" s="1761" t="s">
        <v>3243</v>
      </c>
      <c r="G385" s="1769"/>
    </row>
    <row r="386" spans="1:7" ht="25.9" customHeight="1">
      <c r="A386" s="1755">
        <v>383</v>
      </c>
      <c r="B386" s="1756" t="s">
        <v>3180</v>
      </c>
      <c r="C386" s="1756" t="s">
        <v>2469</v>
      </c>
      <c r="D386" s="1757" t="str">
        <f t="shared" si="7"/>
        <v>G: Déperditions par renouvellement d'air:</v>
      </c>
      <c r="E386" s="1746" t="s">
        <v>1850</v>
      </c>
      <c r="F386" s="1747" t="s">
        <v>3249</v>
      </c>
    </row>
    <row r="387" spans="1:7" ht="25.9" customHeight="1">
      <c r="A387" s="1755">
        <v>384</v>
      </c>
      <c r="B387" s="1756" t="s">
        <v>3180</v>
      </c>
      <c r="C387" s="1756" t="s">
        <v>2472</v>
      </c>
      <c r="D387" s="1757" t="str">
        <f t="shared" si="7"/>
        <v>Dép. par renouvellement de l'air QV:</v>
      </c>
      <c r="E387" s="1746" t="s">
        <v>3248</v>
      </c>
      <c r="F387" s="1747" t="s">
        <v>3985</v>
      </c>
    </row>
    <row r="388" spans="1:7" ht="25.9" customHeight="1">
      <c r="A388" s="1755">
        <v>385</v>
      </c>
      <c r="B388" s="1756" t="s">
        <v>3180</v>
      </c>
      <c r="C388" s="1756" t="s">
        <v>2474</v>
      </c>
      <c r="D388" s="1757" t="str">
        <f t="shared" ref="D388:D451" si="8">INDEX($E$4:$G$809,$A388,$A$1)</f>
        <v>H: Déperditions totales:</v>
      </c>
      <c r="E388" s="1746" t="s">
        <v>1793</v>
      </c>
      <c r="F388" s="1747" t="s">
        <v>3251</v>
      </c>
    </row>
    <row r="389" spans="1:7" ht="25.9" customHeight="1">
      <c r="A389" s="1755">
        <v>386</v>
      </c>
      <c r="B389" s="1756" t="s">
        <v>3180</v>
      </c>
      <c r="C389" s="1756" t="s">
        <v>2508</v>
      </c>
      <c r="D389" s="1757" t="str">
        <f t="shared" si="8"/>
        <v>Déperditions totales Qt:</v>
      </c>
      <c r="E389" s="1746" t="s">
        <v>3250</v>
      </c>
      <c r="F389" s="1747" t="s">
        <v>3252</v>
      </c>
    </row>
    <row r="390" spans="1:7" ht="25.9" customHeight="1">
      <c r="A390" s="1755">
        <v>387</v>
      </c>
      <c r="B390" s="1756" t="s">
        <v>3180</v>
      </c>
      <c r="C390" s="1756" t="s">
        <v>2476</v>
      </c>
      <c r="D390" s="1757" t="str">
        <f t="shared" si="8"/>
        <v>I: Apports de chaleur:</v>
      </c>
      <c r="E390" s="1746" t="s">
        <v>1794</v>
      </c>
      <c r="F390" s="1747" t="s">
        <v>3256</v>
      </c>
    </row>
    <row r="391" spans="1:7" ht="25.9" customHeight="1">
      <c r="A391" s="1755">
        <v>388</v>
      </c>
      <c r="B391" s="1756" t="s">
        <v>3180</v>
      </c>
      <c r="C391" s="1756" t="s">
        <v>2513</v>
      </c>
      <c r="D391" s="1757" t="str">
        <f t="shared" si="8"/>
        <v>Apports solaires Lucido / TWD:</v>
      </c>
      <c r="E391" s="1746" t="s">
        <v>479</v>
      </c>
      <c r="F391" s="1747" t="s">
        <v>3257</v>
      </c>
    </row>
    <row r="392" spans="1:7" ht="25.9" customHeight="1">
      <c r="A392" s="1755">
        <v>389</v>
      </c>
      <c r="B392" s="1756" t="s">
        <v>3180</v>
      </c>
      <c r="C392" s="1756" t="s">
        <v>2514</v>
      </c>
      <c r="D392" s="1757" t="str">
        <f t="shared" si="8"/>
        <v>interne des installations élec. QiE:</v>
      </c>
      <c r="E392" s="1746" t="s">
        <v>3253</v>
      </c>
      <c r="F392" s="1747" t="s">
        <v>3984</v>
      </c>
    </row>
    <row r="393" spans="1:7" ht="25.9" customHeight="1">
      <c r="A393" s="1755">
        <v>390</v>
      </c>
      <c r="B393" s="1756" t="s">
        <v>3180</v>
      </c>
      <c r="C393" s="1756" t="s">
        <v>2478</v>
      </c>
      <c r="D393" s="1757" t="str">
        <f t="shared" si="8"/>
        <v>interne dus aux personnes QiP:</v>
      </c>
      <c r="E393" s="1746" t="s">
        <v>3254</v>
      </c>
      <c r="F393" s="1747" t="s">
        <v>3258</v>
      </c>
    </row>
    <row r="394" spans="1:7" ht="25.9" customHeight="1">
      <c r="A394" s="1755">
        <v>391</v>
      </c>
      <c r="B394" s="1756" t="s">
        <v>3180</v>
      </c>
      <c r="C394" s="1756" t="s">
        <v>2479</v>
      </c>
      <c r="D394" s="1757" t="str">
        <f t="shared" si="8"/>
        <v>Apports de chaleur internes Qi:</v>
      </c>
      <c r="E394" s="1746" t="s">
        <v>3255</v>
      </c>
      <c r="F394" s="1747" t="s">
        <v>3259</v>
      </c>
    </row>
    <row r="395" spans="1:7" ht="25.9" customHeight="1">
      <c r="A395" s="1755">
        <v>392</v>
      </c>
      <c r="B395" s="1756" t="s">
        <v>3180</v>
      </c>
      <c r="C395" s="1756" t="s">
        <v>2493</v>
      </c>
      <c r="D395" s="1757" t="str">
        <f t="shared" si="8"/>
        <v>Apports solaires zénithaux:</v>
      </c>
      <c r="E395" s="1746" t="s">
        <v>1795</v>
      </c>
      <c r="F395" s="1747" t="s">
        <v>3260</v>
      </c>
    </row>
    <row r="396" spans="1:7" ht="25.9" customHeight="1">
      <c r="A396" s="1755">
        <v>393</v>
      </c>
      <c r="B396" s="1756" t="s">
        <v>3180</v>
      </c>
      <c r="C396" s="1756" t="s">
        <v>2494</v>
      </c>
      <c r="D396" s="1757" t="str">
        <f t="shared" si="8"/>
        <v>Apports solaires sud:</v>
      </c>
      <c r="E396" s="1746" t="s">
        <v>3261</v>
      </c>
      <c r="F396" s="1747" t="s">
        <v>3269</v>
      </c>
    </row>
    <row r="397" spans="1:7" ht="25.9" customHeight="1">
      <c r="A397" s="1755">
        <v>394</v>
      </c>
      <c r="B397" s="1756" t="s">
        <v>3180</v>
      </c>
      <c r="C397" s="1756" t="s">
        <v>2494</v>
      </c>
      <c r="D397" s="1757" t="str">
        <f t="shared" si="8"/>
        <v>Apports solaires SW:</v>
      </c>
      <c r="E397" s="1746" t="s">
        <v>3262</v>
      </c>
      <c r="F397" s="1747" t="s">
        <v>3270</v>
      </c>
    </row>
    <row r="398" spans="1:7" ht="25.9" customHeight="1">
      <c r="A398" s="1755">
        <v>395</v>
      </c>
      <c r="B398" s="1756" t="s">
        <v>3180</v>
      </c>
      <c r="C398" s="1756" t="s">
        <v>2480</v>
      </c>
      <c r="D398" s="1757" t="str">
        <f t="shared" si="8"/>
        <v>Apports solaires est:</v>
      </c>
      <c r="E398" s="1746" t="s">
        <v>3263</v>
      </c>
      <c r="F398" s="1747" t="s">
        <v>3271</v>
      </c>
    </row>
    <row r="399" spans="1:7" ht="25.9" customHeight="1">
      <c r="A399" s="1755">
        <v>396</v>
      </c>
      <c r="B399" s="1756" t="s">
        <v>3180</v>
      </c>
      <c r="C399" s="1756" t="s">
        <v>2480</v>
      </c>
      <c r="D399" s="1757" t="str">
        <f t="shared" si="8"/>
        <v>Apports solaires SE:</v>
      </c>
      <c r="E399" s="1746" t="s">
        <v>3264</v>
      </c>
      <c r="F399" s="1747" t="s">
        <v>3272</v>
      </c>
    </row>
    <row r="400" spans="1:7" ht="25.9" customHeight="1">
      <c r="A400" s="1755">
        <v>397</v>
      </c>
      <c r="B400" s="1756" t="s">
        <v>3180</v>
      </c>
      <c r="C400" s="1756" t="s">
        <v>2495</v>
      </c>
      <c r="D400" s="1757" t="str">
        <f t="shared" si="8"/>
        <v>Apports solaires ouest:</v>
      </c>
      <c r="E400" s="1746" t="s">
        <v>3266</v>
      </c>
      <c r="F400" s="1747" t="s">
        <v>3273</v>
      </c>
    </row>
    <row r="401" spans="1:7" ht="25.9" customHeight="1">
      <c r="A401" s="1755">
        <v>398</v>
      </c>
      <c r="B401" s="1756" t="s">
        <v>3180</v>
      </c>
      <c r="C401" s="1756" t="s">
        <v>2495</v>
      </c>
      <c r="D401" s="1757" t="str">
        <f t="shared" si="8"/>
        <v>Apports solaires NW:</v>
      </c>
      <c r="E401" s="1746" t="s">
        <v>3267</v>
      </c>
      <c r="F401" s="1747" t="s">
        <v>3274</v>
      </c>
    </row>
    <row r="402" spans="1:7" ht="25.9" customHeight="1">
      <c r="A402" s="1755">
        <v>399</v>
      </c>
      <c r="B402" s="1756" t="s">
        <v>3180</v>
      </c>
      <c r="C402" s="1756" t="s">
        <v>2481</v>
      </c>
      <c r="D402" s="1757" t="str">
        <f t="shared" si="8"/>
        <v>Apports solaires nord:</v>
      </c>
      <c r="E402" s="1746" t="s">
        <v>3265</v>
      </c>
      <c r="F402" s="1747" t="s">
        <v>3275</v>
      </c>
    </row>
    <row r="403" spans="1:7" ht="25.9" customHeight="1">
      <c r="A403" s="1755">
        <v>400</v>
      </c>
      <c r="B403" s="1756" t="s">
        <v>3180</v>
      </c>
      <c r="C403" s="1756" t="s">
        <v>2481</v>
      </c>
      <c r="D403" s="1757" t="str">
        <f t="shared" si="8"/>
        <v>Apports solaires NE:</v>
      </c>
      <c r="E403" s="1746" t="s">
        <v>3268</v>
      </c>
      <c r="F403" s="1747" t="s">
        <v>3276</v>
      </c>
    </row>
    <row r="404" spans="1:7" ht="25.9" customHeight="1">
      <c r="A404" s="1755">
        <v>401</v>
      </c>
      <c r="B404" s="1756" t="s">
        <v>3180</v>
      </c>
      <c r="C404" s="1756" t="s">
        <v>2497</v>
      </c>
      <c r="D404" s="1757" t="str">
        <f t="shared" si="8"/>
        <v>Apports solaires totaux Qs:</v>
      </c>
      <c r="E404" s="1746" t="s">
        <v>3277</v>
      </c>
      <c r="F404" s="1747" t="s">
        <v>3278</v>
      </c>
    </row>
    <row r="405" spans="1:7" ht="26.1" customHeight="1">
      <c r="A405" s="1755">
        <v>402</v>
      </c>
      <c r="B405" s="1756" t="s">
        <v>3180</v>
      </c>
      <c r="C405" s="1756" t="s">
        <v>2501</v>
      </c>
      <c r="D405" s="1757" t="str">
        <f t="shared" si="8"/>
        <v>Apports totaux de chaleur Qg:</v>
      </c>
      <c r="E405" s="1746" t="s">
        <v>3279</v>
      </c>
      <c r="F405" s="1747" t="s">
        <v>3280</v>
      </c>
    </row>
    <row r="406" spans="1:7" ht="26.1" customHeight="1">
      <c r="A406" s="1755">
        <v>403</v>
      </c>
      <c r="B406" s="1756" t="s">
        <v>3180</v>
      </c>
      <c r="C406" s="1756" t="s">
        <v>2482</v>
      </c>
      <c r="D406" s="1757" t="str">
        <f t="shared" si="8"/>
        <v>Apports totaux / déperditions totales:</v>
      </c>
      <c r="E406" s="1746" t="s">
        <v>1796</v>
      </c>
      <c r="F406" s="1747" t="s">
        <v>3281</v>
      </c>
    </row>
    <row r="407" spans="1:7" ht="26.1" customHeight="1">
      <c r="A407" s="1755">
        <v>404</v>
      </c>
      <c r="B407" s="1756" t="s">
        <v>3180</v>
      </c>
      <c r="C407" s="1756" t="s">
        <v>2498</v>
      </c>
      <c r="D407" s="1757" t="str">
        <f t="shared" si="8"/>
        <v>Constante de temps du bâtiment:</v>
      </c>
      <c r="E407" s="1746" t="s">
        <v>1797</v>
      </c>
      <c r="F407" s="1747" t="s">
        <v>3282</v>
      </c>
    </row>
    <row r="408" spans="1:7" ht="26.1" customHeight="1">
      <c r="A408" s="1755">
        <v>405</v>
      </c>
      <c r="B408" s="1756" t="s">
        <v>3180</v>
      </c>
      <c r="C408" s="1756" t="s">
        <v>2510</v>
      </c>
      <c r="D408" s="1757" t="str">
        <f t="shared" si="8"/>
        <v>Paramètre numérique a:</v>
      </c>
      <c r="E408" s="1746" t="s">
        <v>1798</v>
      </c>
      <c r="F408" s="1747" t="s">
        <v>3283</v>
      </c>
    </row>
    <row r="409" spans="1:7" ht="26.1" customHeight="1">
      <c r="A409" s="1755">
        <v>406</v>
      </c>
      <c r="B409" s="1756" t="s">
        <v>3180</v>
      </c>
      <c r="C409" s="1756" t="s">
        <v>2627</v>
      </c>
      <c r="D409" s="1757" t="str">
        <f t="shared" si="8"/>
        <v>Taux d'utilisation des apports:</v>
      </c>
      <c r="E409" s="1746" t="s">
        <v>3285</v>
      </c>
      <c r="F409" s="1747" t="s">
        <v>3286</v>
      </c>
    </row>
    <row r="410" spans="1:7" ht="26.1" customHeight="1">
      <c r="A410" s="1755">
        <v>407</v>
      </c>
      <c r="B410" s="1756" t="s">
        <v>3180</v>
      </c>
      <c r="C410" s="1756" t="s">
        <v>2628</v>
      </c>
      <c r="D410" s="1757" t="str">
        <f t="shared" si="8"/>
        <v>Apports utiles de chaleur Qug:</v>
      </c>
      <c r="E410" s="1746" t="s">
        <v>3284</v>
      </c>
      <c r="F410" s="1747" t="s">
        <v>3287</v>
      </c>
    </row>
    <row r="411" spans="1:7" ht="26.1" customHeight="1">
      <c r="A411" s="1755">
        <v>408</v>
      </c>
      <c r="B411" s="1756" t="s">
        <v>3180</v>
      </c>
      <c r="C411" s="1756" t="s">
        <v>2943</v>
      </c>
      <c r="D411" s="1757" t="str">
        <f t="shared" si="8"/>
        <v>K: Besoins de chaleur pour le chauffage:</v>
      </c>
      <c r="E411" s="1746" t="s">
        <v>1799</v>
      </c>
      <c r="F411" s="1747" t="s">
        <v>3289</v>
      </c>
    </row>
    <row r="412" spans="1:7" ht="26.1" customHeight="1">
      <c r="A412" s="1755">
        <v>409</v>
      </c>
      <c r="B412" s="1756" t="s">
        <v>3180</v>
      </c>
      <c r="C412" s="1756" t="s">
        <v>2629</v>
      </c>
      <c r="D412" s="1757" t="str">
        <f t="shared" si="8"/>
        <v>Besoins de chaleur  Qh:</v>
      </c>
      <c r="E412" s="1746" t="s">
        <v>3288</v>
      </c>
      <c r="F412" s="1747" t="s">
        <v>3290</v>
      </c>
    </row>
    <row r="413" spans="1:7" ht="26.1" customHeight="1">
      <c r="A413" s="1755">
        <v>410</v>
      </c>
      <c r="B413" s="1756" t="s">
        <v>3180</v>
      </c>
      <c r="C413" s="1756" t="s">
        <v>3292</v>
      </c>
      <c r="D413" s="1757" t="str">
        <f t="shared" si="8"/>
        <v>Année</v>
      </c>
      <c r="E413" s="1746" t="s">
        <v>501</v>
      </c>
      <c r="F413" s="1747" t="s">
        <v>3291</v>
      </c>
    </row>
    <row r="414" spans="1:7" ht="26.1" customHeight="1">
      <c r="A414" s="1755">
        <v>411</v>
      </c>
      <c r="B414" s="1756" t="s">
        <v>3293</v>
      </c>
      <c r="C414" s="1756" t="s">
        <v>2438</v>
      </c>
      <c r="D414" s="1757" t="str">
        <f t="shared" si="8"/>
        <v>Entech 380/1, Ver. 6.1</v>
      </c>
      <c r="E414" s="1746" t="str">
        <f>"Entech 380/1, "&amp;E4</f>
        <v>Entech 380/1, Ver. 6.1</v>
      </c>
      <c r="F414" s="1747" t="str">
        <f>"Entech 380/1, "&amp;F4</f>
        <v>Entech 380/1, Ver. 6.1</v>
      </c>
      <c r="G414" s="1770"/>
    </row>
    <row r="415" spans="1:7" s="1771" customFormat="1" ht="26.1" customHeight="1">
      <c r="A415" s="1755">
        <v>412</v>
      </c>
      <c r="B415" s="1756" t="s">
        <v>3293</v>
      </c>
      <c r="C415" s="1756" t="s">
        <v>3186</v>
      </c>
      <c r="D415" s="1757" t="str">
        <f t="shared" si="8"/>
        <v>Avec aération mécanique (avec débit d'air neuf thermiquement significatif  V'/AE)</v>
      </c>
      <c r="E415" s="1746" t="s">
        <v>3294</v>
      </c>
      <c r="F415" s="1747" t="s">
        <v>3295</v>
      </c>
      <c r="G415" s="1748"/>
    </row>
    <row r="416" spans="1:7" ht="26.1" customHeight="1">
      <c r="A416" s="1755">
        <v>413</v>
      </c>
      <c r="B416" s="1756" t="s">
        <v>3293</v>
      </c>
      <c r="C416" s="1756" t="s">
        <v>1276</v>
      </c>
      <c r="D416" s="1757" t="str">
        <f t="shared" si="8"/>
        <v>Optimisation selon la norm SIA 380/1</v>
      </c>
      <c r="E416" s="1746" t="s">
        <v>1647</v>
      </c>
      <c r="F416" s="1747" t="s">
        <v>3296</v>
      </c>
      <c r="G416" s="1769"/>
    </row>
    <row r="417" spans="1:7" ht="26.1" customHeight="1">
      <c r="A417" s="1755">
        <v>414</v>
      </c>
      <c r="B417" s="1756" t="s">
        <v>3293</v>
      </c>
      <c r="C417" s="1756" t="s">
        <v>2473</v>
      </c>
      <c r="D417" s="1757" t="str">
        <f t="shared" si="8"/>
        <v>Débit d'air neuf therm. significativ Vth:</v>
      </c>
      <c r="E417" s="1746" t="s">
        <v>3297</v>
      </c>
      <c r="F417" s="1747" t="s">
        <v>3298</v>
      </c>
    </row>
    <row r="418" spans="1:7" ht="26.1" customHeight="1">
      <c r="A418" s="1755">
        <v>415</v>
      </c>
      <c r="B418" s="1756" t="s">
        <v>3303</v>
      </c>
      <c r="C418" s="1756" t="s">
        <v>3186</v>
      </c>
      <c r="D418" s="1757" t="str">
        <f t="shared" si="8"/>
        <v>Avec facteur de réduction des apports de chaleur des installations électriques selon MINERGIE-P et avec aération mécanique</v>
      </c>
      <c r="E418" s="1746" t="s">
        <v>3299</v>
      </c>
      <c r="F418" s="1747" t="s">
        <v>3301</v>
      </c>
    </row>
    <row r="419" spans="1:7" ht="26.1" customHeight="1">
      <c r="A419" s="1755">
        <v>416</v>
      </c>
      <c r="B419" s="1756" t="s">
        <v>3303</v>
      </c>
      <c r="C419" s="1756" t="s">
        <v>3186</v>
      </c>
      <c r="D419" s="1757" t="str">
        <f t="shared" si="8"/>
        <v>Avec facteur de réduction des apports de chaleur des installations électriques selon MINERGIE et avec aération mécanique</v>
      </c>
      <c r="E419" s="1746" t="s">
        <v>3300</v>
      </c>
      <c r="F419" s="1747" t="s">
        <v>3302</v>
      </c>
    </row>
    <row r="420" spans="1:7" ht="26.1" customHeight="1">
      <c r="A420" s="1755">
        <v>417</v>
      </c>
      <c r="B420" s="1756" t="s">
        <v>3303</v>
      </c>
      <c r="C420" s="1756" t="s">
        <v>1276</v>
      </c>
      <c r="D420" s="1757" t="str">
        <f t="shared" si="8"/>
        <v>Pour le justificatif MINERGIE-P</v>
      </c>
      <c r="E420" s="1746" t="s">
        <v>3304</v>
      </c>
      <c r="F420" s="1747" t="s">
        <v>3305</v>
      </c>
    </row>
    <row r="421" spans="1:7" ht="26.1" customHeight="1">
      <c r="A421" s="1755">
        <v>418</v>
      </c>
      <c r="B421" s="1756" t="s">
        <v>3303</v>
      </c>
      <c r="C421" s="1756" t="s">
        <v>1276</v>
      </c>
      <c r="D421" s="1757" t="str">
        <f t="shared" si="8"/>
        <v>Pour le justificatif MINERGIE</v>
      </c>
      <c r="E421" s="1746" t="s">
        <v>3989</v>
      </c>
      <c r="F421" s="1747" t="s">
        <v>3306</v>
      </c>
    </row>
    <row r="422" spans="1:7" ht="26.1" customHeight="1">
      <c r="A422" s="1755">
        <v>419</v>
      </c>
      <c r="B422" s="1756" t="s">
        <v>3308</v>
      </c>
      <c r="C422" s="1756" t="s">
        <v>3314</v>
      </c>
      <c r="D422" s="1757" t="str">
        <f t="shared" si="8"/>
        <v>Condensation dans la construction</v>
      </c>
      <c r="E422" s="1746" t="s">
        <v>842</v>
      </c>
      <c r="F422" s="1747" t="s">
        <v>3307</v>
      </c>
    </row>
    <row r="423" spans="1:7" ht="26.1" customHeight="1">
      <c r="A423" s="1755">
        <v>420</v>
      </c>
      <c r="B423" s="1756" t="s">
        <v>3308</v>
      </c>
      <c r="C423" s="1756" t="s">
        <v>3311</v>
      </c>
      <c r="D423" s="1757" t="str">
        <f t="shared" si="8"/>
        <v>T intérieur =</v>
      </c>
      <c r="E423" s="1746" t="s">
        <v>1545</v>
      </c>
      <c r="F423" s="1747" t="s">
        <v>3309</v>
      </c>
    </row>
    <row r="424" spans="1:7" ht="26.1" customHeight="1">
      <c r="A424" s="1755">
        <v>421</v>
      </c>
      <c r="B424" s="1756" t="s">
        <v>3308</v>
      </c>
      <c r="C424" s="1756" t="s">
        <v>334</v>
      </c>
      <c r="D424" s="1757" t="str">
        <f t="shared" si="8"/>
        <v>T extérieur =</v>
      </c>
      <c r="E424" s="1746" t="s">
        <v>1670</v>
      </c>
      <c r="F424" s="1747" t="s">
        <v>3310</v>
      </c>
    </row>
    <row r="425" spans="1:7" ht="26.1" customHeight="1">
      <c r="A425" s="1755">
        <v>422</v>
      </c>
      <c r="B425" s="1756" t="s">
        <v>3308</v>
      </c>
      <c r="C425" s="1756" t="s">
        <v>3315</v>
      </c>
      <c r="D425" s="1757" t="str">
        <f t="shared" si="8"/>
        <v>(ne fonçtionne qu'avec la version complète)</v>
      </c>
      <c r="E425" s="1746" t="s">
        <v>3313</v>
      </c>
      <c r="F425" s="1747" t="s">
        <v>3312</v>
      </c>
    </row>
    <row r="426" spans="1:7" ht="25.9" customHeight="1">
      <c r="A426" s="1755">
        <v>423</v>
      </c>
      <c r="B426" s="1756" t="s">
        <v>3308</v>
      </c>
      <c r="C426" s="1772" t="s">
        <v>3317</v>
      </c>
      <c r="D426" s="1757" t="str">
        <f t="shared" si="8"/>
        <v>Pas de condens sur la surface:</v>
      </c>
      <c r="E426" s="1746" t="s">
        <v>267</v>
      </c>
      <c r="F426" s="1747" t="s">
        <v>3316</v>
      </c>
      <c r="G426" s="1770"/>
    </row>
    <row r="427" spans="1:7" s="1771" customFormat="1" ht="25.9" customHeight="1">
      <c r="A427" s="1755">
        <v>424</v>
      </c>
      <c r="B427" s="1756" t="s">
        <v>3308</v>
      </c>
      <c r="C427" s="1756" t="s">
        <v>3318</v>
      </c>
      <c r="D427" s="1757" t="str">
        <f t="shared" si="8"/>
        <v>Facteurs de la température sur les surfaces</v>
      </c>
      <c r="E427" s="1773" t="s">
        <v>266</v>
      </c>
      <c r="F427" s="1774" t="s">
        <v>3319</v>
      </c>
      <c r="G427" s="1748"/>
    </row>
    <row r="428" spans="1:7" ht="25.9" customHeight="1">
      <c r="A428" s="1755">
        <v>425</v>
      </c>
      <c r="B428" s="1756" t="s">
        <v>3308</v>
      </c>
      <c r="C428" s="1775" t="s">
        <v>3321</v>
      </c>
      <c r="D428" s="1757" t="str">
        <f t="shared" si="8"/>
        <v>Pas de penicillium:</v>
      </c>
      <c r="E428" s="1746" t="s">
        <v>269</v>
      </c>
      <c r="F428" s="1747" t="s">
        <v>3320</v>
      </c>
      <c r="G428" s="1769"/>
    </row>
    <row r="429" spans="1:7" ht="25.9" customHeight="1">
      <c r="A429" s="1755">
        <v>426</v>
      </c>
      <c r="B429" s="1756" t="s">
        <v>3308</v>
      </c>
      <c r="C429" s="1756" t="s">
        <v>772</v>
      </c>
      <c r="D429" s="1757" t="str">
        <f t="shared" si="8"/>
        <v>avec alpha,i=6W/Km2 selon la norme sia 380/1</v>
      </c>
      <c r="E429" s="1746" t="s">
        <v>3322</v>
      </c>
      <c r="F429" s="1747" t="s">
        <v>3323</v>
      </c>
    </row>
    <row r="430" spans="1:7" ht="25.9" customHeight="1">
      <c r="A430" s="1755">
        <v>427</v>
      </c>
      <c r="B430" s="1756" t="s">
        <v>3308</v>
      </c>
      <c r="C430" s="1756" t="s">
        <v>764</v>
      </c>
      <c r="D430" s="1757" t="str">
        <f t="shared" si="8"/>
        <v>valeur qui est</v>
      </c>
      <c r="E430" s="1746" t="s">
        <v>271</v>
      </c>
      <c r="F430" s="1747" t="s">
        <v>3324</v>
      </c>
    </row>
    <row r="431" spans="1:7" ht="25.9" customHeight="1">
      <c r="A431" s="1755">
        <v>428</v>
      </c>
      <c r="B431" s="1756" t="s">
        <v>3308</v>
      </c>
      <c r="C431" s="1756" t="s">
        <v>3330</v>
      </c>
      <c r="D431" s="1757" t="str">
        <f t="shared" si="8"/>
        <v>valeur limite</v>
      </c>
      <c r="E431" s="1746" t="s">
        <v>272</v>
      </c>
      <c r="F431" s="1747" t="s">
        <v>3325</v>
      </c>
    </row>
    <row r="432" spans="1:7" ht="25.9" customHeight="1">
      <c r="A432" s="1755">
        <v>429</v>
      </c>
      <c r="B432" s="1756" t="s">
        <v>3308</v>
      </c>
      <c r="C432" s="1756" t="s">
        <v>3329</v>
      </c>
      <c r="D432" s="1757" t="str">
        <f t="shared" si="8"/>
        <v>condens.</v>
      </c>
      <c r="E432" s="1746" t="s">
        <v>168</v>
      </c>
      <c r="F432" s="1747" t="s">
        <v>3326</v>
      </c>
    </row>
    <row r="433" spans="1:6" ht="25.9" customHeight="1">
      <c r="A433" s="1755">
        <v>430</v>
      </c>
      <c r="B433" s="1756" t="s">
        <v>3308</v>
      </c>
      <c r="C433" s="1756" t="s">
        <v>3328</v>
      </c>
      <c r="D433" s="1757" t="str">
        <f t="shared" si="8"/>
        <v>penicillium</v>
      </c>
      <c r="E433" s="1746" t="s">
        <v>275</v>
      </c>
      <c r="F433" s="1747" t="s">
        <v>3327</v>
      </c>
    </row>
    <row r="434" spans="1:6" ht="25.9" customHeight="1">
      <c r="A434" s="1755">
        <v>431</v>
      </c>
      <c r="B434" s="1756" t="s">
        <v>3308</v>
      </c>
      <c r="C434" s="1756" t="s">
        <v>3334</v>
      </c>
      <c r="D434" s="1757" t="str">
        <f t="shared" si="8"/>
        <v>1ère partie</v>
      </c>
      <c r="E434" s="1746" t="s">
        <v>1757</v>
      </c>
      <c r="F434" s="1747" t="s">
        <v>3331</v>
      </c>
    </row>
    <row r="435" spans="1:6" ht="25.9" customHeight="1">
      <c r="A435" s="1755">
        <v>432</v>
      </c>
      <c r="B435" s="1756" t="s">
        <v>3308</v>
      </c>
      <c r="C435" s="1756" t="s">
        <v>3333</v>
      </c>
      <c r="D435" s="1757" t="str">
        <f t="shared" si="8"/>
        <v>2ème partie</v>
      </c>
      <c r="E435" s="1746" t="s">
        <v>1758</v>
      </c>
      <c r="F435" s="1747" t="s">
        <v>3332</v>
      </c>
    </row>
    <row r="436" spans="1:6" ht="25.9" customHeight="1">
      <c r="A436" s="1755">
        <v>433</v>
      </c>
      <c r="B436" s="1756" t="s">
        <v>3308</v>
      </c>
      <c r="C436" s="1756" t="s">
        <v>3336</v>
      </c>
      <c r="D436" s="1757" t="str">
        <f t="shared" si="8"/>
        <v>(Valeur normative pour les endroits intérieurs: 20° / 50%)</v>
      </c>
      <c r="E436" s="1746" t="s">
        <v>890</v>
      </c>
      <c r="F436" s="1747" t="s">
        <v>3335</v>
      </c>
    </row>
    <row r="437" spans="1:6" ht="25.9" customHeight="1">
      <c r="A437" s="1755">
        <v>434</v>
      </c>
      <c r="B437" s="1756" t="s">
        <v>3308</v>
      </c>
      <c r="C437" s="1756" t="s">
        <v>2745</v>
      </c>
      <c r="D437" s="1757" t="str">
        <f t="shared" si="8"/>
        <v>Développement de température effective</v>
      </c>
      <c r="E437" s="1746" t="s">
        <v>364</v>
      </c>
      <c r="F437" s="1747" t="s">
        <v>3337</v>
      </c>
    </row>
    <row r="438" spans="1:6" ht="25.9" customHeight="1">
      <c r="A438" s="1755">
        <v>435</v>
      </c>
      <c r="B438" s="1756" t="s">
        <v>3308</v>
      </c>
      <c r="C438" s="1756" t="s">
        <v>3339</v>
      </c>
      <c r="D438" s="1757" t="str">
        <f t="shared" si="8"/>
        <v>Température de la condensation</v>
      </c>
      <c r="E438" s="1746" t="s">
        <v>1188</v>
      </c>
      <c r="F438" s="1747" t="s">
        <v>3338</v>
      </c>
    </row>
    <row r="439" spans="1:6" ht="25.9" customHeight="1">
      <c r="A439" s="1755">
        <v>436</v>
      </c>
      <c r="B439" s="1756" t="s">
        <v>3308</v>
      </c>
      <c r="C439" s="1756" t="s">
        <v>3342</v>
      </c>
      <c r="D439" s="1757" t="str">
        <f t="shared" si="8"/>
        <v>(Station météorologique pour calculer la condensation)</v>
      </c>
      <c r="E439" s="1746" t="s">
        <v>781</v>
      </c>
      <c r="F439" s="1747" t="s">
        <v>3340</v>
      </c>
    </row>
    <row r="440" spans="1:6" ht="25.9" customHeight="1">
      <c r="A440" s="1755">
        <v>437</v>
      </c>
      <c r="B440" s="1756" t="s">
        <v>3308</v>
      </c>
      <c r="C440" s="1756" t="s">
        <v>3343</v>
      </c>
      <c r="D440" s="1757" t="str">
        <f t="shared" si="8"/>
        <v xml:space="preserve">Station:  </v>
      </c>
      <c r="E440" s="1746" t="s">
        <v>3341</v>
      </c>
      <c r="F440" s="1747" t="s">
        <v>3341</v>
      </c>
    </row>
    <row r="441" spans="1:6" ht="25.9" customHeight="1">
      <c r="A441" s="1755">
        <v>438</v>
      </c>
      <c r="B441" s="1756" t="s">
        <v>3308</v>
      </c>
      <c r="C441" s="1756" t="s">
        <v>3346</v>
      </c>
      <c r="D441" s="1757" t="str">
        <f t="shared" si="8"/>
        <v>Humidité intérieur =</v>
      </c>
      <c r="E441" s="1746" t="s">
        <v>1671</v>
      </c>
      <c r="F441" s="1747" t="s">
        <v>3344</v>
      </c>
    </row>
    <row r="442" spans="1:6" ht="25.9" customHeight="1">
      <c r="A442" s="1755">
        <v>439</v>
      </c>
      <c r="B442" s="1756" t="s">
        <v>3308</v>
      </c>
      <c r="C442" s="1756" t="s">
        <v>3347</v>
      </c>
      <c r="D442" s="1757" t="str">
        <f t="shared" si="8"/>
        <v>Humidité extérieur =</v>
      </c>
      <c r="E442" s="1746" t="s">
        <v>1672</v>
      </c>
      <c r="F442" s="1747" t="s">
        <v>3345</v>
      </c>
    </row>
    <row r="443" spans="1:6" ht="25.9" customHeight="1">
      <c r="A443" s="1755">
        <v>440</v>
      </c>
      <c r="B443" s="1756" t="s">
        <v>3348</v>
      </c>
      <c r="C443" s="1756" t="s">
        <v>3181</v>
      </c>
      <c r="D443" s="1757" t="str">
        <f t="shared" si="8"/>
        <v>page 6 de 10</v>
      </c>
      <c r="E443" s="1746" t="s">
        <v>4069</v>
      </c>
      <c r="F443" s="1747" t="s">
        <v>4066</v>
      </c>
    </row>
    <row r="444" spans="1:6" ht="25.9" customHeight="1">
      <c r="A444" s="1755">
        <v>441</v>
      </c>
      <c r="B444" s="1756" t="s">
        <v>3348</v>
      </c>
      <c r="C444" s="1756" t="s">
        <v>2522</v>
      </c>
      <c r="D444" s="1757" t="str">
        <f t="shared" si="8"/>
        <v>Calcul du coefficient de transmission thermique des élements:</v>
      </c>
      <c r="E444" s="1746" t="s">
        <v>2016</v>
      </c>
      <c r="F444" s="1747" t="s">
        <v>3349</v>
      </c>
    </row>
    <row r="445" spans="1:6" ht="25.9" customHeight="1">
      <c r="A445" s="1755">
        <v>442</v>
      </c>
      <c r="B445" s="1756" t="s">
        <v>3348</v>
      </c>
      <c r="C445" s="1756" t="s">
        <v>2535</v>
      </c>
      <c r="D445" s="1757" t="str">
        <f t="shared" si="8"/>
        <v>(U=survéillé; N=pas survéillé; S=specifié)</v>
      </c>
      <c r="E445" s="1746" t="s">
        <v>1141</v>
      </c>
      <c r="F445" s="1747" t="s">
        <v>3353</v>
      </c>
    </row>
    <row r="446" spans="1:6" ht="25.9" customHeight="1">
      <c r="A446" s="1755">
        <v>443</v>
      </c>
      <c r="B446" s="1756" t="s">
        <v>3348</v>
      </c>
      <c r="C446" s="1756" t="s">
        <v>3352</v>
      </c>
      <c r="D446" s="1757" t="str">
        <f t="shared" si="8"/>
        <v xml:space="preserve"> (Station météorologique)</v>
      </c>
      <c r="E446" s="1746" t="s">
        <v>3351</v>
      </c>
      <c r="F446" s="1747" t="s">
        <v>3350</v>
      </c>
    </row>
    <row r="447" spans="1:6" ht="25.9" customHeight="1">
      <c r="A447" s="1755">
        <v>444</v>
      </c>
      <c r="B447" s="1756" t="s">
        <v>3348</v>
      </c>
      <c r="C447" s="1756" t="s">
        <v>3355</v>
      </c>
      <c r="D447" s="1757" t="str">
        <f t="shared" si="8"/>
        <v>Désignation:</v>
      </c>
      <c r="E447" s="1746" t="s">
        <v>2348</v>
      </c>
      <c r="F447" s="1747" t="s">
        <v>3354</v>
      </c>
    </row>
    <row r="448" spans="1:6" ht="25.9" customHeight="1">
      <c r="A448" s="1755">
        <v>445</v>
      </c>
      <c r="B448" s="1756" t="s">
        <v>3348</v>
      </c>
      <c r="C448" s="1756" t="s">
        <v>3357</v>
      </c>
      <c r="D448" s="1757" t="str">
        <f t="shared" si="8"/>
        <v>Valeur U total:</v>
      </c>
      <c r="E448" s="1746" t="s">
        <v>2017</v>
      </c>
      <c r="F448" s="1747" t="s">
        <v>3356</v>
      </c>
    </row>
    <row r="449" spans="1:6" ht="25.9" customHeight="1">
      <c r="A449" s="1755">
        <v>446</v>
      </c>
      <c r="B449" s="1756" t="s">
        <v>3348</v>
      </c>
      <c r="C449" s="1756" t="s">
        <v>3358</v>
      </c>
      <c r="D449" s="1757" t="str">
        <f t="shared" si="8"/>
        <v>Valeur U</v>
      </c>
      <c r="E449" s="1746" t="s">
        <v>2018</v>
      </c>
      <c r="F449" s="1747" t="s">
        <v>2767</v>
      </c>
    </row>
    <row r="450" spans="1:6" ht="25.9" customHeight="1">
      <c r="A450" s="1755">
        <v>447</v>
      </c>
      <c r="B450" s="1756" t="s">
        <v>3348</v>
      </c>
      <c r="C450" s="1756" t="s">
        <v>3359</v>
      </c>
      <c r="D450" s="1757" t="str">
        <f t="shared" si="8"/>
        <v>Valeur g</v>
      </c>
      <c r="E450" s="1746" t="s">
        <v>2347</v>
      </c>
      <c r="F450" s="1747" t="s">
        <v>3141</v>
      </c>
    </row>
    <row r="451" spans="1:6" ht="25.9" customHeight="1">
      <c r="A451" s="1755">
        <v>448</v>
      </c>
      <c r="B451" s="1756" t="s">
        <v>3348</v>
      </c>
      <c r="C451" s="1756" t="s">
        <v>3361</v>
      </c>
      <c r="D451" s="1757" t="str">
        <f t="shared" si="8"/>
        <v>Valeur U W/m2K</v>
      </c>
      <c r="E451" s="1746" t="s">
        <v>261</v>
      </c>
      <c r="F451" s="1747" t="s">
        <v>3360</v>
      </c>
    </row>
    <row r="452" spans="1:6" ht="25.9" customHeight="1">
      <c r="A452" s="1755">
        <v>449</v>
      </c>
      <c r="B452" s="1756" t="s">
        <v>3348</v>
      </c>
      <c r="C452" s="1756" t="s">
        <v>3363</v>
      </c>
      <c r="D452" s="1757" t="str">
        <f t="shared" ref="D452:D515" si="9">INDEX($E$4:$G$809,$A452,$A$1)</f>
        <v>Valeur b:</v>
      </c>
      <c r="E452" s="1746" t="s">
        <v>2010</v>
      </c>
      <c r="F452" s="1747" t="s">
        <v>3362</v>
      </c>
    </row>
    <row r="453" spans="1:6" ht="25.9" customHeight="1">
      <c r="A453" s="1755">
        <v>450</v>
      </c>
      <c r="B453" s="1756" t="s">
        <v>3348</v>
      </c>
      <c r="C453" s="1756" t="s">
        <v>3364</v>
      </c>
      <c r="D453" s="1757" t="str">
        <f t="shared" si="9"/>
        <v>Fenêtres:</v>
      </c>
      <c r="E453" s="1746" t="s">
        <v>1848</v>
      </c>
      <c r="F453" s="1747" t="s">
        <v>3365</v>
      </c>
    </row>
    <row r="454" spans="1:6" ht="25.9" customHeight="1">
      <c r="A454" s="1755">
        <v>451</v>
      </c>
      <c r="B454" s="1756" t="s">
        <v>3348</v>
      </c>
      <c r="C454" s="1756" t="s">
        <v>3366</v>
      </c>
      <c r="D454" s="1757" t="str">
        <f t="shared" si="9"/>
        <v>Vitrification ou fenêtre spécial:</v>
      </c>
      <c r="E454" s="1746" t="s">
        <v>1802</v>
      </c>
      <c r="F454" s="1747" t="s">
        <v>3367</v>
      </c>
    </row>
    <row r="455" spans="1:6" ht="25.9" customHeight="1">
      <c r="A455" s="1755">
        <v>452</v>
      </c>
      <c r="B455" s="1756" t="s">
        <v>3348</v>
      </c>
      <c r="C455" s="1756" t="s">
        <v>3369</v>
      </c>
      <c r="D455" s="1757" t="str">
        <f t="shared" si="9"/>
        <v>Châssis:</v>
      </c>
      <c r="E455" s="1746" t="s">
        <v>1803</v>
      </c>
      <c r="F455" s="1747" t="s">
        <v>3368</v>
      </c>
    </row>
    <row r="456" spans="1:6" ht="25.9" customHeight="1">
      <c r="A456" s="1755">
        <v>453</v>
      </c>
      <c r="B456" s="1756" t="s">
        <v>3348</v>
      </c>
      <c r="C456" s="1756" t="s">
        <v>3371</v>
      </c>
      <c r="D456" s="1757" t="str">
        <f t="shared" si="9"/>
        <v>Portes:</v>
      </c>
      <c r="E456" s="1746" t="s">
        <v>1804</v>
      </c>
      <c r="F456" s="1747" t="s">
        <v>3370</v>
      </c>
    </row>
    <row r="457" spans="1:6" ht="25.9" customHeight="1">
      <c r="A457" s="1755">
        <v>454</v>
      </c>
      <c r="B457" s="1756" t="s">
        <v>3348</v>
      </c>
      <c r="C457" s="1756" t="s">
        <v>3373</v>
      </c>
      <c r="D457" s="1757" t="str">
        <f t="shared" si="9"/>
        <v>Eléments inhomogènes:</v>
      </c>
      <c r="E457" s="1746" t="s">
        <v>1761</v>
      </c>
      <c r="F457" s="1747" t="s">
        <v>3372</v>
      </c>
    </row>
    <row r="458" spans="1:6" ht="25.9" customHeight="1">
      <c r="A458" s="1755">
        <v>455</v>
      </c>
      <c r="B458" s="1756" t="s">
        <v>3348</v>
      </c>
      <c r="C458" s="1756" t="s">
        <v>3380</v>
      </c>
      <c r="D458" s="1757" t="str">
        <f t="shared" si="9"/>
        <v xml:space="preserve">Valeur-limite supérieur Ro = </v>
      </c>
      <c r="E458" s="1746" t="s">
        <v>3374</v>
      </c>
      <c r="F458" s="1747" t="s">
        <v>3377</v>
      </c>
    </row>
    <row r="459" spans="1:6" ht="25.9" customHeight="1">
      <c r="A459" s="1755">
        <v>456</v>
      </c>
      <c r="B459" s="1756" t="s">
        <v>3348</v>
      </c>
      <c r="C459" s="1756" t="s">
        <v>3381</v>
      </c>
      <c r="D459" s="1757" t="str">
        <f t="shared" si="9"/>
        <v xml:space="preserve">Valeur-limite inférieur Ru = </v>
      </c>
      <c r="E459" s="1746" t="s">
        <v>3375</v>
      </c>
      <c r="F459" s="1747" t="s">
        <v>3378</v>
      </c>
    </row>
    <row r="460" spans="1:6" ht="25.9" customHeight="1">
      <c r="A460" s="1755">
        <v>457</v>
      </c>
      <c r="B460" s="1756" t="s">
        <v>3348</v>
      </c>
      <c r="C460" s="1756" t="s">
        <v>3382</v>
      </c>
      <c r="D460" s="1757" t="str">
        <f t="shared" si="9"/>
        <v xml:space="preserve">Résistance thermique Rtot = </v>
      </c>
      <c r="E460" s="1746" t="s">
        <v>3376</v>
      </c>
      <c r="F460" s="1747" t="s">
        <v>3379</v>
      </c>
    </row>
    <row r="461" spans="1:6" ht="25.9" customHeight="1">
      <c r="A461" s="1755">
        <v>458</v>
      </c>
      <c r="B461" s="1756" t="s">
        <v>3348</v>
      </c>
      <c r="C461" s="1756" t="s">
        <v>3384</v>
      </c>
      <c r="D461" s="1757" t="str">
        <f t="shared" si="9"/>
        <v>1ère partie</v>
      </c>
      <c r="E461" s="1746" t="s">
        <v>1757</v>
      </c>
      <c r="F461" s="1747" t="s">
        <v>3331</v>
      </c>
    </row>
    <row r="462" spans="1:6" ht="25.9" customHeight="1">
      <c r="A462" s="1755">
        <v>459</v>
      </c>
      <c r="B462" s="1756" t="s">
        <v>3348</v>
      </c>
      <c r="C462" s="1756" t="s">
        <v>3383</v>
      </c>
      <c r="D462" s="1757" t="str">
        <f t="shared" si="9"/>
        <v>2ème partie</v>
      </c>
      <c r="E462" s="1746" t="s">
        <v>1758</v>
      </c>
      <c r="F462" s="1747" t="s">
        <v>3332</v>
      </c>
    </row>
    <row r="463" spans="1:6" ht="25.9" customHeight="1">
      <c r="A463" s="1755">
        <v>460</v>
      </c>
      <c r="B463" s="1756" t="s">
        <v>3348</v>
      </c>
      <c r="C463" s="1756" t="s">
        <v>3386</v>
      </c>
      <c r="D463" s="1757" t="str">
        <f t="shared" si="9"/>
        <v>Longueur de la 1ère section L1</v>
      </c>
      <c r="E463" s="1746" t="s">
        <v>1766</v>
      </c>
      <c r="F463" s="1747" t="s">
        <v>3387</v>
      </c>
    </row>
    <row r="464" spans="1:6" ht="25.9" customHeight="1">
      <c r="A464" s="1755">
        <v>461</v>
      </c>
      <c r="B464" s="1756" t="s">
        <v>3348</v>
      </c>
      <c r="C464" s="1756" t="s">
        <v>3385</v>
      </c>
      <c r="D464" s="1757" t="str">
        <f t="shared" si="9"/>
        <v>Longueur de la section L2</v>
      </c>
      <c r="E464" s="1746" t="s">
        <v>747</v>
      </c>
      <c r="F464" s="1747" t="s">
        <v>3388</v>
      </c>
    </row>
    <row r="465" spans="1:7" ht="25.9" customHeight="1">
      <c r="A465" s="1755">
        <v>462</v>
      </c>
      <c r="B465" s="1756" t="s">
        <v>3348</v>
      </c>
      <c r="C465" s="1756" t="s">
        <v>3389</v>
      </c>
      <c r="D465" s="1757" t="str">
        <f t="shared" si="9"/>
        <v>Constructions:</v>
      </c>
      <c r="E465" s="1746" t="s">
        <v>1805</v>
      </c>
      <c r="F465" s="1747" t="s">
        <v>3390</v>
      </c>
    </row>
    <row r="466" spans="1:7" ht="25.9" customHeight="1">
      <c r="A466" s="1755">
        <v>463</v>
      </c>
      <c r="B466" s="1756" t="s">
        <v>3348</v>
      </c>
      <c r="C466" s="1756" t="s">
        <v>3392</v>
      </c>
      <c r="D466" s="1757" t="str">
        <f t="shared" si="9"/>
        <v>Eléments variables par mois:</v>
      </c>
      <c r="E466" s="1746" t="s">
        <v>113</v>
      </c>
      <c r="F466" s="1747" t="s">
        <v>3391</v>
      </c>
    </row>
    <row r="467" spans="1:7" ht="25.9" customHeight="1">
      <c r="A467" s="1755">
        <v>464</v>
      </c>
      <c r="B467" s="1756" t="s">
        <v>3348</v>
      </c>
      <c r="C467" s="1776" t="s">
        <v>3409</v>
      </c>
      <c r="D467" s="1757" t="str">
        <f t="shared" si="9"/>
        <v xml:space="preserve">Exposition Sud  </v>
      </c>
      <c r="E467" s="1777" t="s">
        <v>3401</v>
      </c>
      <c r="F467" s="1778" t="s">
        <v>3402</v>
      </c>
      <c r="G467" s="1779"/>
    </row>
    <row r="468" spans="1:7" ht="25.9" customHeight="1">
      <c r="A468" s="1755">
        <v>465</v>
      </c>
      <c r="B468" s="1756" t="s">
        <v>3348</v>
      </c>
      <c r="C468" s="1756" t="s">
        <v>3409</v>
      </c>
      <c r="D468" s="1757" t="str">
        <f t="shared" si="9"/>
        <v xml:space="preserve">Exposition Sud-Ouest </v>
      </c>
      <c r="E468" s="1760" t="s">
        <v>3393</v>
      </c>
      <c r="F468" s="1761" t="s">
        <v>3397</v>
      </c>
      <c r="G468" s="1769"/>
    </row>
    <row r="469" spans="1:7" ht="25.9" customHeight="1">
      <c r="A469" s="1755">
        <v>466</v>
      </c>
      <c r="B469" s="1756" t="s">
        <v>3348</v>
      </c>
      <c r="C469" s="1756" t="s">
        <v>3410</v>
      </c>
      <c r="D469" s="1757" t="str">
        <f t="shared" si="9"/>
        <v xml:space="preserve">Exposition Est  </v>
      </c>
      <c r="E469" s="1746" t="s">
        <v>3404</v>
      </c>
      <c r="F469" s="1747" t="s">
        <v>3403</v>
      </c>
    </row>
    <row r="470" spans="1:7" ht="25.9" customHeight="1">
      <c r="A470" s="1755">
        <v>467</v>
      </c>
      <c r="B470" s="1756" t="s">
        <v>3348</v>
      </c>
      <c r="C470" s="1756" t="s">
        <v>3410</v>
      </c>
      <c r="D470" s="1757" t="str">
        <f t="shared" si="9"/>
        <v xml:space="preserve">Exposition Sud-Est </v>
      </c>
      <c r="E470" s="1746" t="s">
        <v>3394</v>
      </c>
      <c r="F470" s="1747" t="s">
        <v>3398</v>
      </c>
    </row>
    <row r="471" spans="1:7" ht="25.9" customHeight="1">
      <c r="A471" s="1755">
        <v>468</v>
      </c>
      <c r="B471" s="1756" t="s">
        <v>3348</v>
      </c>
      <c r="C471" s="1756" t="s">
        <v>3411</v>
      </c>
      <c r="D471" s="1757" t="str">
        <f t="shared" si="9"/>
        <v xml:space="preserve">Exposition Ouest  </v>
      </c>
      <c r="E471" s="1746" t="s">
        <v>3406</v>
      </c>
      <c r="F471" s="1747" t="s">
        <v>3405</v>
      </c>
    </row>
    <row r="472" spans="1:7" ht="25.9" customHeight="1">
      <c r="A472" s="1755">
        <v>469</v>
      </c>
      <c r="B472" s="1756" t="s">
        <v>3348</v>
      </c>
      <c r="C472" s="1756" t="s">
        <v>3411</v>
      </c>
      <c r="D472" s="1757" t="str">
        <f t="shared" si="9"/>
        <v xml:space="preserve">Exposition Nord-Ouest </v>
      </c>
      <c r="E472" s="1746" t="s">
        <v>3395</v>
      </c>
      <c r="F472" s="1747" t="s">
        <v>3399</v>
      </c>
    </row>
    <row r="473" spans="1:7" ht="25.9" customHeight="1">
      <c r="A473" s="1755">
        <v>470</v>
      </c>
      <c r="B473" s="1756" t="s">
        <v>3348</v>
      </c>
      <c r="C473" s="1756" t="s">
        <v>3412</v>
      </c>
      <c r="D473" s="1757" t="str">
        <f t="shared" si="9"/>
        <v xml:space="preserve">Exposition Nord  </v>
      </c>
      <c r="E473" s="1746" t="s">
        <v>3408</v>
      </c>
      <c r="F473" s="1747" t="s">
        <v>3407</v>
      </c>
    </row>
    <row r="474" spans="1:7" ht="26.1" customHeight="1">
      <c r="A474" s="1755">
        <v>471</v>
      </c>
      <c r="B474" s="1756" t="s">
        <v>3348</v>
      </c>
      <c r="C474" s="1756" t="s">
        <v>3412</v>
      </c>
      <c r="D474" s="1757" t="str">
        <f t="shared" si="9"/>
        <v xml:space="preserve">Exposition Nord-Est </v>
      </c>
      <c r="E474" s="1746" t="s">
        <v>3396</v>
      </c>
      <c r="F474" s="1747" t="s">
        <v>3400</v>
      </c>
    </row>
    <row r="475" spans="1:7" ht="26.1" customHeight="1">
      <c r="A475" s="1755">
        <v>472</v>
      </c>
      <c r="B475" s="1756" t="s">
        <v>3348</v>
      </c>
      <c r="C475" s="1756" t="s">
        <v>3422</v>
      </c>
      <c r="D475" s="1757" t="str">
        <f t="shared" si="9"/>
        <v>Janvier</v>
      </c>
      <c r="E475" s="1746" t="s">
        <v>1612</v>
      </c>
      <c r="F475" s="1747" t="s">
        <v>3413</v>
      </c>
    </row>
    <row r="476" spans="1:7" ht="26.1" customHeight="1">
      <c r="A476" s="1755">
        <v>473</v>
      </c>
      <c r="B476" s="1756" t="s">
        <v>3348</v>
      </c>
      <c r="C476" s="1756" t="s">
        <v>3423</v>
      </c>
      <c r="D476" s="1757" t="str">
        <f t="shared" si="9"/>
        <v>Février</v>
      </c>
      <c r="E476" s="1746" t="s">
        <v>1613</v>
      </c>
      <c r="F476" s="1747" t="s">
        <v>3418</v>
      </c>
    </row>
    <row r="477" spans="1:7" ht="26.1" customHeight="1">
      <c r="A477" s="1755">
        <v>474</v>
      </c>
      <c r="B477" s="1756" t="s">
        <v>3348</v>
      </c>
      <c r="C477" s="1756" t="s">
        <v>3424</v>
      </c>
      <c r="D477" s="1757" t="str">
        <f t="shared" si="9"/>
        <v>Mars</v>
      </c>
      <c r="E477" s="1746" t="s">
        <v>2120</v>
      </c>
      <c r="F477" s="1747" t="s">
        <v>3414</v>
      </c>
    </row>
    <row r="478" spans="1:7" ht="26.1" customHeight="1">
      <c r="A478" s="1755">
        <v>475</v>
      </c>
      <c r="B478" s="1756" t="s">
        <v>3348</v>
      </c>
      <c r="C478" s="1756" t="s">
        <v>3425</v>
      </c>
      <c r="D478" s="1757" t="str">
        <f t="shared" si="9"/>
        <v>Avril</v>
      </c>
      <c r="E478" s="1746" t="s">
        <v>2121</v>
      </c>
      <c r="F478" s="1747" t="s">
        <v>3416</v>
      </c>
    </row>
    <row r="479" spans="1:7" ht="26.1" customHeight="1">
      <c r="A479" s="1755">
        <v>476</v>
      </c>
      <c r="B479" s="1756" t="s">
        <v>3348</v>
      </c>
      <c r="C479" s="1756" t="s">
        <v>3426</v>
      </c>
      <c r="D479" s="1757" t="str">
        <f t="shared" si="9"/>
        <v>Mai</v>
      </c>
      <c r="E479" s="1746" t="s">
        <v>493</v>
      </c>
      <c r="F479" s="1747" t="s">
        <v>493</v>
      </c>
    </row>
    <row r="480" spans="1:7" ht="26.1" customHeight="1">
      <c r="A480" s="1755">
        <v>477</v>
      </c>
      <c r="B480" s="1756" t="s">
        <v>3348</v>
      </c>
      <c r="C480" s="1756" t="s">
        <v>3427</v>
      </c>
      <c r="D480" s="1757" t="str">
        <f t="shared" si="9"/>
        <v>Juin</v>
      </c>
      <c r="E480" s="1746" t="s">
        <v>2122</v>
      </c>
      <c r="F480" s="1747" t="s">
        <v>3197</v>
      </c>
    </row>
    <row r="481" spans="1:6" ht="26.1" customHeight="1">
      <c r="A481" s="1755">
        <v>478</v>
      </c>
      <c r="B481" s="1756" t="s">
        <v>3348</v>
      </c>
      <c r="C481" s="1756" t="s">
        <v>3428</v>
      </c>
      <c r="D481" s="1757" t="str">
        <f t="shared" si="9"/>
        <v>Juillet</v>
      </c>
      <c r="E481" s="1746" t="s">
        <v>2123</v>
      </c>
      <c r="F481" s="1747" t="s">
        <v>3417</v>
      </c>
    </row>
    <row r="482" spans="1:6" ht="26.1" customHeight="1">
      <c r="A482" s="1755">
        <v>479</v>
      </c>
      <c r="B482" s="1756" t="s">
        <v>3348</v>
      </c>
      <c r="C482" s="1756" t="s">
        <v>3429</v>
      </c>
      <c r="D482" s="1757" t="str">
        <f t="shared" si="9"/>
        <v>Août</v>
      </c>
      <c r="E482" s="1746" t="s">
        <v>2124</v>
      </c>
      <c r="F482" s="1747" t="s">
        <v>3199</v>
      </c>
    </row>
    <row r="483" spans="1:6" ht="25.9" customHeight="1">
      <c r="A483" s="1755">
        <v>480</v>
      </c>
      <c r="B483" s="1756" t="s">
        <v>3348</v>
      </c>
      <c r="C483" s="1756" t="s">
        <v>3430</v>
      </c>
      <c r="D483" s="1757" t="str">
        <f t="shared" si="9"/>
        <v>Septembre</v>
      </c>
      <c r="E483" s="1746" t="s">
        <v>1556</v>
      </c>
      <c r="F483" s="1747" t="s">
        <v>3415</v>
      </c>
    </row>
    <row r="484" spans="1:6" ht="25.9" customHeight="1">
      <c r="A484" s="1755">
        <v>481</v>
      </c>
      <c r="B484" s="1756" t="s">
        <v>3348</v>
      </c>
      <c r="C484" s="1756" t="s">
        <v>3431</v>
      </c>
      <c r="D484" s="1757" t="str">
        <f t="shared" si="9"/>
        <v>Octobre</v>
      </c>
      <c r="E484" s="1746" t="s">
        <v>1557</v>
      </c>
      <c r="F484" s="1747" t="s">
        <v>3421</v>
      </c>
    </row>
    <row r="485" spans="1:6" ht="25.9" customHeight="1">
      <c r="A485" s="1755">
        <v>482</v>
      </c>
      <c r="B485" s="1756" t="s">
        <v>3348</v>
      </c>
      <c r="C485" s="1756" t="s">
        <v>3432</v>
      </c>
      <c r="D485" s="1757" t="str">
        <f t="shared" si="9"/>
        <v>Novembre</v>
      </c>
      <c r="E485" s="1746" t="s">
        <v>1558</v>
      </c>
      <c r="F485" s="1747" t="s">
        <v>3419</v>
      </c>
    </row>
    <row r="486" spans="1:6" ht="26.1" customHeight="1">
      <c r="A486" s="1755">
        <v>483</v>
      </c>
      <c r="B486" s="1756" t="s">
        <v>3348</v>
      </c>
      <c r="C486" s="1756" t="s">
        <v>3433</v>
      </c>
      <c r="D486" s="1757" t="str">
        <f t="shared" si="9"/>
        <v>Décembre</v>
      </c>
      <c r="E486" s="1746" t="s">
        <v>112</v>
      </c>
      <c r="F486" s="1747" t="s">
        <v>3420</v>
      </c>
    </row>
    <row r="487" spans="1:6" ht="26.1" customHeight="1">
      <c r="A487" s="1755">
        <v>484</v>
      </c>
      <c r="B487" s="1756" t="s">
        <v>1778</v>
      </c>
      <c r="C487" s="1756" t="s">
        <v>3336</v>
      </c>
      <c r="D487" s="1757" t="str">
        <f t="shared" si="9"/>
        <v>WF</v>
      </c>
      <c r="E487" s="1746" t="s">
        <v>986</v>
      </c>
      <c r="F487" s="1747" t="s">
        <v>3434</v>
      </c>
    </row>
    <row r="488" spans="1:6" ht="26.1" customHeight="1">
      <c r="A488" s="1755">
        <v>485</v>
      </c>
      <c r="B488" s="1756" t="s">
        <v>1778</v>
      </c>
      <c r="C488" s="1756" t="s">
        <v>2745</v>
      </c>
      <c r="D488" s="1757" t="str">
        <f t="shared" si="9"/>
        <v>DF</v>
      </c>
      <c r="E488" s="1746" t="s">
        <v>988</v>
      </c>
      <c r="F488" s="1747" t="s">
        <v>3435</v>
      </c>
    </row>
    <row r="489" spans="1:6" ht="26.1" customHeight="1">
      <c r="A489" s="1755">
        <v>486</v>
      </c>
      <c r="B489" s="1756" t="s">
        <v>1778</v>
      </c>
      <c r="C489" s="1756" t="s">
        <v>3339</v>
      </c>
      <c r="D489" s="1757" t="str">
        <f t="shared" si="9"/>
        <v>2-IV, fente pour l'air</v>
      </c>
      <c r="E489" s="1746" t="s">
        <v>659</v>
      </c>
      <c r="F489" s="1747" t="s">
        <v>3436</v>
      </c>
    </row>
    <row r="490" spans="1:6" ht="26.1" customHeight="1">
      <c r="A490" s="1755">
        <v>487</v>
      </c>
      <c r="B490" s="1756" t="s">
        <v>1778</v>
      </c>
      <c r="C490" s="1756" t="s">
        <v>2545</v>
      </c>
      <c r="D490" s="1757" t="str">
        <f t="shared" si="9"/>
        <v>2-IV, argon</v>
      </c>
      <c r="E490" s="1746" t="s">
        <v>660</v>
      </c>
      <c r="F490" s="1747" t="s">
        <v>3437</v>
      </c>
    </row>
    <row r="491" spans="1:6" ht="26.1" customHeight="1">
      <c r="A491" s="1755">
        <v>488</v>
      </c>
      <c r="B491" s="1756" t="s">
        <v>1778</v>
      </c>
      <c r="C491" s="1756" t="s">
        <v>3453</v>
      </c>
      <c r="D491" s="1757" t="str">
        <f t="shared" si="9"/>
        <v>3-IV, fente pour l'air</v>
      </c>
      <c r="E491" s="1746" t="s">
        <v>662</v>
      </c>
      <c r="F491" s="1747" t="s">
        <v>3438</v>
      </c>
    </row>
    <row r="492" spans="1:6" ht="26.1" customHeight="1">
      <c r="A492" s="1755">
        <v>489</v>
      </c>
      <c r="B492" s="1756" t="s">
        <v>1778</v>
      </c>
      <c r="C492" s="1756" t="s">
        <v>2549</v>
      </c>
      <c r="D492" s="1757" t="str">
        <f t="shared" si="9"/>
        <v>3-IV, argon</v>
      </c>
      <c r="E492" s="1746" t="s">
        <v>661</v>
      </c>
      <c r="F492" s="1747" t="s">
        <v>3439</v>
      </c>
    </row>
    <row r="493" spans="1:6" ht="26.1" customHeight="1">
      <c r="A493" s="1755">
        <v>490</v>
      </c>
      <c r="B493" s="1756" t="s">
        <v>1778</v>
      </c>
      <c r="C493" s="1756" t="s">
        <v>3454</v>
      </c>
      <c r="D493" s="1757" t="str">
        <f t="shared" si="9"/>
        <v>2-IV-IR, valeur U (verre) 1.8 W/m2K</v>
      </c>
      <c r="E493" s="1746" t="s">
        <v>118</v>
      </c>
      <c r="F493" s="1747" t="s">
        <v>3440</v>
      </c>
    </row>
    <row r="494" spans="1:6" ht="26.1" customHeight="1">
      <c r="A494" s="1755">
        <v>491</v>
      </c>
      <c r="B494" s="1756" t="s">
        <v>1778</v>
      </c>
      <c r="C494" s="1756" t="s">
        <v>3455</v>
      </c>
      <c r="D494" s="1757" t="str">
        <f t="shared" si="9"/>
        <v>2-IV-IR, valeur U (verre) 1.7 W/m2K</v>
      </c>
      <c r="E494" s="1746" t="s">
        <v>2049</v>
      </c>
      <c r="F494" s="1747" t="s">
        <v>3441</v>
      </c>
    </row>
    <row r="495" spans="1:6" ht="26.1" customHeight="1">
      <c r="A495" s="1755">
        <v>492</v>
      </c>
      <c r="B495" s="1756" t="s">
        <v>1778</v>
      </c>
      <c r="C495" s="1756" t="s">
        <v>3456</v>
      </c>
      <c r="D495" s="1757" t="str">
        <f t="shared" si="9"/>
        <v>2-IV-IR, valeur U (verre) 1.6 W/m2K</v>
      </c>
      <c r="E495" s="1746" t="s">
        <v>134</v>
      </c>
      <c r="F495" s="1747" t="s">
        <v>3442</v>
      </c>
    </row>
    <row r="496" spans="1:6" ht="26.1" customHeight="1">
      <c r="A496" s="1755">
        <v>493</v>
      </c>
      <c r="B496" s="1756" t="s">
        <v>1778</v>
      </c>
      <c r="C496" s="1756" t="s">
        <v>2550</v>
      </c>
      <c r="D496" s="1757" t="str">
        <f t="shared" si="9"/>
        <v>2-IV-IR, valeur U (verre) 1.5 W/m2K</v>
      </c>
      <c r="E496" s="1746" t="s">
        <v>658</v>
      </c>
      <c r="F496" s="1747" t="s">
        <v>3443</v>
      </c>
    </row>
    <row r="497" spans="1:6" ht="26.1" customHeight="1">
      <c r="A497" s="1755">
        <v>494</v>
      </c>
      <c r="B497" s="1756" t="s">
        <v>1778</v>
      </c>
      <c r="C497" s="1756" t="s">
        <v>3457</v>
      </c>
      <c r="D497" s="1757" t="str">
        <f t="shared" si="9"/>
        <v>2-IV-IR, valeur U (verre) 1.4 W/m2K</v>
      </c>
      <c r="E497" s="1746" t="s">
        <v>2309</v>
      </c>
      <c r="F497" s="1747" t="s">
        <v>3444</v>
      </c>
    </row>
    <row r="498" spans="1:6" ht="26.1" customHeight="1">
      <c r="A498" s="1755">
        <v>495</v>
      </c>
      <c r="B498" s="1756" t="s">
        <v>1778</v>
      </c>
      <c r="C498" s="1756" t="s">
        <v>3458</v>
      </c>
      <c r="D498" s="1757" t="str">
        <f t="shared" si="9"/>
        <v>2-IV-IR, valeur U (verre) 1.3 W/m2K</v>
      </c>
      <c r="E498" s="1746" t="s">
        <v>1611</v>
      </c>
      <c r="F498" s="1747" t="s">
        <v>3445</v>
      </c>
    </row>
    <row r="499" spans="1:6" ht="26.1" customHeight="1">
      <c r="A499" s="1755">
        <v>496</v>
      </c>
      <c r="B499" s="1756" t="s">
        <v>1778</v>
      </c>
      <c r="C499" s="1756" t="s">
        <v>3055</v>
      </c>
      <c r="D499" s="1757" t="str">
        <f t="shared" si="9"/>
        <v>2-IV-IR, valeur U (verre) 1.2 W/m2K</v>
      </c>
      <c r="E499" s="1746" t="s">
        <v>657</v>
      </c>
      <c r="F499" s="1747" t="s">
        <v>3446</v>
      </c>
    </row>
    <row r="500" spans="1:6" ht="26.1" customHeight="1">
      <c r="A500" s="1755">
        <v>497</v>
      </c>
      <c r="B500" s="1756" t="s">
        <v>1778</v>
      </c>
      <c r="C500" s="1756" t="s">
        <v>3459</v>
      </c>
      <c r="D500" s="1757" t="str">
        <f t="shared" si="9"/>
        <v>2-IV-IR, valeur U (verre) 1.1 W/m2K</v>
      </c>
      <c r="E500" s="1746" t="s">
        <v>177</v>
      </c>
      <c r="F500" s="1747" t="s">
        <v>3447</v>
      </c>
    </row>
    <row r="501" spans="1:6" ht="26.1" customHeight="1">
      <c r="A501" s="1755">
        <v>498</v>
      </c>
      <c r="B501" s="1756" t="s">
        <v>1778</v>
      </c>
      <c r="C501" s="1756" t="s">
        <v>3460</v>
      </c>
      <c r="D501" s="1757" t="str">
        <f t="shared" si="9"/>
        <v>3-IV-IR-IR, valeur U (verre) 1.2 W/m2K</v>
      </c>
      <c r="E501" s="1746" t="s">
        <v>114</v>
      </c>
      <c r="F501" s="1747" t="s">
        <v>3448</v>
      </c>
    </row>
    <row r="502" spans="1:6" ht="26.1" customHeight="1">
      <c r="A502" s="1755">
        <v>499</v>
      </c>
      <c r="B502" s="1756" t="s">
        <v>1778</v>
      </c>
      <c r="C502" s="1756" t="s">
        <v>3461</v>
      </c>
      <c r="D502" s="1757" t="str">
        <f t="shared" si="9"/>
        <v>3-IV-IR-IR, valeur U (verre) 1.1 W/m2K</v>
      </c>
      <c r="E502" s="1746" t="s">
        <v>115</v>
      </c>
      <c r="F502" s="1747" t="s">
        <v>3449</v>
      </c>
    </row>
    <row r="503" spans="1:6" ht="26.1" customHeight="1">
      <c r="A503" s="1755">
        <v>500</v>
      </c>
      <c r="B503" s="1756" t="s">
        <v>1778</v>
      </c>
      <c r="C503" s="1756" t="s">
        <v>2553</v>
      </c>
      <c r="D503" s="1757" t="str">
        <f t="shared" si="9"/>
        <v>3-IV-IR-IR, valeur U (verre) 0.9 W/m2K</v>
      </c>
      <c r="E503" s="1746" t="s">
        <v>116</v>
      </c>
      <c r="F503" s="1747" t="s">
        <v>3450</v>
      </c>
    </row>
    <row r="504" spans="1:6" ht="26.1" customHeight="1">
      <c r="A504" s="1755">
        <v>501</v>
      </c>
      <c r="B504" s="1756" t="s">
        <v>1778</v>
      </c>
      <c r="C504" s="1756" t="s">
        <v>3462</v>
      </c>
      <c r="D504" s="1757" t="str">
        <f t="shared" si="9"/>
        <v>3-IV-IR-IR, valeur U (verre) 0.8 W/m2K</v>
      </c>
      <c r="E504" s="1746" t="s">
        <v>117</v>
      </c>
      <c r="F504" s="1747" t="s">
        <v>3451</v>
      </c>
    </row>
    <row r="505" spans="1:6" ht="26.1" customHeight="1">
      <c r="A505" s="1755">
        <v>502</v>
      </c>
      <c r="B505" s="1756" t="s">
        <v>1778</v>
      </c>
      <c r="C505" s="1756" t="s">
        <v>2746</v>
      </c>
      <c r="D505" s="1757" t="str">
        <f t="shared" si="9"/>
        <v>3-IV-IR-IR, valeur U (verre) 0.5 W/m2K</v>
      </c>
      <c r="E505" s="1746" t="s">
        <v>141</v>
      </c>
      <c r="F505" s="1747" t="s">
        <v>3452</v>
      </c>
    </row>
    <row r="506" spans="1:6" ht="26.1" customHeight="1">
      <c r="A506" s="1755">
        <v>503</v>
      </c>
      <c r="B506" s="1756" t="s">
        <v>1778</v>
      </c>
      <c r="C506" s="1756" t="s">
        <v>2502</v>
      </c>
      <c r="D506" s="1757" t="str">
        <f t="shared" si="9"/>
        <v>Catalogue des éléments</v>
      </c>
      <c r="E506" s="1746" t="s">
        <v>983</v>
      </c>
      <c r="F506" s="1747" t="s">
        <v>3463</v>
      </c>
    </row>
    <row r="507" spans="1:6" ht="26.1" customHeight="1">
      <c r="A507" s="1755">
        <v>504</v>
      </c>
      <c r="B507" s="1756" t="s">
        <v>1778</v>
      </c>
      <c r="C507" s="1756" t="s">
        <v>2522</v>
      </c>
      <c r="D507" s="1757" t="str">
        <f t="shared" si="9"/>
        <v>Fenêtres</v>
      </c>
      <c r="E507" s="1746" t="s">
        <v>1193</v>
      </c>
      <c r="F507" s="1747" t="s">
        <v>3464</v>
      </c>
    </row>
    <row r="508" spans="1:6" ht="26.1" customHeight="1">
      <c r="A508" s="1755">
        <v>505</v>
      </c>
      <c r="B508" s="1756" t="s">
        <v>1778</v>
      </c>
      <c r="C508" s="1756" t="s">
        <v>1276</v>
      </c>
      <c r="D508" s="1757" t="str">
        <f t="shared" si="9"/>
        <v>Vitrtification</v>
      </c>
      <c r="E508" s="1746" t="s">
        <v>985</v>
      </c>
      <c r="F508" s="1747" t="s">
        <v>3465</v>
      </c>
    </row>
    <row r="509" spans="1:6" ht="26.1" customHeight="1">
      <c r="A509" s="1755">
        <v>506</v>
      </c>
      <c r="B509" s="1756" t="s">
        <v>1778</v>
      </c>
      <c r="C509" s="1756" t="s">
        <v>2457</v>
      </c>
      <c r="D509" s="1757" t="str">
        <f t="shared" si="9"/>
        <v>Fenêtres spécials:</v>
      </c>
      <c r="E509" s="1746" t="s">
        <v>991</v>
      </c>
      <c r="F509" s="1747" t="s">
        <v>3466</v>
      </c>
    </row>
    <row r="510" spans="1:6" ht="26.1" customHeight="1">
      <c r="A510" s="1755">
        <v>507</v>
      </c>
      <c r="B510" s="1756" t="s">
        <v>1778</v>
      </c>
      <c r="C510" s="1756" t="s">
        <v>3468</v>
      </c>
      <c r="D510" s="1757" t="str">
        <f t="shared" si="9"/>
        <v>Châssis</v>
      </c>
      <c r="E510" s="1746" t="s">
        <v>992</v>
      </c>
      <c r="F510" s="1747" t="s">
        <v>3467</v>
      </c>
    </row>
    <row r="511" spans="1:6" ht="26.1" customHeight="1">
      <c r="A511" s="1755">
        <v>508</v>
      </c>
      <c r="B511" s="1756" t="s">
        <v>1778</v>
      </c>
      <c r="C511" s="1756" t="s">
        <v>2489</v>
      </c>
      <c r="D511" s="1757" t="str">
        <f t="shared" si="9"/>
        <v>Catégorie I,  Châssis spécial, valeur U 1.0 W/m2K</v>
      </c>
      <c r="E511" s="1746" t="s">
        <v>2050</v>
      </c>
      <c r="F511" s="1747" t="s">
        <v>3469</v>
      </c>
    </row>
    <row r="512" spans="1:6" ht="26.1" customHeight="1">
      <c r="A512" s="1755">
        <v>509</v>
      </c>
      <c r="B512" s="1756" t="s">
        <v>1778</v>
      </c>
      <c r="C512" s="1756" t="s">
        <v>3474</v>
      </c>
      <c r="D512" s="1757" t="str">
        <f t="shared" si="9"/>
        <v>Catégorie II,  Châssis spécial, valeur U 1.4 W/m2K</v>
      </c>
      <c r="E512" s="1746" t="s">
        <v>183</v>
      </c>
      <c r="F512" s="1747" t="s">
        <v>3470</v>
      </c>
    </row>
    <row r="513" spans="1:6" ht="26.1" customHeight="1">
      <c r="A513" s="1755">
        <v>510</v>
      </c>
      <c r="B513" s="1756" t="s">
        <v>1778</v>
      </c>
      <c r="C513" s="1756" t="s">
        <v>3475</v>
      </c>
      <c r="D513" s="1757" t="str">
        <f t="shared" si="9"/>
        <v>Catégorie III,  Châssis bois-métal, valeur U 1.8 W/m2K</v>
      </c>
      <c r="E513" s="1746" t="s">
        <v>184</v>
      </c>
      <c r="F513" s="1747" t="s">
        <v>3471</v>
      </c>
    </row>
    <row r="514" spans="1:6" ht="26.1" customHeight="1">
      <c r="A514" s="1755">
        <v>511</v>
      </c>
      <c r="B514" s="1756" t="s">
        <v>1778</v>
      </c>
      <c r="C514" s="1756" t="s">
        <v>3476</v>
      </c>
      <c r="D514" s="1757" t="str">
        <f t="shared" si="9"/>
        <v>Catégorie IV,  Châssis plastique, valeur U 2.2 W/m2K</v>
      </c>
      <c r="E514" s="1746" t="s">
        <v>185</v>
      </c>
      <c r="F514" s="1747" t="s">
        <v>3472</v>
      </c>
    </row>
    <row r="515" spans="1:6" ht="26.1" customHeight="1">
      <c r="A515" s="1755">
        <v>512</v>
      </c>
      <c r="B515" s="1756" t="s">
        <v>1778</v>
      </c>
      <c r="C515" s="1756" t="s">
        <v>3477</v>
      </c>
      <c r="D515" s="1757" t="str">
        <f t="shared" si="9"/>
        <v>Catégorie V,  Profiles collés isolés, valeur U 2.8 W/m2K</v>
      </c>
      <c r="E515" s="1746" t="s">
        <v>186</v>
      </c>
      <c r="F515" s="1747" t="s">
        <v>3473</v>
      </c>
    </row>
    <row r="516" spans="1:6" ht="26.1" customHeight="1">
      <c r="A516" s="1755">
        <v>513</v>
      </c>
      <c r="B516" s="1756" t="s">
        <v>1778</v>
      </c>
      <c r="C516" s="1756" t="s">
        <v>3479</v>
      </c>
      <c r="D516" s="1757" t="str">
        <f t="shared" ref="D516:D579" si="10">INDEX($E$4:$G$809,$A516,$A$1)</f>
        <v>Châssis 20% de la fenêtre</v>
      </c>
      <c r="E516" s="1746" t="s">
        <v>187</v>
      </c>
      <c r="F516" s="1747" t="s">
        <v>3478</v>
      </c>
    </row>
    <row r="517" spans="1:6" ht="26.1" customHeight="1">
      <c r="A517" s="1755">
        <v>514</v>
      </c>
      <c r="B517" s="1756" t="s">
        <v>1778</v>
      </c>
      <c r="C517" s="1756" t="s">
        <v>2464</v>
      </c>
      <c r="D517" s="1757" t="str">
        <f t="shared" si="10"/>
        <v>Portes</v>
      </c>
      <c r="E517" s="1746" t="s">
        <v>993</v>
      </c>
      <c r="F517" s="1747" t="s">
        <v>3480</v>
      </c>
    </row>
    <row r="518" spans="1:6" ht="26.1" customHeight="1">
      <c r="A518" s="1755">
        <v>515</v>
      </c>
      <c r="B518" s="1756" t="s">
        <v>1778</v>
      </c>
      <c r="C518" s="1756" t="s">
        <v>2578</v>
      </c>
      <c r="D518" s="1757" t="str">
        <f t="shared" si="10"/>
        <v>Plaque d'aggloméré 22mm, Isolation thermique 30mm, Täferaufdop. 21 mm</v>
      </c>
      <c r="E518" s="1746" t="s">
        <v>995</v>
      </c>
      <c r="F518" s="1747" t="s">
        <v>3481</v>
      </c>
    </row>
    <row r="519" spans="1:6" ht="26.1" customHeight="1">
      <c r="A519" s="1755">
        <v>516</v>
      </c>
      <c r="B519" s="1756" t="s">
        <v>1778</v>
      </c>
      <c r="C519" s="1756" t="s">
        <v>2718</v>
      </c>
      <c r="D519" s="1757" t="str">
        <f t="shared" si="10"/>
        <v>Plaque d'aggloméré 22 mm, Isolation thermique 10 mm, Täferaufdop. 21 mm</v>
      </c>
      <c r="E519" s="1746" t="s">
        <v>997</v>
      </c>
      <c r="F519" s="1747" t="s">
        <v>3482</v>
      </c>
    </row>
    <row r="520" spans="1:6" ht="26.1" customHeight="1">
      <c r="A520" s="1755">
        <v>517</v>
      </c>
      <c r="B520" s="1756" t="s">
        <v>1778</v>
      </c>
      <c r="C520" s="1756" t="s">
        <v>2582</v>
      </c>
      <c r="D520" s="1757" t="str">
        <f t="shared" si="10"/>
        <v>Epicéa massive, collé 40 mm</v>
      </c>
      <c r="E520" s="1746" t="s">
        <v>1749</v>
      </c>
      <c r="F520" s="1747" t="s">
        <v>3483</v>
      </c>
    </row>
    <row r="521" spans="1:6" ht="26.1" customHeight="1">
      <c r="A521" s="1755">
        <v>518</v>
      </c>
      <c r="B521" s="1756" t="s">
        <v>1778</v>
      </c>
      <c r="C521" s="1756" t="s">
        <v>2719</v>
      </c>
      <c r="D521" s="1757" t="str">
        <f t="shared" si="10"/>
        <v>Chêne massive, collé 40 mm</v>
      </c>
      <c r="E521" s="1746" t="s">
        <v>1083</v>
      </c>
      <c r="F521" s="1747" t="s">
        <v>3484</v>
      </c>
    </row>
    <row r="522" spans="1:6" ht="26.1" customHeight="1">
      <c r="A522" s="1755">
        <v>519</v>
      </c>
      <c r="B522" s="1756" t="s">
        <v>1778</v>
      </c>
      <c r="C522" s="1756" t="s">
        <v>2720</v>
      </c>
      <c r="D522" s="1757" t="str">
        <f t="shared" si="10"/>
        <v>Plaque d'aggloméré 40 mm, avec couche d'aluminium 2 faces</v>
      </c>
      <c r="E522" s="1746" t="s">
        <v>1085</v>
      </c>
      <c r="F522" s="1747" t="s">
        <v>3485</v>
      </c>
    </row>
    <row r="523" spans="1:6" ht="26.1" customHeight="1">
      <c r="A523" s="1755">
        <v>520</v>
      </c>
      <c r="B523" s="1756" t="s">
        <v>1778</v>
      </c>
      <c r="C523" s="1756" t="s">
        <v>2721</v>
      </c>
      <c r="D523" s="1757" t="str">
        <f t="shared" si="10"/>
        <v>Tôle d'aluminium 2 faces, isolation thermique 20 mm</v>
      </c>
      <c r="E523" s="1746" t="s">
        <v>1087</v>
      </c>
      <c r="F523" s="1747" t="s">
        <v>3486</v>
      </c>
    </row>
    <row r="524" spans="1:6" ht="26.1" customHeight="1">
      <c r="A524" s="1755">
        <v>521</v>
      </c>
      <c r="B524" s="1756" t="s">
        <v>1778</v>
      </c>
      <c r="C524" s="1756" t="s">
        <v>2747</v>
      </c>
      <c r="D524" s="1757" t="str">
        <f t="shared" si="10"/>
        <v>Tôle d'aluminium 2 faces, isolation thermique 40 mm</v>
      </c>
      <c r="E524" s="1746" t="s">
        <v>765</v>
      </c>
      <c r="F524" s="1747" t="s">
        <v>3487</v>
      </c>
    </row>
    <row r="525" spans="1:6" ht="26.1" customHeight="1">
      <c r="A525" s="1755">
        <v>522</v>
      </c>
      <c r="B525" s="1756" t="s">
        <v>1778</v>
      </c>
      <c r="C525" s="1756" t="s">
        <v>3493</v>
      </c>
      <c r="D525" s="1757" t="str">
        <f t="shared" si="10"/>
        <v>Feuille de placage, plaque d'aggloméré 40mm, aluminium 2 faces</v>
      </c>
      <c r="E525" s="1746" t="s">
        <v>767</v>
      </c>
      <c r="F525" s="1747" t="s">
        <v>3488</v>
      </c>
    </row>
    <row r="526" spans="1:6" ht="26.1" customHeight="1">
      <c r="A526" s="1755">
        <v>523</v>
      </c>
      <c r="B526" s="1756" t="s">
        <v>1778</v>
      </c>
      <c r="C526" s="1756" t="s">
        <v>3494</v>
      </c>
      <c r="D526" s="1757" t="str">
        <f t="shared" si="10"/>
        <v>Feuille de placage, plaque d'aggloméré 16mm, isolation th. 18mm, alu 2 faces</v>
      </c>
      <c r="E526" s="1746" t="s">
        <v>769</v>
      </c>
      <c r="F526" s="1747" t="s">
        <v>3489</v>
      </c>
    </row>
    <row r="527" spans="1:6" ht="26.1" customHeight="1">
      <c r="A527" s="1755">
        <v>524</v>
      </c>
      <c r="B527" s="1756" t="s">
        <v>1778</v>
      </c>
      <c r="C527" s="1756" t="s">
        <v>3495</v>
      </c>
      <c r="D527" s="1757" t="str">
        <f t="shared" si="10"/>
        <v>Porte intérieure appuyée, 36mm  avec remplissage de bois</v>
      </c>
      <c r="E527" s="1746" t="s">
        <v>771</v>
      </c>
      <c r="F527" s="1747" t="s">
        <v>3490</v>
      </c>
    </row>
    <row r="528" spans="1:6" ht="26.1" customHeight="1">
      <c r="A528" s="1755">
        <v>525</v>
      </c>
      <c r="B528" s="1756" t="s">
        <v>1778</v>
      </c>
      <c r="C528" s="1756" t="s">
        <v>3496</v>
      </c>
      <c r="D528" s="1757" t="str">
        <f t="shared" si="10"/>
        <v>Porte creuse intérieure 40mm</v>
      </c>
      <c r="E528" s="1746" t="s">
        <v>773</v>
      </c>
      <c r="F528" s="1747" t="s">
        <v>3491</v>
      </c>
    </row>
    <row r="529" spans="1:6" ht="26.1" customHeight="1">
      <c r="A529" s="1755">
        <v>526</v>
      </c>
      <c r="B529" s="1756" t="s">
        <v>1778</v>
      </c>
      <c r="C529" s="1756" t="s">
        <v>2477</v>
      </c>
      <c r="D529" s="1757" t="str">
        <f t="shared" si="10"/>
        <v>Porte pleine intérieure 40mm</v>
      </c>
      <c r="E529" s="1746" t="s">
        <v>763</v>
      </c>
      <c r="F529" s="1747" t="s">
        <v>3492</v>
      </c>
    </row>
    <row r="530" spans="1:6" ht="26.1" customHeight="1">
      <c r="A530" s="1755">
        <v>527</v>
      </c>
      <c r="B530" s="1756" t="s">
        <v>1778</v>
      </c>
      <c r="C530" s="1756" t="s">
        <v>2493</v>
      </c>
      <c r="D530" s="1757" t="str">
        <f t="shared" si="10"/>
        <v>Eléments</v>
      </c>
      <c r="E530" s="1746" t="s">
        <v>1778</v>
      </c>
      <c r="F530" s="1747" t="s">
        <v>3497</v>
      </c>
    </row>
    <row r="531" spans="1:6" ht="26.1" customHeight="1">
      <c r="A531" s="1755">
        <v>528</v>
      </c>
      <c r="B531" s="1756" t="s">
        <v>1778</v>
      </c>
      <c r="C531" s="1756" t="s">
        <v>2950</v>
      </c>
      <c r="D531" s="1757" t="str">
        <f t="shared" si="10"/>
        <v>Ponts thermiques</v>
      </c>
      <c r="E531" s="1746" t="s">
        <v>47</v>
      </c>
      <c r="F531" s="1747" t="s">
        <v>3498</v>
      </c>
    </row>
    <row r="532" spans="1:6" ht="26.1" customHeight="1">
      <c r="A532" s="1755">
        <v>529</v>
      </c>
      <c r="B532" s="1756" t="s">
        <v>1778</v>
      </c>
      <c r="C532" s="1756" t="s">
        <v>2475</v>
      </c>
      <c r="D532" s="1757" t="str">
        <f t="shared" si="10"/>
        <v>Toit / mur extérieur:</v>
      </c>
      <c r="E532" s="1746" t="s">
        <v>1815</v>
      </c>
      <c r="F532" s="1747" t="s">
        <v>3499</v>
      </c>
    </row>
    <row r="533" spans="1:6" ht="26.1" customHeight="1">
      <c r="A533" s="1755">
        <v>530</v>
      </c>
      <c r="B533" s="1756" t="s">
        <v>1778</v>
      </c>
      <c r="C533" s="1756" t="s">
        <v>3509</v>
      </c>
      <c r="D533" s="1757" t="str">
        <f t="shared" si="10"/>
        <v>Béton, dalle continue, façade/toiture 0.15 W/m2K</v>
      </c>
      <c r="E533" s="1746" t="s">
        <v>2111</v>
      </c>
      <c r="F533" s="1747" t="s">
        <v>3500</v>
      </c>
    </row>
    <row r="534" spans="1:6" ht="26.1" customHeight="1">
      <c r="A534" s="1755">
        <v>531</v>
      </c>
      <c r="B534" s="1756" t="s">
        <v>1778</v>
      </c>
      <c r="C534" s="1756" t="s">
        <v>3510</v>
      </c>
      <c r="D534" s="1757" t="str">
        <f t="shared" si="10"/>
        <v>Béton, dalle continue, façade/toiture 0.25 W/m2K</v>
      </c>
      <c r="E534" s="1746" t="s">
        <v>2155</v>
      </c>
      <c r="F534" s="1747" t="s">
        <v>3501</v>
      </c>
    </row>
    <row r="535" spans="1:6" ht="26.1" customHeight="1">
      <c r="A535" s="1755">
        <v>532</v>
      </c>
      <c r="B535" s="1756" t="s">
        <v>1778</v>
      </c>
      <c r="C535" s="1756" t="s">
        <v>3511</v>
      </c>
      <c r="D535" s="1757" t="str">
        <f t="shared" si="10"/>
        <v>Béton, dalle continue, façade/toiture 0.35 W/m2K</v>
      </c>
      <c r="E535" s="1746" t="s">
        <v>2156</v>
      </c>
      <c r="F535" s="1747" t="s">
        <v>3502</v>
      </c>
    </row>
    <row r="536" spans="1:6" ht="26.1" customHeight="1">
      <c r="A536" s="1755">
        <v>533</v>
      </c>
      <c r="B536" s="1756" t="s">
        <v>1778</v>
      </c>
      <c r="C536" s="1756" t="s">
        <v>3512</v>
      </c>
      <c r="D536" s="1757" t="str">
        <f t="shared" si="10"/>
        <v>Béton, isolation sous bord de dalle, façade/toit. 0.15 W/m2K</v>
      </c>
      <c r="E536" s="1746" t="s">
        <v>1817</v>
      </c>
      <c r="F536" s="1747" t="s">
        <v>3503</v>
      </c>
    </row>
    <row r="537" spans="1:6" ht="26.1" customHeight="1">
      <c r="A537" s="1755">
        <v>534</v>
      </c>
      <c r="B537" s="1756" t="s">
        <v>1778</v>
      </c>
      <c r="C537" s="1756" t="s">
        <v>3513</v>
      </c>
      <c r="D537" s="1757" t="str">
        <f t="shared" si="10"/>
        <v>Béton, isolation sous bord de dalle, façade/toit. 0.25 W/m2K</v>
      </c>
      <c r="E537" s="1746" t="s">
        <v>1218</v>
      </c>
      <c r="F537" s="1747" t="s">
        <v>3504</v>
      </c>
    </row>
    <row r="538" spans="1:6" ht="26.1" customHeight="1">
      <c r="A538" s="1755">
        <v>535</v>
      </c>
      <c r="B538" s="1756" t="s">
        <v>1778</v>
      </c>
      <c r="C538" s="1756" t="s">
        <v>2512</v>
      </c>
      <c r="D538" s="1757" t="str">
        <f t="shared" si="10"/>
        <v>Béton, isolation sous bord de dalle, façade/toit. 0.35 W/m2K</v>
      </c>
      <c r="E538" s="1746" t="s">
        <v>1219</v>
      </c>
      <c r="F538" s="1747" t="s">
        <v>3505</v>
      </c>
    </row>
    <row r="539" spans="1:6" ht="26.1" customHeight="1">
      <c r="A539" s="1755">
        <v>536</v>
      </c>
      <c r="B539" s="1756" t="s">
        <v>1778</v>
      </c>
      <c r="C539" s="1756" t="s">
        <v>3514</v>
      </c>
      <c r="D539" s="1757" t="str">
        <f t="shared" si="10"/>
        <v>façade en brique, dalle continue, façade/toit. 0.15 W/m2K</v>
      </c>
      <c r="E539" s="1746" t="s">
        <v>2157</v>
      </c>
      <c r="F539" s="1747" t="s">
        <v>3506</v>
      </c>
    </row>
    <row r="540" spans="1:6" ht="26.1" customHeight="1">
      <c r="A540" s="1755">
        <v>537</v>
      </c>
      <c r="B540" s="1756" t="s">
        <v>1778</v>
      </c>
      <c r="C540" s="1756" t="s">
        <v>3515</v>
      </c>
      <c r="D540" s="1757" t="str">
        <f t="shared" si="10"/>
        <v>façade en brique, dalle continue, façade/toit. 0.25 W/m2K</v>
      </c>
      <c r="E540" s="1746" t="s">
        <v>2158</v>
      </c>
      <c r="F540" s="1747" t="s">
        <v>3507</v>
      </c>
    </row>
    <row r="541" spans="1:6" ht="25.9" customHeight="1">
      <c r="A541" s="1755">
        <v>538</v>
      </c>
      <c r="B541" s="1756" t="s">
        <v>1778</v>
      </c>
      <c r="C541" s="1756" t="s">
        <v>3516</v>
      </c>
      <c r="D541" s="1757" t="str">
        <f t="shared" si="10"/>
        <v>façade en brique, dalle continue, façade/toit. 0.35 W/m2K</v>
      </c>
      <c r="E541" s="1746" t="s">
        <v>1201</v>
      </c>
      <c r="F541" s="1747" t="s">
        <v>3508</v>
      </c>
    </row>
    <row r="542" spans="1:6" ht="25.9" customHeight="1">
      <c r="A542" s="1755">
        <v>539</v>
      </c>
      <c r="B542" s="1756" t="s">
        <v>1778</v>
      </c>
      <c r="C542" s="1756" t="s">
        <v>3518</v>
      </c>
      <c r="D542" s="1757" t="str">
        <f t="shared" si="10"/>
        <v>Pied de façade</v>
      </c>
      <c r="E542" s="1746" t="s">
        <v>759</v>
      </c>
      <c r="F542" s="1747" t="s">
        <v>3517</v>
      </c>
    </row>
    <row r="543" spans="1:6" ht="25.9" customHeight="1">
      <c r="A543" s="1755">
        <v>540</v>
      </c>
      <c r="B543" s="1756" t="s">
        <v>1778</v>
      </c>
      <c r="C543" s="1756" t="s">
        <v>3531</v>
      </c>
      <c r="D543" s="1757" t="str">
        <f t="shared" si="10"/>
        <v>Sous-sol non chauffé, façade en brique 0.2 W/m2K</v>
      </c>
      <c r="E543" s="1746" t="s">
        <v>1317</v>
      </c>
      <c r="F543" s="1747" t="s">
        <v>3519</v>
      </c>
    </row>
    <row r="544" spans="1:6" ht="25.9" customHeight="1">
      <c r="A544" s="1755">
        <v>541</v>
      </c>
      <c r="B544" s="1756" t="s">
        <v>1778</v>
      </c>
      <c r="C544" s="1756" t="s">
        <v>3532</v>
      </c>
      <c r="D544" s="1757" t="str">
        <f t="shared" si="10"/>
        <v>Sous-sol non chauffé, façade en brique 0.3 W/m2K</v>
      </c>
      <c r="E544" s="1746" t="s">
        <v>1318</v>
      </c>
      <c r="F544" s="1747" t="s">
        <v>3520</v>
      </c>
    </row>
    <row r="545" spans="1:6" ht="25.9" customHeight="1">
      <c r="A545" s="1755">
        <v>542</v>
      </c>
      <c r="B545" s="1756" t="s">
        <v>1778</v>
      </c>
      <c r="C545" s="1756" t="s">
        <v>3533</v>
      </c>
      <c r="D545" s="1757" t="str">
        <f t="shared" si="10"/>
        <v>Sous-sol non chauffé, façade en béton, 0.2 W/m2K</v>
      </c>
      <c r="E545" s="1746" t="s">
        <v>1319</v>
      </c>
      <c r="F545" s="1747" t="s">
        <v>3521</v>
      </c>
    </row>
    <row r="546" spans="1:6" ht="25.9" customHeight="1">
      <c r="A546" s="1755">
        <v>543</v>
      </c>
      <c r="B546" s="1756" t="s">
        <v>1778</v>
      </c>
      <c r="C546" s="1756" t="s">
        <v>3534</v>
      </c>
      <c r="D546" s="1757" t="str">
        <f t="shared" si="10"/>
        <v>Sous-sol non chauffé, façade en béton, 0.3 W/m2K</v>
      </c>
      <c r="E546" s="1746" t="s">
        <v>1731</v>
      </c>
      <c r="F546" s="1747" t="s">
        <v>3522</v>
      </c>
    </row>
    <row r="547" spans="1:6" ht="25.9" customHeight="1">
      <c r="A547" s="1755">
        <v>544</v>
      </c>
      <c r="B547" s="1756" t="s">
        <v>1778</v>
      </c>
      <c r="C547" s="1756" t="s">
        <v>3535</v>
      </c>
      <c r="D547" s="1757" t="str">
        <f t="shared" si="10"/>
        <v>Sous-sol non chauffé, brique, isol. 50cm sous nu inf.dalle</v>
      </c>
      <c r="E547" s="1746" t="s">
        <v>182</v>
      </c>
      <c r="F547" s="1747" t="s">
        <v>3523</v>
      </c>
    </row>
    <row r="548" spans="1:6" ht="25.9" customHeight="1">
      <c r="A548" s="1755">
        <v>545</v>
      </c>
      <c r="B548" s="1756" t="s">
        <v>1778</v>
      </c>
      <c r="C548" s="1756" t="s">
        <v>3536</v>
      </c>
      <c r="D548" s="1757" t="str">
        <f t="shared" si="10"/>
        <v>Sous-sol non chauffé, béton, isol. 50cm sous nu inf.dalle</v>
      </c>
      <c r="E548" s="1746" t="s">
        <v>1596</v>
      </c>
      <c r="F548" s="1747" t="s">
        <v>3524</v>
      </c>
    </row>
    <row r="549" spans="1:6" ht="25.9" customHeight="1">
      <c r="A549" s="1755">
        <v>546</v>
      </c>
      <c r="B549" s="1756" t="s">
        <v>1778</v>
      </c>
      <c r="C549" s="1756" t="s">
        <v>3537</v>
      </c>
      <c r="D549" s="1757" t="str">
        <f t="shared" si="10"/>
        <v>Sous-sol chauffé, façade en brique, chauffage par sol</v>
      </c>
      <c r="E549" s="1746" t="s">
        <v>179</v>
      </c>
      <c r="F549" s="1747" t="s">
        <v>3525</v>
      </c>
    </row>
    <row r="550" spans="1:6" ht="25.9" customHeight="1">
      <c r="A550" s="1755">
        <v>547</v>
      </c>
      <c r="B550" s="1756" t="s">
        <v>1778</v>
      </c>
      <c r="C550" s="1756" t="s">
        <v>3538</v>
      </c>
      <c r="D550" s="1757" t="str">
        <f t="shared" si="10"/>
        <v>Sous-sol chauffé, Betonwand, chauffage par le sol</v>
      </c>
      <c r="E550" s="1746" t="s">
        <v>180</v>
      </c>
      <c r="F550" s="1747" t="s">
        <v>3526</v>
      </c>
    </row>
    <row r="551" spans="1:6" ht="25.9" customHeight="1">
      <c r="A551" s="1755">
        <v>548</v>
      </c>
      <c r="B551" s="1756" t="s">
        <v>1778</v>
      </c>
      <c r="C551" s="1756" t="s">
        <v>3539</v>
      </c>
      <c r="D551" s="1757" t="str">
        <f t="shared" si="10"/>
        <v>Sous-sol chauffé, brique,  50cm isol. sous bord de dalle</v>
      </c>
      <c r="E551" s="1746" t="s">
        <v>181</v>
      </c>
      <c r="F551" s="1747" t="s">
        <v>3527</v>
      </c>
    </row>
    <row r="552" spans="1:6" ht="25.9" customHeight="1">
      <c r="A552" s="1755">
        <v>549</v>
      </c>
      <c r="B552" s="1756" t="s">
        <v>1778</v>
      </c>
      <c r="C552" s="1756" t="s">
        <v>3540</v>
      </c>
      <c r="D552" s="1757" t="str">
        <f t="shared" si="10"/>
        <v>Sous-sol chauffé, brique, isol. 50cm sous nu inf. dalle</v>
      </c>
      <c r="E552" s="1746" t="s">
        <v>1597</v>
      </c>
      <c r="F552" s="1747" t="s">
        <v>3528</v>
      </c>
    </row>
    <row r="553" spans="1:6" ht="25.9" customHeight="1">
      <c r="A553" s="1755">
        <v>550</v>
      </c>
      <c r="B553" s="1756" t="s">
        <v>1778</v>
      </c>
      <c r="C553" s="1756" t="s">
        <v>3541</v>
      </c>
      <c r="D553" s="1757" t="str">
        <f t="shared" si="10"/>
        <v>Sous-sol chauffé, brique, isol. 80cm sous nu inf. dalle</v>
      </c>
      <c r="E553" s="1746" t="s">
        <v>1598</v>
      </c>
      <c r="F553" s="1747" t="s">
        <v>3529</v>
      </c>
    </row>
    <row r="554" spans="1:6" ht="26.1" customHeight="1">
      <c r="A554" s="1755">
        <v>551</v>
      </c>
      <c r="B554" s="1756" t="s">
        <v>1778</v>
      </c>
      <c r="C554" s="1756" t="s">
        <v>2980</v>
      </c>
      <c r="D554" s="1757" t="str">
        <f t="shared" si="10"/>
        <v>dalle &gt;0.5 m sous le sol</v>
      </c>
      <c r="E554" s="1746" t="s">
        <v>1321</v>
      </c>
      <c r="F554" s="1747" t="s">
        <v>3530</v>
      </c>
    </row>
    <row r="555" spans="1:6" ht="25.9" customHeight="1">
      <c r="A555" s="1755">
        <v>552</v>
      </c>
      <c r="B555" s="1756" t="s">
        <v>1778</v>
      </c>
      <c r="C555" s="1756" t="s">
        <v>3543</v>
      </c>
      <c r="D555" s="1757" t="str">
        <f t="shared" si="10"/>
        <v>Balcon:</v>
      </c>
      <c r="E555" s="1746" t="s">
        <v>1323</v>
      </c>
      <c r="F555" s="1747" t="s">
        <v>3542</v>
      </c>
    </row>
    <row r="556" spans="1:6" ht="25.9" customHeight="1">
      <c r="A556" s="1755">
        <v>553</v>
      </c>
      <c r="B556" s="1756" t="s">
        <v>1778</v>
      </c>
      <c r="C556" s="1756" t="s">
        <v>3554</v>
      </c>
      <c r="D556" s="1757" t="str">
        <f t="shared" si="10"/>
        <v>dalle continue, mur en brique 0.15 W/m2K</v>
      </c>
      <c r="E556" s="1746" t="s">
        <v>1513</v>
      </c>
      <c r="F556" s="1747" t="s">
        <v>3544</v>
      </c>
    </row>
    <row r="557" spans="1:6" ht="25.9" customHeight="1">
      <c r="A557" s="1755">
        <v>554</v>
      </c>
      <c r="B557" s="1756" t="s">
        <v>1778</v>
      </c>
      <c r="C557" s="1756" t="s">
        <v>3555</v>
      </c>
      <c r="D557" s="1757" t="str">
        <f t="shared" si="10"/>
        <v>dalle continue, mur en brique 0.25 W/m2K</v>
      </c>
      <c r="E557" s="1746" t="s">
        <v>1421</v>
      </c>
      <c r="F557" s="1747" t="s">
        <v>3545</v>
      </c>
    </row>
    <row r="558" spans="1:6" ht="25.9" customHeight="1">
      <c r="A558" s="1755">
        <v>555</v>
      </c>
      <c r="B558" s="1756" t="s">
        <v>1778</v>
      </c>
      <c r="C558" s="1756" t="s">
        <v>3556</v>
      </c>
      <c r="D558" s="1757" t="str">
        <f t="shared" si="10"/>
        <v>dalle continue, mur en brique 0.35 W/m2K</v>
      </c>
      <c r="E558" s="1746" t="s">
        <v>468</v>
      </c>
      <c r="F558" s="1747" t="s">
        <v>3546</v>
      </c>
    </row>
    <row r="559" spans="1:6" ht="25.9" customHeight="1">
      <c r="A559" s="1755">
        <v>556</v>
      </c>
      <c r="B559" s="1756" t="s">
        <v>1778</v>
      </c>
      <c r="C559" s="1756" t="s">
        <v>3557</v>
      </c>
      <c r="D559" s="1757" t="str">
        <f t="shared" si="10"/>
        <v>dalle continue, mur en béton 0.15 W/m2K</v>
      </c>
      <c r="E559" s="1746" t="s">
        <v>1813</v>
      </c>
      <c r="F559" s="1747" t="s">
        <v>3547</v>
      </c>
    </row>
    <row r="560" spans="1:6" ht="25.9" customHeight="1">
      <c r="A560" s="1755">
        <v>557</v>
      </c>
      <c r="B560" s="1756" t="s">
        <v>1778</v>
      </c>
      <c r="C560" s="1756" t="s">
        <v>3558</v>
      </c>
      <c r="D560" s="1757" t="str">
        <f t="shared" si="10"/>
        <v>dalle continue, mur en béton 0.25 W/m2K</v>
      </c>
      <c r="E560" s="1746" t="s">
        <v>1811</v>
      </c>
      <c r="F560" s="1747" t="s">
        <v>3548</v>
      </c>
    </row>
    <row r="561" spans="1:6" ht="25.9" customHeight="1">
      <c r="A561" s="1755">
        <v>558</v>
      </c>
      <c r="B561" s="1756" t="s">
        <v>1778</v>
      </c>
      <c r="C561" s="1756" t="s">
        <v>3559</v>
      </c>
      <c r="D561" s="1757" t="str">
        <f t="shared" si="10"/>
        <v>dalle continue, mur en béton 0.35 W/m2K</v>
      </c>
      <c r="E561" s="1746" t="s">
        <v>1812</v>
      </c>
      <c r="F561" s="1747" t="s">
        <v>3549</v>
      </c>
    </row>
    <row r="562" spans="1:6" ht="25.9" customHeight="1">
      <c r="A562" s="1755">
        <v>559</v>
      </c>
      <c r="B562" s="1756" t="s">
        <v>1778</v>
      </c>
      <c r="C562" s="1756" t="s">
        <v>3560</v>
      </c>
      <c r="D562" s="1757" t="str">
        <f t="shared" si="10"/>
        <v>avec consoles de dalle isolante d'acier</v>
      </c>
      <c r="E562" s="1746" t="s">
        <v>1819</v>
      </c>
      <c r="F562" s="1747" t="s">
        <v>3550</v>
      </c>
    </row>
    <row r="563" spans="1:6" ht="25.9" customHeight="1">
      <c r="A563" s="1755">
        <v>560</v>
      </c>
      <c r="B563" s="1756" t="s">
        <v>1778</v>
      </c>
      <c r="C563" s="1756" t="s">
        <v>3561</v>
      </c>
      <c r="D563" s="1757" t="str">
        <f t="shared" si="10"/>
        <v>consoles de dalle isolante d'acier fin, paroi 0.15 W/m2K</v>
      </c>
      <c r="E563" s="1746" t="s">
        <v>1820</v>
      </c>
      <c r="F563" s="1747" t="s">
        <v>3551</v>
      </c>
    </row>
    <row r="564" spans="1:6" ht="25.9" customHeight="1">
      <c r="A564" s="1755">
        <v>561</v>
      </c>
      <c r="B564" s="1756" t="s">
        <v>1778</v>
      </c>
      <c r="C564" s="1756" t="s">
        <v>3562</v>
      </c>
      <c r="D564" s="1757" t="str">
        <f t="shared" si="10"/>
        <v>consoles de dalle isolante d'acier fin, paroi 0.25 W/m2K</v>
      </c>
      <c r="E564" s="1746" t="s">
        <v>1821</v>
      </c>
      <c r="F564" s="1747" t="s">
        <v>3552</v>
      </c>
    </row>
    <row r="565" spans="1:6" ht="25.9" customHeight="1">
      <c r="A565" s="1755">
        <v>562</v>
      </c>
      <c r="B565" s="1756" t="s">
        <v>1778</v>
      </c>
      <c r="C565" s="1756" t="s">
        <v>3563</v>
      </c>
      <c r="D565" s="1757" t="str">
        <f t="shared" si="10"/>
        <v>consoles de dalle isolante d'acier fin, paroi 0.35 W/m2K</v>
      </c>
      <c r="E565" s="1746" t="s">
        <v>1822</v>
      </c>
      <c r="F565" s="1747" t="s">
        <v>3553</v>
      </c>
    </row>
    <row r="566" spans="1:6" ht="25.9" customHeight="1">
      <c r="A566" s="1755">
        <v>563</v>
      </c>
      <c r="B566" s="1756" t="s">
        <v>1778</v>
      </c>
      <c r="C566" s="1756" t="s">
        <v>3564</v>
      </c>
      <c r="D566" s="1757" t="str">
        <f t="shared" si="10"/>
        <v>Appui fenêtre / mur:</v>
      </c>
      <c r="E566" s="1746" t="s">
        <v>1360</v>
      </c>
      <c r="F566" s="1747" t="s">
        <v>2686</v>
      </c>
    </row>
    <row r="567" spans="1:6" ht="25.9" customHeight="1">
      <c r="A567" s="1755">
        <v>564</v>
      </c>
      <c r="B567" s="1756" t="s">
        <v>1778</v>
      </c>
      <c r="C567" s="1756" t="s">
        <v>3567</v>
      </c>
      <c r="D567" s="1757" t="str">
        <f t="shared" si="10"/>
        <v>&lt; 2 cm isolation thermique</v>
      </c>
      <c r="E567" s="1746" t="s">
        <v>1669</v>
      </c>
      <c r="F567" s="1747" t="s">
        <v>3565</v>
      </c>
    </row>
    <row r="568" spans="1:6" ht="25.9" customHeight="1">
      <c r="A568" s="1755">
        <v>565</v>
      </c>
      <c r="B568" s="1756" t="s">
        <v>1778</v>
      </c>
      <c r="C568" s="1756" t="s">
        <v>3568</v>
      </c>
      <c r="D568" s="1757" t="str">
        <f t="shared" si="10"/>
        <v>2-4 cm isolation thermique</v>
      </c>
      <c r="E568" s="1746" t="s">
        <v>215</v>
      </c>
      <c r="F568" s="1747" t="s">
        <v>3566</v>
      </c>
    </row>
    <row r="569" spans="1:6" ht="25.9" customHeight="1">
      <c r="A569" s="1755">
        <v>566</v>
      </c>
      <c r="B569" s="1756" t="s">
        <v>1778</v>
      </c>
      <c r="C569" s="1756" t="s">
        <v>3569</v>
      </c>
      <c r="D569" s="1757" t="str">
        <f t="shared" si="10"/>
        <v>Sol / mur de cave:</v>
      </c>
      <c r="E569" s="1746" t="s">
        <v>1814</v>
      </c>
      <c r="F569" s="1747" t="s">
        <v>2687</v>
      </c>
    </row>
    <row r="570" spans="1:6" ht="25.9" customHeight="1">
      <c r="A570" s="1755">
        <v>567</v>
      </c>
      <c r="B570" s="1756" t="s">
        <v>1778</v>
      </c>
      <c r="C570" s="1756" t="s">
        <v>3578</v>
      </c>
      <c r="D570" s="1757" t="str">
        <f t="shared" si="10"/>
        <v>isolation thermique suspendu, &lt; 2 cm isolation thermique</v>
      </c>
      <c r="E570" s="1746" t="s">
        <v>216</v>
      </c>
      <c r="F570" s="1747" t="s">
        <v>3570</v>
      </c>
    </row>
    <row r="571" spans="1:6" ht="25.9" customHeight="1">
      <c r="A571" s="1755">
        <v>568</v>
      </c>
      <c r="B571" s="1756" t="s">
        <v>1778</v>
      </c>
      <c r="C571" s="1756" t="s">
        <v>3579</v>
      </c>
      <c r="D571" s="1757" t="str">
        <f t="shared" si="10"/>
        <v>isolation thermique suspendu, 2-4 cm isolation thermique</v>
      </c>
      <c r="E571" s="1746" t="s">
        <v>219</v>
      </c>
      <c r="F571" s="1747" t="s">
        <v>3571</v>
      </c>
    </row>
    <row r="572" spans="1:6" ht="25.9" customHeight="1">
      <c r="A572" s="1755">
        <v>569</v>
      </c>
      <c r="B572" s="1756" t="s">
        <v>1778</v>
      </c>
      <c r="C572" s="1756" t="s">
        <v>3580</v>
      </c>
      <c r="D572" s="1757" t="str">
        <f t="shared" si="10"/>
        <v>bords de bâtiment avec isolation thermique</v>
      </c>
      <c r="E572" s="1746" t="s">
        <v>1773</v>
      </c>
      <c r="F572" s="1747" t="s">
        <v>3572</v>
      </c>
    </row>
    <row r="573" spans="1:6" ht="25.9" customHeight="1">
      <c r="A573" s="1755">
        <v>570</v>
      </c>
      <c r="B573" s="1756" t="s">
        <v>1778</v>
      </c>
      <c r="C573" s="1756" t="s">
        <v>3581</v>
      </c>
      <c r="D573" s="1757" t="str">
        <f t="shared" si="10"/>
        <v>paroi sous la dalle sur sous-sol, chauf. par sol, 0.2 W/m2K</v>
      </c>
      <c r="E573" s="1746" t="s">
        <v>511</v>
      </c>
      <c r="F573" s="1747" t="s">
        <v>3573</v>
      </c>
    </row>
    <row r="574" spans="1:6" ht="25.9" customHeight="1">
      <c r="A574" s="1755">
        <v>571</v>
      </c>
      <c r="B574" s="1756" t="s">
        <v>1778</v>
      </c>
      <c r="C574" s="1756" t="s">
        <v>3582</v>
      </c>
      <c r="D574" s="1757" t="str">
        <f t="shared" si="10"/>
        <v>paroi sous la dalle sur sous-sol, chauf. par sol, 0.3 W/m2K</v>
      </c>
      <c r="E574" s="1746" t="s">
        <v>1707</v>
      </c>
      <c r="F574" s="1747" t="s">
        <v>3574</v>
      </c>
    </row>
    <row r="575" spans="1:6" ht="25.9" customHeight="1">
      <c r="A575" s="1755">
        <v>572</v>
      </c>
      <c r="B575" s="1756" t="s">
        <v>1778</v>
      </c>
      <c r="C575" s="1756" t="s">
        <v>3583</v>
      </c>
      <c r="D575" s="1757" t="str">
        <f t="shared" si="10"/>
        <v>paroi sous la dalle, sans chauffage par le sol, 0.2 W/m2K</v>
      </c>
      <c r="E575" s="1746" t="s">
        <v>1708</v>
      </c>
      <c r="F575" s="1747" t="s">
        <v>3575</v>
      </c>
    </row>
    <row r="576" spans="1:6" ht="25.9" customHeight="1">
      <c r="A576" s="1755">
        <v>573</v>
      </c>
      <c r="B576" s="1756" t="s">
        <v>1778</v>
      </c>
      <c r="C576" s="1756" t="s">
        <v>3577</v>
      </c>
      <c r="D576" s="1757" t="str">
        <f t="shared" si="10"/>
        <v>paroi sous la dalle, sans chauffage par le sol, 0.3 W/m2K</v>
      </c>
      <c r="E576" s="1746" t="s">
        <v>1709</v>
      </c>
      <c r="F576" s="1747" t="s">
        <v>3576</v>
      </c>
    </row>
    <row r="577" spans="1:6" ht="25.9" customHeight="1">
      <c r="A577" s="1755">
        <v>574</v>
      </c>
      <c r="B577" s="1756" t="s">
        <v>1778</v>
      </c>
      <c r="C577" s="1756" t="s">
        <v>3584</v>
      </c>
      <c r="D577" s="1757" t="str">
        <f t="shared" si="10"/>
        <v>Piliers, supports, consoles:</v>
      </c>
      <c r="E577" s="1746" t="s">
        <v>760</v>
      </c>
      <c r="F577" s="1747" t="s">
        <v>3585</v>
      </c>
    </row>
    <row r="578" spans="1:6" ht="25.9" customHeight="1">
      <c r="A578" s="1755">
        <v>575</v>
      </c>
      <c r="B578" s="1756" t="s">
        <v>1778</v>
      </c>
      <c r="C578" s="1756" t="s">
        <v>3590</v>
      </c>
      <c r="D578" s="1757" t="str">
        <f t="shared" si="10"/>
        <v>en aluminium, sans isolation sur les flancs</v>
      </c>
      <c r="E578" s="1746" t="s">
        <v>220</v>
      </c>
      <c r="F578" s="1747" t="s">
        <v>3586</v>
      </c>
    </row>
    <row r="579" spans="1:6" ht="25.9" customHeight="1">
      <c r="A579" s="1755">
        <v>576</v>
      </c>
      <c r="B579" s="1756" t="s">
        <v>1778</v>
      </c>
      <c r="C579" s="1756" t="s">
        <v>3591</v>
      </c>
      <c r="D579" s="1757" t="str">
        <f t="shared" si="10"/>
        <v>en acier, sans isolation sur les flancs</v>
      </c>
      <c r="E579" s="1746" t="s">
        <v>1754</v>
      </c>
      <c r="F579" s="1747" t="s">
        <v>3587</v>
      </c>
    </row>
    <row r="580" spans="1:6" ht="25.9" customHeight="1">
      <c r="A580" s="1755">
        <v>577</v>
      </c>
      <c r="B580" s="1756" t="s">
        <v>1778</v>
      </c>
      <c r="C580" s="1756" t="s">
        <v>3592</v>
      </c>
      <c r="D580" s="1757" t="str">
        <f t="shared" ref="D580:D643" si="11">INDEX($E$4:$G$809,$A580,$A$1)</f>
        <v>en béton, sans isolation sur les flancs</v>
      </c>
      <c r="E580" s="1746" t="s">
        <v>1755</v>
      </c>
      <c r="F580" s="1747" t="s">
        <v>3588</v>
      </c>
    </row>
    <row r="581" spans="1:6" ht="25.9" customHeight="1">
      <c r="A581" s="1755">
        <v>578</v>
      </c>
      <c r="B581" s="1756" t="s">
        <v>1778</v>
      </c>
      <c r="C581" s="1756" t="s">
        <v>3593</v>
      </c>
      <c r="D581" s="1757" t="str">
        <f t="shared" si="11"/>
        <v>consoles métalliques massive</v>
      </c>
      <c r="E581" s="1746" t="s">
        <v>1756</v>
      </c>
      <c r="F581" s="1747" t="s">
        <v>3589</v>
      </c>
    </row>
    <row r="582" spans="1:6" ht="25.9" customHeight="1">
      <c r="A582" s="1755">
        <v>579</v>
      </c>
      <c r="B582" s="1756" t="s">
        <v>1778</v>
      </c>
      <c r="C582" s="1756" t="s">
        <v>3594</v>
      </c>
      <c r="D582" s="1757" t="str">
        <f t="shared" si="11"/>
        <v>Volet roulant</v>
      </c>
      <c r="E582" s="1746" t="s">
        <v>871</v>
      </c>
      <c r="F582" s="1747" t="s">
        <v>3595</v>
      </c>
    </row>
    <row r="583" spans="1:6" ht="25.9" customHeight="1">
      <c r="A583" s="1755">
        <v>580</v>
      </c>
      <c r="B583" s="1756" t="s">
        <v>1778</v>
      </c>
      <c r="C583" s="1756" t="s">
        <v>3599</v>
      </c>
      <c r="D583" s="1757" t="str">
        <f t="shared" si="11"/>
        <v>isolation du linteau de fenêtre et du cadre 2cm</v>
      </c>
      <c r="E583" s="1746" t="s">
        <v>2333</v>
      </c>
      <c r="F583" s="1747" t="s">
        <v>3596</v>
      </c>
    </row>
    <row r="584" spans="1:6" ht="25.9" customHeight="1">
      <c r="A584" s="1755">
        <v>581</v>
      </c>
      <c r="B584" s="1756" t="s">
        <v>1778</v>
      </c>
      <c r="C584" s="1756" t="s">
        <v>3600</v>
      </c>
      <c r="D584" s="1757" t="str">
        <f t="shared" si="11"/>
        <v>isolation du linteau de fenêtre et du cadre 4cm</v>
      </c>
      <c r="E584" s="1746" t="s">
        <v>2334</v>
      </c>
      <c r="F584" s="1747" t="s">
        <v>3597</v>
      </c>
    </row>
    <row r="585" spans="1:6" ht="25.9" customHeight="1">
      <c r="A585" s="1755">
        <v>582</v>
      </c>
      <c r="B585" s="1756" t="s">
        <v>1778</v>
      </c>
      <c r="C585" s="1756" t="s">
        <v>3601</v>
      </c>
      <c r="D585" s="1757" t="str">
        <f t="shared" si="11"/>
        <v>isolation du linteau de fenêtre 4cm et cadre isolant</v>
      </c>
      <c r="E585" s="1746" t="s">
        <v>2332</v>
      </c>
      <c r="F585" s="1747" t="s">
        <v>3598</v>
      </c>
    </row>
    <row r="586" spans="1:6" ht="25.9" customHeight="1">
      <c r="A586" s="1755">
        <v>583</v>
      </c>
      <c r="B586" s="1756" t="s">
        <v>1778</v>
      </c>
      <c r="C586" s="1756" t="s">
        <v>3603</v>
      </c>
      <c r="D586" s="1757" t="str">
        <f t="shared" si="11"/>
        <v>Band de rive horizontale</v>
      </c>
      <c r="E586" s="1746" t="s">
        <v>1062</v>
      </c>
      <c r="F586" s="1747" t="s">
        <v>3602</v>
      </c>
    </row>
    <row r="587" spans="1:6" ht="25.9" customHeight="1">
      <c r="A587" s="1755">
        <v>584</v>
      </c>
      <c r="B587" s="1756" t="s">
        <v>1778</v>
      </c>
      <c r="C587" s="1756" t="s">
        <v>3605</v>
      </c>
      <c r="D587" s="1757" t="str">
        <f t="shared" si="11"/>
        <v>Largeur m</v>
      </c>
      <c r="E587" s="1746" t="s">
        <v>1171</v>
      </c>
      <c r="F587" s="1747" t="s">
        <v>3604</v>
      </c>
    </row>
    <row r="588" spans="1:6" ht="25.9" customHeight="1">
      <c r="A588" s="1755">
        <v>585</v>
      </c>
      <c r="B588" s="1756" t="s">
        <v>1778</v>
      </c>
      <c r="C588" s="1756" t="s">
        <v>3607</v>
      </c>
      <c r="D588" s="1757" t="str">
        <f t="shared" si="11"/>
        <v>Grosseur 
m</v>
      </c>
      <c r="E588" s="1746" t="s">
        <v>1170</v>
      </c>
      <c r="F588" s="1747" t="s">
        <v>3606</v>
      </c>
    </row>
    <row r="589" spans="1:6" ht="25.9" customHeight="1">
      <c r="A589" s="1755">
        <v>586</v>
      </c>
      <c r="B589" s="1756" t="s">
        <v>1778</v>
      </c>
      <c r="C589" s="1756" t="s">
        <v>3610</v>
      </c>
      <c r="D589" s="1757" t="str">
        <f t="shared" si="11"/>
        <v>l
W/mK</v>
      </c>
      <c r="E589" s="1746" t="s">
        <v>3609</v>
      </c>
      <c r="F589" s="1747" t="s">
        <v>3608</v>
      </c>
    </row>
    <row r="590" spans="1:6" ht="25.9" customHeight="1">
      <c r="A590" s="1755">
        <v>587</v>
      </c>
      <c r="B590" s="1756" t="s">
        <v>1778</v>
      </c>
      <c r="C590" s="1756" t="s">
        <v>3612</v>
      </c>
      <c r="D590" s="1757" t="str">
        <f t="shared" si="11"/>
        <v>Transmission thermique alpha</v>
      </c>
      <c r="E590" s="1746" t="s">
        <v>2129</v>
      </c>
      <c r="F590" s="1747" t="s">
        <v>3611</v>
      </c>
    </row>
    <row r="591" spans="1:6" ht="25.9" customHeight="1">
      <c r="A591" s="1755">
        <v>588</v>
      </c>
      <c r="B591" s="1756" t="s">
        <v>1778</v>
      </c>
      <c r="C591" s="1756" t="s">
        <v>3615</v>
      </c>
      <c r="D591" s="1757" t="str">
        <f t="shared" si="11"/>
        <v>Transmission thermique à l'intérieur</v>
      </c>
      <c r="E591" s="1746" t="s">
        <v>2130</v>
      </c>
      <c r="F591" s="1747" t="s">
        <v>3613</v>
      </c>
    </row>
    <row r="592" spans="1:6" ht="25.9" customHeight="1">
      <c r="A592" s="1755">
        <v>589</v>
      </c>
      <c r="B592" s="1756" t="s">
        <v>1778</v>
      </c>
      <c r="C592" s="1756" t="s">
        <v>3616</v>
      </c>
      <c r="D592" s="1757" t="str">
        <f t="shared" si="11"/>
        <v>Transmission thermique à l'extérieur</v>
      </c>
      <c r="E592" s="1746" t="s">
        <v>2131</v>
      </c>
      <c r="F592" s="1747" t="s">
        <v>3614</v>
      </c>
    </row>
    <row r="593" spans="1:6" ht="25.9" customHeight="1">
      <c r="A593" s="1755">
        <v>590</v>
      </c>
      <c r="B593" s="1756" t="s">
        <v>1778</v>
      </c>
      <c r="C593" s="1756" t="s">
        <v>3618</v>
      </c>
      <c r="D593" s="1757" t="str">
        <f t="shared" si="11"/>
        <v>transcrit de No 14</v>
      </c>
      <c r="E593" s="1746" t="s">
        <v>3617</v>
      </c>
      <c r="F593" s="1747" t="s">
        <v>3619</v>
      </c>
    </row>
    <row r="594" spans="1:6" ht="25.9" customHeight="1">
      <c r="A594" s="1755">
        <v>591</v>
      </c>
      <c r="B594" s="1756" t="s">
        <v>1778</v>
      </c>
      <c r="C594" s="1756" t="s">
        <v>3620</v>
      </c>
      <c r="D594" s="1757" t="str">
        <f t="shared" si="11"/>
        <v>Façade, ventilée</v>
      </c>
      <c r="E594" s="1746" t="s">
        <v>217</v>
      </c>
      <c r="F594" s="1747" t="s">
        <v>3621</v>
      </c>
    </row>
    <row r="595" spans="1:6" ht="25.9" customHeight="1">
      <c r="A595" s="1755">
        <v>592</v>
      </c>
      <c r="B595" s="1756" t="s">
        <v>1778</v>
      </c>
      <c r="C595" s="1756" t="s">
        <v>3633</v>
      </c>
      <c r="D595" s="1757" t="str">
        <f t="shared" si="11"/>
        <v>Façade, ventilée</v>
      </c>
      <c r="E595" s="1746" t="s">
        <v>2132</v>
      </c>
      <c r="F595" s="1747" t="s">
        <v>3621</v>
      </c>
    </row>
    <row r="596" spans="1:6" ht="25.9" customHeight="1">
      <c r="A596" s="1755">
        <v>593</v>
      </c>
      <c r="B596" s="1756" t="s">
        <v>1778</v>
      </c>
      <c r="C596" s="1756" t="s">
        <v>3634</v>
      </c>
      <c r="D596" s="1757" t="str">
        <f t="shared" si="11"/>
        <v>xxx suivant les région d'air dans la construction xxx</v>
      </c>
      <c r="E596" s="1746" t="s">
        <v>2328</v>
      </c>
      <c r="F596" s="1747" t="s">
        <v>3622</v>
      </c>
    </row>
    <row r="597" spans="1:6" ht="25.9" customHeight="1">
      <c r="A597" s="1755">
        <v>594</v>
      </c>
      <c r="B597" s="1756" t="s">
        <v>1778</v>
      </c>
      <c r="C597" s="1756" t="s">
        <v>3635</v>
      </c>
      <c r="D597" s="1757" t="str">
        <f t="shared" si="11"/>
        <v>Région d'air horizontale 5mm, plafond</v>
      </c>
      <c r="E597" s="1746" t="s">
        <v>1080</v>
      </c>
      <c r="F597" s="1747" t="s">
        <v>3623</v>
      </c>
    </row>
    <row r="598" spans="1:6" ht="25.9" customHeight="1">
      <c r="A598" s="1755">
        <v>595</v>
      </c>
      <c r="B598" s="1756" t="s">
        <v>1778</v>
      </c>
      <c r="C598" s="1756" t="s">
        <v>3636</v>
      </c>
      <c r="D598" s="1757" t="str">
        <f t="shared" si="11"/>
        <v>Région d'air horizontale 10mm, plafond</v>
      </c>
      <c r="E598" s="1746" t="s">
        <v>1082</v>
      </c>
      <c r="F598" s="1747" t="s">
        <v>3624</v>
      </c>
    </row>
    <row r="599" spans="1:6" ht="25.9" customHeight="1">
      <c r="A599" s="1755">
        <v>596</v>
      </c>
      <c r="B599" s="1756" t="s">
        <v>1778</v>
      </c>
      <c r="C599" s="1756" t="s">
        <v>3637</v>
      </c>
      <c r="D599" s="1757" t="str">
        <f t="shared" si="11"/>
        <v>Région d'air horizontale &gt;15mm, plafond</v>
      </c>
      <c r="E599" s="1746" t="s">
        <v>385</v>
      </c>
      <c r="F599" s="1747" t="s">
        <v>3625</v>
      </c>
    </row>
    <row r="600" spans="1:6" ht="25.9" customHeight="1">
      <c r="A600" s="1755">
        <v>597</v>
      </c>
      <c r="B600" s="1756" t="s">
        <v>1778</v>
      </c>
      <c r="C600" s="1756" t="s">
        <v>3638</v>
      </c>
      <c r="D600" s="1757" t="str">
        <f t="shared" si="11"/>
        <v>Région d'air verticale 5mm</v>
      </c>
      <c r="E600" s="1746" t="s">
        <v>386</v>
      </c>
      <c r="F600" s="1747" t="s">
        <v>3626</v>
      </c>
    </row>
    <row r="601" spans="1:6" ht="25.9" customHeight="1">
      <c r="A601" s="1755">
        <v>598</v>
      </c>
      <c r="B601" s="1756" t="s">
        <v>1778</v>
      </c>
      <c r="C601" s="1756" t="s">
        <v>3639</v>
      </c>
      <c r="D601" s="1757" t="str">
        <f t="shared" si="11"/>
        <v>Région d'air verticale 10mm</v>
      </c>
      <c r="E601" s="1746" t="s">
        <v>387</v>
      </c>
      <c r="F601" s="1747" t="s">
        <v>3627</v>
      </c>
    </row>
    <row r="602" spans="1:6" ht="25.9" customHeight="1">
      <c r="A602" s="1755">
        <v>599</v>
      </c>
      <c r="B602" s="1756" t="s">
        <v>1778</v>
      </c>
      <c r="C602" s="1756" t="s">
        <v>3640</v>
      </c>
      <c r="D602" s="1757" t="str">
        <f t="shared" si="11"/>
        <v>Région d'air verticale &gt;25mm</v>
      </c>
      <c r="E602" s="1746" t="s">
        <v>199</v>
      </c>
      <c r="F602" s="1747" t="s">
        <v>3628</v>
      </c>
    </row>
    <row r="603" spans="1:6" ht="25.9" customHeight="1">
      <c r="A603" s="1755">
        <v>600</v>
      </c>
      <c r="B603" s="1756" t="s">
        <v>1778</v>
      </c>
      <c r="C603" s="1756" t="s">
        <v>3641</v>
      </c>
      <c r="D603" s="1757" t="str">
        <f t="shared" si="11"/>
        <v>Région d'air horizontale 5mm, plancher</v>
      </c>
      <c r="E603" s="1746" t="s">
        <v>200</v>
      </c>
      <c r="F603" s="1747" t="s">
        <v>3629</v>
      </c>
    </row>
    <row r="604" spans="1:6" ht="25.9" customHeight="1">
      <c r="A604" s="1755">
        <v>601</v>
      </c>
      <c r="B604" s="1756" t="s">
        <v>1778</v>
      </c>
      <c r="C604" s="1756" t="s">
        <v>3642</v>
      </c>
      <c r="D604" s="1757" t="str">
        <f t="shared" si="11"/>
        <v>Région d'air horizontale 10mm, plancher</v>
      </c>
      <c r="E604" s="1746" t="s">
        <v>201</v>
      </c>
      <c r="F604" s="1747" t="s">
        <v>3630</v>
      </c>
    </row>
    <row r="605" spans="1:6" ht="25.9" customHeight="1">
      <c r="A605" s="1755">
        <v>602</v>
      </c>
      <c r="B605" s="1756" t="s">
        <v>1778</v>
      </c>
      <c r="C605" s="1756" t="s">
        <v>3643</v>
      </c>
      <c r="D605" s="1757" t="str">
        <f t="shared" si="11"/>
        <v>Région d'air horizontale 25mm, plancher</v>
      </c>
      <c r="E605" s="1746" t="s">
        <v>202</v>
      </c>
      <c r="F605" s="1747" t="s">
        <v>3631</v>
      </c>
    </row>
    <row r="606" spans="1:6" ht="25.9" customHeight="1">
      <c r="A606" s="1755">
        <v>603</v>
      </c>
      <c r="B606" s="1756" t="s">
        <v>1778</v>
      </c>
      <c r="C606" s="1756" t="s">
        <v>3644</v>
      </c>
      <c r="D606" s="1757" t="str">
        <f t="shared" si="11"/>
        <v>Région d'air horizontale 100mm, plancher</v>
      </c>
      <c r="E606" s="1746" t="s">
        <v>1089</v>
      </c>
      <c r="F606" s="1747" t="s">
        <v>3632</v>
      </c>
    </row>
    <row r="607" spans="1:6" ht="25.9" customHeight="1">
      <c r="A607" s="1755">
        <v>604</v>
      </c>
      <c r="B607" s="1756" t="s">
        <v>1778</v>
      </c>
      <c r="C607" s="1756" t="s">
        <v>3645</v>
      </c>
      <c r="D607" s="1757" t="str">
        <f t="shared" si="11"/>
        <v>Bande de rive verticale</v>
      </c>
      <c r="E607" s="1746" t="s">
        <v>1063</v>
      </c>
      <c r="F607" s="1747" t="s">
        <v>3646</v>
      </c>
    </row>
    <row r="608" spans="1:6" ht="25.9" customHeight="1">
      <c r="A608" s="1755">
        <v>605</v>
      </c>
      <c r="B608" s="1756" t="s">
        <v>1778</v>
      </c>
      <c r="C608" s="1756" t="s">
        <v>3648</v>
      </c>
      <c r="D608" s="1757" t="str">
        <f t="shared" si="11"/>
        <v>Hauteur m</v>
      </c>
      <c r="E608" s="1746" t="s">
        <v>1064</v>
      </c>
      <c r="F608" s="1747" t="s">
        <v>3647</v>
      </c>
    </row>
    <row r="609" spans="1:6" ht="25.9" customHeight="1">
      <c r="A609" s="1755">
        <v>606</v>
      </c>
      <c r="B609" s="1756" t="s">
        <v>1778</v>
      </c>
      <c r="C609" s="1756" t="s">
        <v>3649</v>
      </c>
      <c r="D609" s="1757" t="str">
        <f t="shared" si="11"/>
        <v>Grosseur 
m</v>
      </c>
      <c r="E609" s="1746" t="s">
        <v>1170</v>
      </c>
      <c r="F609" s="1747" t="s">
        <v>3606</v>
      </c>
    </row>
    <row r="610" spans="1:6" ht="25.9" customHeight="1">
      <c r="A610" s="1755">
        <v>607</v>
      </c>
      <c r="B610" s="1756" t="s">
        <v>1778</v>
      </c>
      <c r="C610" s="1756" t="s">
        <v>3650</v>
      </c>
      <c r="D610" s="1757" t="str">
        <f t="shared" si="11"/>
        <v>l
W/mK</v>
      </c>
      <c r="E610" s="1746" t="s">
        <v>3609</v>
      </c>
      <c r="F610" s="1747" t="s">
        <v>3608</v>
      </c>
    </row>
    <row r="611" spans="1:6" ht="25.9" customHeight="1">
      <c r="A611" s="1755">
        <v>608</v>
      </c>
      <c r="B611" s="1756" t="s">
        <v>1778</v>
      </c>
      <c r="C611" s="1756" t="s">
        <v>3873</v>
      </c>
      <c r="D611" s="1757" t="str">
        <f t="shared" si="11"/>
        <v>Produits spécifiés</v>
      </c>
      <c r="E611" s="1746" t="s">
        <v>1119</v>
      </c>
      <c r="F611" s="1747" t="s">
        <v>3841</v>
      </c>
    </row>
    <row r="612" spans="1:6" ht="25.9" customHeight="1">
      <c r="A612" s="1755">
        <v>609</v>
      </c>
      <c r="B612" s="1756" t="s">
        <v>1778</v>
      </c>
      <c r="C612" s="1756" t="s">
        <v>3874</v>
      </c>
      <c r="D612" s="1757" t="str">
        <f t="shared" si="11"/>
        <v>**** Laine de roche ****</v>
      </c>
      <c r="E612" s="1746" t="s">
        <v>1391</v>
      </c>
      <c r="F612" s="1747" t="s">
        <v>3842</v>
      </c>
    </row>
    <row r="613" spans="1:6" ht="25.9" customHeight="1">
      <c r="A613" s="1755">
        <v>610</v>
      </c>
      <c r="B613" s="1756" t="s">
        <v>1778</v>
      </c>
      <c r="C613" s="1756" t="s">
        <v>3875</v>
      </c>
      <c r="D613" s="1757" t="str">
        <f t="shared" si="11"/>
        <v>Panneau de sol Flumroc</v>
      </c>
      <c r="E613" s="1746" t="s">
        <v>2024</v>
      </c>
      <c r="F613" s="1747" t="s">
        <v>3843</v>
      </c>
    </row>
    <row r="614" spans="1:6" ht="25.9" customHeight="1">
      <c r="A614" s="1755">
        <v>611</v>
      </c>
      <c r="B614" s="1756" t="s">
        <v>1778</v>
      </c>
      <c r="C614" s="1756" t="s">
        <v>3876</v>
      </c>
      <c r="D614" s="1757" t="str">
        <f t="shared" si="11"/>
        <v>Panneau isolant Flumroc 1</v>
      </c>
      <c r="E614" s="1746" t="s">
        <v>2025</v>
      </c>
      <c r="F614" s="1747" t="s">
        <v>3844</v>
      </c>
    </row>
    <row r="615" spans="1:6" ht="25.9" customHeight="1">
      <c r="A615" s="1755">
        <v>612</v>
      </c>
      <c r="B615" s="1756" t="s">
        <v>1778</v>
      </c>
      <c r="C615" s="1756" t="s">
        <v>3877</v>
      </c>
      <c r="D615" s="1757" t="str">
        <f t="shared" si="11"/>
        <v>Panneau isolant Flumroc 3</v>
      </c>
      <c r="E615" s="1746" t="s">
        <v>2026</v>
      </c>
      <c r="F615" s="1747" t="s">
        <v>3845</v>
      </c>
    </row>
    <row r="616" spans="1:6" ht="25.9" customHeight="1">
      <c r="A616" s="1755">
        <v>613</v>
      </c>
      <c r="B616" s="1756" t="s">
        <v>1778</v>
      </c>
      <c r="C616" s="1756" t="s">
        <v>3878</v>
      </c>
      <c r="D616" s="1757" t="str">
        <f t="shared" si="11"/>
        <v>Panneau isolant Flumroc 341</v>
      </c>
      <c r="E616" s="1746" t="s">
        <v>2027</v>
      </c>
      <c r="F616" s="1747" t="s">
        <v>3846</v>
      </c>
    </row>
    <row r="617" spans="1:6" ht="25.9" customHeight="1">
      <c r="A617" s="1755">
        <v>614</v>
      </c>
      <c r="B617" s="1756" t="s">
        <v>1778</v>
      </c>
      <c r="C617" s="1756" t="s">
        <v>3879</v>
      </c>
      <c r="D617" s="1757" t="str">
        <f t="shared" si="11"/>
        <v>Panneau isolant Flumroc COMPACT</v>
      </c>
      <c r="E617" s="1746" t="s">
        <v>782</v>
      </c>
      <c r="F617" s="1747" t="s">
        <v>3847</v>
      </c>
    </row>
    <row r="618" spans="1:6" ht="25.9" customHeight="1">
      <c r="A618" s="1755">
        <v>615</v>
      </c>
      <c r="B618" s="1756" t="s">
        <v>1778</v>
      </c>
      <c r="C618" s="1756" t="s">
        <v>3880</v>
      </c>
      <c r="D618" s="1757" t="str">
        <f t="shared" si="11"/>
        <v>Panneau isolant Flumroc DECO</v>
      </c>
      <c r="E618" s="1746" t="s">
        <v>50</v>
      </c>
      <c r="F618" s="1747" t="s">
        <v>3848</v>
      </c>
    </row>
    <row r="619" spans="1:6" ht="25.9" customHeight="1">
      <c r="A619" s="1755">
        <v>616</v>
      </c>
      <c r="B619" s="1756" t="s">
        <v>1778</v>
      </c>
      <c r="C619" s="1756" t="s">
        <v>3881</v>
      </c>
      <c r="D619" s="1757" t="str">
        <f t="shared" si="11"/>
        <v>Panneau isolant Flumroc DUO</v>
      </c>
      <c r="E619" s="1746" t="s">
        <v>783</v>
      </c>
      <c r="F619" s="1747" t="s">
        <v>3849</v>
      </c>
    </row>
    <row r="620" spans="1:6" ht="25.9" customHeight="1">
      <c r="A620" s="1755">
        <v>617</v>
      </c>
      <c r="B620" s="1756" t="s">
        <v>1778</v>
      </c>
      <c r="C620" s="1756" t="s">
        <v>3882</v>
      </c>
      <c r="D620" s="1757" t="str">
        <f t="shared" si="11"/>
        <v>Panneau isolant Flumroc DUO C</v>
      </c>
      <c r="E620" s="1746" t="s">
        <v>51</v>
      </c>
      <c r="F620" s="1747" t="s">
        <v>3850</v>
      </c>
    </row>
    <row r="621" spans="1:6" ht="25.9" customHeight="1">
      <c r="A621" s="1755">
        <v>618</v>
      </c>
      <c r="B621" s="1756" t="s">
        <v>1778</v>
      </c>
      <c r="C621" s="1756" t="s">
        <v>3883</v>
      </c>
      <c r="D621" s="1757" t="str">
        <f t="shared" si="11"/>
        <v>Panneau isolant Flumroc DUO D 20</v>
      </c>
      <c r="E621" s="1746" t="s">
        <v>52</v>
      </c>
      <c r="F621" s="1747" t="s">
        <v>3851</v>
      </c>
    </row>
    <row r="622" spans="1:6" ht="25.9" customHeight="1">
      <c r="A622" s="1755">
        <v>619</v>
      </c>
      <c r="B622" s="1756" t="s">
        <v>1778</v>
      </c>
      <c r="C622" s="1756" t="s">
        <v>3884</v>
      </c>
      <c r="D622" s="1757" t="str">
        <f t="shared" si="11"/>
        <v>Panneau isolant Flumroc ECCO</v>
      </c>
      <c r="E622" s="1746" t="s">
        <v>784</v>
      </c>
      <c r="F622" s="1747" t="s">
        <v>3852</v>
      </c>
    </row>
    <row r="623" spans="1:6" ht="25.9" customHeight="1">
      <c r="A623" s="1755">
        <v>620</v>
      </c>
      <c r="B623" s="1756" t="s">
        <v>1778</v>
      </c>
      <c r="C623" s="1756" t="s">
        <v>3885</v>
      </c>
      <c r="D623" s="1757" t="str">
        <f t="shared" si="11"/>
        <v>Panneau isolant Flumroc FHW 80</v>
      </c>
      <c r="E623" s="1746" t="s">
        <v>53</v>
      </c>
      <c r="F623" s="1747" t="s">
        <v>3853</v>
      </c>
    </row>
    <row r="624" spans="1:6" ht="25.9" customHeight="1">
      <c r="A624" s="1755">
        <v>621</v>
      </c>
      <c r="B624" s="1756" t="s">
        <v>1778</v>
      </c>
      <c r="C624" s="1756" t="s">
        <v>3886</v>
      </c>
      <c r="D624" s="1757" t="str">
        <f t="shared" si="11"/>
        <v>Panneau isolant Flumroc IGLOO</v>
      </c>
      <c r="E624" s="1746" t="s">
        <v>785</v>
      </c>
      <c r="F624" s="1747" t="s">
        <v>3854</v>
      </c>
    </row>
    <row r="625" spans="1:7" ht="25.9" customHeight="1">
      <c r="A625" s="1755">
        <v>622</v>
      </c>
      <c r="B625" s="1756" t="s">
        <v>1778</v>
      </c>
      <c r="C625" s="1756" t="s">
        <v>3887</v>
      </c>
      <c r="D625" s="1757" t="str">
        <f t="shared" si="11"/>
        <v>Panneau isolant Flumroc MEGA</v>
      </c>
      <c r="E625" s="1746" t="s">
        <v>786</v>
      </c>
      <c r="F625" s="1747" t="s">
        <v>3855</v>
      </c>
    </row>
    <row r="626" spans="1:7" ht="25.9" customHeight="1">
      <c r="A626" s="1755">
        <v>623</v>
      </c>
      <c r="B626" s="1756" t="s">
        <v>1778</v>
      </c>
      <c r="C626" s="1756" t="s">
        <v>3888</v>
      </c>
      <c r="D626" s="1757" t="str">
        <f t="shared" si="11"/>
        <v>Panneau isolant Flumroc PARA</v>
      </c>
      <c r="E626" s="1746" t="s">
        <v>1049</v>
      </c>
      <c r="F626" s="1747" t="s">
        <v>3856</v>
      </c>
    </row>
    <row r="627" spans="1:7" ht="25.9" customHeight="1">
      <c r="A627" s="1755">
        <v>624</v>
      </c>
      <c r="B627" s="1756" t="s">
        <v>1778</v>
      </c>
      <c r="C627" s="1756" t="s">
        <v>3889</v>
      </c>
      <c r="D627" s="1757" t="str">
        <f t="shared" si="11"/>
        <v>Panneau isolant Flumroc PRIMA</v>
      </c>
      <c r="E627" s="1746" t="s">
        <v>787</v>
      </c>
      <c r="F627" s="1747" t="s">
        <v>3857</v>
      </c>
    </row>
    <row r="628" spans="1:7" ht="25.9" customHeight="1">
      <c r="A628" s="1755">
        <v>625</v>
      </c>
      <c r="B628" s="1756" t="s">
        <v>1778</v>
      </c>
      <c r="C628" s="1756" t="s">
        <v>3890</v>
      </c>
      <c r="D628" s="1757" t="str">
        <f t="shared" si="11"/>
        <v>Panneau isolant Flumroc SOLO</v>
      </c>
      <c r="E628" s="1746" t="s">
        <v>788</v>
      </c>
      <c r="F628" s="1747" t="s">
        <v>3858</v>
      </c>
    </row>
    <row r="629" spans="1:7" ht="25.9" customHeight="1">
      <c r="A629" s="1755">
        <v>626</v>
      </c>
      <c r="B629" s="1756" t="s">
        <v>1778</v>
      </c>
      <c r="C629" s="1756" t="s">
        <v>3891</v>
      </c>
      <c r="D629" s="1757" t="str">
        <f t="shared" si="11"/>
        <v>Panneau isolant Flumroc TOPA ACOUSTIQUE</v>
      </c>
      <c r="E629" s="1746" t="s">
        <v>54</v>
      </c>
      <c r="F629" s="1747" t="s">
        <v>3859</v>
      </c>
    </row>
    <row r="630" spans="1:7" ht="25.9" customHeight="1">
      <c r="A630" s="1755">
        <v>627</v>
      </c>
      <c r="B630" s="1756" t="s">
        <v>1778</v>
      </c>
      <c r="C630" s="1756" t="s">
        <v>3892</v>
      </c>
      <c r="D630" s="1757" t="str">
        <f t="shared" si="11"/>
        <v>Panneau isolant Flumroc TRIA</v>
      </c>
      <c r="E630" s="1746" t="s">
        <v>529</v>
      </c>
      <c r="F630" s="1747" t="s">
        <v>3860</v>
      </c>
    </row>
    <row r="631" spans="1:7" ht="25.9" customHeight="1">
      <c r="A631" s="1755">
        <v>628</v>
      </c>
      <c r="B631" s="1756" t="s">
        <v>1778</v>
      </c>
      <c r="C631" s="1756" t="s">
        <v>3893</v>
      </c>
      <c r="D631" s="1757" t="str">
        <f t="shared" si="11"/>
        <v>Élément pour sol de combles Flumroc ESTRA</v>
      </c>
      <c r="E631" s="1746" t="s">
        <v>2000</v>
      </c>
      <c r="F631" s="1747" t="s">
        <v>3861</v>
      </c>
    </row>
    <row r="632" spans="1:7" ht="25.9" customHeight="1">
      <c r="A632" s="1755">
        <v>629</v>
      </c>
      <c r="B632" s="1756" t="s">
        <v>1778</v>
      </c>
      <c r="C632" s="1756" t="s">
        <v>3894</v>
      </c>
      <c r="D632" s="1757" t="str">
        <f t="shared" si="11"/>
        <v>**** Verre cellulaire ****</v>
      </c>
      <c r="E632" s="1746" t="s">
        <v>2117</v>
      </c>
      <c r="F632" s="1747" t="s">
        <v>3862</v>
      </c>
    </row>
    <row r="633" spans="1:7" ht="25.9" customHeight="1">
      <c r="A633" s="1755">
        <v>630</v>
      </c>
      <c r="B633" s="1756" t="s">
        <v>1778</v>
      </c>
      <c r="C633" s="1756" t="s">
        <v>3895</v>
      </c>
      <c r="D633" s="1757" t="str">
        <f t="shared" si="11"/>
        <v>**** Laine de verre ****</v>
      </c>
      <c r="E633" s="1746" t="s">
        <v>2118</v>
      </c>
      <c r="F633" s="1747" t="s">
        <v>3863</v>
      </c>
    </row>
    <row r="634" spans="1:7" ht="25.9" customHeight="1">
      <c r="A634" s="1755">
        <v>631</v>
      </c>
      <c r="B634" s="1756" t="s">
        <v>1778</v>
      </c>
      <c r="C634" s="1756" t="s">
        <v>3896</v>
      </c>
      <c r="D634" s="1757" t="str">
        <f t="shared" si="11"/>
        <v>**** Polystyrène expansé (EPS) ****</v>
      </c>
      <c r="E634" s="1746" t="s">
        <v>2119</v>
      </c>
      <c r="F634" s="1747" t="s">
        <v>3864</v>
      </c>
    </row>
    <row r="635" spans="1:7" ht="25.9" customHeight="1">
      <c r="A635" s="1755">
        <v>632</v>
      </c>
      <c r="B635" s="1756" t="s">
        <v>1778</v>
      </c>
      <c r="C635" s="1756" t="s">
        <v>3897</v>
      </c>
      <c r="D635" s="1757" t="str">
        <f t="shared" si="11"/>
        <v>**** Polystyrène extrudé (XPS) ****</v>
      </c>
      <c r="E635" s="1759" t="s">
        <v>1074</v>
      </c>
      <c r="F635" s="1780" t="s">
        <v>3865</v>
      </c>
      <c r="G635" s="1781"/>
    </row>
    <row r="636" spans="1:7" ht="25.9" customHeight="1">
      <c r="A636" s="1755">
        <v>633</v>
      </c>
      <c r="B636" s="1756" t="s">
        <v>1778</v>
      </c>
      <c r="C636" s="1756" t="s">
        <v>3898</v>
      </c>
      <c r="D636" s="1757" t="str">
        <f t="shared" si="11"/>
        <v>**** Polyurethan (PUR), Polyisocyanurat (PIR) ****</v>
      </c>
      <c r="E636" s="1759" t="s">
        <v>1075</v>
      </c>
      <c r="F636" s="1747" t="s">
        <v>1075</v>
      </c>
      <c r="G636" s="1781"/>
    </row>
    <row r="637" spans="1:7" ht="25.9" customHeight="1">
      <c r="A637" s="1755">
        <v>634</v>
      </c>
      <c r="B637" s="1756" t="s">
        <v>1778</v>
      </c>
      <c r="C637" s="1756" t="s">
        <v>3899</v>
      </c>
      <c r="D637" s="1757" t="str">
        <f t="shared" si="11"/>
        <v>**** Mousse phénolique ****</v>
      </c>
      <c r="E637" s="1759" t="s">
        <v>1076</v>
      </c>
      <c r="F637" s="1747" t="s">
        <v>3866</v>
      </c>
    </row>
    <row r="638" spans="1:7" ht="25.9" customHeight="1">
      <c r="A638" s="1755">
        <v>635</v>
      </c>
      <c r="B638" s="1756" t="s">
        <v>1778</v>
      </c>
      <c r="C638" s="1756" t="s">
        <v>3900</v>
      </c>
      <c r="D638" s="1757" t="str">
        <f t="shared" si="11"/>
        <v>**** Panneaux en laine de bois ****</v>
      </c>
      <c r="E638" s="1759" t="s">
        <v>1077</v>
      </c>
      <c r="F638" s="1747" t="s">
        <v>3867</v>
      </c>
    </row>
    <row r="639" spans="1:7" ht="25.9" customHeight="1">
      <c r="A639" s="1755">
        <v>636</v>
      </c>
      <c r="B639" s="1756" t="s">
        <v>1778</v>
      </c>
      <c r="C639" s="1756" t="s">
        <v>3901</v>
      </c>
      <c r="D639" s="1757" t="str">
        <f t="shared" si="11"/>
        <v>**** Panneaux de fibres de bois ****</v>
      </c>
      <c r="E639" s="1746" t="s">
        <v>465</v>
      </c>
      <c r="F639" s="1747" t="s">
        <v>3868</v>
      </c>
    </row>
    <row r="640" spans="1:7" ht="25.9" customHeight="1">
      <c r="A640" s="1755">
        <v>637</v>
      </c>
      <c r="B640" s="1756" t="s">
        <v>1778</v>
      </c>
      <c r="C640" s="1756" t="s">
        <v>3902</v>
      </c>
      <c r="D640" s="1757" t="str">
        <f t="shared" si="11"/>
        <v>**** Cellulose (en vrac) ****</v>
      </c>
      <c r="E640" s="1746" t="s">
        <v>466</v>
      </c>
      <c r="F640" s="1747" t="s">
        <v>3869</v>
      </c>
    </row>
    <row r="641" spans="1:7" ht="25.9" customHeight="1">
      <c r="A641" s="1755">
        <v>638</v>
      </c>
      <c r="B641" s="1756" t="s">
        <v>1778</v>
      </c>
      <c r="C641" s="1756" t="s">
        <v>3903</v>
      </c>
      <c r="D641" s="1757" t="str">
        <f t="shared" si="11"/>
        <v>**** Panneaux composites (multicouches) ****</v>
      </c>
      <c r="E641" s="1746" t="s">
        <v>467</v>
      </c>
      <c r="F641" s="1747" t="s">
        <v>3870</v>
      </c>
    </row>
    <row r="642" spans="1:7" ht="25.9" customHeight="1">
      <c r="A642" s="1755">
        <v>639</v>
      </c>
      <c r="B642" s="1756" t="s">
        <v>1778</v>
      </c>
      <c r="C642" s="1756" t="s">
        <v>3904</v>
      </c>
      <c r="D642" s="1757" t="str">
        <f t="shared" si="11"/>
        <v>**** Panneaux isolants sous vide (VIP)****</v>
      </c>
      <c r="E642" s="1746" t="s">
        <v>646</v>
      </c>
      <c r="F642" s="1747" t="s">
        <v>3871</v>
      </c>
    </row>
    <row r="643" spans="1:7" ht="25.9" customHeight="1">
      <c r="A643" s="1755">
        <v>640</v>
      </c>
      <c r="B643" s="1756" t="s">
        <v>1778</v>
      </c>
      <c r="C643" s="1756" t="s">
        <v>3905</v>
      </c>
      <c r="D643" s="1757" t="str">
        <f t="shared" si="11"/>
        <v>**** Systèmes d'isolation thermique extérieure ****</v>
      </c>
      <c r="E643" s="1746" t="s">
        <v>647</v>
      </c>
      <c r="F643" s="1747" t="s">
        <v>3872</v>
      </c>
      <c r="G643" s="1781"/>
    </row>
    <row r="644" spans="1:7" ht="25.9" customHeight="1">
      <c r="A644" s="1755">
        <v>641</v>
      </c>
      <c r="B644" s="1756" t="s">
        <v>2447</v>
      </c>
      <c r="C644" s="1756" t="s">
        <v>2473</v>
      </c>
      <c r="D644" s="1757" t="str">
        <f t="shared" ref="D644:D707" si="12">INDEX($E$4:$G$809,$A644,$A$1)</f>
        <v>Minergie (avec facteur de correction pour la hauteur des locaux)</v>
      </c>
      <c r="E644" s="1746" t="s">
        <v>3906</v>
      </c>
      <c r="F644" s="1747" t="s">
        <v>3908</v>
      </c>
    </row>
    <row r="645" spans="1:7" ht="25.9" customHeight="1">
      <c r="A645" s="1755">
        <v>642</v>
      </c>
      <c r="B645" s="1756" t="s">
        <v>2447</v>
      </c>
      <c r="C645" s="1756" t="s">
        <v>2473</v>
      </c>
      <c r="D645" s="1757" t="str">
        <f t="shared" si="12"/>
        <v>Minergie</v>
      </c>
      <c r="E645" s="1746" t="s">
        <v>3907</v>
      </c>
      <c r="F645" s="1747" t="s">
        <v>3907</v>
      </c>
      <c r="G645" s="1781"/>
    </row>
    <row r="646" spans="1:7" ht="25.9" customHeight="1">
      <c r="A646" s="1755">
        <v>643</v>
      </c>
      <c r="B646" s="1756" t="s">
        <v>2447</v>
      </c>
      <c r="C646" s="1756" t="s">
        <v>2478</v>
      </c>
      <c r="D646" s="1757" t="str">
        <f t="shared" si="12"/>
        <v xml:space="preserve">Débit d'air neuf thermiquement significatif </v>
      </c>
      <c r="E646" s="1746" t="s">
        <v>1622</v>
      </c>
      <c r="F646" s="1747" t="s">
        <v>3909</v>
      </c>
    </row>
    <row r="647" spans="1:7" ht="25.9" customHeight="1">
      <c r="A647" s="1755">
        <v>644</v>
      </c>
      <c r="B647" s="1756" t="s">
        <v>2447</v>
      </c>
      <c r="C647" s="1756" t="s">
        <v>2513</v>
      </c>
      <c r="D647" s="1757" t="str">
        <f t="shared" si="12"/>
        <v>Surface de référence énergétique SRE:</v>
      </c>
      <c r="E647" s="1746" t="s">
        <v>78</v>
      </c>
      <c r="F647" s="1747" t="s">
        <v>3910</v>
      </c>
    </row>
    <row r="648" spans="1:7" ht="25.9" customHeight="1">
      <c r="A648" s="1755">
        <v>645</v>
      </c>
      <c r="B648" s="1756" t="s">
        <v>2447</v>
      </c>
      <c r="C648" s="1756" t="s">
        <v>3896</v>
      </c>
      <c r="D648" s="1757" t="str">
        <f t="shared" si="12"/>
        <v>Catégorie</v>
      </c>
      <c r="E648" s="1746" t="s">
        <v>3911</v>
      </c>
      <c r="F648" s="1747" t="s">
        <v>3912</v>
      </c>
    </row>
    <row r="649" spans="1:7" ht="25.9" customHeight="1">
      <c r="A649" s="1755">
        <v>646</v>
      </c>
      <c r="B649" s="1756" t="s">
        <v>2447</v>
      </c>
      <c r="C649" s="1756" t="s">
        <v>3914</v>
      </c>
      <c r="D649" s="1757" t="str">
        <f t="shared" si="12"/>
        <v>Station météorologique:</v>
      </c>
      <c r="E649" s="1746" t="s">
        <v>3913</v>
      </c>
      <c r="F649" s="1747" t="s">
        <v>2656</v>
      </c>
    </row>
    <row r="650" spans="1:7" ht="25.9" customHeight="1">
      <c r="A650" s="1755">
        <v>647</v>
      </c>
      <c r="B650" s="1756" t="s">
        <v>3303</v>
      </c>
      <c r="C650" s="1756" t="s">
        <v>3902</v>
      </c>
      <c r="D650" s="1757" t="str">
        <f t="shared" si="12"/>
        <v>Besoins de chaleur  Qh,korr:</v>
      </c>
      <c r="E650" s="1746" t="s">
        <v>1985</v>
      </c>
      <c r="F650" s="1747" t="s">
        <v>3917</v>
      </c>
    </row>
    <row r="651" spans="1:7" ht="25.9" customHeight="1">
      <c r="A651" s="1755">
        <v>648</v>
      </c>
      <c r="B651" s="1756" t="s">
        <v>3348</v>
      </c>
      <c r="C651" s="1756" t="s">
        <v>2441</v>
      </c>
      <c r="D651" s="1757" t="str">
        <f t="shared" si="12"/>
        <v xml:space="preserve">                     Energie grise [MJ/m2]  = </v>
      </c>
      <c r="E651" s="1746" t="s">
        <v>3918</v>
      </c>
      <c r="F651" s="1747" t="s">
        <v>3919</v>
      </c>
    </row>
    <row r="652" spans="1:7" ht="25.9" customHeight="1">
      <c r="A652" s="1755">
        <v>649</v>
      </c>
      <c r="B652" s="1756" t="s">
        <v>3348</v>
      </c>
      <c r="C652" s="1756" t="s">
        <v>2441</v>
      </c>
      <c r="D652" s="1757" t="str">
        <f t="shared" si="12"/>
        <v>contrôlez condensation GK=</v>
      </c>
      <c r="E652" s="1746" t="s">
        <v>3921</v>
      </c>
      <c r="F652" s="1747" t="s">
        <v>3920</v>
      </c>
    </row>
    <row r="653" spans="1:7" ht="25.9" customHeight="1">
      <c r="A653" s="1755">
        <v>650</v>
      </c>
      <c r="B653" s="1756" t="s">
        <v>2726</v>
      </c>
      <c r="C653" s="1756" t="s">
        <v>3923</v>
      </c>
      <c r="D653" s="1757" t="str">
        <f t="shared" si="12"/>
        <v>Expos.</v>
      </c>
      <c r="E653" s="1746" t="s">
        <v>3922</v>
      </c>
      <c r="F653" s="1747" t="s">
        <v>3922</v>
      </c>
    </row>
    <row r="654" spans="1:7" ht="25.9" customHeight="1">
      <c r="A654" s="1755">
        <v>651</v>
      </c>
      <c r="B654" s="1756" t="s">
        <v>1778</v>
      </c>
      <c r="C654" s="1756" t="s">
        <v>3479</v>
      </c>
      <c r="D654" s="1757" t="str">
        <f t="shared" si="12"/>
        <v>Châssis 20% de la fenêtre</v>
      </c>
      <c r="E654" s="1746" t="s">
        <v>187</v>
      </c>
      <c r="F654" s="1747" t="s">
        <v>3478</v>
      </c>
    </row>
    <row r="655" spans="1:7" ht="25.9" customHeight="1">
      <c r="A655" s="1755">
        <v>652</v>
      </c>
      <c r="B655" s="1756" t="s">
        <v>1778</v>
      </c>
      <c r="C655" s="1756" t="s">
        <v>3931</v>
      </c>
      <c r="D655" s="1757" t="str">
        <f t="shared" si="12"/>
        <v>Remplissage</v>
      </c>
      <c r="E655" s="1746" t="s">
        <v>984</v>
      </c>
      <c r="F655" s="1747" t="s">
        <v>3929</v>
      </c>
    </row>
    <row r="656" spans="1:7" ht="25.9" customHeight="1">
      <c r="A656" s="1755">
        <v>653</v>
      </c>
      <c r="B656" s="1756" t="s">
        <v>1778</v>
      </c>
      <c r="C656" s="1756" t="s">
        <v>3930</v>
      </c>
      <c r="D656" s="1757" t="str">
        <f t="shared" si="12"/>
        <v>Valeur U</v>
      </c>
      <c r="E656" s="1746" t="s">
        <v>696</v>
      </c>
      <c r="F656" s="1747" t="s">
        <v>2767</v>
      </c>
    </row>
    <row r="657" spans="1:6" ht="25.9" customHeight="1">
      <c r="A657" s="1755">
        <v>654</v>
      </c>
      <c r="B657" s="1756" t="s">
        <v>2483</v>
      </c>
      <c r="C657" s="1756" t="s">
        <v>3945</v>
      </c>
      <c r="D657" s="1757" t="str">
        <f t="shared" si="12"/>
        <v>3. Eléments d'enveloppe</v>
      </c>
      <c r="E657" s="1746" t="s">
        <v>3926</v>
      </c>
      <c r="F657" s="1747" t="s">
        <v>3944</v>
      </c>
    </row>
    <row r="658" spans="1:6" ht="25.9" customHeight="1">
      <c r="A658" s="1755">
        <v>655</v>
      </c>
      <c r="B658" s="1756" t="s">
        <v>2483</v>
      </c>
      <c r="C658" s="1756" t="s">
        <v>3946</v>
      </c>
      <c r="D658" s="1757" t="str">
        <f t="shared" si="12"/>
        <v>voir pages 'Projekt', 'Bau', 'UWert'</v>
      </c>
      <c r="E658" s="1746" t="s">
        <v>3947</v>
      </c>
      <c r="F658" s="1747" t="s">
        <v>3948</v>
      </c>
    </row>
    <row r="659" spans="1:6" ht="25.9" customHeight="1">
      <c r="A659" s="1755">
        <v>656</v>
      </c>
      <c r="B659" s="1756" t="s">
        <v>2483</v>
      </c>
      <c r="C659" s="1756" t="s">
        <v>3949</v>
      </c>
      <c r="D659" s="1757" t="str">
        <f t="shared" si="12"/>
        <v>4. Données d'entrée spéciales</v>
      </c>
      <c r="E659" s="1746" t="s">
        <v>3927</v>
      </c>
      <c r="F659" s="1747" t="s">
        <v>3950</v>
      </c>
    </row>
    <row r="660" spans="1:6" ht="25.9" customHeight="1">
      <c r="A660" s="1755">
        <v>657</v>
      </c>
      <c r="B660" s="1756" t="s">
        <v>2483</v>
      </c>
      <c r="C660" s="1756" t="s">
        <v>3951</v>
      </c>
      <c r="D660" s="1757" t="str">
        <f t="shared" si="12"/>
        <v>zone thermique</v>
      </c>
      <c r="E660" s="1746" t="s">
        <v>672</v>
      </c>
      <c r="F660" s="1747" t="s">
        <v>2965</v>
      </c>
    </row>
    <row r="661" spans="1:6" ht="25.9" customHeight="1">
      <c r="A661" s="1755">
        <v>658</v>
      </c>
      <c r="B661" s="1756" t="s">
        <v>2483</v>
      </c>
      <c r="C661" s="1756" t="s">
        <v>3952</v>
      </c>
      <c r="D661" s="1757" t="str">
        <f t="shared" si="12"/>
        <v>capacité ther-
mique rapportée à la SRE</v>
      </c>
      <c r="E661" s="1746" t="s">
        <v>3936</v>
      </c>
      <c r="F661" s="1747" t="s">
        <v>3953</v>
      </c>
    </row>
    <row r="662" spans="1:6" ht="25.9" customHeight="1">
      <c r="A662" s="1755">
        <v>659</v>
      </c>
      <c r="B662" s="1756" t="s">
        <v>2483</v>
      </c>
      <c r="C662" s="1756" t="s">
        <v>3956</v>
      </c>
      <c r="D662" s="1757" t="str">
        <f t="shared" si="12"/>
        <v xml:space="preserve">supplément pour régulation </v>
      </c>
      <c r="E662" s="1746" t="s">
        <v>3938</v>
      </c>
      <c r="F662" s="1747" t="s">
        <v>3955</v>
      </c>
    </row>
    <row r="663" spans="1:6" ht="25.9" customHeight="1">
      <c r="A663" s="1755">
        <v>660</v>
      </c>
      <c r="B663" s="1756" t="s">
        <v>2483</v>
      </c>
      <c r="C663" s="1756" t="s">
        <v>3957</v>
      </c>
      <c r="D663" s="1757" t="str">
        <f t="shared" si="12"/>
        <v>température de départ max pour le chauffage intégré</v>
      </c>
      <c r="E663" s="1746" t="s">
        <v>3939</v>
      </c>
      <c r="F663" s="1747" t="s">
        <v>3958</v>
      </c>
    </row>
    <row r="664" spans="1:6" ht="39" customHeight="1">
      <c r="A664" s="1755">
        <v>661</v>
      </c>
      <c r="B664" s="1756" t="s">
        <v>2483</v>
      </c>
      <c r="C664" s="1756" t="s">
        <v>3960</v>
      </c>
      <c r="D664" s="1757" t="str">
        <f t="shared" si="12"/>
        <v>temp. max pour corps de chauffe devant fenêtres</v>
      </c>
      <c r="E664" s="1746" t="s">
        <v>3961</v>
      </c>
      <c r="F664" s="1747" t="s">
        <v>3962</v>
      </c>
    </row>
    <row r="665" spans="1:6" ht="25.9" customHeight="1">
      <c r="A665" s="1755">
        <v>662</v>
      </c>
      <c r="B665" s="1756" t="s">
        <v>2483</v>
      </c>
      <c r="C665" s="1756" t="s">
        <v>3964</v>
      </c>
      <c r="D665" s="1757" t="str">
        <f t="shared" si="12"/>
        <v>débit d’air neuf thermiquement actif</v>
      </c>
      <c r="E665" s="1746" t="s">
        <v>3937</v>
      </c>
      <c r="F665" s="1747" t="s">
        <v>3963</v>
      </c>
    </row>
    <row r="666" spans="1:6" ht="25.9" customHeight="1">
      <c r="A666" s="1755">
        <v>663</v>
      </c>
      <c r="B666" s="1756" t="s">
        <v>2483</v>
      </c>
      <c r="C666" s="1756" t="s">
        <v>3966</v>
      </c>
      <c r="D666" s="1757" t="str">
        <f t="shared" si="12"/>
        <v>5. Bilan thermique</v>
      </c>
      <c r="E666" s="1746" t="s">
        <v>3928</v>
      </c>
      <c r="F666" s="1747" t="s">
        <v>3965</v>
      </c>
    </row>
    <row r="667" spans="1:6" ht="25.9" customHeight="1">
      <c r="A667" s="1755">
        <v>664</v>
      </c>
      <c r="B667" s="1756" t="s">
        <v>2483</v>
      </c>
      <c r="C667" s="1756" t="s">
        <v>3968</v>
      </c>
      <c r="D667" s="1757" t="str">
        <f t="shared" si="12"/>
        <v>6. Bilan thermique avec débit d’air neuf thermiquement actif</v>
      </c>
      <c r="E667" s="1746" t="s">
        <v>3932</v>
      </c>
      <c r="F667" s="1747" t="s">
        <v>3967</v>
      </c>
    </row>
    <row r="668" spans="1:6" ht="25.9" customHeight="1">
      <c r="A668" s="1755">
        <v>665</v>
      </c>
      <c r="B668" s="1756" t="s">
        <v>2483</v>
      </c>
      <c r="C668" s="1756" t="s">
        <v>3970</v>
      </c>
      <c r="D668" s="1757" t="str">
        <f t="shared" si="12"/>
        <v>7. Puissance de chauffage spécifique</v>
      </c>
      <c r="E668" s="1746" t="s">
        <v>3942</v>
      </c>
      <c r="F668" s="1747" t="s">
        <v>3969</v>
      </c>
    </row>
    <row r="669" spans="1:6" ht="25.9" customHeight="1">
      <c r="A669" s="1755">
        <v>666</v>
      </c>
      <c r="B669" s="1756" t="s">
        <v>901</v>
      </c>
      <c r="C669" s="1756" t="s">
        <v>2473</v>
      </c>
      <c r="D669" s="1757" t="str">
        <f t="shared" si="12"/>
        <v>Renouvellement de l'air QVeff:</v>
      </c>
      <c r="E669" s="1746" t="s">
        <v>3986</v>
      </c>
      <c r="F669" s="1747" t="s">
        <v>3987</v>
      </c>
    </row>
    <row r="670" spans="1:6" ht="25.9" customHeight="1">
      <c r="A670" s="1755">
        <v>667</v>
      </c>
      <c r="B670" s="1756" t="s">
        <v>2726</v>
      </c>
      <c r="C670" s="1756" t="s">
        <v>3993</v>
      </c>
      <c r="D670" s="1757" t="str">
        <f t="shared" si="12"/>
        <v>toit contre la terre</v>
      </c>
      <c r="E670" s="1746" t="s">
        <v>3991</v>
      </c>
      <c r="F670" s="1747" t="s">
        <v>3992</v>
      </c>
    </row>
    <row r="671" spans="1:6" ht="25.9" customHeight="1">
      <c r="A671" s="1755">
        <v>668</v>
      </c>
      <c r="B671" s="1756" t="s">
        <v>3180</v>
      </c>
      <c r="C671" s="1756" t="s">
        <v>3998</v>
      </c>
      <c r="D671" s="1757" t="str">
        <f t="shared" si="12"/>
        <v>Puissance [kW]</v>
      </c>
      <c r="E671" s="1746" t="s">
        <v>3994</v>
      </c>
      <c r="F671" s="1747" t="s">
        <v>3997</v>
      </c>
    </row>
    <row r="672" spans="1:6" ht="25.9" customHeight="1">
      <c r="A672" s="1755">
        <v>669</v>
      </c>
      <c r="B672" s="1756" t="s">
        <v>3180</v>
      </c>
      <c r="C672" s="1756" t="s">
        <v>4001</v>
      </c>
      <c r="D672" s="1757" t="str">
        <f t="shared" si="12"/>
        <v>Ti</v>
      </c>
      <c r="E672" s="1759" t="s">
        <v>3999</v>
      </c>
      <c r="F672" s="1747" t="s">
        <v>4000</v>
      </c>
    </row>
    <row r="673" spans="1:7" ht="25.9" customHeight="1">
      <c r="A673" s="1755">
        <v>670</v>
      </c>
      <c r="B673" s="1756" t="s">
        <v>3180</v>
      </c>
      <c r="C673" s="1756" t="s">
        <v>4003</v>
      </c>
      <c r="D673" s="1757" t="str">
        <f t="shared" si="12"/>
        <v>Justif.</v>
      </c>
      <c r="E673" s="1746" t="s">
        <v>3995</v>
      </c>
      <c r="F673" s="1747" t="s">
        <v>4002</v>
      </c>
      <c r="G673" s="1781"/>
    </row>
    <row r="674" spans="1:7" ht="25.9" customHeight="1">
      <c r="A674" s="1755">
        <v>671</v>
      </c>
      <c r="B674" s="1756" t="s">
        <v>2726</v>
      </c>
      <c r="C674" s="1756" t="s">
        <v>4025</v>
      </c>
      <c r="D674" s="1757" t="str">
        <f t="shared" si="12"/>
        <v>SSE</v>
      </c>
      <c r="E674" s="1746" t="s">
        <v>4008</v>
      </c>
      <c r="F674" s="1747" t="s">
        <v>4008</v>
      </c>
      <c r="G674" s="1781"/>
    </row>
    <row r="675" spans="1:7" ht="25.9" customHeight="1">
      <c r="A675" s="1755">
        <v>672</v>
      </c>
      <c r="B675" s="1756" t="s">
        <v>2726</v>
      </c>
      <c r="C675" s="1756" t="s">
        <v>4025</v>
      </c>
      <c r="D675" s="1757" t="str">
        <f t="shared" si="12"/>
        <v>SSO</v>
      </c>
      <c r="E675" s="1746" t="s">
        <v>4009</v>
      </c>
      <c r="F675" s="1747" t="s">
        <v>4016</v>
      </c>
    </row>
    <row r="676" spans="1:7" ht="25.9" customHeight="1">
      <c r="A676" s="1755">
        <v>673</v>
      </c>
      <c r="B676" s="1756" t="s">
        <v>2726</v>
      </c>
      <c r="C676" s="1756" t="s">
        <v>4023</v>
      </c>
      <c r="D676" s="1757" t="str">
        <f t="shared" si="12"/>
        <v>NNE</v>
      </c>
      <c r="E676" s="1746" t="s">
        <v>4010</v>
      </c>
      <c r="F676" s="1747" t="s">
        <v>4010</v>
      </c>
    </row>
    <row r="677" spans="1:7" ht="25.9" customHeight="1">
      <c r="A677" s="1755">
        <v>674</v>
      </c>
      <c r="B677" s="1756" t="s">
        <v>2726</v>
      </c>
      <c r="C677" s="1756" t="s">
        <v>4023</v>
      </c>
      <c r="D677" s="1757" t="str">
        <f t="shared" si="12"/>
        <v>NNO</v>
      </c>
      <c r="E677" s="1746" t="s">
        <v>4011</v>
      </c>
      <c r="F677" s="1747" t="s">
        <v>4017</v>
      </c>
    </row>
    <row r="678" spans="1:7" ht="25.9" customHeight="1">
      <c r="A678" s="1755">
        <v>675</v>
      </c>
      <c r="B678" s="1756" t="s">
        <v>2726</v>
      </c>
      <c r="C678" s="1756" t="s">
        <v>4024</v>
      </c>
      <c r="D678" s="1757" t="str">
        <f t="shared" si="12"/>
        <v>OSO</v>
      </c>
      <c r="E678" s="1746" t="s">
        <v>4013</v>
      </c>
      <c r="F678" s="1747" t="s">
        <v>4018</v>
      </c>
    </row>
    <row r="679" spans="1:7" ht="25.9" customHeight="1">
      <c r="A679" s="1755">
        <v>676</v>
      </c>
      <c r="B679" s="1756" t="s">
        <v>2726</v>
      </c>
      <c r="C679" s="1756" t="s">
        <v>4024</v>
      </c>
      <c r="D679" s="1757" t="str">
        <f t="shared" si="12"/>
        <v>ONO</v>
      </c>
      <c r="E679" s="1746" t="s">
        <v>4014</v>
      </c>
      <c r="F679" s="1747" t="s">
        <v>4019</v>
      </c>
    </row>
    <row r="680" spans="1:7" ht="25.9" customHeight="1">
      <c r="A680" s="1755">
        <v>677</v>
      </c>
      <c r="B680" s="1756" t="s">
        <v>2726</v>
      </c>
      <c r="C680" s="1756" t="s">
        <v>4022</v>
      </c>
      <c r="D680" s="1757" t="str">
        <f t="shared" si="12"/>
        <v>ESE</v>
      </c>
      <c r="E680" s="1746" t="s">
        <v>4012</v>
      </c>
      <c r="F680" s="1747" t="s">
        <v>4012</v>
      </c>
    </row>
    <row r="681" spans="1:7" ht="25.9" customHeight="1">
      <c r="A681" s="1755">
        <v>678</v>
      </c>
      <c r="B681" s="1756" t="s">
        <v>2726</v>
      </c>
      <c r="C681" s="1756" t="s">
        <v>4022</v>
      </c>
      <c r="D681" s="1757" t="str">
        <f t="shared" si="12"/>
        <v>ENE</v>
      </c>
      <c r="E681" s="1746" t="s">
        <v>4015</v>
      </c>
      <c r="F681" s="1747" t="s">
        <v>4015</v>
      </c>
    </row>
    <row r="682" spans="1:7" ht="25.9" customHeight="1">
      <c r="A682" s="1755">
        <v>679</v>
      </c>
      <c r="B682" s="1756" t="s">
        <v>3180</v>
      </c>
      <c r="C682" s="1756" t="s">
        <v>4026</v>
      </c>
      <c r="D682" s="1757" t="str">
        <f t="shared" si="12"/>
        <v xml:space="preserve">Apports solaires </v>
      </c>
      <c r="E682" s="1746" t="s">
        <v>4027</v>
      </c>
      <c r="F682" s="1747" t="s">
        <v>4028</v>
      </c>
    </row>
    <row r="683" spans="1:7" ht="25.9" customHeight="1">
      <c r="A683" s="1755">
        <v>680</v>
      </c>
      <c r="B683" s="1756" t="s">
        <v>4063</v>
      </c>
      <c r="D683" s="1757" t="str">
        <f t="shared" si="12"/>
        <v>total</v>
      </c>
      <c r="E683" s="1746" t="s">
        <v>4053</v>
      </c>
      <c r="F683" s="1747" t="s">
        <v>2985</v>
      </c>
    </row>
    <row r="684" spans="1:7" ht="25.9" customHeight="1">
      <c r="A684" s="1755">
        <v>681</v>
      </c>
      <c r="B684" s="1756" t="s">
        <v>3348</v>
      </c>
      <c r="C684" s="1756" t="s">
        <v>3181</v>
      </c>
      <c r="D684" s="1757" t="str">
        <f t="shared" si="12"/>
        <v>page 7 de 10</v>
      </c>
      <c r="E684" s="1746" t="s">
        <v>4059</v>
      </c>
      <c r="F684" s="1747" t="s">
        <v>4057</v>
      </c>
    </row>
    <row r="685" spans="1:7" ht="25.9" customHeight="1">
      <c r="A685" s="1755">
        <v>682</v>
      </c>
      <c r="D685" s="1757" t="str">
        <f t="shared" si="12"/>
        <v>page 8 de 10</v>
      </c>
      <c r="E685" s="1746" t="s">
        <v>4060</v>
      </c>
      <c r="F685" s="1747" t="s">
        <v>4058</v>
      </c>
    </row>
    <row r="686" spans="1:7" ht="25.9" customHeight="1">
      <c r="A686" s="1755">
        <v>683</v>
      </c>
      <c r="B686" s="1756" t="s">
        <v>901</v>
      </c>
      <c r="C686" s="1756" t="s">
        <v>3181</v>
      </c>
      <c r="D686" s="1757" t="str">
        <f t="shared" si="12"/>
        <v>page 9 de 10</v>
      </c>
      <c r="E686" s="1746" t="s">
        <v>4061</v>
      </c>
      <c r="F686" s="1747" t="s">
        <v>4065</v>
      </c>
    </row>
    <row r="687" spans="1:7" ht="25.9" customHeight="1">
      <c r="A687" s="1755">
        <v>684</v>
      </c>
      <c r="B687" s="1756" t="s">
        <v>4063</v>
      </c>
      <c r="C687" s="1756" t="s">
        <v>4064</v>
      </c>
      <c r="D687" s="1757" t="str">
        <f t="shared" si="12"/>
        <v>page 10 de 10</v>
      </c>
      <c r="E687" s="1746" t="s">
        <v>4062</v>
      </c>
      <c r="F687" s="1747" t="s">
        <v>4056</v>
      </c>
    </row>
    <row r="688" spans="1:7" ht="25.9" customHeight="1">
      <c r="A688" s="1755">
        <v>685</v>
      </c>
      <c r="B688" s="1756" t="s">
        <v>4063</v>
      </c>
      <c r="C688" s="1756" t="s">
        <v>2464</v>
      </c>
      <c r="D688" s="1757" t="str">
        <f t="shared" si="12"/>
        <v>Capacité thermique</v>
      </c>
      <c r="E688" s="1746" t="s">
        <v>1380</v>
      </c>
      <c r="F688" s="1747" t="s">
        <v>4081</v>
      </c>
    </row>
    <row r="689" spans="1:6" ht="25.9" customHeight="1">
      <c r="A689" s="1755">
        <v>686</v>
      </c>
      <c r="B689" s="1756" t="s">
        <v>4063</v>
      </c>
      <c r="C689" s="1756" t="s">
        <v>2509</v>
      </c>
      <c r="D689" s="1757" t="str">
        <f t="shared" si="12"/>
        <v xml:space="preserve">supplément pour régulation </v>
      </c>
      <c r="E689" s="1746" t="s">
        <v>380</v>
      </c>
      <c r="F689" s="1747" t="s">
        <v>3955</v>
      </c>
    </row>
    <row r="690" spans="1:6" ht="25.9" customHeight="1">
      <c r="A690" s="1755">
        <v>687</v>
      </c>
      <c r="B690" s="1756" t="s">
        <v>4063</v>
      </c>
      <c r="C690" s="1756" t="s">
        <v>2463</v>
      </c>
      <c r="D690" s="1757" t="str">
        <f t="shared" si="12"/>
        <v>Chauffage intégré, max.</v>
      </c>
      <c r="E690" s="1746" t="s">
        <v>4083</v>
      </c>
      <c r="F690" s="1747" t="s">
        <v>4084</v>
      </c>
    </row>
    <row r="691" spans="1:6" ht="25.9" customHeight="1">
      <c r="A691" s="1755">
        <v>688</v>
      </c>
      <c r="B691" s="1756" t="s">
        <v>4063</v>
      </c>
      <c r="C691" s="1756" t="s">
        <v>2470</v>
      </c>
      <c r="D691" s="1757" t="str">
        <f t="shared" si="12"/>
        <v>corps de chauffe devant fenêtres</v>
      </c>
      <c r="E691" s="1746" t="s">
        <v>4085</v>
      </c>
      <c r="F691" s="1747" t="s">
        <v>4086</v>
      </c>
    </row>
    <row r="692" spans="1:6" ht="25.9" customHeight="1">
      <c r="A692" s="1755">
        <v>689</v>
      </c>
      <c r="B692" s="1756" t="s">
        <v>4063</v>
      </c>
      <c r="C692" s="1756" t="s">
        <v>2484</v>
      </c>
      <c r="D692" s="1757" t="str">
        <f t="shared" si="12"/>
        <v>Nouvelle construction / Transformation</v>
      </c>
      <c r="E692" s="1746" t="s">
        <v>4033</v>
      </c>
      <c r="F692" s="1747" t="s">
        <v>4087</v>
      </c>
    </row>
    <row r="693" spans="1:6" ht="25.9" customHeight="1">
      <c r="A693" s="1755">
        <v>690</v>
      </c>
      <c r="B693" s="1756" t="s">
        <v>4063</v>
      </c>
      <c r="C693" s="1756" t="s">
        <v>3210</v>
      </c>
      <c r="D693" s="1757" t="str">
        <f t="shared" si="12"/>
        <v>Total</v>
      </c>
      <c r="E693" s="1746" t="s">
        <v>4035</v>
      </c>
      <c r="F693" s="1747" t="s">
        <v>750</v>
      </c>
    </row>
    <row r="694" spans="1:6" ht="25.9" customHeight="1">
      <c r="A694" s="1755">
        <v>691</v>
      </c>
      <c r="B694" s="1756" t="s">
        <v>4063</v>
      </c>
      <c r="C694" s="1756" t="s">
        <v>3203</v>
      </c>
      <c r="D694" s="1757" t="str">
        <f t="shared" si="12"/>
        <v>Zone 1</v>
      </c>
      <c r="E694" s="1746" t="s">
        <v>4029</v>
      </c>
      <c r="F694" s="1747" t="s">
        <v>4029</v>
      </c>
    </row>
    <row r="695" spans="1:6" ht="25.9" customHeight="1">
      <c r="A695" s="1755">
        <v>692</v>
      </c>
      <c r="B695" s="1756" t="s">
        <v>4063</v>
      </c>
      <c r="C695" s="1756" t="s">
        <v>3205</v>
      </c>
      <c r="D695" s="1757" t="str">
        <f t="shared" si="12"/>
        <v>Zone 2</v>
      </c>
      <c r="E695" s="1746" t="s">
        <v>4030</v>
      </c>
      <c r="F695" s="1747" t="s">
        <v>4030</v>
      </c>
    </row>
    <row r="696" spans="1:6" ht="25.9" customHeight="1">
      <c r="A696" s="1755">
        <v>693</v>
      </c>
      <c r="B696" s="1756" t="s">
        <v>4063</v>
      </c>
      <c r="C696" s="1756" t="s">
        <v>2748</v>
      </c>
      <c r="D696" s="1757" t="str">
        <f t="shared" si="12"/>
        <v>Zone 3</v>
      </c>
      <c r="E696" s="1746" t="s">
        <v>4031</v>
      </c>
      <c r="F696" s="1747" t="s">
        <v>4031</v>
      </c>
    </row>
    <row r="697" spans="1:6" ht="25.9" customHeight="1">
      <c r="A697" s="1755">
        <v>694</v>
      </c>
      <c r="B697" s="1756" t="s">
        <v>4063</v>
      </c>
      <c r="C697" s="1756" t="s">
        <v>3208</v>
      </c>
      <c r="D697" s="1757" t="str">
        <f t="shared" si="12"/>
        <v>Zone 4</v>
      </c>
      <c r="E697" s="1746" t="s">
        <v>4032</v>
      </c>
      <c r="F697" s="1747" t="s">
        <v>4032</v>
      </c>
    </row>
    <row r="698" spans="1:6" ht="25.9" customHeight="1">
      <c r="A698" s="1755">
        <v>695</v>
      </c>
      <c r="B698" s="1756" t="s">
        <v>4063</v>
      </c>
      <c r="C698" s="1756" t="s">
        <v>4088</v>
      </c>
      <c r="D698" s="1757" t="str">
        <f t="shared" si="12"/>
        <v>Description:</v>
      </c>
      <c r="E698" s="1746" t="s">
        <v>4034</v>
      </c>
      <c r="F698" s="1747" t="s">
        <v>2677</v>
      </c>
    </row>
    <row r="699" spans="1:6" ht="25.9" customHeight="1">
      <c r="A699" s="1755">
        <v>696</v>
      </c>
      <c r="B699" s="1756" t="s">
        <v>2483</v>
      </c>
      <c r="C699" s="1756" t="s">
        <v>4097</v>
      </c>
      <c r="D699" s="1757" t="str">
        <f t="shared" si="12"/>
        <v>Nouvelle construction / Transformation</v>
      </c>
      <c r="E699" s="1746" t="s">
        <v>4093</v>
      </c>
      <c r="F699" s="1747" t="s">
        <v>4087</v>
      </c>
    </row>
    <row r="700" spans="1:6" ht="25.9" customHeight="1">
      <c r="A700" s="1755">
        <v>697</v>
      </c>
      <c r="B700" s="1756" t="s">
        <v>4063</v>
      </c>
      <c r="C700" s="1756" t="s">
        <v>2466</v>
      </c>
      <c r="D700" s="1757" t="str">
        <f t="shared" si="12"/>
        <v>Régulation</v>
      </c>
      <c r="E700" s="1746" t="s">
        <v>4096</v>
      </c>
      <c r="F700" s="1747" t="s">
        <v>4098</v>
      </c>
    </row>
    <row r="701" spans="1:6" ht="25.9" customHeight="1">
      <c r="A701" s="1755">
        <v>698</v>
      </c>
      <c r="B701" s="1756" t="s">
        <v>2483</v>
      </c>
      <c r="C701" s="1756" t="s">
        <v>4101</v>
      </c>
      <c r="D701" s="1757" t="str">
        <f t="shared" si="12"/>
        <v>Différent par zone</v>
      </c>
      <c r="E701" s="1746" t="s">
        <v>4099</v>
      </c>
      <c r="F701" s="1747" t="s">
        <v>4100</v>
      </c>
    </row>
    <row r="702" spans="1:6" ht="25.9" customHeight="1">
      <c r="A702" s="1755">
        <v>699</v>
      </c>
      <c r="B702" s="1756" t="s">
        <v>4063</v>
      </c>
      <c r="C702" s="1756" t="s">
        <v>4105</v>
      </c>
      <c r="D702" s="1757" t="str">
        <f t="shared" si="12"/>
        <v>Entrée pour les différantes zones</v>
      </c>
      <c r="E702" s="1746" t="s">
        <v>4103</v>
      </c>
      <c r="F702" s="1747" t="s">
        <v>4104</v>
      </c>
    </row>
    <row r="703" spans="1:6" ht="25.9" customHeight="1">
      <c r="A703" s="1755">
        <v>700</v>
      </c>
      <c r="B703" s="1756" t="s">
        <v>1778</v>
      </c>
      <c r="C703" s="1756" t="s">
        <v>5588</v>
      </c>
      <c r="D703" s="1757" t="str">
        <f t="shared" si="12"/>
        <v>**** Fibres de bois en vrac ****</v>
      </c>
      <c r="E703" s="1746" t="s">
        <v>5586</v>
      </c>
      <c r="F703" s="1747" t="s">
        <v>5587</v>
      </c>
    </row>
    <row r="704" spans="1:6" ht="25.9" customHeight="1">
      <c r="A704" s="1755">
        <v>701</v>
      </c>
      <c r="B704" s="1756" t="s">
        <v>1778</v>
      </c>
      <c r="C704" s="1756" t="s">
        <v>5589</v>
      </c>
      <c r="D704" s="1757" t="str">
        <f t="shared" si="12"/>
        <v>**** Matériaux isolants végétale &amp; animale ****</v>
      </c>
      <c r="E704" s="1746" t="s">
        <v>5590</v>
      </c>
      <c r="F704" s="1747" t="s">
        <v>5591</v>
      </c>
    </row>
    <row r="705" spans="1:6" ht="25.9" customHeight="1">
      <c r="A705" s="1755">
        <v>702</v>
      </c>
      <c r="B705" s="1756" t="s">
        <v>1778</v>
      </c>
      <c r="C705" s="1756" t="s">
        <v>5594</v>
      </c>
      <c r="D705" s="1757" t="str">
        <f t="shared" si="12"/>
        <v>**** Béton cellulaire ****</v>
      </c>
      <c r="E705" s="1746" t="s">
        <v>5592</v>
      </c>
      <c r="F705" s="1747" t="s">
        <v>5593</v>
      </c>
    </row>
    <row r="706" spans="1:6" ht="25.9" customHeight="1">
      <c r="A706" s="1755">
        <v>703</v>
      </c>
      <c r="B706" s="1756" t="s">
        <v>1778</v>
      </c>
      <c r="C706" s="1756" t="s">
        <v>5597</v>
      </c>
      <c r="D706" s="1757" t="str">
        <f t="shared" si="12"/>
        <v>**** Panneaux en polystyrène, liées au ciment *****</v>
      </c>
      <c r="E706" s="1746" t="s">
        <v>5595</v>
      </c>
      <c r="F706" s="1747" t="s">
        <v>5596</v>
      </c>
    </row>
    <row r="707" spans="1:6" ht="25.9" customHeight="1">
      <c r="A707" s="1755">
        <v>704</v>
      </c>
      <c r="B707" s="1756" t="s">
        <v>1778</v>
      </c>
      <c r="C707" s="1756" t="s">
        <v>5600</v>
      </c>
      <c r="D707" s="1757" t="str">
        <f t="shared" si="12"/>
        <v>**** Produits d'isolation réfléchissants ****</v>
      </c>
      <c r="E707" s="1746" t="s">
        <v>5598</v>
      </c>
      <c r="F707" s="1747" t="s">
        <v>5599</v>
      </c>
    </row>
    <row r="708" spans="1:6" ht="25.9" customHeight="1">
      <c r="A708" s="1755">
        <v>705</v>
      </c>
      <c r="B708" s="1756" t="s">
        <v>1778</v>
      </c>
      <c r="C708" s="1756" t="s">
        <v>5603</v>
      </c>
      <c r="D708" s="1757" t="str">
        <f t="shared" ref="D708:D771" si="13">INDEX($E$4:$G$809,$A708,$A$1)</f>
        <v>**** Crépis et enduits isolants ****</v>
      </c>
      <c r="E708" s="1746" t="s">
        <v>5601</v>
      </c>
      <c r="F708" s="1747" t="s">
        <v>5602</v>
      </c>
    </row>
    <row r="709" spans="1:6" ht="25.9" customHeight="1">
      <c r="A709" s="1755">
        <v>706</v>
      </c>
      <c r="B709" s="1756" t="s">
        <v>1778</v>
      </c>
      <c r="C709" s="1756" t="s">
        <v>5606</v>
      </c>
      <c r="D709" s="1757" t="str">
        <f t="shared" si="13"/>
        <v>**** Isolants thermiques moussés in situ ****</v>
      </c>
      <c r="E709" s="1746" t="s">
        <v>5604</v>
      </c>
      <c r="F709" s="1747" t="s">
        <v>5605</v>
      </c>
    </row>
    <row r="710" spans="1:6" ht="25.9" customHeight="1">
      <c r="A710" s="1755">
        <v>707</v>
      </c>
      <c r="B710" s="1756" t="s">
        <v>696</v>
      </c>
      <c r="C710" s="1756" t="s">
        <v>5635</v>
      </c>
      <c r="D710" s="1757" t="str">
        <f t="shared" si="13"/>
        <v>Appellation générale:</v>
      </c>
      <c r="E710" s="1746" t="s">
        <v>1281</v>
      </c>
      <c r="F710" s="1747" t="s">
        <v>5639</v>
      </c>
    </row>
    <row r="711" spans="1:6" ht="25.9" customHeight="1">
      <c r="A711" s="1755">
        <v>708</v>
      </c>
      <c r="B711" s="1756" t="s">
        <v>696</v>
      </c>
      <c r="C711" s="1756" t="s">
        <v>5636</v>
      </c>
      <c r="D711" s="1757" t="str">
        <f t="shared" si="13"/>
        <v>Produits spécifiés par SIA 2001</v>
      </c>
      <c r="E711" s="1746" t="s">
        <v>2298</v>
      </c>
      <c r="F711" s="1747" t="s">
        <v>5640</v>
      </c>
    </row>
    <row r="712" spans="1:6" ht="25.9" customHeight="1">
      <c r="A712" s="1755">
        <v>709</v>
      </c>
      <c r="B712" s="1756" t="s">
        <v>696</v>
      </c>
      <c r="C712" s="1756" t="s">
        <v>5638</v>
      </c>
      <c r="D712" s="1757" t="str">
        <f t="shared" si="13"/>
        <v>Copier avec  &lt;Ctr&gt;&lt;C&gt; et &lt;Ctr&gt;&lt;V&gt; est possible !</v>
      </c>
      <c r="E712" s="1746" t="s">
        <v>2300</v>
      </c>
      <c r="F712" s="1747" t="s">
        <v>5637</v>
      </c>
    </row>
    <row r="713" spans="1:6" ht="25.9" customHeight="1">
      <c r="A713" s="1755">
        <v>710</v>
      </c>
      <c r="B713" s="1756" t="s">
        <v>2726</v>
      </c>
      <c r="C713" s="1756" t="s">
        <v>9188</v>
      </c>
      <c r="D713" s="1757" t="str">
        <f t="shared" si="13"/>
        <v>Profondeur dans terrain:</v>
      </c>
      <c r="E713" s="1759" t="s">
        <v>9187</v>
      </c>
      <c r="F713" s="1747" t="s">
        <v>9189</v>
      </c>
    </row>
    <row r="714" spans="1:6" ht="25.9" customHeight="1">
      <c r="A714" s="1755">
        <v>711</v>
      </c>
      <c r="B714" s="1756" t="s">
        <v>2726</v>
      </c>
      <c r="C714" s="1756" t="s">
        <v>9195</v>
      </c>
      <c r="D714" s="1757" t="str">
        <f t="shared" si="13"/>
        <v>en bilan</v>
      </c>
      <c r="E714" s="1759" t="s">
        <v>9193</v>
      </c>
      <c r="F714" s="1747" t="s">
        <v>9194</v>
      </c>
    </row>
    <row r="715" spans="1:6" ht="25.9" customHeight="1">
      <c r="A715" s="1755">
        <v>712</v>
      </c>
      <c r="B715" s="1756" t="s">
        <v>2726</v>
      </c>
      <c r="C715" s="1756" t="s">
        <v>9195</v>
      </c>
      <c r="D715" s="1757" t="str">
        <f t="shared" si="13"/>
        <v>Bilan:</v>
      </c>
      <c r="E715" s="1746" t="s">
        <v>9186</v>
      </c>
      <c r="F715" s="1747" t="s">
        <v>9192</v>
      </c>
    </row>
    <row r="716" spans="1:6" ht="25.9" customHeight="1">
      <c r="A716" s="1755">
        <v>713</v>
      </c>
      <c r="B716" s="1756" t="s">
        <v>2726</v>
      </c>
      <c r="C716" s="1756" t="s">
        <v>9196</v>
      </c>
      <c r="D716" s="1757" t="str">
        <f t="shared" si="13"/>
        <v>Profon.</v>
      </c>
      <c r="E716" s="1759" t="s">
        <v>9190</v>
      </c>
      <c r="F716" s="1747" t="s">
        <v>9191</v>
      </c>
    </row>
    <row r="717" spans="1:6" ht="25.9" customHeight="1">
      <c r="A717" s="1755">
        <v>714</v>
      </c>
      <c r="B717" s="1756" t="s">
        <v>1193</v>
      </c>
      <c r="C717" s="1756" t="s">
        <v>9367</v>
      </c>
      <c r="D717" s="1757" t="str">
        <f t="shared" si="13"/>
        <v>Inclus dans</v>
      </c>
      <c r="E717" s="1746" t="s">
        <v>9366</v>
      </c>
      <c r="F717" s="1747" t="s">
        <v>9368</v>
      </c>
    </row>
    <row r="718" spans="1:6" ht="25.9" customHeight="1">
      <c r="A718" s="1755">
        <v>715</v>
      </c>
      <c r="D718" s="1757">
        <f t="shared" si="13"/>
        <v>0</v>
      </c>
    </row>
    <row r="719" spans="1:6" ht="25.9" customHeight="1">
      <c r="A719" s="1755">
        <v>716</v>
      </c>
      <c r="D719" s="1757">
        <f t="shared" si="13"/>
        <v>0</v>
      </c>
    </row>
    <row r="720" spans="1:6" ht="25.9" customHeight="1">
      <c r="A720" s="1755">
        <v>717</v>
      </c>
      <c r="D720" s="1757">
        <f t="shared" si="13"/>
        <v>0</v>
      </c>
    </row>
    <row r="721" spans="1:7" ht="25.9" customHeight="1">
      <c r="A721" s="1755">
        <v>718</v>
      </c>
      <c r="D721" s="1757">
        <f t="shared" si="13"/>
        <v>0</v>
      </c>
    </row>
    <row r="722" spans="1:7" ht="25.9" customHeight="1">
      <c r="A722" s="1755">
        <v>719</v>
      </c>
      <c r="D722" s="1757">
        <f t="shared" si="13"/>
        <v>0</v>
      </c>
      <c r="E722" s="1759"/>
      <c r="G722" s="1781"/>
    </row>
    <row r="723" spans="1:7" ht="25.9" customHeight="1">
      <c r="A723" s="1755">
        <v>720</v>
      </c>
      <c r="D723" s="1757">
        <f t="shared" si="13"/>
        <v>0</v>
      </c>
    </row>
    <row r="724" spans="1:7" ht="25.9" customHeight="1">
      <c r="A724" s="1755">
        <v>721</v>
      </c>
      <c r="D724" s="1757">
        <f t="shared" si="13"/>
        <v>0</v>
      </c>
    </row>
    <row r="725" spans="1:7" ht="25.9" customHeight="1">
      <c r="A725" s="1755">
        <v>722</v>
      </c>
      <c r="D725" s="1757">
        <f t="shared" si="13"/>
        <v>0</v>
      </c>
    </row>
    <row r="726" spans="1:7" ht="25.9" customHeight="1">
      <c r="A726" s="1755">
        <v>723</v>
      </c>
      <c r="D726" s="1757">
        <f t="shared" si="13"/>
        <v>0</v>
      </c>
    </row>
    <row r="727" spans="1:7" ht="25.9" customHeight="1">
      <c r="A727" s="1755">
        <v>724</v>
      </c>
      <c r="D727" s="1757">
        <f t="shared" si="13"/>
        <v>0</v>
      </c>
    </row>
    <row r="728" spans="1:7" ht="25.9" customHeight="1">
      <c r="A728" s="1755">
        <v>725</v>
      </c>
      <c r="D728" s="1757">
        <f t="shared" si="13"/>
        <v>0</v>
      </c>
    </row>
    <row r="729" spans="1:7" ht="25.9" customHeight="1">
      <c r="A729" s="1755">
        <v>726</v>
      </c>
      <c r="D729" s="1757">
        <f t="shared" si="13"/>
        <v>0</v>
      </c>
    </row>
    <row r="730" spans="1:7" ht="25.9" customHeight="1">
      <c r="A730" s="1755">
        <v>727</v>
      </c>
      <c r="D730" s="1757">
        <f t="shared" si="13"/>
        <v>0</v>
      </c>
    </row>
    <row r="731" spans="1:7" ht="45" customHeight="1">
      <c r="A731" s="1755">
        <v>728</v>
      </c>
      <c r="D731" s="1757">
        <f t="shared" si="13"/>
        <v>0</v>
      </c>
    </row>
    <row r="732" spans="1:7" ht="42" customHeight="1">
      <c r="A732" s="1755">
        <v>729</v>
      </c>
      <c r="D732" s="1757">
        <f t="shared" si="13"/>
        <v>0</v>
      </c>
    </row>
    <row r="733" spans="1:7" ht="42.75" customHeight="1">
      <c r="A733" s="1755">
        <v>730</v>
      </c>
      <c r="D733" s="1757">
        <f t="shared" si="13"/>
        <v>0</v>
      </c>
    </row>
    <row r="734" spans="1:7" ht="45" customHeight="1">
      <c r="A734" s="1755">
        <v>731</v>
      </c>
      <c r="D734" s="1757">
        <f t="shared" si="13"/>
        <v>0</v>
      </c>
    </row>
    <row r="735" spans="1:7" ht="36" customHeight="1">
      <c r="A735" s="1755">
        <v>732</v>
      </c>
      <c r="D735" s="1757">
        <f t="shared" si="13"/>
        <v>0</v>
      </c>
    </row>
    <row r="736" spans="1:7" ht="25.9" customHeight="1">
      <c r="A736" s="1755">
        <v>733</v>
      </c>
      <c r="D736" s="1757">
        <f t="shared" si="13"/>
        <v>0</v>
      </c>
    </row>
    <row r="737" spans="1:4" ht="25.9" customHeight="1">
      <c r="A737" s="1755">
        <v>734</v>
      </c>
      <c r="D737" s="1757">
        <f t="shared" si="13"/>
        <v>0</v>
      </c>
    </row>
    <row r="738" spans="1:4" ht="25.9" customHeight="1">
      <c r="A738" s="1755">
        <v>735</v>
      </c>
      <c r="D738" s="1757">
        <f t="shared" si="13"/>
        <v>0</v>
      </c>
    </row>
    <row r="739" spans="1:4" ht="25.9" customHeight="1">
      <c r="A739" s="1755">
        <v>736</v>
      </c>
      <c r="D739" s="1757">
        <f t="shared" si="13"/>
        <v>0</v>
      </c>
    </row>
    <row r="740" spans="1:4" ht="25.9" customHeight="1">
      <c r="A740" s="1755">
        <v>737</v>
      </c>
      <c r="D740" s="1757">
        <f t="shared" si="13"/>
        <v>0</v>
      </c>
    </row>
    <row r="741" spans="1:4" ht="25.9" customHeight="1">
      <c r="A741" s="1755">
        <v>738</v>
      </c>
      <c r="D741" s="1757">
        <f t="shared" si="13"/>
        <v>0</v>
      </c>
    </row>
    <row r="742" spans="1:4" ht="25.9" customHeight="1">
      <c r="A742" s="1755">
        <v>739</v>
      </c>
      <c r="D742" s="1757">
        <f t="shared" si="13"/>
        <v>0</v>
      </c>
    </row>
    <row r="743" spans="1:4" ht="25.9" customHeight="1">
      <c r="A743" s="1755">
        <v>740</v>
      </c>
      <c r="D743" s="1757">
        <f t="shared" si="13"/>
        <v>0</v>
      </c>
    </row>
    <row r="744" spans="1:4" ht="25.9" customHeight="1">
      <c r="A744" s="1755">
        <v>741</v>
      </c>
      <c r="D744" s="1757">
        <f t="shared" si="13"/>
        <v>0</v>
      </c>
    </row>
    <row r="745" spans="1:4" ht="25.9" customHeight="1">
      <c r="A745" s="1755">
        <v>742</v>
      </c>
      <c r="D745" s="1757">
        <f t="shared" si="13"/>
        <v>0</v>
      </c>
    </row>
    <row r="746" spans="1:4" ht="25.9" customHeight="1">
      <c r="A746" s="1755">
        <v>743</v>
      </c>
      <c r="D746" s="1757">
        <f t="shared" si="13"/>
        <v>0</v>
      </c>
    </row>
    <row r="747" spans="1:4" ht="25.9" customHeight="1">
      <c r="A747" s="1755">
        <v>744</v>
      </c>
      <c r="D747" s="1757">
        <f t="shared" si="13"/>
        <v>0</v>
      </c>
    </row>
    <row r="748" spans="1:4" ht="25.9" customHeight="1">
      <c r="A748" s="1755">
        <v>745</v>
      </c>
      <c r="D748" s="1757">
        <f t="shared" si="13"/>
        <v>0</v>
      </c>
    </row>
    <row r="749" spans="1:4" ht="25.9" customHeight="1">
      <c r="A749" s="1755">
        <v>746</v>
      </c>
      <c r="D749" s="1757">
        <f t="shared" si="13"/>
        <v>0</v>
      </c>
    </row>
    <row r="750" spans="1:4" ht="25.9" customHeight="1">
      <c r="A750" s="1755">
        <v>747</v>
      </c>
      <c r="D750" s="1757">
        <f t="shared" si="13"/>
        <v>0</v>
      </c>
    </row>
    <row r="751" spans="1:4" ht="25.9" customHeight="1">
      <c r="A751" s="1755">
        <v>748</v>
      </c>
      <c r="D751" s="1757">
        <f t="shared" si="13"/>
        <v>0</v>
      </c>
    </row>
    <row r="752" spans="1:4" ht="25.9" customHeight="1">
      <c r="A752" s="1755">
        <v>749</v>
      </c>
      <c r="D752" s="1757">
        <f t="shared" si="13"/>
        <v>0</v>
      </c>
    </row>
    <row r="753" spans="1:4" ht="25.9" customHeight="1">
      <c r="A753" s="1755">
        <v>750</v>
      </c>
      <c r="D753" s="1757">
        <f t="shared" si="13"/>
        <v>0</v>
      </c>
    </row>
    <row r="754" spans="1:4" ht="25.9" customHeight="1">
      <c r="A754" s="1755">
        <v>751</v>
      </c>
      <c r="D754" s="1757">
        <f t="shared" si="13"/>
        <v>0</v>
      </c>
    </row>
    <row r="755" spans="1:4" ht="25.9" customHeight="1">
      <c r="A755" s="1755">
        <v>752</v>
      </c>
      <c r="D755" s="1757">
        <f t="shared" si="13"/>
        <v>0</v>
      </c>
    </row>
    <row r="756" spans="1:4" ht="25.9" customHeight="1">
      <c r="A756" s="1755">
        <v>753</v>
      </c>
      <c r="D756" s="1757">
        <f t="shared" si="13"/>
        <v>0</v>
      </c>
    </row>
    <row r="757" spans="1:4" ht="25.9" customHeight="1">
      <c r="A757" s="1755">
        <v>754</v>
      </c>
      <c r="D757" s="1757">
        <f t="shared" si="13"/>
        <v>0</v>
      </c>
    </row>
    <row r="758" spans="1:4" ht="25.9" customHeight="1">
      <c r="A758" s="1755">
        <v>755</v>
      </c>
      <c r="D758" s="1757">
        <f t="shared" si="13"/>
        <v>0</v>
      </c>
    </row>
    <row r="759" spans="1:4" ht="25.9" customHeight="1">
      <c r="A759" s="1755">
        <v>756</v>
      </c>
      <c r="D759" s="1757">
        <f t="shared" si="13"/>
        <v>0</v>
      </c>
    </row>
    <row r="760" spans="1:4" ht="25.9" customHeight="1">
      <c r="A760" s="1755">
        <v>757</v>
      </c>
      <c r="D760" s="1757">
        <f t="shared" si="13"/>
        <v>0</v>
      </c>
    </row>
    <row r="761" spans="1:4" ht="25.9" customHeight="1">
      <c r="A761" s="1755">
        <v>758</v>
      </c>
      <c r="D761" s="1757">
        <f t="shared" si="13"/>
        <v>0</v>
      </c>
    </row>
    <row r="762" spans="1:4" ht="47.25" customHeight="1">
      <c r="A762" s="1755">
        <v>759</v>
      </c>
      <c r="D762" s="1757">
        <f t="shared" si="13"/>
        <v>0</v>
      </c>
    </row>
    <row r="763" spans="1:4" ht="25.9" customHeight="1">
      <c r="A763" s="1755">
        <v>760</v>
      </c>
      <c r="D763" s="1757">
        <f t="shared" si="13"/>
        <v>0</v>
      </c>
    </row>
    <row r="764" spans="1:4" ht="42.75" customHeight="1">
      <c r="A764" s="1755">
        <v>761</v>
      </c>
      <c r="D764" s="1757">
        <f t="shared" si="13"/>
        <v>0</v>
      </c>
    </row>
    <row r="765" spans="1:4" ht="25.9" customHeight="1">
      <c r="A765" s="1755">
        <v>762</v>
      </c>
      <c r="D765" s="1757">
        <f t="shared" si="13"/>
        <v>0</v>
      </c>
    </row>
    <row r="766" spans="1:4" ht="26.1" customHeight="1">
      <c r="A766" s="1755">
        <v>763</v>
      </c>
      <c r="D766" s="1757">
        <f t="shared" si="13"/>
        <v>0</v>
      </c>
    </row>
    <row r="767" spans="1:4" ht="25.9" customHeight="1">
      <c r="A767" s="1755">
        <v>764</v>
      </c>
      <c r="D767" s="1757">
        <f t="shared" si="13"/>
        <v>0</v>
      </c>
    </row>
    <row r="768" spans="1:4" ht="25.9" customHeight="1">
      <c r="A768" s="1755">
        <v>765</v>
      </c>
      <c r="D768" s="1757">
        <f t="shared" si="13"/>
        <v>0</v>
      </c>
    </row>
    <row r="769" spans="1:4" ht="25.9" customHeight="1">
      <c r="A769" s="1755">
        <v>766</v>
      </c>
      <c r="D769" s="1757">
        <f t="shared" si="13"/>
        <v>0</v>
      </c>
    </row>
    <row r="770" spans="1:4" ht="25.9" customHeight="1">
      <c r="A770" s="1755">
        <v>767</v>
      </c>
      <c r="D770" s="1757">
        <f t="shared" si="13"/>
        <v>0</v>
      </c>
    </row>
    <row r="771" spans="1:4" ht="25.9" customHeight="1">
      <c r="A771" s="1755">
        <v>768</v>
      </c>
      <c r="D771" s="1757">
        <f t="shared" si="13"/>
        <v>0</v>
      </c>
    </row>
    <row r="772" spans="1:4" ht="25.9" customHeight="1">
      <c r="A772" s="1755">
        <v>769</v>
      </c>
      <c r="D772" s="1757">
        <f t="shared" ref="D772:D809" si="14">INDEX($E$4:$G$809,$A772,$A$1)</f>
        <v>0</v>
      </c>
    </row>
    <row r="773" spans="1:4" ht="25.9" customHeight="1">
      <c r="A773" s="1755">
        <v>770</v>
      </c>
      <c r="D773" s="1757">
        <f t="shared" si="14"/>
        <v>0</v>
      </c>
    </row>
    <row r="774" spans="1:4" ht="25.9" customHeight="1">
      <c r="A774" s="1755">
        <v>771</v>
      </c>
      <c r="D774" s="1757">
        <f t="shared" si="14"/>
        <v>0</v>
      </c>
    </row>
    <row r="775" spans="1:4" ht="25.9" customHeight="1">
      <c r="A775" s="1755">
        <v>772</v>
      </c>
      <c r="D775" s="1757">
        <f t="shared" si="14"/>
        <v>0</v>
      </c>
    </row>
    <row r="776" spans="1:4" ht="25.9" customHeight="1">
      <c r="A776" s="1755">
        <v>773</v>
      </c>
      <c r="D776" s="1757">
        <f t="shared" si="14"/>
        <v>0</v>
      </c>
    </row>
    <row r="777" spans="1:4" ht="25.9" customHeight="1">
      <c r="A777" s="1755">
        <v>774</v>
      </c>
      <c r="D777" s="1757">
        <f t="shared" si="14"/>
        <v>0</v>
      </c>
    </row>
    <row r="778" spans="1:4" ht="25.9" customHeight="1">
      <c r="A778" s="1755">
        <v>775</v>
      </c>
      <c r="D778" s="1757">
        <f t="shared" si="14"/>
        <v>0</v>
      </c>
    </row>
    <row r="779" spans="1:4" ht="25.9" customHeight="1">
      <c r="A779" s="1755">
        <v>776</v>
      </c>
      <c r="D779" s="1757">
        <f t="shared" si="14"/>
        <v>0</v>
      </c>
    </row>
    <row r="780" spans="1:4" ht="25.9" customHeight="1">
      <c r="A780" s="1755">
        <v>777</v>
      </c>
      <c r="D780" s="1757">
        <f t="shared" si="14"/>
        <v>0</v>
      </c>
    </row>
    <row r="781" spans="1:4" ht="25.9" customHeight="1">
      <c r="A781" s="1755">
        <v>778</v>
      </c>
      <c r="D781" s="1757">
        <f t="shared" si="14"/>
        <v>0</v>
      </c>
    </row>
    <row r="782" spans="1:4" ht="25.9" customHeight="1">
      <c r="A782" s="1755">
        <v>779</v>
      </c>
      <c r="D782" s="1757">
        <f t="shared" si="14"/>
        <v>0</v>
      </c>
    </row>
    <row r="783" spans="1:4" ht="25.9" customHeight="1">
      <c r="A783" s="1755">
        <v>780</v>
      </c>
      <c r="D783" s="1757">
        <f t="shared" si="14"/>
        <v>0</v>
      </c>
    </row>
    <row r="784" spans="1:4" ht="25.9" customHeight="1">
      <c r="A784" s="1755">
        <v>781</v>
      </c>
      <c r="D784" s="1757">
        <f t="shared" si="14"/>
        <v>0</v>
      </c>
    </row>
    <row r="785" spans="1:4" ht="25.9" customHeight="1">
      <c r="A785" s="1755">
        <v>782</v>
      </c>
      <c r="D785" s="1757">
        <f t="shared" si="14"/>
        <v>0</v>
      </c>
    </row>
    <row r="786" spans="1:4" ht="25.9" customHeight="1">
      <c r="A786" s="1755">
        <v>783</v>
      </c>
      <c r="D786" s="1757">
        <f t="shared" si="14"/>
        <v>0</v>
      </c>
    </row>
    <row r="787" spans="1:4" ht="25.9" customHeight="1">
      <c r="A787" s="1755">
        <v>784</v>
      </c>
      <c r="D787" s="1757">
        <f t="shared" si="14"/>
        <v>0</v>
      </c>
    </row>
    <row r="788" spans="1:4" ht="25.9" customHeight="1">
      <c r="A788" s="1755">
        <v>785</v>
      </c>
      <c r="D788" s="1757">
        <f t="shared" si="14"/>
        <v>0</v>
      </c>
    </row>
    <row r="789" spans="1:4" ht="25.9" customHeight="1">
      <c r="A789" s="1755">
        <v>786</v>
      </c>
      <c r="D789" s="1757">
        <f t="shared" si="14"/>
        <v>0</v>
      </c>
    </row>
    <row r="790" spans="1:4" ht="25.9" customHeight="1">
      <c r="A790" s="1755">
        <v>787</v>
      </c>
      <c r="D790" s="1757">
        <f t="shared" si="14"/>
        <v>0</v>
      </c>
    </row>
    <row r="791" spans="1:4" ht="25.9" customHeight="1">
      <c r="A791" s="1755">
        <v>788</v>
      </c>
      <c r="D791" s="1757">
        <f t="shared" si="14"/>
        <v>0</v>
      </c>
    </row>
    <row r="792" spans="1:4" ht="25.9" customHeight="1">
      <c r="A792" s="1755">
        <v>789</v>
      </c>
      <c r="D792" s="1757">
        <f t="shared" si="14"/>
        <v>0</v>
      </c>
    </row>
    <row r="793" spans="1:4" ht="25.9" customHeight="1">
      <c r="A793" s="1755">
        <v>790</v>
      </c>
      <c r="D793" s="1757">
        <f t="shared" si="14"/>
        <v>0</v>
      </c>
    </row>
    <row r="794" spans="1:4" ht="25.9" customHeight="1">
      <c r="A794" s="1755">
        <v>791</v>
      </c>
      <c r="D794" s="1757">
        <f t="shared" si="14"/>
        <v>0</v>
      </c>
    </row>
    <row r="795" spans="1:4" ht="25.9" customHeight="1">
      <c r="A795" s="1755">
        <v>792</v>
      </c>
      <c r="D795" s="1757">
        <f t="shared" si="14"/>
        <v>0</v>
      </c>
    </row>
    <row r="796" spans="1:4" ht="25.9" customHeight="1">
      <c r="A796" s="1755">
        <v>793</v>
      </c>
      <c r="D796" s="1757">
        <f t="shared" si="14"/>
        <v>0</v>
      </c>
    </row>
    <row r="797" spans="1:4" ht="25.9" customHeight="1">
      <c r="A797" s="1755">
        <v>794</v>
      </c>
      <c r="D797" s="1757">
        <f t="shared" si="14"/>
        <v>0</v>
      </c>
    </row>
    <row r="798" spans="1:4" ht="25.9" customHeight="1">
      <c r="A798" s="1755">
        <v>795</v>
      </c>
      <c r="D798" s="1757">
        <f t="shared" si="14"/>
        <v>0</v>
      </c>
    </row>
    <row r="799" spans="1:4" ht="25.9" customHeight="1">
      <c r="A799" s="1755">
        <v>796</v>
      </c>
      <c r="D799" s="1757">
        <f t="shared" si="14"/>
        <v>0</v>
      </c>
    </row>
    <row r="800" spans="1:4" ht="25.9" customHeight="1">
      <c r="A800" s="1755">
        <v>797</v>
      </c>
      <c r="D800" s="1757">
        <f t="shared" si="14"/>
        <v>0</v>
      </c>
    </row>
    <row r="801" spans="1:4" ht="25.9" customHeight="1">
      <c r="A801" s="1755">
        <v>798</v>
      </c>
      <c r="D801" s="1757">
        <f t="shared" si="14"/>
        <v>0</v>
      </c>
    </row>
    <row r="802" spans="1:4" ht="25.9" customHeight="1">
      <c r="A802" s="1755">
        <v>799</v>
      </c>
      <c r="D802" s="1757">
        <f t="shared" si="14"/>
        <v>0</v>
      </c>
    </row>
    <row r="803" spans="1:4" ht="25.9" customHeight="1">
      <c r="A803" s="1755">
        <v>800</v>
      </c>
      <c r="D803" s="1757">
        <f t="shared" si="14"/>
        <v>0</v>
      </c>
    </row>
    <row r="804" spans="1:4" ht="25.9" customHeight="1">
      <c r="A804" s="1755">
        <v>801</v>
      </c>
      <c r="D804" s="1757">
        <f t="shared" si="14"/>
        <v>0</v>
      </c>
    </row>
    <row r="805" spans="1:4" ht="25.9" customHeight="1">
      <c r="A805" s="1755">
        <v>802</v>
      </c>
      <c r="D805" s="1757">
        <f t="shared" si="14"/>
        <v>0</v>
      </c>
    </row>
    <row r="806" spans="1:4" ht="25.9" customHeight="1">
      <c r="A806" s="1755">
        <v>803</v>
      </c>
      <c r="D806" s="1757">
        <f t="shared" si="14"/>
        <v>0</v>
      </c>
    </row>
    <row r="807" spans="1:4" ht="25.9" customHeight="1">
      <c r="A807" s="1755">
        <v>804</v>
      </c>
      <c r="D807" s="1757">
        <f t="shared" si="14"/>
        <v>0</v>
      </c>
    </row>
    <row r="808" spans="1:4" ht="25.9" customHeight="1">
      <c r="A808" s="1755">
        <v>805</v>
      </c>
      <c r="D808" s="1757">
        <f t="shared" si="14"/>
        <v>0</v>
      </c>
    </row>
    <row r="809" spans="1:4" ht="25.9" customHeight="1">
      <c r="A809" s="1755">
        <v>806</v>
      </c>
      <c r="D809" s="1757">
        <f t="shared" si="14"/>
        <v>0</v>
      </c>
    </row>
  </sheetData>
  <sheetProtection password="C9AE" sheet="1" objects="1" scenarios="1"/>
  <dataValidations count="1">
    <dataValidation type="list" allowBlank="1" showInputMessage="1" showErrorMessage="1" sqref="C1">
      <formula1>$H$1:$H$3</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Z49"/>
  <sheetViews>
    <sheetView showZeros="0" zoomScaleNormal="100" workbookViewId="0">
      <selection activeCell="J7" sqref="J7"/>
    </sheetView>
  </sheetViews>
  <sheetFormatPr baseColWidth="10" defaultColWidth="11.5703125" defaultRowHeight="12"/>
  <cols>
    <col min="1" max="1" width="2" style="810" customWidth="1"/>
    <col min="2" max="2" width="27.7109375" style="810" customWidth="1"/>
    <col min="3" max="3" width="5" style="810" customWidth="1"/>
    <col min="4" max="4" width="8.28515625" style="810" customWidth="1"/>
    <col min="5" max="8" width="9.7109375" style="810" customWidth="1"/>
    <col min="9" max="9" width="0.7109375" style="810" customWidth="1"/>
    <col min="10" max="10" width="9.7109375" style="810" customWidth="1"/>
    <col min="11" max="11" width="2.28515625" style="810" customWidth="1"/>
    <col min="12" max="12" width="6.85546875" style="810" hidden="1" customWidth="1"/>
    <col min="13" max="16" width="11.5703125" style="810" hidden="1" customWidth="1"/>
    <col min="17" max="17" width="0.7109375" style="810" hidden="1" customWidth="1"/>
    <col min="18" max="52" width="11.5703125" style="810" hidden="1" customWidth="1"/>
    <col min="53" max="16384" width="11.5703125" style="810"/>
  </cols>
  <sheetData>
    <row r="1" spans="1:28" ht="11.45" customHeight="1">
      <c r="A1" s="689"/>
      <c r="B1" s="808" t="str">
        <f>Projekt!B1</f>
        <v>Programme Entech 380/1, Ver. 6.1, BFE/EnFK-Zert.-Nr. 1639, SIA 380/1 (Edition 2016)</v>
      </c>
      <c r="C1" s="808"/>
      <c r="D1" s="808"/>
      <c r="E1" s="808"/>
      <c r="F1" s="808"/>
      <c r="G1" s="808"/>
      <c r="H1" s="809" t="s">
        <v>653</v>
      </c>
      <c r="I1" s="808"/>
      <c r="J1" s="915"/>
      <c r="Y1" s="810" t="s">
        <v>916</v>
      </c>
    </row>
    <row r="2" spans="1:28" ht="13.15" customHeight="1">
      <c r="A2" s="689"/>
      <c r="B2" s="811" t="s">
        <v>1412</v>
      </c>
      <c r="C2" s="808"/>
      <c r="D2" s="808"/>
      <c r="E2" s="808"/>
      <c r="F2" s="808"/>
      <c r="G2" s="808"/>
      <c r="H2" s="808"/>
      <c r="I2" s="808"/>
      <c r="J2" s="808"/>
      <c r="AA2" s="1558">
        <v>1</v>
      </c>
    </row>
    <row r="3" spans="1:28" ht="17.45" customHeight="1">
      <c r="A3" s="689"/>
      <c r="B3" s="812">
        <f>Projekt!E5</f>
        <v>0</v>
      </c>
      <c r="C3" s="813"/>
      <c r="D3" s="813"/>
      <c r="E3" s="813"/>
      <c r="F3" s="813"/>
      <c r="G3" s="813"/>
      <c r="H3" s="813"/>
      <c r="I3" s="813"/>
      <c r="J3" s="814"/>
      <c r="Y3" s="815">
        <f>IF(F10="",1,VLOOKUP(F10,$Z$2:$AA$14,2,FALSE))</f>
        <v>1</v>
      </c>
      <c r="Z3" s="685" t="s">
        <v>348</v>
      </c>
      <c r="AA3" s="1558">
        <v>2</v>
      </c>
    </row>
    <row r="4" spans="1:28" ht="17.45" customHeight="1">
      <c r="A4" s="689"/>
      <c r="B4" s="816"/>
      <c r="C4" s="817"/>
      <c r="D4" s="817"/>
      <c r="E4" s="817"/>
      <c r="F4" s="817"/>
      <c r="G4" s="817"/>
      <c r="H4" s="817"/>
      <c r="I4" s="817"/>
      <c r="J4" s="818"/>
      <c r="Y4" s="819">
        <f>IF(G10="",1,VLOOKUP(G10,$Z$2:$AA$14,2,FALSE))</f>
        <v>1</v>
      </c>
      <c r="Z4" s="686" t="s">
        <v>347</v>
      </c>
      <c r="AA4" s="1558">
        <v>3</v>
      </c>
    </row>
    <row r="5" spans="1:28" ht="17.45" customHeight="1">
      <c r="A5" s="689"/>
      <c r="B5" s="820"/>
      <c r="C5" s="821"/>
      <c r="D5" s="821"/>
      <c r="E5" s="821"/>
      <c r="F5" s="821"/>
      <c r="G5" s="821"/>
      <c r="H5" s="821"/>
      <c r="I5" s="821"/>
      <c r="J5" s="822"/>
      <c r="Y5" s="823">
        <f>IF(H10="",1,VLOOKUP(H10,$Z$2:$AA$14,2,FALSE))</f>
        <v>1</v>
      </c>
      <c r="Z5" s="686" t="s">
        <v>2263</v>
      </c>
      <c r="AA5" s="1558">
        <v>4</v>
      </c>
    </row>
    <row r="6" spans="1:28" ht="10.15" customHeight="1">
      <c r="A6" s="689"/>
      <c r="B6" s="808"/>
      <c r="C6" s="808"/>
      <c r="D6" s="808"/>
      <c r="E6" s="808"/>
      <c r="F6" s="808"/>
      <c r="G6" s="808"/>
      <c r="H6" s="808"/>
      <c r="I6" s="808"/>
      <c r="J6" s="808"/>
      <c r="M6" s="810" t="s">
        <v>520</v>
      </c>
      <c r="Z6" s="686" t="s">
        <v>208</v>
      </c>
      <c r="AA6" s="1558">
        <v>5</v>
      </c>
    </row>
    <row r="7" spans="1:28" ht="17.45" customHeight="1">
      <c r="A7" s="689"/>
      <c r="B7" s="824" t="s">
        <v>654</v>
      </c>
      <c r="C7" s="813"/>
      <c r="D7" s="813"/>
      <c r="E7" s="813"/>
      <c r="F7" s="813"/>
      <c r="G7" s="813"/>
      <c r="H7" s="825" t="s">
        <v>519</v>
      </c>
      <c r="I7" s="813"/>
      <c r="J7" s="1557" t="s">
        <v>1240</v>
      </c>
      <c r="M7" s="826"/>
      <c r="Z7" s="686" t="s">
        <v>854</v>
      </c>
      <c r="AA7" s="1558">
        <v>6</v>
      </c>
    </row>
    <row r="8" spans="1:28" ht="17.45" customHeight="1">
      <c r="A8" s="689"/>
      <c r="B8" s="816" t="s">
        <v>671</v>
      </c>
      <c r="C8" s="817"/>
      <c r="D8" s="817"/>
      <c r="E8" s="817"/>
      <c r="F8" s="817"/>
      <c r="G8" s="817"/>
      <c r="H8" s="817"/>
      <c r="I8" s="817"/>
      <c r="J8" s="1556">
        <f>IF(J7=M8,2,3)</f>
        <v>2</v>
      </c>
      <c r="M8" s="827" t="s">
        <v>1240</v>
      </c>
      <c r="Z8" s="686" t="s">
        <v>2264</v>
      </c>
      <c r="AA8" s="1558">
        <v>7</v>
      </c>
    </row>
    <row r="9" spans="1:28" ht="17.45" customHeight="1">
      <c r="A9" s="689"/>
      <c r="B9" s="828" t="s">
        <v>672</v>
      </c>
      <c r="C9" s="829"/>
      <c r="D9" s="829"/>
      <c r="E9" s="830">
        <v>1</v>
      </c>
      <c r="F9" s="1567">
        <v>2</v>
      </c>
      <c r="G9" s="1567">
        <v>3</v>
      </c>
      <c r="H9" s="1567">
        <v>4</v>
      </c>
      <c r="I9" s="831"/>
      <c r="J9" s="832" t="s">
        <v>673</v>
      </c>
      <c r="M9" s="833" t="s">
        <v>1241</v>
      </c>
      <c r="Z9" s="686" t="s">
        <v>2265</v>
      </c>
      <c r="AA9" s="1558">
        <v>8</v>
      </c>
    </row>
    <row r="10" spans="1:28" ht="17.45" customHeight="1">
      <c r="A10" s="689"/>
      <c r="B10" s="834" t="s">
        <v>362</v>
      </c>
      <c r="C10" s="835"/>
      <c r="D10" s="836"/>
      <c r="E10" s="1565">
        <f>INDEX(Z2:Z14,Projekt!AV29,)</f>
        <v>0</v>
      </c>
      <c r="F10" s="1569"/>
      <c r="G10" s="1569"/>
      <c r="H10" s="1569"/>
      <c r="I10" s="817"/>
      <c r="J10" s="837" t="s">
        <v>363</v>
      </c>
      <c r="Z10" s="686" t="s">
        <v>980</v>
      </c>
      <c r="AA10" s="1558">
        <v>9</v>
      </c>
    </row>
    <row r="11" spans="1:28" ht="17.45" customHeight="1">
      <c r="A11" s="689"/>
      <c r="B11" s="834" t="s">
        <v>2196</v>
      </c>
      <c r="C11" s="838"/>
      <c r="D11" s="838"/>
      <c r="E11" s="1566">
        <f>INDEX(X17:X20,Projekt!AV31,)</f>
        <v>0</v>
      </c>
      <c r="F11" s="1569"/>
      <c r="G11" s="1569"/>
      <c r="H11" s="1569"/>
      <c r="I11" s="840"/>
      <c r="J11" s="841"/>
      <c r="Z11" s="686" t="s">
        <v>349</v>
      </c>
      <c r="AA11" s="1558">
        <v>10</v>
      </c>
    </row>
    <row r="12" spans="1:28" ht="17.45" customHeight="1">
      <c r="A12" s="689"/>
      <c r="B12" s="834" t="s">
        <v>585</v>
      </c>
      <c r="C12" s="838" t="s">
        <v>1189</v>
      </c>
      <c r="D12" s="838" t="s">
        <v>2268</v>
      </c>
      <c r="E12" s="842">
        <f>EBF</f>
        <v>0</v>
      </c>
      <c r="F12" s="1568"/>
      <c r="G12" s="1568"/>
      <c r="H12" s="1568"/>
      <c r="I12" s="840"/>
      <c r="J12" s="843">
        <f>SUM(E12:H12)</f>
        <v>0</v>
      </c>
      <c r="Z12" s="686" t="s">
        <v>979</v>
      </c>
      <c r="AA12" s="1558">
        <v>11</v>
      </c>
    </row>
    <row r="13" spans="1:28" ht="17.45" hidden="1" customHeight="1">
      <c r="A13" s="689"/>
      <c r="B13" s="834" t="s">
        <v>586</v>
      </c>
      <c r="C13" s="838" t="s">
        <v>1189</v>
      </c>
      <c r="D13" s="838" t="s">
        <v>2268</v>
      </c>
      <c r="E13" s="842">
        <f>EBF</f>
        <v>0</v>
      </c>
      <c r="F13" s="1570">
        <f>F12</f>
        <v>0</v>
      </c>
      <c r="G13" s="1570">
        <f>G12</f>
        <v>0</v>
      </c>
      <c r="H13" s="1570">
        <f>H12</f>
        <v>0</v>
      </c>
      <c r="I13" s="840"/>
      <c r="J13" s="843">
        <f>SUM(E13:H13)</f>
        <v>0</v>
      </c>
      <c r="Z13" s="686" t="s">
        <v>2266</v>
      </c>
      <c r="AA13" s="1558">
        <v>12</v>
      </c>
    </row>
    <row r="14" spans="1:28" ht="17.45" customHeight="1">
      <c r="A14" s="689"/>
      <c r="B14" s="834" t="s">
        <v>1456</v>
      </c>
      <c r="C14" s="838" t="s">
        <v>970</v>
      </c>
      <c r="D14" s="838" t="str">
        <f>"-"</f>
        <v>-</v>
      </c>
      <c r="E14" s="844">
        <f>IF(EBF&gt;0,A/EBF,)</f>
        <v>0</v>
      </c>
      <c r="F14" s="637"/>
      <c r="G14" s="637"/>
      <c r="H14" s="637"/>
      <c r="I14" s="840"/>
      <c r="J14" s="845"/>
      <c r="M14" s="690" t="s">
        <v>1120</v>
      </c>
      <c r="Z14" s="686" t="s">
        <v>2267</v>
      </c>
      <c r="AA14" s="1558">
        <v>13</v>
      </c>
    </row>
    <row r="15" spans="1:28" ht="17.45" customHeight="1">
      <c r="A15" s="689"/>
      <c r="B15" s="834" t="s">
        <v>1457</v>
      </c>
      <c r="C15" s="838" t="s">
        <v>1042</v>
      </c>
      <c r="D15" s="838" t="s">
        <v>2269</v>
      </c>
      <c r="E15" s="842">
        <f>IF(J8=2,IF(Vth,QhmL,Qh),Qh)</f>
        <v>0</v>
      </c>
      <c r="F15" s="637"/>
      <c r="G15" s="637"/>
      <c r="H15" s="637"/>
      <c r="I15" s="840"/>
      <c r="J15" s="843">
        <f>IF(OR(AND(F15&gt;0,AEBF2&lt;0.1),AND(G15&gt;0,AEBF3&lt;0.1),AND(H15&gt;0,AEBF4&lt;0.1)),,IF(J$13=0,0,(E15*E$13+F15*F$13+G15*G$13+H15*H$13)/J$13))</f>
        <v>0</v>
      </c>
      <c r="M15" s="846" t="e">
        <f>(E15*_EBF1+F15*_EBF2+G15*_EBF3+H15*_EBF4)/EBFtotal</f>
        <v>#DIV/0!</v>
      </c>
      <c r="Z15" s="847"/>
    </row>
    <row r="16" spans="1:28" ht="17.45" customHeight="1">
      <c r="A16" s="689"/>
      <c r="B16" s="834" t="s">
        <v>2270</v>
      </c>
      <c r="C16" s="838" t="s">
        <v>1503</v>
      </c>
      <c r="D16" s="838" t="s">
        <v>1458</v>
      </c>
      <c r="E16" s="848">
        <f>IF(AND(Zone1neu,E13&gt;0),Technik!L27/100,)</f>
        <v>0</v>
      </c>
      <c r="F16" s="848">
        <f>IF(AND(Zone2neu,F13&gt;0),Technik!L27/100,)</f>
        <v>0</v>
      </c>
      <c r="G16" s="848">
        <f>IF(AND(Zone3neu,G13&gt;0),Technik!L27/100,)</f>
        <v>0</v>
      </c>
      <c r="H16" s="848">
        <f>IF(AND(Zone4neu,H13&gt;0),Technik!L27/100,)</f>
        <v>0</v>
      </c>
      <c r="I16" s="849"/>
      <c r="J16" s="850"/>
      <c r="X16" s="1564" t="s">
        <v>2195</v>
      </c>
      <c r="Y16" s="852"/>
      <c r="Z16" s="1559" t="s">
        <v>2194</v>
      </c>
      <c r="AA16" s="852" t="s">
        <v>2193</v>
      </c>
      <c r="AB16" s="851" t="s">
        <v>2192</v>
      </c>
    </row>
    <row r="17" spans="1:30" ht="17.45" customHeight="1">
      <c r="A17" s="689"/>
      <c r="B17" s="834" t="s">
        <v>1459</v>
      </c>
      <c r="C17" s="853" t="s">
        <v>1504</v>
      </c>
      <c r="D17" s="838" t="s">
        <v>2269</v>
      </c>
      <c r="E17" s="854">
        <f>IF(SUM(E12:E14)=0,0,INDEX(Tab!$H$22:$S$22,,Projekt!AV29-1))</f>
        <v>0</v>
      </c>
      <c r="F17" s="854">
        <f>IF(Y3=1,0,INDEX(Tab!$H$22:$S$22,,Y3-1))</f>
        <v>0</v>
      </c>
      <c r="G17" s="854">
        <f>IF(Y4=1,0,INDEX(Tab!$H$22:$S$22,,Y4-1))</f>
        <v>0</v>
      </c>
      <c r="H17" s="854">
        <f>IF(Y5=1,0,INDEX(Tab!$H$22:$S$22,,Y5-1))</f>
        <v>0</v>
      </c>
      <c r="I17" s="855"/>
      <c r="J17" s="856"/>
      <c r="X17" s="694"/>
      <c r="Y17" s="1562">
        <v>1</v>
      </c>
      <c r="Z17" s="1560">
        <f>Projekt!AV31</f>
        <v>1</v>
      </c>
      <c r="AA17" s="857" t="b">
        <f>IF((Z17=4),FALSE,TRUE)</f>
        <v>1</v>
      </c>
      <c r="AB17" s="858">
        <f>IF(Zone1neu,E13,0)</f>
        <v>0</v>
      </c>
    </row>
    <row r="18" spans="1:30" ht="17.45" customHeight="1">
      <c r="A18" s="689"/>
      <c r="B18" s="834" t="s">
        <v>1646</v>
      </c>
      <c r="C18" s="859" t="s">
        <v>444</v>
      </c>
      <c r="D18" s="838" t="s">
        <v>2269</v>
      </c>
      <c r="E18" s="854">
        <f>IF(SUM(E12:E14)=0,0,INDEX(Tab!$H$23:$S$23,,Projekt!AV29-1))</f>
        <v>0</v>
      </c>
      <c r="F18" s="854">
        <f>IF(Y3=1,0,INDEX(Tab!$H$23:$S$23,,Y3-1))</f>
        <v>0</v>
      </c>
      <c r="G18" s="854">
        <f>IF(Y4=1,0,INDEX(Tab!$H$23:$S$23,,Y4-1))</f>
        <v>0</v>
      </c>
      <c r="H18" s="854">
        <f>IF(Y5=1,0,INDEX(Tab!$H$23:$S$23,,Y5-1))</f>
        <v>0</v>
      </c>
      <c r="I18" s="855"/>
      <c r="J18" s="860"/>
      <c r="M18" s="690" t="s">
        <v>262</v>
      </c>
      <c r="X18" s="694" t="s">
        <v>981</v>
      </c>
      <c r="Y18" s="1562">
        <v>2</v>
      </c>
      <c r="Z18" s="861">
        <f>IF(F11="",1,VLOOKUP(F11,$X$17:$Y$20,2,FALSE))</f>
        <v>1</v>
      </c>
      <c r="AA18" s="858" t="b">
        <f>IF((Z18=4),FALSE,TRUE)</f>
        <v>1</v>
      </c>
      <c r="AB18" s="858">
        <f>IF(Zone2neu,F13,0)</f>
        <v>0</v>
      </c>
    </row>
    <row r="19" spans="1:30" ht="17.45" customHeight="1">
      <c r="A19" s="689"/>
      <c r="B19" s="834" t="str">
        <f>IF(AND(OR(Projekt!BC33=7,Projekt!BC33=8),Funktion&lt;&gt;5),"Grenzwert Heizwärmebedarf Basel","Grenzwert Heizwärmebedarf SIA")</f>
        <v>Grenzwert Heizwärmebedarf SIA</v>
      </c>
      <c r="C19" s="838" t="s">
        <v>360</v>
      </c>
      <c r="D19" s="838" t="s">
        <v>2269</v>
      </c>
      <c r="E19" s="854">
        <f ca="1">(E17+E18*AEBF1)*(1+(8.5-IF(Thetaea&gt;0,Thetaea,8.5))*Klimakorr)*IF(Z17&lt;&gt;4,1,Altbau)*IF(AND(OR(Projekt!BC33=7,Projekt!BC33=8),Funktion&lt;&gt;5),Nachweis!V65,1)</f>
        <v>0</v>
      </c>
      <c r="F19" s="854">
        <f ca="1">(F17+F18*AEBF2)*(1+(8.5-IF(Thetaea&gt;0,Thetaea,8.5))*Klimakorr)*IF(Z18&lt;&gt;4,1,Altbau)*IF(AND(OR(Projekt!BC33=7,Projekt!BC33=8),Funktion&lt;&gt;5),Nachweis!V65,1)</f>
        <v>0</v>
      </c>
      <c r="G19" s="854">
        <f ca="1">(G17+G18*AEBF3)*(1+(8.5-IF(Thetaea&gt;0,Thetaea,8.5))*Klimakorr)*IF(Z19&lt;&gt;4,1,Altbau)*IF(AND(OR(Projekt!BC33=7,Projekt!BC33=8),Funktion&lt;&gt;5),Nachweis!V65,1)</f>
        <v>0</v>
      </c>
      <c r="H19" s="854">
        <f ca="1">(H17+H18*AEBF4)*(1+(8.5-IF(Thetaea&gt;0,Thetaea,8.5))*Klimakorr)*IF(Z20&lt;&gt;4,1,Altbau)*IF(AND(OR(Projekt!BC33=7,Projekt!BC33=8),Funktion&lt;&gt;5),Nachweis!V65,1)</f>
        <v>0</v>
      </c>
      <c r="I19" s="855"/>
      <c r="J19" s="856">
        <f ca="1">IF(OR(AND(F19&gt;0,AEBF2&lt;0.1),AND(G19&gt;0,AEBF3&lt;0.1),AND(H19&gt;0,AEBF4&lt;0.1)),,IF(J$13=0,0,(E19*E$13+F19*F$13+G19*G$13+H19*H$13)/J$13))</f>
        <v>0</v>
      </c>
      <c r="M19" s="862">
        <v>1</v>
      </c>
      <c r="N19" s="863">
        <v>2</v>
      </c>
      <c r="O19" s="863">
        <v>3</v>
      </c>
      <c r="P19" s="863">
        <v>4</v>
      </c>
      <c r="Q19" s="864"/>
      <c r="R19" s="865" t="s">
        <v>263</v>
      </c>
      <c r="X19" s="694" t="s">
        <v>2345</v>
      </c>
      <c r="Y19" s="1562">
        <v>3</v>
      </c>
      <c r="Z19" s="861">
        <f>IF(G11="",1,VLOOKUP(G11,$X$17:$Y$20,2,FALSE))</f>
        <v>1</v>
      </c>
      <c r="AA19" s="858" t="b">
        <f>IF((Z19=4),FALSE,TRUE)</f>
        <v>1</v>
      </c>
      <c r="AB19" s="858">
        <f>IF(Zone3neu,G13,0)</f>
        <v>0</v>
      </c>
    </row>
    <row r="20" spans="1:30" ht="17.45" customHeight="1">
      <c r="A20" s="689"/>
      <c r="B20" s="834" t="s">
        <v>1460</v>
      </c>
      <c r="C20" s="838" t="s">
        <v>1079</v>
      </c>
      <c r="D20" s="838" t="s">
        <v>2269</v>
      </c>
      <c r="E20" s="854">
        <f>IF(Z17&lt;&gt;4,IF(SUM(E12:E14)=0,0,INDEX(Tab!$H$15:$S$15,,Projekt!AV29-1)*E12/E13),0)</f>
        <v>0</v>
      </c>
      <c r="F20" s="854">
        <f>IF(Z18&lt;&gt;4,IF(OR(Y3=1,SUM(F12:F14)=0),0,INDEX(Tab!$H$15:$S$15,,Y3-1)*F12/F13),0)</f>
        <v>0</v>
      </c>
      <c r="G20" s="854">
        <f>IF(Z19&lt;&gt;4,IF(OR(Y4=1,SUM(G12:G14)=0),0,INDEX(Tab!$H$15:$S$15,,Y4-1)*G12/G13),0)</f>
        <v>0</v>
      </c>
      <c r="H20" s="854">
        <f>IF(Z20&lt;&gt;4,IF(OR(Y5=1,SUM(H12:H14)=0),0,INDEX(Tab!$H$15:$S$15,,Y5-1)*H12/H13),0)</f>
        <v>0</v>
      </c>
      <c r="I20" s="855"/>
      <c r="J20" s="856"/>
      <c r="M20" s="871">
        <f>IF(SUM(E12:E14)=0,0,INDEX(Tab!$H$15:$S$15,,Projekt!$AV$29-1)*E12/E13)</f>
        <v>0</v>
      </c>
      <c r="N20" s="868">
        <f>IF(SUM(F12:F14)=0,0,INDEX(Tab!$H$15:$S$15,,Y3-1)*F12/F13)</f>
        <v>0</v>
      </c>
      <c r="O20" s="868">
        <f>IF(SUM(G12:G14)=0,0,INDEX(Tab!$H$15:$S$15,,Y4-1)*G12/G13)</f>
        <v>0</v>
      </c>
      <c r="P20" s="868">
        <f>IF(SUM(H12:H14)=0,0,INDEX(Tab!$H$15:$S$15,,Y5-1)*H12/H13)</f>
        <v>0</v>
      </c>
      <c r="Q20" s="869"/>
      <c r="R20" s="870" t="e">
        <f>(M20*_EBF1+N20*_EBF2+O20*_EBF3+P20*_EBF4)/EBFtotal</f>
        <v>#DIV/0!</v>
      </c>
      <c r="X20" s="695" t="s">
        <v>1375</v>
      </c>
      <c r="Y20" s="1563">
        <v>4</v>
      </c>
      <c r="Z20" s="1561">
        <f>IF(H11="",1,VLOOKUP(H11,$X$17:$Y$20,2,FALSE))</f>
        <v>1</v>
      </c>
      <c r="AA20" s="872" t="b">
        <f>IF((Z20=4),FALSE,TRUE)</f>
        <v>1</v>
      </c>
      <c r="AB20" s="858">
        <f>IF(Zone4neu,H13,0)</f>
        <v>0</v>
      </c>
      <c r="AC20" s="851" t="s">
        <v>2191</v>
      </c>
      <c r="AD20" s="873" t="s">
        <v>2190</v>
      </c>
    </row>
    <row r="21" spans="1:30" ht="17.45" customHeight="1">
      <c r="A21" s="689"/>
      <c r="B21" s="1401" t="s">
        <v>789</v>
      </c>
      <c r="C21" s="1402" t="s">
        <v>1699</v>
      </c>
      <c r="D21" s="1402" t="s">
        <v>1458</v>
      </c>
      <c r="E21" s="1403">
        <f>IF(AND(Zone1neu,E13&gt;0),Technik!M27/100,)</f>
        <v>0</v>
      </c>
      <c r="F21" s="1403">
        <f>IF(AND(Zone2neu,F13&gt;0),Technik!M27/100,)</f>
        <v>0</v>
      </c>
      <c r="G21" s="1403">
        <f>IF(AND(Zone3neu,G13&gt;0),Technik!M27/100,)</f>
        <v>0</v>
      </c>
      <c r="H21" s="1403">
        <f>IF(AND(Zone4neu,H13&gt;0),Technik!M27/100,)</f>
        <v>0</v>
      </c>
      <c r="I21" s="1404"/>
      <c r="J21" s="1405"/>
      <c r="AB21" s="851">
        <f>SUM(AB17:AB20)</f>
        <v>0</v>
      </c>
      <c r="AC21" s="851">
        <f>EBFtotal-EBFneu</f>
        <v>0</v>
      </c>
      <c r="AD21" s="851">
        <f>EBFneu+EBFalt</f>
        <v>0</v>
      </c>
    </row>
    <row r="22" spans="1:30" ht="17.45" customHeight="1">
      <c r="A22" s="874"/>
      <c r="B22" s="824" t="s">
        <v>1242</v>
      </c>
      <c r="C22" s="813"/>
      <c r="D22" s="875"/>
      <c r="E22" s="876" t="s">
        <v>1243</v>
      </c>
      <c r="F22" s="875"/>
      <c r="G22" s="877" t="s">
        <v>1244</v>
      </c>
      <c r="H22" s="813"/>
      <c r="I22" s="813"/>
      <c r="J22" s="878"/>
      <c r="L22" s="810" t="s">
        <v>1610</v>
      </c>
      <c r="M22" s="810" t="b">
        <v>0</v>
      </c>
      <c r="N22" s="810" t="s">
        <v>1175</v>
      </c>
    </row>
    <row r="23" spans="1:30" ht="17.45" customHeight="1">
      <c r="A23" s="874"/>
      <c r="B23" s="820">
        <f>IF(AND(OR(Projekt!BC33=7,Projekt!BC33=8),Funktion&lt;&gt;5),"(Anforderung Basel)",)</f>
        <v>0</v>
      </c>
      <c r="C23" s="821"/>
      <c r="D23" s="879" t="s">
        <v>2269</v>
      </c>
      <c r="E23" s="880">
        <f ca="1">J19</f>
        <v>0</v>
      </c>
      <c r="F23" s="879" t="s">
        <v>1480</v>
      </c>
      <c r="G23" s="881">
        <f>J15</f>
        <v>0</v>
      </c>
      <c r="H23" s="821"/>
      <c r="I23" s="821"/>
      <c r="J23" s="882" t="str">
        <f ca="1">IF(G23&gt;=E23,"Nicht erfüllt","i.O.")</f>
        <v>Nicht erfüllt</v>
      </c>
    </row>
    <row r="24" spans="1:30" ht="9" customHeight="1">
      <c r="A24" s="874"/>
      <c r="B24" s="808"/>
      <c r="C24" s="808"/>
      <c r="D24" s="808"/>
      <c r="E24" s="808"/>
      <c r="F24" s="808"/>
      <c r="G24" s="808"/>
      <c r="H24" s="808"/>
      <c r="I24" s="808"/>
      <c r="J24" s="808"/>
    </row>
    <row r="25" spans="1:30" ht="17.45" customHeight="1">
      <c r="A25" s="874"/>
      <c r="B25" s="883" t="s">
        <v>913</v>
      </c>
      <c r="C25" s="884"/>
      <c r="D25" s="884"/>
      <c r="E25" s="884"/>
      <c r="F25" s="884"/>
      <c r="G25" s="884"/>
      <c r="H25" s="884"/>
      <c r="I25" s="884"/>
      <c r="J25" s="885"/>
      <c r="M25" s="690" t="s">
        <v>1313</v>
      </c>
    </row>
    <row r="26" spans="1:30" ht="17.45" customHeight="1">
      <c r="A26" s="874"/>
      <c r="B26" s="886" t="s">
        <v>2189</v>
      </c>
      <c r="C26" s="835"/>
      <c r="D26" s="838" t="s">
        <v>804</v>
      </c>
      <c r="E26" s="854">
        <f ca="1">IF(Z17&lt;&gt;4,(E17+E18*AEBF1)*(1+(8.5-IF(Thetaea&gt;0,Thetaea,8.5))*Klimakorr)*IF(Z17&lt;&gt;4,1,Altbau),"")</f>
        <v>0</v>
      </c>
      <c r="F26" s="854" t="str">
        <f>IF(Zone2neu,IF(F13=0,"",IF(AND(Zone2neu,AEBF2=0),"A/EBF ?",(F17+F18*AEBF2)*(1+(8.5-IF(Thetaea&gt;0,Thetaea,8.5))*Klimakorr)*IF(Z18&lt;&gt;4,1,Altbau))),"")</f>
        <v/>
      </c>
      <c r="G26" s="854" t="str">
        <f>IF(Zone3neu,IF(G13=0,"",IF(AND(Zone3neu,AEBF3=0),"A/EBF ?",(G17+G18*AEBF3)*(1+(8.5-IF(Thetaea&gt;0,Thetaea,8.5))*Klimakorr)*IF(Z19&lt;&gt;4,1,Altbau))),"")</f>
        <v/>
      </c>
      <c r="H26" s="854" t="str">
        <f>IF(Zone4neu,IF(H13=0,"",IF(AND(Zone4neu,AEBF4=0),"A/EBF ?",(H17+H18*AEBF4)*(1+(8.5-IF(Thetaea&gt;0,Thetaea,8.5))*Klimakorr)*IF(Z20&lt;&gt;4,1,Altbau))),"")</f>
        <v/>
      </c>
      <c r="I26" s="835"/>
      <c r="J26" s="843"/>
      <c r="M26" s="887">
        <v>1</v>
      </c>
      <c r="N26" s="888">
        <v>2</v>
      </c>
      <c r="O26" s="888">
        <v>3</v>
      </c>
      <c r="P26" s="888">
        <v>4</v>
      </c>
      <c r="Q26" s="889"/>
      <c r="R26" s="890" t="s">
        <v>673</v>
      </c>
    </row>
    <row r="27" spans="1:30" ht="17.45" customHeight="1">
      <c r="A27" s="874"/>
      <c r="B27" s="886" t="s">
        <v>2188</v>
      </c>
      <c r="C27" s="835"/>
      <c r="D27" s="838" t="s">
        <v>804</v>
      </c>
      <c r="E27" s="854">
        <f>E20</f>
        <v>0</v>
      </c>
      <c r="F27" s="854">
        <f>F20</f>
        <v>0</v>
      </c>
      <c r="G27" s="854">
        <f>G20</f>
        <v>0</v>
      </c>
      <c r="H27" s="854">
        <f>H20</f>
        <v>0</v>
      </c>
      <c r="I27" s="835"/>
      <c r="J27" s="843"/>
      <c r="M27" s="896">
        <f>IF(UPPER(M11)="JA",M15/10,0)</f>
        <v>0</v>
      </c>
      <c r="N27" s="839">
        <f>IF(UPPER(N11)="JA",N15/10,0)</f>
        <v>0</v>
      </c>
      <c r="O27" s="839">
        <f>IF(UPPER(O11)="JA",O15/10,0)</f>
        <v>0</v>
      </c>
      <c r="P27" s="839">
        <f>IF(UPPER(P11)="JA",P15/10,0)</f>
        <v>0</v>
      </c>
      <c r="Q27" s="840"/>
      <c r="R27" s="841">
        <f>IF(R$13=0,0,(M27*M$13+N27*N$13+O27*O$13+P27*P$13)/R$13)</f>
        <v>0</v>
      </c>
    </row>
    <row r="28" spans="1:30" ht="17.45" customHeight="1">
      <c r="A28" s="874"/>
      <c r="B28" s="834" t="s">
        <v>2187</v>
      </c>
      <c r="C28" s="835"/>
      <c r="D28" s="838" t="s">
        <v>1760</v>
      </c>
      <c r="E28" s="854" t="str">
        <f>IF(E13&gt;0,IF(Zone1neu,IF(Anteil,(1-0.2*EBFneu/EBFtotal)*100,80),""),"")</f>
        <v/>
      </c>
      <c r="F28" s="854" t="str">
        <f>IF(F13&gt;0,IF(Zone2neu,IF(Anteil,(1-0.2*EBFneu/EBFtotal)*100,80),""),"")</f>
        <v/>
      </c>
      <c r="G28" s="854" t="str">
        <f>IF(G13&gt;0,IF(Zone3neu,IF(Anteil,(1-0.2*EBFneu/EBFtotal)*100,80),""),"")</f>
        <v/>
      </c>
      <c r="H28" s="854" t="str">
        <f>IF(H13&gt;0,IF(Zone4neu,IF(Anteil,(1-0.2*EBFneu/EBFtotal)*100,80),""),"")</f>
        <v/>
      </c>
      <c r="I28" s="835"/>
      <c r="J28" s="843"/>
      <c r="M28" s="897" t="str">
        <f>IF(Zone1neu,IF(E13=0,"",IF(AND(Zone1neu,AEBF1=0),"A/EBF ?",(E32+E15))),"")</f>
        <v/>
      </c>
      <c r="N28" s="854" t="str">
        <f>IF(Zone2neu,IF(F13=0,"",IF(AND(Zone2neu,AEBF2=0),"A/EBF ?",(F32+F15))),"")</f>
        <v/>
      </c>
      <c r="O28" s="854" t="str">
        <f>IF(Zone3neu,IF(G13=0,"",IF(AND(Zone3neu,AEBF3=0),"A/EBF ?",(G32+G15))),"")</f>
        <v/>
      </c>
      <c r="P28" s="854" t="str">
        <f>IF(Zone4neu,IF(H13=0,"",IF(AND(Zone4neu,AEBF4=0),"A/EBF ?",(H32+H15))),"")</f>
        <v/>
      </c>
      <c r="Q28" s="855"/>
      <c r="R28" s="856">
        <f>IF(EBFneu&gt;0,(IF(AND(Zone1neu,E13&gt;0),E13*M28,0)+IF(AND(Zone2neu,F13&gt;0),F13*N28,0)+IF(AND(Zone3neu,G13&gt;0),G13*O28,0)+IF(AND(Zone4neu,H13&gt;0),H13*P28,0))/EBFneu,)</f>
        <v>0</v>
      </c>
    </row>
    <row r="29" spans="1:30" ht="17.45" hidden="1" customHeight="1">
      <c r="A29" s="874"/>
      <c r="B29" s="891" t="s">
        <v>1461</v>
      </c>
      <c r="C29" s="892"/>
      <c r="D29" s="893" t="s">
        <v>804</v>
      </c>
      <c r="E29" s="894" t="str">
        <f>IF(AND(Zone1neu,E13&gt;0),(E27+E26)*E28/100,"")</f>
        <v/>
      </c>
      <c r="F29" s="894" t="str">
        <f>IF(AND(Zone2neu,F13&gt;0),(F27+F26)*F28/100,"")</f>
        <v/>
      </c>
      <c r="G29" s="894" t="str">
        <f>IF(AND(Zone3neu,G13&gt;0),(G27+G26)*G28/100,"")</f>
        <v/>
      </c>
      <c r="H29" s="894" t="str">
        <f>IF(AND(Zone4neu,H13&gt;0),(H27+H26)*H28/100,"")</f>
        <v/>
      </c>
      <c r="I29" s="892"/>
      <c r="J29" s="895">
        <f>IF(EBFneu&gt;0,(IF(AND(Zone1neu,E13&gt;0),E13*E29,0)+IF(AND(Zone2neu,F13&gt;0),F13*F29,0)+IF(AND(Zone3neu,G13&gt;0),G13*G29,0)+IF(AND(Zone4neu,H13&gt;0),H13*H29,0))/EBFneu,)</f>
        <v>0</v>
      </c>
      <c r="M29" s="897">
        <f>E20</f>
        <v>0</v>
      </c>
      <c r="N29" s="854">
        <f>F20</f>
        <v>0</v>
      </c>
      <c r="O29" s="854">
        <f>G20</f>
        <v>0</v>
      </c>
      <c r="P29" s="854">
        <f>H20</f>
        <v>0</v>
      </c>
      <c r="Q29" s="855"/>
      <c r="R29" s="856">
        <f>IF(EBFneu&gt;0,(IF(AND(Zone1neu,E13&gt;0),E13*M29,0)+IF(AND(Zone2neu,F13&gt;0),F13*N29,0)+IF(AND(Zone3neu,G13&gt;0),G13*O29,0)+IF(AND(Zone4neu,G13&gt;0),H13*P29,0))/EBFneu,)</f>
        <v>0</v>
      </c>
      <c r="Z29" s="669"/>
    </row>
    <row r="30" spans="1:30" ht="17.45" customHeight="1">
      <c r="A30" s="874"/>
      <c r="B30" s="808"/>
      <c r="C30" s="808"/>
      <c r="D30" s="808"/>
      <c r="E30" s="808"/>
      <c r="F30" s="808"/>
      <c r="G30" s="808"/>
      <c r="H30" s="808"/>
      <c r="I30" s="808"/>
      <c r="J30" s="808"/>
      <c r="M30" s="871">
        <f>IF(EBF&gt;0,2*Technik!M16*3.6/EBFneu,0)</f>
        <v>0</v>
      </c>
      <c r="N30" s="868">
        <f>IF(AND(Zone2neu,Z18&lt;&gt;1),IF(EBF&gt;0,2*Technik!M16*3.6/EBFneu,0),)</f>
        <v>0</v>
      </c>
      <c r="O30" s="868">
        <f>IF(AND(Zone3neu,Z19&lt;&gt;1),IF(EBF&gt;0,2*Technik!M16*3.6/EBFneu,0),)</f>
        <v>0</v>
      </c>
      <c r="P30" s="868">
        <f>IF(AND(Zone4neu,Z20&lt;&gt;1),IF(EBF&gt;0,2*Technik!M16*3.6/EBFneu,0),)</f>
        <v>0</v>
      </c>
      <c r="Q30" s="869"/>
      <c r="R30" s="870">
        <f>IF(EBFneu&gt;0,(IF(AND(Zone1neu,E13&gt;0),E13*M30,0)+IF(AND(Zone2neu,F13&gt;0),F13*N30,0)+IF(AND(Zone3neu,G13&gt;0),G13*O30,0)+IF(AND(Zone4neu,H13&gt;0),H13*P30,0))/EBFneu,)</f>
        <v>0</v>
      </c>
      <c r="Z30" s="669"/>
    </row>
    <row r="31" spans="1:30" ht="17.45" customHeight="1">
      <c r="A31" s="874"/>
      <c r="B31" s="883" t="s">
        <v>533</v>
      </c>
      <c r="C31" s="884"/>
      <c r="D31" s="898"/>
      <c r="E31" s="888">
        <v>1</v>
      </c>
      <c r="F31" s="888">
        <v>2</v>
      </c>
      <c r="G31" s="888">
        <v>3</v>
      </c>
      <c r="H31" s="888">
        <v>4</v>
      </c>
      <c r="I31" s="889"/>
      <c r="J31" s="890" t="s">
        <v>673</v>
      </c>
      <c r="M31" s="900">
        <f>SUM(M27:M30)</f>
        <v>0</v>
      </c>
      <c r="N31" s="894">
        <f>SUM(N27:N30)</f>
        <v>0</v>
      </c>
      <c r="O31" s="894">
        <f>SUM(O27:O30)</f>
        <v>0</v>
      </c>
      <c r="P31" s="894">
        <f>SUM(P27:P30)</f>
        <v>0</v>
      </c>
      <c r="Q31" s="901"/>
      <c r="R31" s="902">
        <f>IF(EBFneu&gt;0,(IF(AND(Zone1neu,E13&gt;0),E13*M31,0)+IF(AND(Zone2neu,F13&gt;0),F13*N31,0)+IF(AND(Zone3neu,G13&gt;0),G13*O31,0)+IF(AND(Zone4neu,H13&gt;0),H13*P31,0))/EBFneu,)</f>
        <v>0</v>
      </c>
    </row>
    <row r="32" spans="1:30" ht="17.45" hidden="1" customHeight="1">
      <c r="A32" s="874"/>
      <c r="B32" s="834" t="s">
        <v>1462</v>
      </c>
      <c r="C32" s="840" t="s">
        <v>1245</v>
      </c>
      <c r="D32" s="838" t="s">
        <v>804</v>
      </c>
      <c r="E32" s="839">
        <f>IF(UPPER(E11)="JA",E15/10,0)</f>
        <v>0</v>
      </c>
      <c r="F32" s="839">
        <f>IF(UPPER(F11)="JA",F15/10,0)</f>
        <v>0</v>
      </c>
      <c r="G32" s="839">
        <f>IF(UPPER(G11)="JA",G15/10,0)</f>
        <v>0</v>
      </c>
      <c r="H32" s="839">
        <f>IF(UPPER(H11)="JA",H15/10,0)</f>
        <v>0</v>
      </c>
      <c r="I32" s="840"/>
      <c r="J32" s="841">
        <f>IF(J$13=0,0,(E32*E$13+F32*F$13+G32*G$13+H32*H$13)/J$13)</f>
        <v>0</v>
      </c>
      <c r="L32" s="899"/>
    </row>
    <row r="33" spans="1:10" ht="17.45" customHeight="1">
      <c r="A33" s="874"/>
      <c r="B33" s="834" t="s">
        <v>1608</v>
      </c>
      <c r="C33" s="840" t="s">
        <v>1246</v>
      </c>
      <c r="D33" s="838" t="s">
        <v>804</v>
      </c>
      <c r="E33" s="854" t="str">
        <f>IF(Zone1neu,IF(E13=0,"",IF(AND(Zone1neu,AEBF1=0),"A/EBF ?",(E32+E15)*(1+E16))),"")</f>
        <v/>
      </c>
      <c r="F33" s="854" t="str">
        <f>IF(Zone2neu,IF(F13=0,"",IF(AND(Zone2neu,AEBF2=0),"A/EBF ?",(F32+F15)*(1+F16))),"")</f>
        <v/>
      </c>
      <c r="G33" s="854" t="str">
        <f>IF(Zone3neu,IF(G13=0,"",IF(AND(Zone3neu,AEBF3=0),"A/EBF ?",(G32+G15)*(1+G16))),"")</f>
        <v/>
      </c>
      <c r="H33" s="854" t="str">
        <f>IF(Zone4neu,IF(H13=0,"",IF(AND(Zone4neu,AEBF4=0),"A/EBF ?",(H32+H15)*(1+H16))),"")</f>
        <v/>
      </c>
      <c r="I33" s="855"/>
      <c r="J33" s="856">
        <f>IF(EBFneu&gt;0,(IF(AND(Zone1neu,E13&gt;0),E13*E33,0)+IF(AND(Zone2neu,F13&gt;0),F13*F33,0)+IF(AND(Zone3neu,G13&gt;0),G13*G33,0)+IF(AND(Zone4neu,H13&gt;0),H13*H33,0))/EBFneu,)</f>
        <v>0</v>
      </c>
    </row>
    <row r="34" spans="1:10" ht="17.45" customHeight="1">
      <c r="A34" s="874"/>
      <c r="B34" s="834" t="s">
        <v>1700</v>
      </c>
      <c r="C34" s="840" t="s">
        <v>1247</v>
      </c>
      <c r="D34" s="838" t="s">
        <v>804</v>
      </c>
      <c r="E34" s="854" t="str">
        <f>IF(Zone1neu,IF(E13=0,"",E20*(1+E21)),"")</f>
        <v/>
      </c>
      <c r="F34" s="854" t="str">
        <f>IF(Zone2neu,IF(F13=0,"",F20*(1+F21)),"")</f>
        <v/>
      </c>
      <c r="G34" s="854" t="str">
        <f>IF(Zone3neu,IF(G13=0,"",G20*(1+G21)),"")</f>
        <v/>
      </c>
      <c r="H34" s="854" t="str">
        <f>IF(Zone4neu,IF(H13=0,"",H20*(1+H21)),"")</f>
        <v/>
      </c>
      <c r="I34" s="855"/>
      <c r="J34" s="856">
        <f>IF(EBFneu&gt;0,(IF(AND(Zone1neu,E13&gt;0),E13*E34,0)+IF(AND(Zone2neu,F13&gt;0),F13*F34,0)+IF(AND(Zone3neu,G13&gt;0),G13*G34,0)+IF(AND(Zone4neu,H13&gt;0),H13*H34,0))/EBFneu,)</f>
        <v>0</v>
      </c>
    </row>
    <row r="35" spans="1:10" ht="17.45" customHeight="1">
      <c r="A35" s="874"/>
      <c r="B35" s="866" t="s">
        <v>1463</v>
      </c>
      <c r="C35" s="903" t="s">
        <v>1248</v>
      </c>
      <c r="D35" s="867" t="s">
        <v>804</v>
      </c>
      <c r="E35" s="868">
        <f>IF(EBFneu&gt;0,2*Technik!M16*3.6/EBFneu,0)</f>
        <v>0</v>
      </c>
      <c r="F35" s="868">
        <f>IF(AND(Zone2neu,Z18&lt;&gt;1),IF(EBFneu&gt;0,2*Technik!M16*3.6/EBFneu,0),)</f>
        <v>0</v>
      </c>
      <c r="G35" s="868">
        <f>IF(AND(Zone3neu,Z19&lt;&gt;1),IF(EBFneu&gt;0,2*Technik!M16*3.6/EBFneu,0),)</f>
        <v>0</v>
      </c>
      <c r="H35" s="868">
        <f>IF(AND(Zone4neu,Z20&lt;&gt;1),IF(EBFneu&gt;0,2*Technik!M16*3.6/EBFneu,0),)</f>
        <v>0</v>
      </c>
      <c r="I35" s="869"/>
      <c r="J35" s="870">
        <f>IF(EBFneu&gt;0,(IF(AND(Zone1neu,E13&gt;0),E13*E35,0)+IF(AND(Zone2neu,F13&gt;0),F13*F35,0)+IF(AND(Zone3neu,G13&gt;0),G13*G35,0)+IF(AND(Zone4neu,H13&gt;0),H13*H35,0))/EBFneu,)</f>
        <v>0</v>
      </c>
    </row>
    <row r="36" spans="1:10" ht="17.45" customHeight="1">
      <c r="A36" s="874"/>
      <c r="B36" s="891" t="s">
        <v>1464</v>
      </c>
      <c r="C36" s="892"/>
      <c r="D36" s="893" t="s">
        <v>804</v>
      </c>
      <c r="E36" s="894">
        <f>SUM(E32:E35)</f>
        <v>0</v>
      </c>
      <c r="F36" s="894">
        <f>SUM(F32:F35)</f>
        <v>0</v>
      </c>
      <c r="G36" s="894">
        <f>SUM(G32:G35)</f>
        <v>0</v>
      </c>
      <c r="H36" s="894">
        <f>SUM(H32:H35)</f>
        <v>0</v>
      </c>
      <c r="I36" s="901"/>
      <c r="J36" s="902">
        <f>IF(EBFneu&gt;0,(IF(AND(Zone1neu,E13&gt;0),E13*E36,0)+IF(AND(Zone2neu,F13&gt;0),F13*F36,0)+IF(AND(Zone3neu,G13&gt;0),G13*G36,0)+IF(AND(Zone4neu,H13&gt;0),H13*H36,0))/EBFneu,)</f>
        <v>0</v>
      </c>
    </row>
    <row r="37" spans="1:10" ht="17.45" customHeight="1">
      <c r="A37" s="874"/>
      <c r="B37" s="808"/>
      <c r="C37" s="808"/>
      <c r="D37" s="808"/>
      <c r="E37" s="808"/>
      <c r="F37" s="808"/>
      <c r="G37" s="808"/>
      <c r="H37" s="808"/>
      <c r="I37" s="808"/>
      <c r="J37" s="808"/>
    </row>
    <row r="38" spans="1:10" ht="17.45" customHeight="1">
      <c r="A38" s="874"/>
      <c r="B38" s="824" t="s">
        <v>1465</v>
      </c>
      <c r="C38" s="813"/>
      <c r="D38" s="904" t="s">
        <v>1466</v>
      </c>
      <c r="E38" s="904" t="s">
        <v>1467</v>
      </c>
      <c r="F38" s="904" t="s">
        <v>1468</v>
      </c>
      <c r="G38" s="905" t="s">
        <v>1469</v>
      </c>
      <c r="H38" s="813"/>
      <c r="I38" s="813"/>
      <c r="J38" s="814"/>
    </row>
    <row r="39" spans="1:10" ht="17.45" customHeight="1">
      <c r="A39" s="874"/>
      <c r="B39" s="834" t="s">
        <v>483</v>
      </c>
      <c r="C39" s="835"/>
      <c r="D39" s="838" t="s">
        <v>1470</v>
      </c>
      <c r="E39" s="839">
        <f>(R28*Technik!P46/100+R29*Technik!Q46/100)*EBFneu/3.6</f>
        <v>0</v>
      </c>
      <c r="F39" s="839">
        <f>-Technik!R54*Qhneu/3.6/100*EBFneu</f>
        <v>0</v>
      </c>
      <c r="G39" s="906">
        <f>E39+2*F39</f>
        <v>0</v>
      </c>
      <c r="H39" s="907" t="s">
        <v>1471</v>
      </c>
      <c r="I39" s="817"/>
      <c r="J39" s="908"/>
    </row>
    <row r="40" spans="1:10" ht="17.45" customHeight="1">
      <c r="A40" s="874"/>
      <c r="B40" s="834" t="s">
        <v>648</v>
      </c>
      <c r="C40" s="835"/>
      <c r="D40" s="838" t="s">
        <v>1470</v>
      </c>
      <c r="E40" s="839">
        <f>(IF(Technik!I32,(R28*Technik!P32/100),0)+IF(Technik!I35,(R29*Technik!Q35/100),0))*EBFneu/3.6</f>
        <v>0</v>
      </c>
      <c r="F40" s="839">
        <f>-((IF(Technik!I32,R28*Technik!R32/100,0)+IF(Technik!I35,R29*Technik!S35/100,0))*EBFneu/3.6)</f>
        <v>0</v>
      </c>
      <c r="G40" s="906">
        <f>E40+2*F40</f>
        <v>0</v>
      </c>
      <c r="H40" s="907" t="s">
        <v>1472</v>
      </c>
      <c r="I40" s="817"/>
      <c r="J40" s="908"/>
    </row>
    <row r="41" spans="1:10" ht="17.45" customHeight="1">
      <c r="A41" s="874"/>
      <c r="B41" s="834" t="s">
        <v>487</v>
      </c>
      <c r="C41" s="835"/>
      <c r="D41" s="838" t="s">
        <v>1470</v>
      </c>
      <c r="E41" s="839">
        <f>(R28*Technik!P24/100+R29*Technik!Q24/100)*EBFneu/3.6</f>
        <v>0</v>
      </c>
      <c r="F41" s="839"/>
      <c r="G41" s="906">
        <f>E41</f>
        <v>0</v>
      </c>
      <c r="H41" s="907" t="s">
        <v>1473</v>
      </c>
      <c r="I41" s="817"/>
      <c r="J41" s="908"/>
    </row>
    <row r="42" spans="1:10" ht="17.45" customHeight="1">
      <c r="A42" s="874"/>
      <c r="B42" s="834" t="s">
        <v>230</v>
      </c>
      <c r="C42" s="835"/>
      <c r="D42" s="838" t="s">
        <v>1470</v>
      </c>
      <c r="E42" s="839">
        <f>((R28*Technik!P57/100+R29*Technik!Q57/100)*EBFneu/3.6)</f>
        <v>0</v>
      </c>
      <c r="F42" s="839">
        <f>-((R28*Technik!R57/100+R29*Technik!S57/100)*EBFneu/3.6)</f>
        <v>0</v>
      </c>
      <c r="G42" s="906">
        <f>E42+2*F42</f>
        <v>0</v>
      </c>
      <c r="H42" s="689" t="s">
        <v>1474</v>
      </c>
      <c r="I42" s="817"/>
      <c r="J42" s="908"/>
    </row>
    <row r="43" spans="1:10" ht="17.45" customHeight="1">
      <c r="A43" s="874"/>
      <c r="B43" s="834" t="s">
        <v>1609</v>
      </c>
      <c r="C43" s="835"/>
      <c r="D43" s="838" t="s">
        <v>1470</v>
      </c>
      <c r="E43" s="839">
        <f>(R28/100*(Technik!P41+Technik!P29+Technik!P38)+R29/100*(Technik!Q41+Technik!Q29+Technik!Q38))*EBFneu/3.6</f>
        <v>0</v>
      </c>
      <c r="F43" s="839">
        <f>-(R28/100*(Technik!R41+Technik!R29+Technik!R38)+R29/100*(Technik!S41+Technik!S29+Technik!S38))*EBFneu/3.6</f>
        <v>0</v>
      </c>
      <c r="G43" s="906">
        <f>E43+2*F43</f>
        <v>0</v>
      </c>
      <c r="H43" s="907"/>
      <c r="I43" s="817"/>
      <c r="J43" s="908"/>
    </row>
    <row r="44" spans="1:10" ht="10.15" customHeight="1">
      <c r="A44" s="874"/>
      <c r="B44" s="891" t="s">
        <v>1475</v>
      </c>
      <c r="C44" s="892"/>
      <c r="D44" s="893" t="s">
        <v>1470</v>
      </c>
      <c r="E44" s="909"/>
      <c r="F44" s="909"/>
      <c r="G44" s="910">
        <f>SUM(G39:G43)</f>
        <v>0</v>
      </c>
      <c r="H44" s="911" t="s">
        <v>804</v>
      </c>
      <c r="I44" s="892"/>
      <c r="J44" s="912">
        <f>IF(J13,G44*3.6/J13,0)</f>
        <v>0</v>
      </c>
    </row>
    <row r="45" spans="1:10" ht="17.45" customHeight="1">
      <c r="A45" s="874"/>
      <c r="B45" s="808"/>
      <c r="C45" s="808"/>
      <c r="D45" s="808"/>
      <c r="E45" s="808"/>
      <c r="F45" s="808"/>
      <c r="G45" s="808"/>
      <c r="H45" s="808"/>
      <c r="I45" s="808"/>
      <c r="J45" s="808"/>
    </row>
    <row r="46" spans="1:10" ht="17.45" customHeight="1">
      <c r="A46" s="874"/>
      <c r="B46" s="913" t="s">
        <v>1476</v>
      </c>
      <c r="C46" s="892"/>
      <c r="D46" s="914"/>
      <c r="E46" s="892"/>
      <c r="F46" s="892"/>
      <c r="G46" s="892"/>
      <c r="H46" s="914" t="s">
        <v>804</v>
      </c>
      <c r="I46" s="892"/>
      <c r="J46" s="895">
        <f>J36-J44</f>
        <v>0</v>
      </c>
    </row>
    <row r="47" spans="1:10">
      <c r="B47" s="808"/>
      <c r="C47" s="808"/>
      <c r="D47" s="808"/>
      <c r="E47" s="808"/>
      <c r="F47" s="808"/>
      <c r="G47" s="808"/>
      <c r="H47" s="808"/>
      <c r="I47" s="808"/>
      <c r="J47" s="808"/>
    </row>
    <row r="48" spans="1:10" ht="15">
      <c r="B48" s="824" t="s">
        <v>1477</v>
      </c>
      <c r="C48" s="813"/>
      <c r="D48" s="875"/>
      <c r="E48" s="876" t="s">
        <v>1478</v>
      </c>
      <c r="F48" s="875"/>
      <c r="G48" s="877" t="s">
        <v>1479</v>
      </c>
      <c r="H48" s="813"/>
      <c r="I48" s="813"/>
      <c r="J48" s="878"/>
    </row>
    <row r="49" spans="2:10">
      <c r="B49" s="820" t="s">
        <v>1476</v>
      </c>
      <c r="C49" s="821"/>
      <c r="D49" s="879" t="s">
        <v>804</v>
      </c>
      <c r="E49" s="880">
        <f>J29</f>
        <v>0</v>
      </c>
      <c r="F49" s="879" t="s">
        <v>1480</v>
      </c>
      <c r="G49" s="881">
        <f>J46</f>
        <v>0</v>
      </c>
      <c r="H49" s="821"/>
      <c r="I49" s="821"/>
      <c r="J49" s="882" t="str">
        <f>IF(G49&gt;E49,"Nicht erfüllt","i.O.")</f>
        <v>i.O.</v>
      </c>
    </row>
  </sheetData>
  <sheetProtection password="C9AE" sheet="1" objects="1" scenarios="1"/>
  <phoneticPr fontId="0" type="noConversion"/>
  <conditionalFormatting sqref="B37:J37">
    <cfRule type="expression" dxfId="49" priority="1" stopIfTrue="1">
      <formula>"$j$7=3"</formula>
    </cfRule>
  </conditionalFormatting>
  <conditionalFormatting sqref="F12:F15">
    <cfRule type="expression" dxfId="48" priority="3" stopIfTrue="1">
      <formula>Z$18=1</formula>
    </cfRule>
  </conditionalFormatting>
  <conditionalFormatting sqref="G12:G15">
    <cfRule type="expression" dxfId="47" priority="4" stopIfTrue="1">
      <formula>Z$19=1</formula>
    </cfRule>
  </conditionalFormatting>
  <conditionalFormatting sqref="H12:H15">
    <cfRule type="expression" dxfId="46" priority="5" stopIfTrue="1">
      <formula>Z$20=1</formula>
    </cfRule>
  </conditionalFormatting>
  <conditionalFormatting sqref="B38:J49 B25:J36">
    <cfRule type="expression" dxfId="45" priority="2" stopIfTrue="1">
      <formula>$J$8=3</formula>
    </cfRule>
  </conditionalFormatting>
  <conditionalFormatting sqref="J7 F10:H11">
    <cfRule type="cellIs" dxfId="44" priority="11" stopIfTrue="1" operator="notEqual">
      <formula>""</formula>
    </cfRule>
  </conditionalFormatting>
  <dataValidations count="3">
    <dataValidation type="list" allowBlank="1" showInputMessage="1" showErrorMessage="1" sqref="J7">
      <formula1>$M$7:$M$9</formula1>
    </dataValidation>
    <dataValidation type="list" allowBlank="1" showInputMessage="1" showErrorMessage="1" sqref="F10:H10">
      <formula1>$Z$2:$Z$14</formula1>
    </dataValidation>
    <dataValidation type="list" allowBlank="1" showInputMessage="1" showErrorMessage="1" sqref="F11:H11">
      <formula1>$X$17:$X$20</formula1>
    </dataValidation>
  </dataValidations>
  <pageMargins left="0.82" right="0.27559055118110237" top="0.88" bottom="0.51181102362204722" header="0.47244094488188981" footer="0.31496062992125984"/>
  <pageSetup paperSize="9" orientation="portrait" r:id="rId1"/>
  <headerFooter alignWithMargins="0">
    <oddFooter xml:space="preserve">&amp;L&amp;"Times New Roman,Kursiv"&amp;6Huber Energietechnik, AG Zürich  &amp;C&amp;6&amp;F  &amp;R&amp;"Times New Roman,Kursiv"&amp;6ENTECH 380/1, Ver. 5.4
</oddFooter>
  </headerFooter>
  <rowBreaks count="1" manualBreakCount="1">
    <brk id="49"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X134"/>
  <sheetViews>
    <sheetView showZeros="0" zoomScaleNormal="100" workbookViewId="0"/>
  </sheetViews>
  <sheetFormatPr baseColWidth="10" defaultColWidth="11.5703125" defaultRowHeight="12.75"/>
  <cols>
    <col min="1" max="3" width="2.5703125" style="27" customWidth="1"/>
    <col min="4" max="4" width="14.140625" style="27" customWidth="1"/>
    <col min="5" max="5" width="2.5703125" style="27" customWidth="1"/>
    <col min="6" max="6" width="12.28515625" style="27" customWidth="1"/>
    <col min="7" max="7" width="2.7109375" style="27" customWidth="1"/>
    <col min="8" max="8" width="9.7109375" style="27" customWidth="1"/>
    <col min="9" max="9" width="7.42578125" style="27" customWidth="1"/>
    <col min="10" max="10" width="2.7109375" style="27" customWidth="1"/>
    <col min="11" max="13" width="9.7109375" style="27" customWidth="1"/>
    <col min="14" max="14" width="7.140625" style="27" customWidth="1"/>
    <col min="15" max="15" width="3.28515625" style="27" customWidth="1"/>
    <col min="16" max="16" width="8.7109375" style="28" hidden="1" customWidth="1"/>
    <col min="17" max="19" width="9.5703125" style="28" hidden="1" customWidth="1"/>
    <col min="20" max="23" width="11.5703125" style="27" hidden="1" customWidth="1"/>
    <col min="24" max="24" width="0" style="27" hidden="1" customWidth="1"/>
    <col min="25" max="16384" width="11.5703125" style="27"/>
  </cols>
  <sheetData>
    <row r="1" spans="2:14">
      <c r="B1" s="49" t="str">
        <f>Projekt!B1</f>
        <v>Programme Entech 380/1, Ver. 6.1, BFE/EnFK-Zert.-Nr. 1639, SIA 380/1 (Edition 2016)</v>
      </c>
      <c r="E1" s="342"/>
      <c r="M1" s="2535">
        <f ca="1">NOW()</f>
        <v>43566.628989236109</v>
      </c>
      <c r="N1" s="2531"/>
    </row>
    <row r="2" spans="2:14">
      <c r="B2" s="2534">
        <f>Projekt!E5</f>
        <v>0</v>
      </c>
      <c r="C2" s="2534"/>
      <c r="D2" s="2534"/>
      <c r="E2" s="2534"/>
      <c r="F2" s="2534"/>
      <c r="G2" s="2534"/>
      <c r="M2" s="2530" t="str">
        <f>"Qh= "&amp;ROUND(Qhneu,1)&amp;" MJ/m2"</f>
        <v>Qh= 0 MJ/m2</v>
      </c>
      <c r="N2" s="2530"/>
    </row>
    <row r="3" spans="2:14" ht="35.450000000000003" customHeight="1">
      <c r="B3" s="372" t="s">
        <v>2317</v>
      </c>
    </row>
    <row r="5" spans="2:14" ht="15.6" customHeight="1">
      <c r="B5" s="365" t="s">
        <v>920</v>
      </c>
    </row>
    <row r="6" spans="2:14" ht="15.6" customHeight="1">
      <c r="B6" s="511" t="s">
        <v>1023</v>
      </c>
      <c r="K6" s="28" t="s">
        <v>561</v>
      </c>
      <c r="L6" s="28" t="s">
        <v>562</v>
      </c>
      <c r="M6" s="28" t="s">
        <v>2316</v>
      </c>
      <c r="N6" s="28"/>
    </row>
    <row r="7" spans="2:14" ht="15.6" hidden="1" customHeight="1">
      <c r="B7" s="27" t="s">
        <v>1142</v>
      </c>
      <c r="K7" s="264"/>
      <c r="L7" s="428"/>
      <c r="M7" s="264"/>
      <c r="N7" s="171" t="s">
        <v>1041</v>
      </c>
    </row>
    <row r="8" spans="2:14" ht="15.6" customHeight="1">
      <c r="B8" s="27" t="s">
        <v>1144</v>
      </c>
      <c r="K8" s="264"/>
      <c r="L8" s="428"/>
      <c r="M8" s="275"/>
      <c r="N8" s="171" t="s">
        <v>1181</v>
      </c>
    </row>
    <row r="9" spans="2:14" ht="15" customHeight="1">
      <c r="B9" s="27" t="s">
        <v>133</v>
      </c>
      <c r="H9" s="148" t="str">
        <f>IF(SUM(K9:M9)&gt;168,"Summe &gt; 168 h","")</f>
        <v/>
      </c>
      <c r="K9" s="264"/>
      <c r="L9" s="428"/>
      <c r="M9" s="275"/>
      <c r="N9" s="171" t="s">
        <v>1125</v>
      </c>
    </row>
    <row r="10" spans="2:14" ht="4.1500000000000004" customHeight="1"/>
    <row r="11" spans="2:14" ht="15.6" hidden="1" customHeight="1">
      <c r="B11" s="27" t="s">
        <v>1645</v>
      </c>
      <c r="K11" s="223" t="e">
        <f>EBF0*Vmech</f>
        <v>#NAME?</v>
      </c>
      <c r="L11" s="27" t="s">
        <v>1041</v>
      </c>
      <c r="M11" s="369">
        <f>IF(AND((K9+L9+M9)&gt;0,EBF0&gt;0),(K7*K9+L7*L9+M7*M9)/(K9+L9+M9)/EBF0,0)</f>
        <v>0</v>
      </c>
      <c r="N11" s="27" t="s">
        <v>1165</v>
      </c>
    </row>
    <row r="12" spans="2:14" ht="15.6" hidden="1" customHeight="1">
      <c r="B12" s="27" t="s">
        <v>1145</v>
      </c>
      <c r="K12" s="425"/>
      <c r="M12" s="426">
        <f>K12</f>
        <v>0</v>
      </c>
    </row>
    <row r="13" spans="2:14" ht="15.6" hidden="1" customHeight="1">
      <c r="B13" s="27" t="s">
        <v>178</v>
      </c>
      <c r="K13" s="23">
        <v>0</v>
      </c>
      <c r="L13" s="27" t="s">
        <v>1644</v>
      </c>
      <c r="M13" s="369">
        <f>IF(K13&lt;&gt;"",IF(Raumhöhe&gt;0,MAX(K13*Raumhöhe*0.8,0),0),0.1)</f>
        <v>0</v>
      </c>
      <c r="N13" s="27" t="s">
        <v>1165</v>
      </c>
    </row>
    <row r="14" spans="2:14" ht="15.6" hidden="1" customHeight="1">
      <c r="B14" s="27" t="s">
        <v>1775</v>
      </c>
      <c r="K14" s="23"/>
      <c r="L14" s="27" t="s">
        <v>1644</v>
      </c>
      <c r="M14" s="369">
        <f>IF(K14&lt;&gt;"",IF(Raumhöhe&gt;0,MAX(K14*Raumhöhe*0.8,0.12),0.48),IF(Raumhöhe&gt;0,Raumhöhe*0.2*0.8,0.48))</f>
        <v>0.48</v>
      </c>
      <c r="N14" s="27" t="s">
        <v>1165</v>
      </c>
    </row>
    <row r="15" spans="2:14" ht="15.6" hidden="1" customHeight="1">
      <c r="B15" s="27" t="s">
        <v>1040</v>
      </c>
      <c r="K15" s="369">
        <f>IF(Raumhöhe&gt;0,Vth/0.8/Raumhöhe,)</f>
        <v>0</v>
      </c>
      <c r="L15" s="27" t="s">
        <v>1644</v>
      </c>
      <c r="M15" s="369">
        <f>IF(AND(EBF&gt;0,(K9+L9+M9)&gt;0),(Vmech*(1-WRG)+VX)*(K9+L9+M9)/168+(V0*(1-(K9+L9+M9)/168)),0)</f>
        <v>0</v>
      </c>
      <c r="N15" s="27" t="s">
        <v>1165</v>
      </c>
    </row>
    <row r="16" spans="2:14" ht="15" customHeight="1">
      <c r="B16" s="27" t="s">
        <v>1143</v>
      </c>
      <c r="M16" s="185">
        <f>(K8*K9+L8*L9+M8*M9)/168/1000*24*365</f>
        <v>0</v>
      </c>
      <c r="N16" s="27" t="s">
        <v>1470</v>
      </c>
    </row>
    <row r="17" spans="2:23" ht="13.15" customHeight="1" thickBot="1">
      <c r="B17" s="373"/>
      <c r="C17" s="373"/>
      <c r="D17" s="373"/>
      <c r="E17" s="373"/>
      <c r="F17" s="373"/>
      <c r="G17" s="373"/>
      <c r="H17" s="373"/>
      <c r="I17" s="373"/>
      <c r="J17" s="373"/>
      <c r="K17" s="373"/>
      <c r="L17" s="373"/>
      <c r="M17" s="373"/>
      <c r="N17" s="373"/>
      <c r="O17" s="30"/>
      <c r="P17" s="2531"/>
      <c r="Q17" s="2531"/>
    </row>
    <row r="18" spans="2:23" ht="13.5" thickTop="1"/>
    <row r="19" spans="2:23" ht="15.75">
      <c r="B19" s="365" t="s">
        <v>1024</v>
      </c>
      <c r="L19" s="2531" t="s">
        <v>1026</v>
      </c>
      <c r="M19" s="2531"/>
      <c r="P19" s="2532" t="s">
        <v>507</v>
      </c>
      <c r="Q19" s="2533"/>
      <c r="R19" s="2532" t="s">
        <v>509</v>
      </c>
      <c r="S19" s="2533"/>
    </row>
    <row r="20" spans="2:23">
      <c r="L20" s="28" t="s">
        <v>485</v>
      </c>
      <c r="M20" s="342" t="s">
        <v>486</v>
      </c>
      <c r="P20" s="316" t="s">
        <v>485</v>
      </c>
      <c r="Q20" s="642" t="s">
        <v>508</v>
      </c>
      <c r="R20" s="229" t="s">
        <v>485</v>
      </c>
      <c r="S20" s="642" t="s">
        <v>508</v>
      </c>
    </row>
    <row r="21" spans="2:23">
      <c r="B21" s="106" t="s">
        <v>556</v>
      </c>
      <c r="H21" s="37" t="s">
        <v>1025</v>
      </c>
      <c r="I21" s="262"/>
      <c r="J21" s="27" t="s">
        <v>1760</v>
      </c>
      <c r="L21" s="263"/>
      <c r="M21" s="262"/>
      <c r="N21" s="27" t="s">
        <v>1760</v>
      </c>
      <c r="P21" s="639">
        <v>0</v>
      </c>
      <c r="Q21" s="643">
        <v>0</v>
      </c>
      <c r="R21" s="644">
        <v>0</v>
      </c>
      <c r="S21" s="640">
        <v>0</v>
      </c>
    </row>
    <row r="22" spans="2:23" ht="13.9" customHeight="1">
      <c r="D22" s="27" t="s">
        <v>1027</v>
      </c>
      <c r="P22" s="327"/>
      <c r="Q22" s="645"/>
      <c r="R22" s="646"/>
      <c r="S22" s="62"/>
    </row>
    <row r="23" spans="2:23">
      <c r="P23" s="327"/>
      <c r="Q23" s="645"/>
      <c r="R23" s="646"/>
      <c r="S23" s="62"/>
    </row>
    <row r="24" spans="2:23">
      <c r="B24" s="106" t="s">
        <v>229</v>
      </c>
      <c r="H24" s="37" t="s">
        <v>1025</v>
      </c>
      <c r="I24" s="27">
        <v>100</v>
      </c>
      <c r="J24" s="27" t="s">
        <v>1760</v>
      </c>
      <c r="L24" s="263"/>
      <c r="M24" s="262"/>
      <c r="N24" s="27" t="s">
        <v>1760</v>
      </c>
      <c r="P24" s="639">
        <f>L24</f>
        <v>0</v>
      </c>
      <c r="Q24" s="643">
        <f>M24</f>
        <v>0</v>
      </c>
      <c r="R24" s="644">
        <v>0</v>
      </c>
      <c r="S24" s="640">
        <v>0</v>
      </c>
    </row>
    <row r="25" spans="2:23">
      <c r="D25" s="342" t="s">
        <v>1027</v>
      </c>
      <c r="E25" s="2529"/>
      <c r="F25" s="2529"/>
      <c r="G25" s="2529"/>
      <c r="H25" s="2529"/>
      <c r="P25" s="327"/>
      <c r="Q25" s="645"/>
      <c r="R25" s="646"/>
      <c r="S25" s="62"/>
    </row>
    <row r="26" spans="2:23">
      <c r="P26" s="327"/>
      <c r="Q26" s="645"/>
      <c r="R26" s="646"/>
      <c r="S26" s="62"/>
      <c r="T26" s="71"/>
      <c r="U26" s="71"/>
    </row>
    <row r="27" spans="2:23">
      <c r="B27" s="106" t="s">
        <v>557</v>
      </c>
      <c r="H27" s="37" t="s">
        <v>1025</v>
      </c>
      <c r="I27" s="27">
        <v>100</v>
      </c>
      <c r="J27" s="27" t="s">
        <v>1760</v>
      </c>
      <c r="L27" s="263"/>
      <c r="M27" s="262"/>
      <c r="N27" s="27" t="s">
        <v>1760</v>
      </c>
      <c r="P27" s="639">
        <v>0</v>
      </c>
      <c r="Q27" s="643">
        <v>0</v>
      </c>
      <c r="R27" s="644">
        <f>L27</f>
        <v>0</v>
      </c>
      <c r="S27" s="640">
        <f>M27</f>
        <v>0</v>
      </c>
      <c r="T27" s="71"/>
      <c r="U27" s="71"/>
      <c r="W27" s="51"/>
    </row>
    <row r="28" spans="2:23">
      <c r="P28" s="327"/>
      <c r="Q28" s="645"/>
      <c r="R28" s="646"/>
      <c r="S28" s="62"/>
      <c r="T28" s="71"/>
    </row>
    <row r="29" spans="2:23">
      <c r="B29" s="106" t="s">
        <v>558</v>
      </c>
      <c r="H29" s="37" t="s">
        <v>1025</v>
      </c>
      <c r="I29" s="262"/>
      <c r="J29" s="27" t="s">
        <v>1760</v>
      </c>
      <c r="L29" s="263"/>
      <c r="M29" s="262"/>
      <c r="N29" s="27" t="s">
        <v>1760</v>
      </c>
      <c r="P29" s="639">
        <f>IF(OR(T34=0,U32),,L29)</f>
        <v>0</v>
      </c>
      <c r="Q29" s="643">
        <f>IF(OR(T34=0,U32),,M29)</f>
        <v>0</v>
      </c>
      <c r="R29" s="644">
        <v>0</v>
      </c>
      <c r="S29" s="640">
        <v>0</v>
      </c>
      <c r="U29" s="27" t="s">
        <v>998</v>
      </c>
    </row>
    <row r="30" spans="2:23">
      <c r="D30" s="27" t="s">
        <v>1027</v>
      </c>
      <c r="K30" s="443"/>
      <c r="L30" s="443" t="str">
        <f>IF(T34&gt;1,"nur eine Wahl möglich","")</f>
        <v/>
      </c>
      <c r="P30" s="327"/>
      <c r="Q30" s="645"/>
      <c r="R30" s="646"/>
      <c r="S30" s="62"/>
      <c r="T30" s="27">
        <f>IF(U30,1,0)</f>
        <v>0</v>
      </c>
      <c r="U30" s="300" t="b">
        <v>0</v>
      </c>
      <c r="V30" s="27" t="s">
        <v>2128</v>
      </c>
    </row>
    <row r="31" spans="2:23">
      <c r="P31" s="327"/>
      <c r="Q31" s="645"/>
      <c r="R31" s="646"/>
      <c r="S31" s="62"/>
      <c r="T31" s="27">
        <f>IF(U31,1,0)</f>
        <v>0</v>
      </c>
      <c r="U31" s="301" t="b">
        <v>0</v>
      </c>
      <c r="V31" s="27" t="s">
        <v>999</v>
      </c>
    </row>
    <row r="32" spans="2:23">
      <c r="B32" s="106" t="s">
        <v>559</v>
      </c>
      <c r="H32" s="37" t="s">
        <v>1028</v>
      </c>
      <c r="I32" s="262"/>
      <c r="J32" s="374" t="s">
        <v>2325</v>
      </c>
      <c r="L32" s="262"/>
      <c r="N32" s="27" t="s">
        <v>1760</v>
      </c>
      <c r="P32" s="639">
        <f>IF(I32&gt;0,L32,)</f>
        <v>0</v>
      </c>
      <c r="Q32" s="645"/>
      <c r="R32" s="644">
        <f>IF(I32&gt;0,1/I32*L32,)</f>
        <v>0</v>
      </c>
      <c r="S32" s="62"/>
      <c r="T32" s="27">
        <f>IF(U32,1,0)</f>
        <v>0</v>
      </c>
      <c r="U32" s="301" t="b">
        <v>0</v>
      </c>
      <c r="V32" s="27" t="s">
        <v>1000</v>
      </c>
    </row>
    <row r="33" spans="2:22" ht="13.15" customHeight="1">
      <c r="D33" s="27" t="s">
        <v>1027</v>
      </c>
      <c r="P33" s="327"/>
      <c r="Q33" s="645"/>
      <c r="R33" s="646"/>
      <c r="S33" s="62"/>
      <c r="T33" s="27">
        <f>IF(U33,1,0)</f>
        <v>0</v>
      </c>
      <c r="U33" s="302" t="b">
        <v>0</v>
      </c>
      <c r="V33" s="27" t="s">
        <v>1001</v>
      </c>
    </row>
    <row r="34" spans="2:22" ht="13.15" customHeight="1">
      <c r="P34" s="327"/>
      <c r="Q34" s="645"/>
      <c r="R34" s="646"/>
      <c r="S34" s="62"/>
      <c r="T34" s="27">
        <f>SUM(T30:T33)</f>
        <v>0</v>
      </c>
      <c r="U34" s="28">
        <f>IF(T34=1,IF(OR(U30,U31,U33),L29,0),0)</f>
        <v>0</v>
      </c>
      <c r="V34" s="28">
        <f>IF(T34=1,IF(OR(U30,U31,U33),M29,0),0)</f>
        <v>0</v>
      </c>
    </row>
    <row r="35" spans="2:22" ht="13.15" customHeight="1">
      <c r="B35" s="106" t="s">
        <v>560</v>
      </c>
      <c r="H35" s="37" t="s">
        <v>1028</v>
      </c>
      <c r="I35" s="262"/>
      <c r="J35" s="374" t="s">
        <v>2325</v>
      </c>
      <c r="M35" s="262"/>
      <c r="N35" s="27" t="s">
        <v>1760</v>
      </c>
      <c r="P35" s="327"/>
      <c r="Q35" s="643">
        <f>IF(I35&gt;0,M35,)</f>
        <v>0</v>
      </c>
      <c r="R35" s="646"/>
      <c r="S35" s="640">
        <f>IF(I35&gt;0,1/I35*M35,)</f>
        <v>0</v>
      </c>
    </row>
    <row r="36" spans="2:22" ht="13.15" customHeight="1">
      <c r="D36" s="27" t="s">
        <v>1027</v>
      </c>
      <c r="P36" s="327"/>
      <c r="Q36" s="645"/>
      <c r="R36" s="646"/>
      <c r="S36" s="62"/>
    </row>
    <row r="37" spans="2:22" ht="13.15" customHeight="1">
      <c r="P37" s="327"/>
      <c r="Q37" s="645"/>
      <c r="R37" s="646"/>
      <c r="S37" s="62"/>
      <c r="U37" s="27" t="s">
        <v>1706</v>
      </c>
    </row>
    <row r="38" spans="2:22" ht="13.15" customHeight="1">
      <c r="B38" s="106" t="s">
        <v>1029</v>
      </c>
      <c r="H38" s="37" t="s">
        <v>1030</v>
      </c>
      <c r="I38" s="262"/>
      <c r="J38" s="27" t="s">
        <v>1760</v>
      </c>
      <c r="L38" s="263"/>
      <c r="M38" s="262"/>
      <c r="N38" s="27" t="s">
        <v>1760</v>
      </c>
      <c r="P38" s="639">
        <f>IF(U39,L38,0)</f>
        <v>0</v>
      </c>
      <c r="Q38" s="643">
        <f>IF(U39,M38,0)</f>
        <v>0</v>
      </c>
      <c r="R38" s="639">
        <f>IF(U39,-IF(I38&gt;0,L38*I39/I38,0),0)</f>
        <v>0</v>
      </c>
      <c r="S38" s="643">
        <f>IF(U39,-IF(I38&gt;0,M38*I39/I38,0),0)</f>
        <v>0</v>
      </c>
      <c r="T38" s="27">
        <f>IF(U38,1,0)</f>
        <v>0</v>
      </c>
      <c r="U38" s="300" t="b">
        <v>0</v>
      </c>
      <c r="V38" s="27" t="s">
        <v>1000</v>
      </c>
    </row>
    <row r="39" spans="2:22" ht="13.15" customHeight="1">
      <c r="D39" s="27" t="s">
        <v>1027</v>
      </c>
      <c r="H39" s="37" t="s">
        <v>340</v>
      </c>
      <c r="I39" s="262"/>
      <c r="J39" s="27" t="s">
        <v>1705</v>
      </c>
      <c r="N39" s="647" t="str">
        <f>IF(T40&gt;1,"nur eine Wahl möglich","")</f>
        <v/>
      </c>
      <c r="P39" s="327"/>
      <c r="Q39" s="645"/>
      <c r="R39" s="646"/>
      <c r="S39" s="62"/>
      <c r="T39" s="27">
        <f>IF(U39,1,0)</f>
        <v>0</v>
      </c>
      <c r="U39" s="302" t="b">
        <v>0</v>
      </c>
      <c r="V39" s="27" t="s">
        <v>339</v>
      </c>
    </row>
    <row r="40" spans="2:22" ht="13.15" customHeight="1">
      <c r="P40" s="327"/>
      <c r="Q40" s="645"/>
      <c r="R40" s="646"/>
      <c r="S40" s="62"/>
      <c r="T40" s="27">
        <f>SUM(T38:T39)</f>
        <v>0</v>
      </c>
      <c r="U40" s="30"/>
    </row>
    <row r="41" spans="2:22" ht="13.15" customHeight="1">
      <c r="B41" s="106" t="s">
        <v>555</v>
      </c>
      <c r="H41" s="37" t="s">
        <v>1025</v>
      </c>
      <c r="I41" s="262"/>
      <c r="J41" s="27" t="s">
        <v>1760</v>
      </c>
      <c r="L41" s="263"/>
      <c r="M41" s="262"/>
      <c r="N41" s="27" t="s">
        <v>1760</v>
      </c>
      <c r="P41" s="639">
        <f>IF(AND(T47=1,U46),L41,)</f>
        <v>0</v>
      </c>
      <c r="Q41" s="643">
        <f>IF(AND(T47=1,U46),M41,)</f>
        <v>0</v>
      </c>
      <c r="R41" s="644">
        <f>IF(U45,L41/I41*100,L41*I42/100/IF(I41&gt;0,I41/100,1))</f>
        <v>0</v>
      </c>
      <c r="S41" s="640">
        <f>IF(U45,M41/I41*100,M41*I42/100/IF(I41&gt;0,I41/100,1))</f>
        <v>0</v>
      </c>
    </row>
    <row r="42" spans="2:22" ht="13.15" customHeight="1">
      <c r="B42" s="106"/>
      <c r="H42" s="37" t="s">
        <v>510</v>
      </c>
      <c r="I42" s="262"/>
      <c r="J42" s="27" t="s">
        <v>1705</v>
      </c>
      <c r="P42" s="327"/>
      <c r="Q42" s="645"/>
      <c r="R42" s="646"/>
      <c r="S42" s="62"/>
    </row>
    <row r="43" spans="2:22" ht="13.15" customHeight="1">
      <c r="D43" s="27" t="s">
        <v>1027</v>
      </c>
      <c r="E43" s="2529"/>
      <c r="F43" s="2529"/>
      <c r="G43" s="2529"/>
      <c r="H43" s="2529"/>
      <c r="P43" s="327"/>
      <c r="Q43" s="645"/>
      <c r="R43" s="646"/>
      <c r="S43" s="62"/>
      <c r="U43" s="27" t="s">
        <v>915</v>
      </c>
    </row>
    <row r="44" spans="2:22" ht="13.15" customHeight="1">
      <c r="D44" s="27" t="s">
        <v>1031</v>
      </c>
      <c r="L44" s="443" t="str">
        <f>IF(T47&gt;1,"nur eine Wahl möglich","")</f>
        <v/>
      </c>
      <c r="P44" s="327"/>
      <c r="Q44" s="645"/>
      <c r="R44" s="646"/>
      <c r="S44" s="62"/>
      <c r="T44" s="27">
        <f>IF(U44,1,0)</f>
        <v>0</v>
      </c>
      <c r="U44" s="300" t="b">
        <v>0</v>
      </c>
      <c r="V44" s="27" t="s">
        <v>337</v>
      </c>
    </row>
    <row r="45" spans="2:22" ht="13.15" customHeight="1">
      <c r="P45" s="327"/>
      <c r="Q45" s="645"/>
      <c r="R45" s="646"/>
      <c r="S45" s="62"/>
      <c r="T45" s="27">
        <f>IF(U45,1,0)</f>
        <v>0</v>
      </c>
      <c r="U45" s="301" t="b">
        <v>0</v>
      </c>
      <c r="V45" s="27" t="s">
        <v>338</v>
      </c>
    </row>
    <row r="46" spans="2:22" ht="13.15" customHeight="1">
      <c r="B46" s="106" t="s">
        <v>1032</v>
      </c>
      <c r="H46" s="37" t="s">
        <v>484</v>
      </c>
      <c r="I46" s="262"/>
      <c r="J46" s="27" t="s">
        <v>243</v>
      </c>
      <c r="L46" s="649">
        <f>IF(U$51=4,IF(U56&gt;50,50,U56),0)</f>
        <v>0</v>
      </c>
      <c r="M46" s="650">
        <f>IF(U$51=1,IF(V56&gt;25,25,V56),IF(U$51=2,IF(V56&gt;50,50,V56),IF(U$51=3,IF(V56&gt;70,70,V56),IF(U$51=4,IF(V56&gt;70,70,V56),0))))</f>
        <v>0</v>
      </c>
      <c r="N46" s="27" t="s">
        <v>1760</v>
      </c>
      <c r="P46" s="641">
        <f>L46</f>
        <v>0</v>
      </c>
      <c r="Q46" s="643">
        <f>M46</f>
        <v>0</v>
      </c>
      <c r="R46" s="646"/>
      <c r="S46" s="62"/>
      <c r="T46" s="27">
        <f>IF(U46,1,0)</f>
        <v>0</v>
      </c>
      <c r="U46" s="302" t="b">
        <v>0</v>
      </c>
      <c r="V46" s="27" t="s">
        <v>339</v>
      </c>
    </row>
    <row r="47" spans="2:22" ht="13.15" customHeight="1">
      <c r="B47" s="106"/>
      <c r="H47" s="37" t="s">
        <v>1038</v>
      </c>
      <c r="I47" s="375">
        <f>IF(U51=1,I48,)+IF(U51=2,I49,)+IF(U51=3,I50,)+IF(U51=4,I51,)</f>
        <v>0</v>
      </c>
      <c r="J47" s="27" t="s">
        <v>1618</v>
      </c>
      <c r="L47" s="185"/>
      <c r="P47" s="327"/>
      <c r="Q47" s="645"/>
      <c r="R47" s="646"/>
      <c r="S47" s="62"/>
      <c r="T47" s="27">
        <f>SUM(T44:T46)</f>
        <v>0</v>
      </c>
      <c r="U47" s="30"/>
    </row>
    <row r="48" spans="2:22" ht="13.15" customHeight="1">
      <c r="I48" s="27">
        <f>IF($U$51=1,500,0)</f>
        <v>0</v>
      </c>
      <c r="J48" s="27" t="str">
        <f>IF(U51=1,"kWh/m2a","")</f>
        <v/>
      </c>
      <c r="P48" s="327"/>
      <c r="Q48" s="645"/>
      <c r="R48" s="646"/>
      <c r="S48" s="62"/>
    </row>
    <row r="49" spans="2:24" ht="13.15" customHeight="1">
      <c r="H49" s="37"/>
      <c r="I49" s="27">
        <f>IF($U$51=2,400,0)</f>
        <v>0</v>
      </c>
      <c r="J49" s="27" t="str">
        <f>IF(U51=2,"kWh/m2a","")</f>
        <v/>
      </c>
      <c r="L49" s="50" t="str">
        <f>IF(U61=1,"Absorberfläche zu gross (ZH 10a)",IF(U61=2,"Absorberfläche zu klein (ZH10a)",""))</f>
        <v/>
      </c>
      <c r="P49" s="327"/>
      <c r="Q49" s="645"/>
      <c r="R49" s="646"/>
      <c r="S49" s="62"/>
    </row>
    <row r="50" spans="2:24" ht="13.15" customHeight="1">
      <c r="H50" s="37"/>
      <c r="I50" s="262"/>
      <c r="J50" s="27" t="str">
        <f>IF(U51=3,"kWh/m2a","")</f>
        <v/>
      </c>
      <c r="L50" s="50"/>
      <c r="P50" s="327"/>
      <c r="Q50" s="645"/>
      <c r="R50" s="646"/>
      <c r="S50" s="62"/>
      <c r="U50" s="27" t="s">
        <v>1121</v>
      </c>
    </row>
    <row r="51" spans="2:24" ht="13.15" customHeight="1">
      <c r="I51" s="27">
        <f>IF($U$51=4,250,0)</f>
        <v>0</v>
      </c>
      <c r="J51" s="27" t="str">
        <f>IF(U51=4,"kWh/m2a","")</f>
        <v/>
      </c>
      <c r="M51" s="50"/>
      <c r="P51" s="327"/>
      <c r="Q51" s="645"/>
      <c r="R51" s="646"/>
      <c r="S51" s="62"/>
      <c r="U51" s="377">
        <v>5</v>
      </c>
      <c r="V51" s="118"/>
      <c r="W51" s="30"/>
    </row>
    <row r="52" spans="2:24" ht="13.15" customHeight="1">
      <c r="M52" s="50"/>
      <c r="P52" s="327"/>
      <c r="Q52" s="645"/>
      <c r="R52" s="646"/>
      <c r="S52" s="62"/>
      <c r="U52" s="271"/>
      <c r="V52" s="30"/>
      <c r="W52" s="30"/>
    </row>
    <row r="53" spans="2:24" ht="13.15" customHeight="1">
      <c r="P53" s="327"/>
      <c r="Q53" s="645"/>
      <c r="R53" s="646"/>
      <c r="S53" s="62"/>
      <c r="U53" s="30"/>
      <c r="V53" s="30"/>
      <c r="W53" s="30"/>
    </row>
    <row r="54" spans="2:24" ht="13.15" customHeight="1">
      <c r="B54" s="106" t="s">
        <v>1033</v>
      </c>
      <c r="H54" s="37" t="s">
        <v>1034</v>
      </c>
      <c r="I54" s="262"/>
      <c r="J54" s="27" t="s">
        <v>1035</v>
      </c>
      <c r="P54" s="327"/>
      <c r="Q54" s="645"/>
      <c r="R54" s="644">
        <f>IF(AND(EBFneu&gt;0,Qhneu&gt;0),-I54*I55/EBFneu*3.6/Qhneu*100,)</f>
        <v>0</v>
      </c>
      <c r="S54" s="62"/>
      <c r="U54" s="27" t="s">
        <v>1619</v>
      </c>
    </row>
    <row r="55" spans="2:24" ht="13.15" customHeight="1">
      <c r="H55" s="37" t="s">
        <v>1037</v>
      </c>
      <c r="I55" s="262"/>
      <c r="J55" s="27" t="s">
        <v>1036</v>
      </c>
      <c r="P55" s="327"/>
      <c r="Q55" s="645"/>
      <c r="R55" s="646"/>
      <c r="S55" s="62"/>
      <c r="U55" s="27" t="s">
        <v>485</v>
      </c>
      <c r="V55" s="27" t="s">
        <v>486</v>
      </c>
    </row>
    <row r="56" spans="2:24" ht="13.15" customHeight="1">
      <c r="P56" s="327"/>
      <c r="Q56" s="645"/>
      <c r="R56" s="646"/>
      <c r="S56" s="62"/>
      <c r="U56" s="413">
        <f>IF(EBFneu&gt;0,IF(U$51=4,IF(V56&gt;70,ROUND((V56-70)*Qwwtotal/Qhtotal,0),),),)</f>
        <v>0</v>
      </c>
      <c r="V56" s="648">
        <f>IF(EBFneu&gt;0,ROUND(100*I46*I47/Qwwtotal/EBFtotal*3.6,0),)</f>
        <v>0</v>
      </c>
      <c r="W56" s="27" t="s">
        <v>1620</v>
      </c>
    </row>
    <row r="57" spans="2:24" ht="13.15" customHeight="1">
      <c r="B57" s="106" t="s">
        <v>230</v>
      </c>
      <c r="C57" s="106"/>
      <c r="D57" s="106"/>
      <c r="E57" s="106"/>
      <c r="F57" s="106"/>
      <c r="G57" s="106"/>
      <c r="H57" s="37" t="s">
        <v>1030</v>
      </c>
      <c r="I57" s="262"/>
      <c r="J57" s="27" t="s">
        <v>1760</v>
      </c>
      <c r="L57" s="263"/>
      <c r="M57" s="262"/>
      <c r="N57" s="27" t="s">
        <v>1760</v>
      </c>
      <c r="P57" s="639">
        <f>L57</f>
        <v>0</v>
      </c>
      <c r="Q57" s="643">
        <f>M57</f>
        <v>0</v>
      </c>
      <c r="R57" s="644">
        <f>L57*I58/100/IF(I57&gt;0,I57/100,1)</f>
        <v>0</v>
      </c>
      <c r="S57" s="640">
        <f>M57*I58/100/IF(I57&gt;0,I57/100,1)</f>
        <v>0</v>
      </c>
    </row>
    <row r="58" spans="2:24" ht="13.15" customHeight="1">
      <c r="H58" s="37" t="s">
        <v>1039</v>
      </c>
      <c r="I58" s="262"/>
      <c r="J58" s="27" t="s">
        <v>1704</v>
      </c>
      <c r="P58" s="327"/>
      <c r="Q58" s="645"/>
      <c r="R58" s="646"/>
      <c r="S58" s="62"/>
      <c r="X58" s="28"/>
    </row>
    <row r="59" spans="2:24">
      <c r="P59" s="327"/>
      <c r="Q59" s="645"/>
      <c r="R59" s="646"/>
      <c r="S59" s="62"/>
      <c r="U59" s="27" t="s">
        <v>76</v>
      </c>
    </row>
    <row r="60" spans="2:24">
      <c r="H60" s="106" t="str">
        <f>IF(OR(AND(L60=100,M60=100),AND(L61=100,M61=100)),"Kontrollsumme:","Kontrollsumme (nicht 100%!):")</f>
        <v>Kontrollsumme (nicht 100%!):</v>
      </c>
      <c r="L60" s="376">
        <f>ROUND(SUM(L21:L57)-L47,0)</f>
        <v>0</v>
      </c>
      <c r="M60" s="376">
        <f>ROUND(SUM(M21:M57)-M47,0)</f>
        <v>0</v>
      </c>
      <c r="N60" s="27" t="s">
        <v>1760</v>
      </c>
      <c r="P60" s="327"/>
      <c r="Q60" s="645"/>
      <c r="R60" s="646"/>
      <c r="S60" s="62"/>
    </row>
    <row r="61" spans="2:24" ht="13.15" customHeight="1">
      <c r="H61" s="106"/>
      <c r="U61" s="159">
        <f>SUM(V62:V65)</f>
        <v>0</v>
      </c>
      <c r="V61" s="638" t="s">
        <v>1620</v>
      </c>
    </row>
    <row r="62" spans="2:24" ht="13.15" customHeight="1">
      <c r="L62" s="106"/>
      <c r="V62" s="123">
        <f>IF($U$51=1,IF($V$56&gt;25,1,IF($V$56&lt;0,2,0)),)</f>
        <v>0</v>
      </c>
    </row>
    <row r="63" spans="2:24" ht="13.15" customHeight="1">
      <c r="O63" s="30"/>
      <c r="P63" s="63"/>
      <c r="V63" s="123">
        <f>IF($U$51=2,IF($V$56&gt;50,1,IF($V$56&lt;25,2,0)),)</f>
        <v>0</v>
      </c>
    </row>
    <row r="64" spans="2:24" ht="13.15" customHeight="1">
      <c r="V64" s="123">
        <f>IF($U$51=3,IF($V$56&gt;70,1,IF($V$56&lt;50,2,0)),)</f>
        <v>0</v>
      </c>
    </row>
    <row r="65" spans="2:22" ht="15" customHeight="1">
      <c r="V65" s="267">
        <f>IF($U$51=4,IF($V$56&lt;70,2,IF((V56-M46)&gt;50,1,0)),)</f>
        <v>0</v>
      </c>
    </row>
    <row r="66" spans="2:22" ht="16.899999999999999" customHeight="1"/>
    <row r="67" spans="2:22" ht="13.15" customHeight="1">
      <c r="O67" s="30"/>
      <c r="P67" s="63"/>
    </row>
    <row r="68" spans="2:22" ht="13.15" customHeight="1"/>
    <row r="69" spans="2:22" s="106" customFormat="1" ht="15" customHeight="1">
      <c r="B69" s="27"/>
      <c r="C69" s="27"/>
      <c r="D69" s="27"/>
      <c r="E69" s="27"/>
      <c r="F69" s="27"/>
      <c r="G69" s="27"/>
      <c r="H69" s="27"/>
      <c r="I69" s="27"/>
      <c r="J69" s="27"/>
      <c r="K69" s="27"/>
      <c r="L69" s="27"/>
      <c r="M69" s="27"/>
      <c r="N69" s="27"/>
      <c r="P69" s="368"/>
      <c r="Q69" s="368"/>
      <c r="R69" s="368"/>
      <c r="S69" s="368"/>
    </row>
    <row r="70" spans="2:22" ht="15" customHeight="1"/>
    <row r="71" spans="2:22" ht="15" customHeight="1"/>
    <row r="72" spans="2:22" ht="15" customHeight="1"/>
    <row r="73" spans="2:22" ht="15" customHeight="1"/>
    <row r="74" spans="2:22" ht="15.75">
      <c r="B74" s="206"/>
      <c r="C74" s="30"/>
      <c r="D74" s="30"/>
      <c r="E74" s="30"/>
      <c r="F74" s="30"/>
      <c r="G74" s="30"/>
      <c r="H74" s="30"/>
      <c r="I74" s="30"/>
      <c r="J74" s="30"/>
      <c r="K74" s="30"/>
      <c r="L74" s="30"/>
      <c r="M74" s="30"/>
      <c r="N74" s="30"/>
      <c r="O74" s="30"/>
      <c r="P74" s="63"/>
    </row>
    <row r="75" spans="2:22">
      <c r="B75" s="30"/>
      <c r="C75" s="30"/>
      <c r="D75" s="30"/>
      <c r="E75" s="30"/>
      <c r="F75" s="30"/>
      <c r="G75" s="30"/>
      <c r="H75" s="30"/>
      <c r="I75" s="30"/>
      <c r="J75" s="30"/>
      <c r="K75" s="30"/>
      <c r="L75" s="30"/>
      <c r="M75" s="30"/>
      <c r="N75" s="30"/>
    </row>
    <row r="76" spans="2:22">
      <c r="B76" s="200"/>
      <c r="C76" s="30"/>
      <c r="D76" s="30"/>
      <c r="E76" s="30"/>
      <c r="F76" s="30"/>
      <c r="G76" s="30"/>
      <c r="H76" s="30"/>
      <c r="I76" s="30"/>
      <c r="J76" s="30"/>
      <c r="K76" s="30"/>
      <c r="L76" s="30"/>
      <c r="M76" s="30"/>
      <c r="N76" s="30"/>
    </row>
    <row r="77" spans="2:22">
      <c r="B77" s="30"/>
      <c r="C77" s="30"/>
      <c r="D77" s="30"/>
      <c r="E77" s="30"/>
      <c r="F77" s="30"/>
      <c r="G77" s="30"/>
      <c r="H77" s="30"/>
      <c r="I77" s="30"/>
      <c r="J77" s="30"/>
      <c r="K77" s="30"/>
      <c r="L77" s="30"/>
      <c r="M77" s="30"/>
      <c r="N77" s="30"/>
    </row>
    <row r="78" spans="2:22">
      <c r="B78" s="30"/>
      <c r="C78" s="30"/>
      <c r="D78" s="30"/>
      <c r="E78" s="30"/>
      <c r="F78" s="30"/>
      <c r="G78" s="30"/>
      <c r="H78" s="30"/>
      <c r="I78" s="30"/>
      <c r="J78" s="30"/>
      <c r="K78" s="30"/>
      <c r="L78" s="30"/>
      <c r="M78" s="30"/>
      <c r="N78" s="30"/>
    </row>
    <row r="79" spans="2:22">
      <c r="B79" s="30"/>
      <c r="C79" s="30"/>
      <c r="D79" s="30"/>
      <c r="E79" s="30"/>
      <c r="F79" s="30"/>
      <c r="G79" s="30"/>
      <c r="H79" s="30"/>
      <c r="I79" s="30"/>
      <c r="J79" s="30"/>
      <c r="K79" s="30"/>
      <c r="L79" s="30"/>
      <c r="M79" s="30"/>
      <c r="N79" s="30"/>
    </row>
    <row r="80" spans="2:22">
      <c r="B80" s="30"/>
      <c r="C80" s="30"/>
      <c r="D80" s="30"/>
      <c r="E80" s="30"/>
      <c r="F80" s="30"/>
      <c r="G80" s="30"/>
      <c r="H80" s="30"/>
      <c r="I80" s="30"/>
      <c r="J80" s="30"/>
      <c r="K80" s="30"/>
      <c r="L80" s="30"/>
      <c r="M80" s="30"/>
      <c r="N80" s="30"/>
    </row>
    <row r="81" spans="2:14">
      <c r="B81" s="30"/>
      <c r="C81" s="30"/>
      <c r="D81" s="30"/>
      <c r="E81" s="30"/>
      <c r="F81" s="30"/>
      <c r="G81" s="30"/>
      <c r="H81" s="30"/>
      <c r="I81" s="30"/>
      <c r="J81" s="30"/>
      <c r="K81" s="30"/>
      <c r="L81" s="30"/>
      <c r="M81" s="30"/>
      <c r="N81" s="30"/>
    </row>
    <row r="82" spans="2:14">
      <c r="B82" s="30"/>
      <c r="C82" s="30"/>
      <c r="D82" s="30"/>
      <c r="E82" s="30"/>
      <c r="F82" s="30"/>
      <c r="G82" s="30"/>
      <c r="H82" s="30"/>
      <c r="I82" s="30"/>
      <c r="J82" s="30"/>
      <c r="K82" s="30"/>
      <c r="L82" s="30"/>
      <c r="M82" s="30"/>
      <c r="N82" s="30"/>
    </row>
    <row r="83" spans="2:14">
      <c r="B83" s="30"/>
      <c r="C83" s="30"/>
      <c r="D83" s="30"/>
      <c r="E83" s="30"/>
      <c r="F83" s="30"/>
      <c r="G83" s="30"/>
      <c r="H83" s="30"/>
      <c r="I83" s="30"/>
      <c r="J83" s="30"/>
      <c r="K83" s="30"/>
      <c r="L83" s="30"/>
      <c r="M83" s="30"/>
      <c r="N83" s="30"/>
    </row>
    <row r="84" spans="2:14">
      <c r="B84" s="30"/>
      <c r="C84" s="30"/>
      <c r="D84" s="30"/>
      <c r="E84" s="30"/>
      <c r="F84" s="30"/>
      <c r="G84" s="30"/>
      <c r="H84" s="30"/>
      <c r="I84" s="30"/>
      <c r="J84" s="30"/>
      <c r="K84" s="30"/>
      <c r="L84" s="30"/>
      <c r="M84" s="30"/>
      <c r="N84" s="30"/>
    </row>
    <row r="85" spans="2:14">
      <c r="B85" s="30"/>
      <c r="C85" s="30"/>
      <c r="D85" s="30"/>
      <c r="E85" s="30"/>
      <c r="F85" s="30"/>
      <c r="G85" s="30"/>
      <c r="H85" s="30"/>
      <c r="I85" s="30"/>
      <c r="J85" s="30"/>
      <c r="K85" s="30"/>
      <c r="L85" s="30"/>
      <c r="M85" s="30"/>
      <c r="N85" s="30"/>
    </row>
    <row r="86" spans="2:14">
      <c r="B86" s="30"/>
      <c r="C86" s="30"/>
      <c r="D86" s="30"/>
      <c r="E86" s="30"/>
      <c r="F86" s="30"/>
      <c r="G86" s="30"/>
      <c r="H86" s="30"/>
      <c r="I86" s="30"/>
      <c r="J86" s="30"/>
      <c r="K86" s="30"/>
      <c r="L86" s="30"/>
      <c r="M86" s="30"/>
      <c r="N86" s="30"/>
    </row>
    <row r="87" spans="2:14">
      <c r="B87" s="30"/>
      <c r="C87" s="30"/>
      <c r="D87" s="30"/>
      <c r="E87" s="30"/>
      <c r="F87" s="30"/>
      <c r="G87" s="30"/>
      <c r="H87" s="30"/>
      <c r="I87" s="30"/>
      <c r="J87" s="30"/>
      <c r="K87" s="30"/>
      <c r="L87" s="30"/>
      <c r="M87" s="30"/>
      <c r="N87" s="30"/>
    </row>
    <row r="88" spans="2:14">
      <c r="B88" s="30"/>
      <c r="C88" s="30"/>
      <c r="D88" s="30"/>
      <c r="E88" s="30"/>
      <c r="F88" s="30"/>
      <c r="G88" s="30"/>
      <c r="H88" s="30"/>
      <c r="I88" s="30"/>
      <c r="J88" s="30"/>
      <c r="K88" s="30"/>
      <c r="L88" s="30"/>
      <c r="M88" s="30"/>
      <c r="N88" s="30"/>
    </row>
    <row r="89" spans="2:14">
      <c r="B89" s="30"/>
      <c r="C89" s="30"/>
      <c r="D89" s="30"/>
      <c r="E89" s="30"/>
      <c r="F89" s="30"/>
      <c r="G89" s="30"/>
      <c r="H89" s="30"/>
      <c r="I89" s="30"/>
      <c r="J89" s="30"/>
      <c r="K89" s="30"/>
      <c r="L89" s="30"/>
      <c r="M89" s="30"/>
      <c r="N89" s="30"/>
    </row>
    <row r="90" spans="2:14">
      <c r="B90" s="30"/>
      <c r="C90" s="30"/>
      <c r="D90" s="30"/>
      <c r="E90" s="30"/>
      <c r="F90" s="30"/>
      <c r="G90" s="30"/>
      <c r="H90" s="30"/>
      <c r="I90" s="30"/>
      <c r="J90" s="30"/>
      <c r="K90" s="30"/>
      <c r="L90" s="30"/>
      <c r="M90" s="30"/>
      <c r="N90" s="30"/>
    </row>
    <row r="91" spans="2:14">
      <c r="B91" s="30"/>
      <c r="C91" s="30"/>
      <c r="D91" s="30"/>
      <c r="E91" s="30"/>
      <c r="F91" s="30"/>
      <c r="G91" s="30"/>
      <c r="H91" s="30"/>
      <c r="I91" s="30"/>
      <c r="J91" s="30"/>
      <c r="K91" s="30"/>
      <c r="L91" s="30"/>
      <c r="M91" s="30"/>
      <c r="N91" s="30"/>
    </row>
    <row r="92" spans="2:14">
      <c r="B92" s="30"/>
      <c r="C92" s="30"/>
      <c r="D92" s="30"/>
      <c r="E92" s="30"/>
      <c r="F92" s="30"/>
      <c r="G92" s="30"/>
      <c r="H92" s="30"/>
      <c r="I92" s="30"/>
      <c r="J92" s="30"/>
      <c r="K92" s="30"/>
      <c r="L92" s="30"/>
      <c r="M92" s="30"/>
      <c r="N92" s="30"/>
    </row>
    <row r="93" spans="2:14">
      <c r="B93" s="30"/>
      <c r="C93" s="30"/>
      <c r="D93" s="30"/>
      <c r="E93" s="30"/>
      <c r="F93" s="30"/>
      <c r="G93" s="30"/>
      <c r="H93" s="30"/>
      <c r="I93" s="30"/>
      <c r="J93" s="30"/>
      <c r="K93" s="30"/>
      <c r="L93" s="30"/>
      <c r="M93" s="30"/>
      <c r="N93" s="30"/>
    </row>
    <row r="94" spans="2:14">
      <c r="B94" s="30"/>
      <c r="C94" s="30"/>
      <c r="D94" s="30"/>
      <c r="E94" s="30"/>
      <c r="F94" s="30"/>
      <c r="G94" s="30"/>
      <c r="H94" s="30"/>
      <c r="I94" s="30"/>
      <c r="J94" s="30"/>
      <c r="K94" s="30"/>
      <c r="L94" s="30"/>
      <c r="M94" s="30"/>
      <c r="N94" s="30"/>
    </row>
    <row r="95" spans="2:14">
      <c r="B95" s="30"/>
      <c r="C95" s="30"/>
      <c r="D95" s="30"/>
      <c r="E95" s="30"/>
      <c r="F95" s="30"/>
      <c r="G95" s="30"/>
      <c r="H95" s="30"/>
      <c r="I95" s="30"/>
      <c r="J95" s="30"/>
      <c r="K95" s="30"/>
      <c r="L95" s="30"/>
      <c r="M95" s="30"/>
      <c r="N95" s="30"/>
    </row>
    <row r="96" spans="2:14">
      <c r="B96" s="30"/>
      <c r="C96" s="30"/>
      <c r="D96" s="30"/>
      <c r="E96" s="30"/>
      <c r="F96" s="30"/>
      <c r="G96" s="30"/>
      <c r="H96" s="30"/>
      <c r="I96" s="30"/>
      <c r="J96" s="30"/>
      <c r="K96" s="30"/>
      <c r="L96" s="30"/>
      <c r="M96" s="30"/>
      <c r="N96" s="30"/>
    </row>
    <row r="97" spans="1:16">
      <c r="B97" s="30"/>
      <c r="C97" s="30"/>
      <c r="D97" s="30"/>
      <c r="E97" s="30"/>
      <c r="F97" s="30"/>
      <c r="G97" s="30"/>
      <c r="H97" s="30"/>
      <c r="I97" s="30"/>
      <c r="J97" s="30"/>
      <c r="K97" s="30"/>
      <c r="L97" s="30"/>
      <c r="M97" s="30"/>
      <c r="N97" s="30"/>
    </row>
    <row r="98" spans="1:16">
      <c r="B98" s="30"/>
      <c r="C98" s="30"/>
      <c r="D98" s="30"/>
      <c r="E98" s="30"/>
      <c r="F98" s="30"/>
      <c r="G98" s="30"/>
      <c r="H98" s="30"/>
      <c r="I98" s="30"/>
      <c r="J98" s="30"/>
      <c r="K98" s="30"/>
      <c r="L98" s="30"/>
      <c r="M98" s="30"/>
      <c r="N98" s="30"/>
    </row>
    <row r="99" spans="1:16">
      <c r="B99" s="30"/>
      <c r="C99" s="30"/>
      <c r="D99" s="30"/>
      <c r="E99" s="30"/>
      <c r="F99" s="30"/>
      <c r="G99" s="30"/>
      <c r="H99" s="30"/>
      <c r="I99" s="30"/>
      <c r="J99" s="30"/>
      <c r="K99" s="30"/>
      <c r="L99" s="30"/>
      <c r="M99" s="30"/>
      <c r="N99" s="30"/>
    </row>
    <row r="100" spans="1:16">
      <c r="B100" s="30"/>
      <c r="C100" s="30"/>
      <c r="D100" s="30"/>
      <c r="E100" s="30"/>
      <c r="F100" s="30"/>
      <c r="G100" s="30"/>
      <c r="H100" s="30"/>
      <c r="I100" s="30"/>
      <c r="J100" s="30"/>
      <c r="K100" s="30"/>
      <c r="L100" s="30"/>
      <c r="M100" s="30"/>
      <c r="N100" s="30"/>
    </row>
    <row r="101" spans="1:16">
      <c r="A101" s="30"/>
      <c r="B101" s="30"/>
      <c r="C101" s="30"/>
      <c r="D101" s="30"/>
      <c r="E101" s="30"/>
      <c r="F101" s="30"/>
      <c r="G101" s="30"/>
      <c r="H101" s="30"/>
      <c r="I101" s="30"/>
      <c r="J101" s="30"/>
      <c r="K101" s="30"/>
      <c r="L101" s="30"/>
      <c r="M101" s="30"/>
      <c r="N101" s="30"/>
      <c r="O101" s="30"/>
      <c r="P101" s="63"/>
    </row>
    <row r="102" spans="1:16">
      <c r="A102" s="30"/>
      <c r="B102" s="30"/>
      <c r="C102" s="30"/>
      <c r="D102" s="30"/>
      <c r="E102" s="30"/>
      <c r="F102" s="30"/>
      <c r="G102" s="30"/>
      <c r="H102" s="30"/>
      <c r="I102" s="30"/>
      <c r="J102" s="30"/>
      <c r="K102" s="30"/>
      <c r="L102" s="30"/>
      <c r="M102" s="30"/>
      <c r="N102" s="30"/>
      <c r="O102" s="30"/>
      <c r="P102" s="63"/>
    </row>
    <row r="103" spans="1:16">
      <c r="A103" s="30"/>
      <c r="B103" s="30"/>
      <c r="C103" s="30"/>
      <c r="D103" s="30"/>
      <c r="E103" s="30"/>
      <c r="F103" s="30"/>
      <c r="G103" s="30"/>
      <c r="H103" s="30"/>
      <c r="I103" s="30"/>
      <c r="J103" s="30"/>
      <c r="K103" s="30"/>
      <c r="L103" s="30"/>
      <c r="M103" s="30"/>
      <c r="N103" s="30"/>
      <c r="O103" s="30"/>
      <c r="P103" s="63"/>
    </row>
    <row r="104" spans="1:16">
      <c r="A104" s="30"/>
      <c r="B104" s="30"/>
      <c r="C104" s="30"/>
      <c r="D104" s="30"/>
      <c r="E104" s="30"/>
      <c r="F104" s="30"/>
      <c r="G104" s="30"/>
      <c r="H104" s="30"/>
      <c r="I104" s="30"/>
      <c r="J104" s="30"/>
      <c r="K104" s="30"/>
      <c r="L104" s="30"/>
      <c r="M104" s="30"/>
      <c r="N104" s="30"/>
      <c r="O104" s="30"/>
      <c r="P104" s="63"/>
    </row>
    <row r="105" spans="1:16">
      <c r="A105" s="30"/>
      <c r="B105" s="30"/>
      <c r="C105" s="30"/>
      <c r="D105" s="30"/>
      <c r="E105" s="30"/>
      <c r="F105" s="30"/>
      <c r="G105" s="30"/>
      <c r="H105" s="30"/>
      <c r="I105" s="30"/>
      <c r="J105" s="30"/>
      <c r="K105" s="30"/>
      <c r="L105" s="30"/>
      <c r="M105" s="30"/>
      <c r="N105" s="30"/>
      <c r="O105" s="30"/>
      <c r="P105" s="63"/>
    </row>
    <row r="106" spans="1:16">
      <c r="A106" s="30"/>
      <c r="B106" s="30"/>
      <c r="C106" s="30"/>
      <c r="D106" s="30"/>
      <c r="E106" s="30"/>
      <c r="F106" s="30"/>
      <c r="G106" s="30"/>
      <c r="H106" s="30"/>
      <c r="I106" s="30"/>
      <c r="J106" s="30"/>
      <c r="K106" s="30"/>
      <c r="L106" s="30"/>
      <c r="M106" s="30"/>
      <c r="N106" s="30"/>
      <c r="O106" s="30"/>
      <c r="P106" s="63"/>
    </row>
    <row r="107" spans="1:16">
      <c r="A107" s="30"/>
      <c r="B107" s="30"/>
      <c r="C107" s="30"/>
      <c r="D107" s="30"/>
      <c r="E107" s="30"/>
      <c r="F107" s="30"/>
      <c r="G107" s="30"/>
      <c r="H107" s="30"/>
      <c r="I107" s="30"/>
      <c r="J107" s="30"/>
      <c r="K107" s="30"/>
      <c r="L107" s="30"/>
      <c r="M107" s="30"/>
      <c r="N107" s="30"/>
      <c r="O107" s="30"/>
      <c r="P107" s="63"/>
    </row>
    <row r="108" spans="1:16">
      <c r="A108" s="30"/>
      <c r="B108" s="30"/>
      <c r="C108" s="30"/>
      <c r="D108" s="30"/>
      <c r="E108" s="30"/>
      <c r="F108" s="30"/>
      <c r="G108" s="30"/>
      <c r="H108" s="30"/>
      <c r="I108" s="30"/>
      <c r="J108" s="30"/>
      <c r="K108" s="30"/>
      <c r="L108" s="30"/>
      <c r="M108" s="30"/>
      <c r="N108" s="30"/>
      <c r="O108" s="30"/>
      <c r="P108" s="63"/>
    </row>
    <row r="109" spans="1:16">
      <c r="A109" s="30"/>
      <c r="B109" s="30"/>
      <c r="C109" s="30"/>
      <c r="D109" s="30"/>
      <c r="E109" s="30"/>
      <c r="F109" s="30"/>
      <c r="G109" s="30"/>
      <c r="H109" s="30"/>
      <c r="I109" s="30"/>
      <c r="J109" s="30"/>
      <c r="K109" s="30"/>
      <c r="L109" s="30"/>
      <c r="M109" s="30"/>
      <c r="N109" s="30"/>
      <c r="O109" s="30"/>
      <c r="P109" s="63"/>
    </row>
    <row r="110" spans="1:16">
      <c r="A110" s="30"/>
      <c r="B110" s="30"/>
      <c r="C110" s="30"/>
      <c r="D110" s="30"/>
      <c r="E110" s="30"/>
      <c r="F110" s="30"/>
      <c r="G110" s="30"/>
      <c r="H110" s="30"/>
      <c r="I110" s="30"/>
      <c r="J110" s="30"/>
      <c r="K110" s="30"/>
      <c r="L110" s="30"/>
      <c r="M110" s="30"/>
      <c r="N110" s="30"/>
      <c r="O110" s="30"/>
      <c r="P110" s="63"/>
    </row>
    <row r="111" spans="1:16">
      <c r="A111" s="30"/>
      <c r="B111" s="30"/>
      <c r="C111" s="30"/>
      <c r="D111" s="30"/>
      <c r="E111" s="30"/>
      <c r="F111" s="30"/>
      <c r="G111" s="30"/>
      <c r="H111" s="30"/>
      <c r="I111" s="30"/>
      <c r="J111" s="30"/>
      <c r="K111" s="30"/>
      <c r="L111" s="30"/>
      <c r="M111" s="30"/>
      <c r="N111" s="30"/>
      <c r="O111" s="30"/>
      <c r="P111" s="63"/>
    </row>
    <row r="112" spans="1:16">
      <c r="A112" s="30"/>
      <c r="B112" s="30"/>
      <c r="C112" s="30"/>
      <c r="D112" s="30"/>
      <c r="E112" s="30"/>
      <c r="F112" s="30"/>
      <c r="G112" s="30"/>
      <c r="H112" s="30"/>
      <c r="I112" s="30"/>
      <c r="J112" s="30"/>
      <c r="K112" s="30"/>
      <c r="L112" s="30"/>
      <c r="M112" s="30"/>
      <c r="N112" s="30"/>
      <c r="O112" s="30"/>
      <c r="P112" s="63"/>
    </row>
    <row r="113" spans="1:16">
      <c r="A113" s="30"/>
      <c r="B113" s="30"/>
      <c r="C113" s="30"/>
      <c r="D113" s="30"/>
      <c r="E113" s="30"/>
      <c r="F113" s="30"/>
      <c r="G113" s="30"/>
      <c r="H113" s="30"/>
      <c r="I113" s="30"/>
      <c r="J113" s="30"/>
      <c r="K113" s="30"/>
      <c r="L113" s="30"/>
      <c r="M113" s="30"/>
      <c r="N113" s="30"/>
      <c r="O113" s="30"/>
      <c r="P113" s="63"/>
    </row>
    <row r="114" spans="1:16">
      <c r="A114" s="30"/>
      <c r="B114" s="30"/>
      <c r="C114" s="30"/>
      <c r="D114" s="30"/>
      <c r="E114" s="30"/>
      <c r="F114" s="30"/>
      <c r="G114" s="30"/>
      <c r="H114" s="30"/>
      <c r="I114" s="30"/>
      <c r="J114" s="30"/>
      <c r="K114" s="30"/>
      <c r="L114" s="30"/>
      <c r="M114" s="30"/>
      <c r="N114" s="30"/>
      <c r="O114" s="30"/>
      <c r="P114" s="63"/>
    </row>
    <row r="115" spans="1:16">
      <c r="A115" s="30"/>
      <c r="B115" s="30"/>
      <c r="C115" s="30"/>
      <c r="D115" s="30"/>
      <c r="E115" s="30"/>
      <c r="F115" s="30"/>
      <c r="G115" s="30"/>
      <c r="H115" s="30"/>
      <c r="I115" s="30"/>
      <c r="J115" s="30"/>
      <c r="K115" s="30"/>
      <c r="L115" s="30"/>
      <c r="M115" s="30"/>
      <c r="N115" s="30"/>
      <c r="O115" s="30"/>
      <c r="P115" s="63"/>
    </row>
    <row r="116" spans="1:16">
      <c r="A116" s="30"/>
      <c r="B116" s="30"/>
      <c r="C116" s="30"/>
      <c r="D116" s="30"/>
      <c r="E116" s="30"/>
      <c r="F116" s="30"/>
      <c r="G116" s="30"/>
      <c r="H116" s="30"/>
      <c r="I116" s="30"/>
      <c r="J116" s="30"/>
      <c r="K116" s="30"/>
      <c r="L116" s="30"/>
      <c r="M116" s="30"/>
      <c r="N116" s="30"/>
      <c r="O116" s="30"/>
      <c r="P116" s="63"/>
    </row>
    <row r="117" spans="1:16">
      <c r="A117" s="30"/>
      <c r="B117" s="30"/>
      <c r="C117" s="30"/>
      <c r="D117" s="30"/>
      <c r="E117" s="30"/>
      <c r="F117" s="30"/>
      <c r="G117" s="30"/>
      <c r="H117" s="30"/>
      <c r="I117" s="30"/>
      <c r="J117" s="30"/>
      <c r="K117" s="30"/>
      <c r="L117" s="30"/>
      <c r="M117" s="30"/>
      <c r="N117" s="30"/>
      <c r="O117" s="30"/>
      <c r="P117" s="63"/>
    </row>
    <row r="118" spans="1:16">
      <c r="A118" s="30"/>
      <c r="B118" s="30"/>
      <c r="C118" s="30"/>
      <c r="D118" s="30"/>
      <c r="E118" s="30"/>
      <c r="F118" s="30"/>
      <c r="G118" s="30"/>
      <c r="H118" s="30"/>
      <c r="I118" s="30"/>
      <c r="J118" s="30"/>
      <c r="K118" s="30"/>
      <c r="L118" s="30"/>
      <c r="M118" s="30"/>
      <c r="N118" s="30"/>
      <c r="O118" s="30"/>
      <c r="P118" s="63"/>
    </row>
    <row r="119" spans="1:16">
      <c r="A119" s="30"/>
      <c r="B119" s="30"/>
      <c r="C119" s="30"/>
      <c r="D119" s="30"/>
      <c r="E119" s="30"/>
      <c r="F119" s="30"/>
      <c r="G119" s="30"/>
      <c r="H119" s="30"/>
      <c r="I119" s="30"/>
      <c r="J119" s="30"/>
      <c r="K119" s="30"/>
      <c r="L119" s="30"/>
      <c r="M119" s="30"/>
      <c r="N119" s="30"/>
      <c r="O119" s="30"/>
      <c r="P119" s="63"/>
    </row>
    <row r="120" spans="1:16">
      <c r="A120" s="30"/>
      <c r="B120" s="30"/>
      <c r="C120" s="30"/>
      <c r="D120" s="30"/>
      <c r="E120" s="30"/>
      <c r="F120" s="30"/>
      <c r="G120" s="30"/>
      <c r="H120" s="30"/>
      <c r="I120" s="30"/>
      <c r="J120" s="30"/>
      <c r="K120" s="30"/>
      <c r="L120" s="30"/>
      <c r="M120" s="30"/>
      <c r="N120" s="30"/>
      <c r="O120" s="30"/>
      <c r="P120" s="63"/>
    </row>
    <row r="121" spans="1:16">
      <c r="A121" s="30"/>
      <c r="B121" s="30"/>
      <c r="C121" s="30"/>
      <c r="D121" s="30"/>
      <c r="E121" s="30"/>
      <c r="F121" s="30"/>
      <c r="G121" s="30"/>
      <c r="H121" s="30"/>
      <c r="I121" s="30"/>
      <c r="J121" s="30"/>
      <c r="K121" s="30"/>
      <c r="L121" s="30"/>
      <c r="M121" s="30"/>
      <c r="N121" s="30"/>
      <c r="O121" s="30"/>
      <c r="P121" s="63"/>
    </row>
    <row r="122" spans="1:16">
      <c r="A122" s="30"/>
      <c r="O122" s="30"/>
      <c r="P122" s="63"/>
    </row>
    <row r="123" spans="1:16">
      <c r="A123" s="30"/>
      <c r="O123" s="30"/>
      <c r="P123" s="63"/>
    </row>
    <row r="124" spans="1:16">
      <c r="A124" s="30"/>
      <c r="O124" s="30"/>
      <c r="P124" s="63"/>
    </row>
    <row r="125" spans="1:16">
      <c r="A125" s="30"/>
      <c r="O125" s="30"/>
      <c r="P125" s="63"/>
    </row>
    <row r="126" spans="1:16">
      <c r="A126" s="30"/>
      <c r="O126" s="30"/>
      <c r="P126" s="63"/>
    </row>
    <row r="127" spans="1:16">
      <c r="A127" s="30"/>
      <c r="O127" s="30"/>
      <c r="P127" s="63"/>
    </row>
    <row r="128" spans="1:16">
      <c r="A128" s="30"/>
      <c r="O128" s="30"/>
      <c r="P128" s="63"/>
    </row>
    <row r="129" spans="1:16">
      <c r="A129" s="30"/>
      <c r="O129" s="30"/>
      <c r="P129" s="63"/>
    </row>
    <row r="130" spans="1:16">
      <c r="A130" s="30"/>
      <c r="O130" s="30"/>
      <c r="P130" s="63"/>
    </row>
    <row r="131" spans="1:16">
      <c r="A131" s="30"/>
      <c r="O131" s="30"/>
      <c r="P131" s="63"/>
    </row>
    <row r="132" spans="1:16">
      <c r="A132" s="30"/>
      <c r="O132" s="30"/>
      <c r="P132" s="63"/>
    </row>
    <row r="133" spans="1:16">
      <c r="A133" s="30"/>
      <c r="O133" s="30"/>
      <c r="P133" s="63"/>
    </row>
    <row r="134" spans="1:16">
      <c r="A134" s="30"/>
      <c r="O134" s="30"/>
      <c r="P134" s="63"/>
    </row>
  </sheetData>
  <sheetProtection password="C9AE" sheet="1" objects="1" scenarios="1"/>
  <mergeCells count="9">
    <mergeCell ref="R19:S19"/>
    <mergeCell ref="B2:G2"/>
    <mergeCell ref="M1:N1"/>
    <mergeCell ref="L19:M19"/>
    <mergeCell ref="E25:H25"/>
    <mergeCell ref="E43:H43"/>
    <mergeCell ref="M2:N2"/>
    <mergeCell ref="P17:Q17"/>
    <mergeCell ref="P19:Q19"/>
  </mergeCells>
  <phoneticPr fontId="0" type="noConversion"/>
  <pageMargins left="0.7" right="0.28000000000000003" top="0.67" bottom="0.52" header="0.46" footer="0.32"/>
  <pageSetup paperSize="9" orientation="portrait" r:id="rId1"/>
  <headerFooter alignWithMargins="0">
    <oddFooter>&amp;L&amp;"Times New Roman,Kursiv"&amp;6Huber Energietechnik, AG Zürich  &amp;C&amp;6&amp;F  &amp;R&amp;"Times New Roman,Kursiv"&amp;6ENTECH 380/1, Ver. 5.4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4" r:id="rId4" name="Check Box 2">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55" r:id="rId5" name="Check Box 3">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56" r:id="rId6" name="Check Box 4">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57" r:id="rId7" name="Check Box 5">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58" r:id="rId8" name="Check Box 6">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59" r:id="rId9" name="Check Box 7">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60" r:id="rId10" name="Check Box 8">
              <controlPr locked="0" defaultSize="0" autoFill="0" autoLine="0" autoPict="0">
                <anchor moveWithCells="1">
                  <from>
                    <xdr:col>7</xdr:col>
                    <xdr:colOff>600075</xdr:colOff>
                    <xdr:row>29</xdr:row>
                    <xdr:rowOff>9525</xdr:rowOff>
                  </from>
                  <to>
                    <xdr:col>10</xdr:col>
                    <xdr:colOff>466725</xdr:colOff>
                    <xdr:row>30</xdr:row>
                    <xdr:rowOff>47625</xdr:rowOff>
                  </to>
                </anchor>
              </controlPr>
            </control>
          </mc:Choice>
        </mc:AlternateContent>
        <mc:AlternateContent xmlns:mc="http://schemas.openxmlformats.org/markup-compatibility/2006">
          <mc:Choice Requires="x14">
            <control shapeId="23561" r:id="rId11" name="Check Box 9">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62" r:id="rId12" name="Check Box 10">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563" r:id="rId13" name="Check Box 11">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564" r:id="rId14" name="Check Box 12">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569" r:id="rId15" name="Check Box 17">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570" r:id="rId16" name="Check Box 18">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571" r:id="rId17" name="Check Box 19">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572" r:id="rId18" name="Check Box 20">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574" r:id="rId19" name="Check Box 22">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575" r:id="rId20" name="Check Box 23">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576" r:id="rId21" name="Check Box 24">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584" r:id="rId22" name="Option Button 32">
              <controlPr defaultSize="0" autoFill="0" autoLine="0" autoPict="0">
                <anchor moveWithCells="1">
                  <from>
                    <xdr:col>0</xdr:col>
                    <xdr:colOff>142875</xdr:colOff>
                    <xdr:row>47</xdr:row>
                    <xdr:rowOff>0</xdr:rowOff>
                  </from>
                  <to>
                    <xdr:col>5</xdr:col>
                    <xdr:colOff>733425</xdr:colOff>
                    <xdr:row>48</xdr:row>
                    <xdr:rowOff>57150</xdr:rowOff>
                  </to>
                </anchor>
              </controlPr>
            </control>
          </mc:Choice>
        </mc:AlternateContent>
        <mc:AlternateContent xmlns:mc="http://schemas.openxmlformats.org/markup-compatibility/2006">
          <mc:Choice Requires="x14">
            <control shapeId="23585" r:id="rId23" name="Option Button 33">
              <controlPr defaultSize="0" autoFill="0" autoLine="0" autoPict="0">
                <anchor moveWithCells="1">
                  <from>
                    <xdr:col>0</xdr:col>
                    <xdr:colOff>142875</xdr:colOff>
                    <xdr:row>48</xdr:row>
                    <xdr:rowOff>0</xdr:rowOff>
                  </from>
                  <to>
                    <xdr:col>5</xdr:col>
                    <xdr:colOff>666750</xdr:colOff>
                    <xdr:row>49</xdr:row>
                    <xdr:rowOff>57150</xdr:rowOff>
                  </to>
                </anchor>
              </controlPr>
            </control>
          </mc:Choice>
        </mc:AlternateContent>
        <mc:AlternateContent xmlns:mc="http://schemas.openxmlformats.org/markup-compatibility/2006">
          <mc:Choice Requires="x14">
            <control shapeId="23586" r:id="rId24" name="Option Button 34">
              <controlPr defaultSize="0" autoFill="0" autoLine="0" autoPict="0">
                <anchor moveWithCells="1">
                  <from>
                    <xdr:col>0</xdr:col>
                    <xdr:colOff>142875</xdr:colOff>
                    <xdr:row>48</xdr:row>
                    <xdr:rowOff>161925</xdr:rowOff>
                  </from>
                  <to>
                    <xdr:col>5</xdr:col>
                    <xdr:colOff>742950</xdr:colOff>
                    <xdr:row>50</xdr:row>
                    <xdr:rowOff>38100</xdr:rowOff>
                  </to>
                </anchor>
              </controlPr>
            </control>
          </mc:Choice>
        </mc:AlternateContent>
        <mc:AlternateContent xmlns:mc="http://schemas.openxmlformats.org/markup-compatibility/2006">
          <mc:Choice Requires="x14">
            <control shapeId="23587" r:id="rId25" name="Option Button 35">
              <controlPr defaultSize="0" autoFill="0" autoLine="0" autoPict="0">
                <anchor moveWithCells="1">
                  <from>
                    <xdr:col>0</xdr:col>
                    <xdr:colOff>142875</xdr:colOff>
                    <xdr:row>49</xdr:row>
                    <xdr:rowOff>152400</xdr:rowOff>
                  </from>
                  <to>
                    <xdr:col>6</xdr:col>
                    <xdr:colOff>28575</xdr:colOff>
                    <xdr:row>51</xdr:row>
                    <xdr:rowOff>28575</xdr:rowOff>
                  </to>
                </anchor>
              </controlPr>
            </control>
          </mc:Choice>
        </mc:AlternateContent>
        <mc:AlternateContent xmlns:mc="http://schemas.openxmlformats.org/markup-compatibility/2006">
          <mc:Choice Requires="x14">
            <control shapeId="23590" r:id="rId26" name="Option Button 38">
              <controlPr defaultSize="0" autoFill="0" autoLine="0" autoPict="0">
                <anchor moveWithCells="1">
                  <from>
                    <xdr:col>0</xdr:col>
                    <xdr:colOff>142875</xdr:colOff>
                    <xdr:row>50</xdr:row>
                    <xdr:rowOff>161925</xdr:rowOff>
                  </from>
                  <to>
                    <xdr:col>6</xdr:col>
                    <xdr:colOff>28575</xdr:colOff>
                    <xdr:row>52</xdr:row>
                    <xdr:rowOff>38100</xdr:rowOff>
                  </to>
                </anchor>
              </controlPr>
            </control>
          </mc:Choice>
        </mc:AlternateContent>
        <mc:AlternateContent xmlns:mc="http://schemas.openxmlformats.org/markup-compatibility/2006">
          <mc:Choice Requires="x14">
            <control shapeId="23591" r:id="rId27" name="Check Box 39">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92" r:id="rId28" name="Check Box 40">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93" r:id="rId29" name="Check Box 41">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94" r:id="rId30" name="Check Box 42">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95" r:id="rId31" name="Check Box 43">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96" r:id="rId32" name="Check Box 44">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98" r:id="rId33" name="Check Box 46">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99" r:id="rId34" name="Check Box 47">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600" r:id="rId35" name="Check Box 48">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601" r:id="rId36" name="Check Box 49">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602" r:id="rId37" name="Check Box 50">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603" r:id="rId38" name="Check Box 51">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604" r:id="rId39" name="Check Box 52">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605" r:id="rId40" name="Check Box 53">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606" r:id="rId41" name="Check Box 54">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607" r:id="rId42" name="Check Box 55">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608" r:id="rId43" name="Check Box 56">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617" r:id="rId44" name="Check Box 65">
              <controlPr defaultSize="0" autoFill="0" autoLine="0" autoPict="0">
                <anchor moveWithCells="1">
                  <from>
                    <xdr:col>3</xdr:col>
                    <xdr:colOff>352425</xdr:colOff>
                    <xdr:row>37</xdr:row>
                    <xdr:rowOff>142875</xdr:rowOff>
                  </from>
                  <to>
                    <xdr:col>3</xdr:col>
                    <xdr:colOff>876300</xdr:colOff>
                    <xdr:row>39</xdr:row>
                    <xdr:rowOff>19050</xdr:rowOff>
                  </to>
                </anchor>
              </controlPr>
            </control>
          </mc:Choice>
        </mc:AlternateContent>
        <mc:AlternateContent xmlns:mc="http://schemas.openxmlformats.org/markup-compatibility/2006">
          <mc:Choice Requires="x14">
            <control shapeId="23618" r:id="rId45" name="Check Box 66">
              <controlPr defaultSize="0" autoFill="0" autoLine="0" autoPict="0">
                <anchor moveWithCells="1">
                  <from>
                    <xdr:col>3</xdr:col>
                    <xdr:colOff>857250</xdr:colOff>
                    <xdr:row>37</xdr:row>
                    <xdr:rowOff>142875</xdr:rowOff>
                  </from>
                  <to>
                    <xdr:col>5</xdr:col>
                    <xdr:colOff>495300</xdr:colOff>
                    <xdr:row>39</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BF79"/>
  <sheetViews>
    <sheetView zoomScaleNormal="100" workbookViewId="0"/>
  </sheetViews>
  <sheetFormatPr baseColWidth="10" defaultColWidth="11.5703125" defaultRowHeight="12.75"/>
  <cols>
    <col min="1" max="1" width="3" style="707" customWidth="1"/>
    <col min="2" max="2" width="28" style="707" customWidth="1"/>
    <col min="3" max="14" width="7.140625" style="707" customWidth="1"/>
    <col min="15" max="16" width="7.85546875" style="707" customWidth="1"/>
    <col min="17" max="17" width="3" style="707" customWidth="1"/>
    <col min="18" max="18" width="11.5703125" style="707"/>
    <col min="19" max="19" width="31" style="707" customWidth="1"/>
    <col min="20" max="16384" width="11.5703125" style="707"/>
  </cols>
  <sheetData>
    <row r="1" spans="1:58">
      <c r="B1" s="707" t="str">
        <f>Uebersetzung!D414</f>
        <v>Entech 380/1, Ver. 6.1</v>
      </c>
      <c r="C1" s="707" t="str">
        <f>Projekt!AY35</f>
        <v>Optimisation</v>
      </c>
      <c r="E1" s="708" t="str">
        <f>IF(Projekt!E5&gt;0,Projekt!E5,"")</f>
        <v/>
      </c>
      <c r="J1" s="709"/>
      <c r="P1" s="710" t="str">
        <f>"Qh= "&amp;ROUND(Qh,0)&amp;" MJ/m2"</f>
        <v>Qh= 0 MJ/m2</v>
      </c>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08"/>
      <c r="AW1" s="1708"/>
      <c r="AX1" s="1708"/>
      <c r="AY1" s="1708"/>
      <c r="AZ1" s="1708"/>
      <c r="BA1" s="1708"/>
      <c r="BB1" s="1708"/>
      <c r="BC1" s="1708"/>
      <c r="BD1" s="1708"/>
      <c r="BE1" s="1708"/>
      <c r="BF1" s="1708"/>
    </row>
    <row r="2" spans="1:58">
      <c r="B2" s="712" t="s">
        <v>1967</v>
      </c>
      <c r="C2" s="2502">
        <f ca="1">NOW()</f>
        <v>43566.628989236109</v>
      </c>
      <c r="D2" s="2502"/>
      <c r="E2" s="2502"/>
      <c r="F2" s="712" t="str">
        <f>'M1'!F2</f>
        <v xml:space="preserve">pour </v>
      </c>
      <c r="G2" s="713"/>
      <c r="H2" s="712"/>
      <c r="I2" s="712"/>
      <c r="J2" s="712"/>
      <c r="K2" s="712"/>
      <c r="L2" s="712"/>
      <c r="M2" s="714"/>
      <c r="N2" s="715"/>
      <c r="O2" s="716"/>
      <c r="P2" s="717"/>
      <c r="S2" s="1709" t="s">
        <v>1974</v>
      </c>
      <c r="T2" s="1710">
        <f>Bau!AG6</f>
        <v>0</v>
      </c>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row>
    <row r="3" spans="1:58" ht="33.6" customHeight="1" thickBot="1">
      <c r="B3" s="719" t="s">
        <v>2319</v>
      </c>
      <c r="C3" s="720"/>
      <c r="D3" s="721"/>
      <c r="E3" s="721"/>
      <c r="F3" s="722"/>
      <c r="G3" s="723"/>
      <c r="H3" s="722"/>
      <c r="I3" s="724"/>
      <c r="J3" s="723"/>
      <c r="K3" s="725"/>
      <c r="L3" s="722"/>
      <c r="M3" s="722"/>
      <c r="N3" s="722"/>
      <c r="O3" s="726"/>
      <c r="P3" s="727" t="str">
        <f>'M1'!P3</f>
        <v>Calcul des besoins de chaleur pour le chauffage dans bâtiments, SIA 380/1</v>
      </c>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row>
    <row r="4" spans="1:58" ht="18" customHeight="1">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8"/>
      <c r="BF4" s="1708"/>
    </row>
    <row r="5" spans="1:58" ht="18" customHeight="1">
      <c r="B5" s="728" t="str">
        <f>Uebersetzung!D415</f>
        <v>Avec aération mécanique (avec débit d'air neuf thermiquement significatif  V'/AE)</v>
      </c>
      <c r="S5" s="1708"/>
      <c r="T5" s="1708"/>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c r="AT5" s="1708"/>
      <c r="AU5" s="1708"/>
      <c r="AV5" s="1708"/>
      <c r="AW5" s="1708"/>
      <c r="AX5" s="1708"/>
      <c r="AY5" s="1708"/>
      <c r="AZ5" s="1708"/>
      <c r="BA5" s="1708"/>
      <c r="BB5" s="1708"/>
      <c r="BC5" s="1708"/>
      <c r="BD5" s="1708"/>
      <c r="BE5" s="1708"/>
      <c r="BF5" s="1708"/>
    </row>
    <row r="6" spans="1:58" ht="18" customHeight="1">
      <c r="B6" s="728" t="str">
        <f>Uebersetzung!D416</f>
        <v>Optimisation selon la norm SIA 380/1</v>
      </c>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row>
    <row r="7" spans="1:58" ht="18" customHeight="1">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row>
    <row r="8" spans="1:58" ht="18" customHeight="1">
      <c r="B8" s="729" t="str">
        <f>'M1'!B8</f>
        <v>A:  Objet</v>
      </c>
      <c r="C8" s="729" t="str">
        <f>IF(Projekt!E5&lt;&gt;"",Projekt!E5,"")</f>
        <v/>
      </c>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row>
    <row r="9" spans="1:58" ht="0.6" customHeight="1">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row>
    <row r="10" spans="1:58" ht="18" customHeight="1">
      <c r="A10" s="730"/>
      <c r="B10" s="730"/>
      <c r="C10" s="730">
        <v>1</v>
      </c>
      <c r="D10" s="730">
        <v>2</v>
      </c>
      <c r="E10" s="730">
        <v>3</v>
      </c>
      <c r="F10" s="730">
        <v>4</v>
      </c>
      <c r="G10" s="730">
        <v>5</v>
      </c>
      <c r="H10" s="730">
        <v>6</v>
      </c>
      <c r="I10" s="730">
        <v>7</v>
      </c>
      <c r="J10" s="730">
        <v>8</v>
      </c>
      <c r="K10" s="730">
        <v>9</v>
      </c>
      <c r="L10" s="730">
        <v>10</v>
      </c>
      <c r="M10" s="730">
        <v>11</v>
      </c>
      <c r="N10" s="731">
        <v>12</v>
      </c>
      <c r="O10" s="730"/>
      <c r="P10" s="730"/>
      <c r="S10" s="1711"/>
      <c r="T10" s="1711"/>
      <c r="U10" s="1711">
        <f>C10</f>
        <v>1</v>
      </c>
      <c r="V10" s="1711"/>
      <c r="W10" s="1711"/>
      <c r="X10" s="1711">
        <f>D10</f>
        <v>2</v>
      </c>
      <c r="Y10" s="1711"/>
      <c r="Z10" s="1711"/>
      <c r="AA10" s="1711">
        <f>E10</f>
        <v>3</v>
      </c>
      <c r="AB10" s="1711"/>
      <c r="AC10" s="1711"/>
      <c r="AD10" s="1711">
        <f>F10</f>
        <v>4</v>
      </c>
      <c r="AE10" s="1711"/>
      <c r="AF10" s="1711"/>
      <c r="AG10" s="1711">
        <f>G10</f>
        <v>5</v>
      </c>
      <c r="AH10" s="1711"/>
      <c r="AI10" s="1711"/>
      <c r="AJ10" s="1711">
        <f>H10</f>
        <v>6</v>
      </c>
      <c r="AK10" s="1711"/>
      <c r="AL10" s="1711"/>
      <c r="AM10" s="1711">
        <f>I10</f>
        <v>7</v>
      </c>
      <c r="AN10" s="1711"/>
      <c r="AO10" s="1711"/>
      <c r="AP10" s="1711">
        <f>J10</f>
        <v>8</v>
      </c>
      <c r="AQ10" s="1711"/>
      <c r="AR10" s="1711"/>
      <c r="AS10" s="1711">
        <f>K10</f>
        <v>9</v>
      </c>
      <c r="AT10" s="1711"/>
      <c r="AU10" s="1711"/>
      <c r="AV10" s="1711">
        <f>L10</f>
        <v>10</v>
      </c>
      <c r="AW10" s="1711"/>
      <c r="AX10" s="1711"/>
      <c r="AY10" s="1711">
        <f>M10</f>
        <v>11</v>
      </c>
      <c r="AZ10" s="1711"/>
      <c r="BA10" s="1711"/>
      <c r="BB10" s="1711">
        <f>N10</f>
        <v>12</v>
      </c>
      <c r="BC10" s="1711"/>
      <c r="BD10" s="1711"/>
      <c r="BE10" s="1711"/>
      <c r="BF10" s="1711"/>
    </row>
    <row r="11" spans="1:58" ht="18" customHeight="1">
      <c r="A11" s="730"/>
      <c r="B11" s="730"/>
      <c r="C11" s="732" t="str">
        <f>'M1'!C11</f>
        <v>Jan</v>
      </c>
      <c r="D11" s="732" t="str">
        <f>'M1'!D11</f>
        <v>Fev</v>
      </c>
      <c r="E11" s="732" t="str">
        <f>'M1'!E11</f>
        <v>Mar</v>
      </c>
      <c r="F11" s="732" t="str">
        <f>'M1'!F11</f>
        <v>Avr</v>
      </c>
      <c r="G11" s="732" t="str">
        <f>'M1'!G11</f>
        <v>Mai</v>
      </c>
      <c r="H11" s="732" t="str">
        <f>'M1'!H11</f>
        <v>Juin</v>
      </c>
      <c r="I11" s="732" t="str">
        <f>'M1'!I11</f>
        <v>Juil</v>
      </c>
      <c r="J11" s="732" t="str">
        <f>'M1'!J11</f>
        <v>Août</v>
      </c>
      <c r="K11" s="732" t="str">
        <f>'M1'!K11</f>
        <v>Sep</v>
      </c>
      <c r="L11" s="732" t="str">
        <f>'M1'!L11</f>
        <v>Oct</v>
      </c>
      <c r="M11" s="732" t="str">
        <f>'M1'!M11</f>
        <v>Nov</v>
      </c>
      <c r="N11" s="733" t="str">
        <f>'M1'!N11</f>
        <v>Déc</v>
      </c>
      <c r="O11" s="732" t="str">
        <f>'M1'!O11</f>
        <v>Année</v>
      </c>
      <c r="P11" s="730"/>
      <c r="S11" s="1712"/>
      <c r="T11" s="1712"/>
      <c r="U11" s="1712"/>
      <c r="V11" s="1712" t="s">
        <v>489</v>
      </c>
      <c r="W11" s="1712"/>
      <c r="X11" s="1712"/>
      <c r="Y11" s="1712" t="s">
        <v>490</v>
      </c>
      <c r="Z11" s="1712"/>
      <c r="AA11" s="1712"/>
      <c r="AB11" s="1712" t="s">
        <v>491</v>
      </c>
      <c r="AC11" s="1712"/>
      <c r="AD11" s="1712"/>
      <c r="AE11" s="1712" t="s">
        <v>492</v>
      </c>
      <c r="AF11" s="1712"/>
      <c r="AG11" s="1712"/>
      <c r="AH11" s="1712" t="s">
        <v>493</v>
      </c>
      <c r="AI11" s="1712"/>
      <c r="AJ11" s="1712"/>
      <c r="AK11" s="1712" t="s">
        <v>494</v>
      </c>
      <c r="AL11" s="1712"/>
      <c r="AM11" s="1712"/>
      <c r="AN11" s="1712" t="s">
        <v>495</v>
      </c>
      <c r="AO11" s="1712"/>
      <c r="AP11" s="1712"/>
      <c r="AQ11" s="1712" t="s">
        <v>496</v>
      </c>
      <c r="AR11" s="1712"/>
      <c r="AS11" s="1712"/>
      <c r="AT11" s="1712" t="s">
        <v>497</v>
      </c>
      <c r="AU11" s="1712"/>
      <c r="AV11" s="1712"/>
      <c r="AW11" s="1712" t="s">
        <v>498</v>
      </c>
      <c r="AX11" s="1712"/>
      <c r="AY11" s="1712"/>
      <c r="AZ11" s="1712" t="s">
        <v>499</v>
      </c>
      <c r="BA11" s="1712"/>
      <c r="BB11" s="1712"/>
      <c r="BC11" s="1712" t="s">
        <v>500</v>
      </c>
      <c r="BD11" s="1712"/>
      <c r="BE11" s="1712" t="s">
        <v>501</v>
      </c>
      <c r="BF11" s="1712"/>
    </row>
    <row r="12" spans="1:58" ht="18" customHeight="1">
      <c r="A12" s="734"/>
      <c r="B12" s="734"/>
      <c r="C12" s="735"/>
      <c r="D12" s="735"/>
      <c r="E12" s="735"/>
      <c r="F12" s="735"/>
      <c r="G12" s="735"/>
      <c r="H12" s="735"/>
      <c r="I12" s="735"/>
      <c r="J12" s="735"/>
      <c r="K12" s="735"/>
      <c r="L12" s="735"/>
      <c r="M12" s="735"/>
      <c r="N12" s="736"/>
      <c r="O12" s="737"/>
      <c r="P12" s="734"/>
      <c r="S12" s="1712" t="str">
        <f>B42</f>
        <v>Déperditions par transmission QT:</v>
      </c>
      <c r="T12" s="1712" t="s">
        <v>2382</v>
      </c>
      <c r="U12" s="1712">
        <f>C42</f>
        <v>0</v>
      </c>
      <c r="V12" s="1712"/>
      <c r="W12" s="1712"/>
      <c r="X12" s="1712">
        <f>D42</f>
        <v>0</v>
      </c>
      <c r="Y12" s="1712"/>
      <c r="Z12" s="1712"/>
      <c r="AA12" s="1712">
        <f>E42</f>
        <v>0</v>
      </c>
      <c r="AB12" s="1712"/>
      <c r="AC12" s="1712"/>
      <c r="AD12" s="1712">
        <f>F42</f>
        <v>0</v>
      </c>
      <c r="AE12" s="1708"/>
      <c r="AF12" s="1712"/>
      <c r="AG12" s="1712">
        <f>G42</f>
        <v>0</v>
      </c>
      <c r="AH12" s="1712"/>
      <c r="AI12" s="1712"/>
      <c r="AJ12" s="1712">
        <f>H42</f>
        <v>0</v>
      </c>
      <c r="AK12" s="1712"/>
      <c r="AL12" s="1712"/>
      <c r="AM12" s="1712">
        <f>I42</f>
        <v>0</v>
      </c>
      <c r="AN12" s="1712"/>
      <c r="AO12" s="1712"/>
      <c r="AP12" s="1712">
        <f>J42</f>
        <v>0</v>
      </c>
      <c r="AQ12" s="1712"/>
      <c r="AR12" s="1712"/>
      <c r="AS12" s="1712">
        <f>K42</f>
        <v>0</v>
      </c>
      <c r="AT12" s="1712"/>
      <c r="AU12" s="1712"/>
      <c r="AV12" s="1712">
        <f>L42</f>
        <v>0</v>
      </c>
      <c r="AW12" s="1712"/>
      <c r="AX12" s="1712"/>
      <c r="AY12" s="1712">
        <f>M42</f>
        <v>0</v>
      </c>
      <c r="AZ12" s="1712"/>
      <c r="BA12" s="1712"/>
      <c r="BB12" s="1712">
        <f>N42</f>
        <v>0</v>
      </c>
      <c r="BC12" s="1712"/>
      <c r="BD12" s="1712"/>
      <c r="BE12" s="1712">
        <f>O42</f>
        <v>0</v>
      </c>
      <c r="BF12" s="1712" t="str">
        <f>P42</f>
        <v>MJ/m2a</v>
      </c>
    </row>
    <row r="13" spans="1:58" ht="18" customHeight="1">
      <c r="A13" s="734"/>
      <c r="B13" s="729" t="str">
        <f>'M1'!B14</f>
        <v>Jours par mois:</v>
      </c>
      <c r="N13" s="740"/>
      <c r="O13" s="730"/>
      <c r="P13" s="734"/>
      <c r="S13" s="1712" t="str">
        <f>B44</f>
        <v>Dép. par renouvellement de l'air QV:</v>
      </c>
      <c r="T13" s="1712" t="s">
        <v>2375</v>
      </c>
      <c r="U13" s="1712">
        <f>C44</f>
        <v>0</v>
      </c>
      <c r="V13" s="1712"/>
      <c r="W13" s="1712"/>
      <c r="X13" s="1712">
        <f>D44</f>
        <v>0</v>
      </c>
      <c r="Y13" s="1712"/>
      <c r="Z13" s="1712"/>
      <c r="AA13" s="1712">
        <f>E44</f>
        <v>0</v>
      </c>
      <c r="AB13" s="1712"/>
      <c r="AC13" s="1712"/>
      <c r="AD13" s="1712">
        <f>F44</f>
        <v>0</v>
      </c>
      <c r="AE13" s="1712"/>
      <c r="AF13" s="1712"/>
      <c r="AG13" s="1712">
        <f>G44</f>
        <v>0</v>
      </c>
      <c r="AH13" s="1712"/>
      <c r="AI13" s="1712"/>
      <c r="AJ13" s="1712">
        <f>H44</f>
        <v>0</v>
      </c>
      <c r="AK13" s="1712"/>
      <c r="AL13" s="1712"/>
      <c r="AM13" s="1712">
        <f>I44</f>
        <v>0</v>
      </c>
      <c r="AN13" s="1712"/>
      <c r="AO13" s="1712"/>
      <c r="AP13" s="1712">
        <f>J44</f>
        <v>0</v>
      </c>
      <c r="AQ13" s="1712"/>
      <c r="AR13" s="1712"/>
      <c r="AS13" s="1712">
        <f>K44</f>
        <v>0</v>
      </c>
      <c r="AT13" s="1712"/>
      <c r="AU13" s="1712"/>
      <c r="AV13" s="1712">
        <f>L44</f>
        <v>0</v>
      </c>
      <c r="AW13" s="1712"/>
      <c r="AX13" s="1712"/>
      <c r="AY13" s="1712">
        <f>M44</f>
        <v>0</v>
      </c>
      <c r="AZ13" s="1712"/>
      <c r="BA13" s="1712"/>
      <c r="BB13" s="1712">
        <f>N44</f>
        <v>0</v>
      </c>
      <c r="BC13" s="1712"/>
      <c r="BD13" s="1712"/>
      <c r="BE13" s="1712">
        <f>O44</f>
        <v>0</v>
      </c>
      <c r="BF13" s="1712" t="str">
        <f>P44</f>
        <v>MJ/m2a</v>
      </c>
    </row>
    <row r="14" spans="1:58" ht="18" customHeight="1">
      <c r="B14" s="738" t="str">
        <f>'M1'!B14</f>
        <v>Jours par mois:</v>
      </c>
      <c r="C14" s="735">
        <v>31</v>
      </c>
      <c r="D14" s="735">
        <v>28</v>
      </c>
      <c r="E14" s="735">
        <v>31</v>
      </c>
      <c r="F14" s="735">
        <v>30</v>
      </c>
      <c r="G14" s="735">
        <v>31</v>
      </c>
      <c r="H14" s="735">
        <v>30</v>
      </c>
      <c r="I14" s="735">
        <v>31</v>
      </c>
      <c r="J14" s="735">
        <v>31</v>
      </c>
      <c r="K14" s="735">
        <v>30</v>
      </c>
      <c r="L14" s="735">
        <v>31</v>
      </c>
      <c r="M14" s="735">
        <v>30</v>
      </c>
      <c r="N14" s="736">
        <v>31</v>
      </c>
      <c r="O14" s="741">
        <f>SUM(C14:N14)</f>
        <v>365</v>
      </c>
      <c r="P14" s="707" t="s">
        <v>505</v>
      </c>
      <c r="S14" s="1712" t="str">
        <f>B68</f>
        <v>Besoins de chaleur  Qh:</v>
      </c>
      <c r="T14" s="1712" t="s">
        <v>2376</v>
      </c>
      <c r="U14" s="1712"/>
      <c r="V14" s="1712">
        <f>C68</f>
        <v>0</v>
      </c>
      <c r="W14" s="1712"/>
      <c r="X14" s="1712"/>
      <c r="Y14" s="1712">
        <f>D68</f>
        <v>0</v>
      </c>
      <c r="Z14" s="1712"/>
      <c r="AA14" s="1712"/>
      <c r="AB14" s="1712">
        <f>E68</f>
        <v>0</v>
      </c>
      <c r="AC14" s="1712"/>
      <c r="AD14" s="1712"/>
      <c r="AE14" s="1712">
        <f>F68</f>
        <v>0</v>
      </c>
      <c r="AF14" s="1712"/>
      <c r="AG14" s="1712"/>
      <c r="AH14" s="1712">
        <f>G68</f>
        <v>0</v>
      </c>
      <c r="AI14" s="1712"/>
      <c r="AJ14" s="1712"/>
      <c r="AK14" s="1712">
        <f>H68</f>
        <v>0</v>
      </c>
      <c r="AL14" s="1712"/>
      <c r="AM14" s="1712"/>
      <c r="AN14" s="1712">
        <f>I68</f>
        <v>0</v>
      </c>
      <c r="AO14" s="1712"/>
      <c r="AP14" s="1712"/>
      <c r="AQ14" s="1712">
        <f>J68</f>
        <v>0</v>
      </c>
      <c r="AR14" s="1712"/>
      <c r="AS14" s="1712"/>
      <c r="AT14" s="1712">
        <f>K68</f>
        <v>0</v>
      </c>
      <c r="AU14" s="1712"/>
      <c r="AV14" s="1712"/>
      <c r="AW14" s="1712">
        <f>L68</f>
        <v>0</v>
      </c>
      <c r="AX14" s="1712"/>
      <c r="AY14" s="1712"/>
      <c r="AZ14" s="1712">
        <f>M68</f>
        <v>0</v>
      </c>
      <c r="BA14" s="1712"/>
      <c r="BB14" s="1712"/>
      <c r="BC14" s="1712">
        <f>N68</f>
        <v>0</v>
      </c>
      <c r="BD14" s="1712"/>
      <c r="BE14" s="1712">
        <f>O68</f>
        <v>0</v>
      </c>
      <c r="BF14" s="1712" t="str">
        <f>P68</f>
        <v>MJ/m2a</v>
      </c>
    </row>
    <row r="15" spans="1:58" ht="18" customHeight="1">
      <c r="B15" s="738" t="str">
        <f>'M1'!B15</f>
        <v>Température extérieure Thetae :</v>
      </c>
      <c r="C15" s="745">
        <f ca="1">IF(AND(Klimastation&lt;&gt;"",Klimastation&gt;-1),INDEX(Klima!1:1048576,5+25*Klimastation,2+'M2'!C$10),0)</f>
        <v>0</v>
      </c>
      <c r="D15" s="745">
        <f ca="1">IF(AND(Klimastation&lt;&gt;"",Klimastation&gt;-1),INDEX(Klima!1:1048576,5+25*Klimastation,2+'M2'!D$10),0)</f>
        <v>0</v>
      </c>
      <c r="E15" s="745">
        <f ca="1">IF(AND(Klimastation&lt;&gt;"",Klimastation&gt;-1),INDEX(Klima!1:1048576,5+25*Klimastation,2+'M2'!E$10),0)</f>
        <v>0</v>
      </c>
      <c r="F15" s="745">
        <f ca="1">IF(AND(Klimastation&lt;&gt;"",Klimastation&gt;-1),INDEX(Klima!1:1048576,5+25*Klimastation,2+'M2'!F$10),0)</f>
        <v>0</v>
      </c>
      <c r="G15" s="745">
        <f ca="1">IF(AND(Klimastation&lt;&gt;"",Klimastation&gt;-1),INDEX(Klima!1:1048576,5+25*Klimastation,2+'M2'!G$10),0)</f>
        <v>0</v>
      </c>
      <c r="H15" s="745">
        <f ca="1">IF(AND(Klimastation&lt;&gt;"",Klimastation&gt;-1),INDEX(Klima!1:1048576,5+25*Klimastation,2+'M2'!H$10),0)</f>
        <v>0</v>
      </c>
      <c r="I15" s="745">
        <f ca="1">IF(AND(Klimastation&lt;&gt;"",Klimastation&gt;-1),INDEX(Klima!1:1048576,5+25*Klimastation,2+'M2'!I$10),0)</f>
        <v>0</v>
      </c>
      <c r="J15" s="745">
        <f ca="1">IF(AND(Klimastation&lt;&gt;"",Klimastation&gt;-1),INDEX(Klima!1:1048576,5+25*Klimastation,2+'M2'!J$10),0)</f>
        <v>0</v>
      </c>
      <c r="K15" s="745">
        <f ca="1">IF(AND(Klimastation&lt;&gt;"",Klimastation&gt;-1),INDEX(Klima!1:1048576,5+25*Klimastation,2+'M2'!K$10),0)</f>
        <v>0</v>
      </c>
      <c r="L15" s="745">
        <f ca="1">IF(AND(Klimastation&lt;&gt;"",Klimastation&gt;-1),INDEX(Klima!1:1048576,5+25*Klimastation,2+'M2'!L$10),0)</f>
        <v>0</v>
      </c>
      <c r="M15" s="745">
        <f ca="1">IF(AND(Klimastation&lt;&gt;"",Klimastation&gt;-1),INDEX(Klima!1:1048576,5+25*Klimastation,2+'M2'!M$10),0)</f>
        <v>0</v>
      </c>
      <c r="N15" s="746">
        <f ca="1">IF(AND(Klimastation&lt;&gt;"",Klimastation&gt;-1),INDEX(Klima!1:1048576,5+25*Klimastation,2+'M2'!N$10),0)</f>
        <v>0</v>
      </c>
      <c r="O15" s="1386">
        <f ca="1">IF(AND(Klimastation&lt;&gt;"",Klimastation&gt;-1),INDEX(Klima!1:1048576,5+25*Klimastation,15),0)</f>
        <v>0</v>
      </c>
      <c r="P15" s="707" t="s">
        <v>2324</v>
      </c>
      <c r="S15" s="1712" t="str">
        <f>B59</f>
        <v>Apports totaux de chaleur Qg:</v>
      </c>
      <c r="T15" s="1712" t="s">
        <v>2377</v>
      </c>
      <c r="U15" s="1712"/>
      <c r="V15" s="1712">
        <f>C59</f>
        <v>0</v>
      </c>
      <c r="W15" s="1712"/>
      <c r="X15" s="1712"/>
      <c r="Y15" s="1712">
        <f>D59</f>
        <v>0</v>
      </c>
      <c r="Z15" s="1712"/>
      <c r="AA15" s="1712"/>
      <c r="AB15" s="1712">
        <f>E59</f>
        <v>0</v>
      </c>
      <c r="AC15" s="1712"/>
      <c r="AD15" s="1712"/>
      <c r="AE15" s="1712">
        <f>F59</f>
        <v>0</v>
      </c>
      <c r="AF15" s="1712"/>
      <c r="AG15" s="1712"/>
      <c r="AH15" s="1712">
        <f>G59</f>
        <v>0</v>
      </c>
      <c r="AI15" s="1712"/>
      <c r="AJ15" s="1712"/>
      <c r="AK15" s="1712">
        <f>H59</f>
        <v>0</v>
      </c>
      <c r="AL15" s="1712"/>
      <c r="AM15" s="1712"/>
      <c r="AN15" s="1712">
        <f>I59</f>
        <v>0</v>
      </c>
      <c r="AO15" s="1712"/>
      <c r="AP15" s="1712"/>
      <c r="AQ15" s="1712">
        <f>J59</f>
        <v>0</v>
      </c>
      <c r="AR15" s="1712"/>
      <c r="AS15" s="1712"/>
      <c r="AT15" s="1712">
        <f>K59</f>
        <v>0</v>
      </c>
      <c r="AU15" s="1712"/>
      <c r="AV15" s="1712"/>
      <c r="AW15" s="1712">
        <f>L59</f>
        <v>0</v>
      </c>
      <c r="AX15" s="1712"/>
      <c r="AY15" s="1712"/>
      <c r="AZ15" s="1712">
        <f>M59</f>
        <v>0</v>
      </c>
      <c r="BA15" s="1712"/>
      <c r="BB15" s="1712"/>
      <c r="BC15" s="1712">
        <f>N59</f>
        <v>0</v>
      </c>
      <c r="BD15" s="1712"/>
      <c r="BE15" s="1712">
        <f>O59</f>
        <v>0</v>
      </c>
      <c r="BF15" s="1712" t="str">
        <f>P59</f>
        <v>MJ/m2a</v>
      </c>
    </row>
    <row r="16" spans="1:58" ht="18" customHeight="1">
      <c r="B16" s="738" t="str">
        <f>'M1'!B16</f>
        <v>Durée de la période de calcul tc :</v>
      </c>
      <c r="C16" s="734">
        <f ca="1">IF(AND(Klimastation&lt;&gt;"",Klimastation&gt;-1),INDEX(Klima!1:1048576,16+25*Klimastation,2+'M2'!C$10),0)</f>
        <v>0</v>
      </c>
      <c r="D16" s="734">
        <f ca="1">IF(AND(Klimastation&lt;&gt;"",Klimastation&gt;-1),INDEX(Klima!1:1048576,16+25*Klimastation,2+'M2'!D$10),0)</f>
        <v>0</v>
      </c>
      <c r="E16" s="734">
        <f ca="1">IF(AND(Klimastation&lt;&gt;"",Klimastation&gt;-1),INDEX(Klima!1:1048576,16+25*Klimastation,2+'M2'!E$10),0)</f>
        <v>0</v>
      </c>
      <c r="F16" s="734">
        <f ca="1">IF(AND(Klimastation&lt;&gt;"",Klimastation&gt;-1),INDEX(Klima!1:1048576,16+25*Klimastation,2+'M2'!F$10),0)</f>
        <v>0</v>
      </c>
      <c r="G16" s="734">
        <f ca="1">IF(AND(Klimastation&lt;&gt;"",Klimastation&gt;-1),INDEX(Klima!1:1048576,16+25*Klimastation,2+'M2'!G$10),0)</f>
        <v>0</v>
      </c>
      <c r="H16" s="734">
        <f ca="1">IF(AND(Klimastation&lt;&gt;"",Klimastation&gt;-1),INDEX(Klima!1:1048576,16+25*Klimastation,2+'M2'!H$10),0)</f>
        <v>0</v>
      </c>
      <c r="I16" s="734">
        <f ca="1">IF(AND(Klimastation&lt;&gt;"",Klimastation&gt;-1),INDEX(Klima!1:1048576,16+25*Klimastation,2+'M2'!I$10),0)</f>
        <v>0</v>
      </c>
      <c r="J16" s="734">
        <f ca="1">IF(AND(Klimastation&lt;&gt;"",Klimastation&gt;-1),INDEX(Klima!1:1048576,16+25*Klimastation,2+'M2'!J$10),0)</f>
        <v>0</v>
      </c>
      <c r="K16" s="734">
        <f ca="1">IF(AND(Klimastation&lt;&gt;"",Klimastation&gt;-1),INDEX(Klima!1:1048576,16+25*Klimastation,2+'M2'!K$10),0)</f>
        <v>0</v>
      </c>
      <c r="L16" s="734">
        <f ca="1">IF(AND(Klimastation&lt;&gt;"",Klimastation&gt;-1),INDEX(Klima!1:1048576,16+25*Klimastation,2+'M2'!L$10),0)</f>
        <v>0</v>
      </c>
      <c r="M16" s="734">
        <f ca="1">IF(AND(Klimastation&lt;&gt;"",Klimastation&gt;-1),INDEX(Klima!1:1048576,16+25*Klimastation,2+'M2'!M$10),0)</f>
        <v>0</v>
      </c>
      <c r="N16" s="736">
        <f ca="1">IF(AND(Klimastation&lt;&gt;"",Klimastation&gt;-1),INDEX(Klima!1:1048576,16+25*Klimastation,2+'M2'!N$10),0)</f>
        <v>0</v>
      </c>
      <c r="O16" s="741">
        <f t="shared" ref="O16:O21" ca="1" si="0">SUM(C16:N16)</f>
        <v>0</v>
      </c>
      <c r="P16" s="707" t="s">
        <v>505</v>
      </c>
      <c r="S16" s="1712" t="s">
        <v>2378</v>
      </c>
      <c r="T16" s="1712" t="s">
        <v>2379</v>
      </c>
      <c r="U16" s="1712"/>
      <c r="V16" s="1712">
        <f>U12+U13-V14</f>
        <v>0</v>
      </c>
      <c r="W16" s="1712"/>
      <c r="X16" s="1712"/>
      <c r="Y16" s="1712">
        <f>X12+X13-Y14</f>
        <v>0</v>
      </c>
      <c r="Z16" s="1712"/>
      <c r="AA16" s="1712"/>
      <c r="AB16" s="1712">
        <f>AA12+AA13-AB14</f>
        <v>0</v>
      </c>
      <c r="AC16" s="1712"/>
      <c r="AD16" s="1712"/>
      <c r="AE16" s="1712">
        <f>AD12+AD13-AE14</f>
        <v>0</v>
      </c>
      <c r="AF16" s="1712"/>
      <c r="AG16" s="1712"/>
      <c r="AH16" s="1712">
        <f>AG12+AG13-AH14</f>
        <v>0</v>
      </c>
      <c r="AI16" s="1712"/>
      <c r="AJ16" s="1712"/>
      <c r="AK16" s="1712">
        <f>AJ12+AJ13-AK14</f>
        <v>0</v>
      </c>
      <c r="AL16" s="1712"/>
      <c r="AM16" s="1712"/>
      <c r="AN16" s="1712">
        <f>AM12+AM13-AN14</f>
        <v>0</v>
      </c>
      <c r="AO16" s="1712"/>
      <c r="AP16" s="1712"/>
      <c r="AQ16" s="1712">
        <f>AP12+AP13-AQ14</f>
        <v>0</v>
      </c>
      <c r="AR16" s="1712"/>
      <c r="AS16" s="1712"/>
      <c r="AT16" s="1712">
        <f>AS12+AS13-AT14</f>
        <v>0</v>
      </c>
      <c r="AU16" s="1712"/>
      <c r="AV16" s="1712"/>
      <c r="AW16" s="1712">
        <f>AV12+AV13-AW14</f>
        <v>0</v>
      </c>
      <c r="AX16" s="1712"/>
      <c r="AY16" s="1712"/>
      <c r="AZ16" s="1712">
        <f>AY12+AY13-AZ14</f>
        <v>0</v>
      </c>
      <c r="BA16" s="1712"/>
      <c r="BB16" s="1712"/>
      <c r="BC16" s="1712">
        <f>BB12+BB13-BC14</f>
        <v>0</v>
      </c>
      <c r="BD16" s="1712"/>
      <c r="BE16" s="1712"/>
      <c r="BF16" s="1712"/>
    </row>
    <row r="17" spans="2:58" ht="18" customHeight="1">
      <c r="B17" s="738" t="str">
        <f>'M1'!B17</f>
        <v>Rayonnement solaire glob. horizontale:</v>
      </c>
      <c r="C17" s="739">
        <f ca="1">IF(AND(Klimastation&lt;&gt;"",Klimastation&gt;-1),INDEX(Klima!1:1048576,7+25*Klimastation,2+'M2'!C$10),0)</f>
        <v>0</v>
      </c>
      <c r="D17" s="739">
        <f ca="1">IF(AND(Klimastation&lt;&gt;"",Klimastation&gt;-1),INDEX(Klima!1:1048576,7+25*Klimastation,2+'M2'!D$10),0)</f>
        <v>0</v>
      </c>
      <c r="E17" s="739">
        <f ca="1">IF(AND(Klimastation&lt;&gt;"",Klimastation&gt;-1),INDEX(Klima!1:1048576,7+25*Klimastation,2+'M2'!E$10),0)</f>
        <v>0</v>
      </c>
      <c r="F17" s="739">
        <f ca="1">IF(AND(Klimastation&lt;&gt;"",Klimastation&gt;-1),INDEX(Klima!1:1048576,7+25*Klimastation,2+'M2'!F$10),0)</f>
        <v>0</v>
      </c>
      <c r="G17" s="739">
        <f ca="1">IF(AND(Klimastation&lt;&gt;"",Klimastation&gt;-1),INDEX(Klima!1:1048576,7+25*Klimastation,2+'M2'!G$10),0)</f>
        <v>0</v>
      </c>
      <c r="H17" s="739">
        <f ca="1">IF(AND(Klimastation&lt;&gt;"",Klimastation&gt;-1),INDEX(Klima!1:1048576,7+25*Klimastation,2+'M2'!H$10),0)</f>
        <v>0</v>
      </c>
      <c r="I17" s="739">
        <f ca="1">IF(AND(Klimastation&lt;&gt;"",Klimastation&gt;-1),INDEX(Klima!1:1048576,7+25*Klimastation,2+'M2'!I$10),0)</f>
        <v>0</v>
      </c>
      <c r="J17" s="739">
        <f ca="1">IF(AND(Klimastation&lt;&gt;"",Klimastation&gt;-1),INDEX(Klima!1:1048576,7+25*Klimastation,2+'M2'!J$10),0)</f>
        <v>0</v>
      </c>
      <c r="K17" s="739">
        <f ca="1">IF(AND(Klimastation&lt;&gt;"",Klimastation&gt;-1),INDEX(Klima!1:1048576,7+25*Klimastation,2+'M2'!K$10),0)</f>
        <v>0</v>
      </c>
      <c r="L17" s="739">
        <f ca="1">IF(AND(Klimastation&lt;&gt;"",Klimastation&gt;-1),INDEX(Klima!1:1048576,7+25*Klimastation,2+'M2'!L$10),0)</f>
        <v>0</v>
      </c>
      <c r="M17" s="739">
        <f ca="1">IF(AND(Klimastation&lt;&gt;"",Klimastation&gt;-1),INDEX(Klima!1:1048576,7+25*Klimastation,2+'M2'!M$10),0)</f>
        <v>0</v>
      </c>
      <c r="N17" s="1385">
        <f ca="1">IF(AND(Klimastation&lt;&gt;"",Klimastation&gt;-1),INDEX(Klima!1:1048576,7+25*Klimastation,2+'M2'!N$10),0)</f>
        <v>0</v>
      </c>
      <c r="O17" s="741">
        <f t="shared" ca="1" si="0"/>
        <v>0</v>
      </c>
      <c r="P17" s="707" t="s">
        <v>250</v>
      </c>
      <c r="S17" s="1712" t="s">
        <v>2380</v>
      </c>
      <c r="T17" s="1712" t="s">
        <v>2381</v>
      </c>
      <c r="U17" s="1712"/>
      <c r="V17" s="1712">
        <f>V14+V15-U13-U12</f>
        <v>0</v>
      </c>
      <c r="W17" s="1712"/>
      <c r="X17" s="1712"/>
      <c r="Y17" s="1712">
        <f>Y14+Y15-X13-X12</f>
        <v>0</v>
      </c>
      <c r="Z17" s="1712"/>
      <c r="AA17" s="1712"/>
      <c r="AB17" s="1712">
        <f>AB14+AB15-AA13-AA12</f>
        <v>0</v>
      </c>
      <c r="AC17" s="1712"/>
      <c r="AD17" s="1712"/>
      <c r="AE17" s="1712">
        <f>AE14+AE15-AD13-AD12</f>
        <v>0</v>
      </c>
      <c r="AF17" s="1712"/>
      <c r="AG17" s="1712"/>
      <c r="AH17" s="1712">
        <f>AH14+AH15-AG13-AG12</f>
        <v>0</v>
      </c>
      <c r="AI17" s="1712"/>
      <c r="AJ17" s="1712"/>
      <c r="AK17" s="1712">
        <f>AK14+AK15-AJ13-AJ12</f>
        <v>0</v>
      </c>
      <c r="AL17" s="1712"/>
      <c r="AM17" s="1712"/>
      <c r="AN17" s="1712">
        <f>AN14+AN15-AM13-AM12</f>
        <v>0</v>
      </c>
      <c r="AO17" s="1712"/>
      <c r="AP17" s="1712"/>
      <c r="AQ17" s="1712">
        <f>AQ14+AQ15-AP13-AP12</f>
        <v>0</v>
      </c>
      <c r="AR17" s="1712"/>
      <c r="AS17" s="1712"/>
      <c r="AT17" s="1712">
        <f>AT14+AT15-AS13-AS12</f>
        <v>0</v>
      </c>
      <c r="AU17" s="1712"/>
      <c r="AV17" s="1712"/>
      <c r="AW17" s="1712">
        <f>AW14+AW15-AV13-AV12</f>
        <v>0</v>
      </c>
      <c r="AX17" s="1712"/>
      <c r="AY17" s="1712"/>
      <c r="AZ17" s="1712">
        <f>AZ14+AZ15-AY13-AY12</f>
        <v>0</v>
      </c>
      <c r="BA17" s="1712"/>
      <c r="BB17" s="1712"/>
      <c r="BC17" s="1712">
        <f>BC14+BC15-BB13-BB12</f>
        <v>0</v>
      </c>
      <c r="BD17" s="1712"/>
      <c r="BE17" s="1712"/>
      <c r="BF17" s="1712"/>
    </row>
    <row r="18" spans="2:58" ht="18" customHeight="1">
      <c r="B18" s="738" t="str">
        <f>'M1'!B18</f>
        <v>Rayonnement solaire global Sud:</v>
      </c>
      <c r="C18" s="739">
        <f ca="1">IF(AND(Klimastation&lt;&gt;"",Klimastation&gt;-1),INDEX(Klima!1:1048576,8+25*Klimastation,2+'M2'!C$10),0)</f>
        <v>0</v>
      </c>
      <c r="D18" s="739">
        <f ca="1">IF(AND(Klimastation&lt;&gt;"",Klimastation&gt;-1),INDEX(Klima!1:1048576,8+25*Klimastation,2+'M2'!D$10),0)</f>
        <v>0</v>
      </c>
      <c r="E18" s="739">
        <f ca="1">IF(AND(Klimastation&lt;&gt;"",Klimastation&gt;-1),INDEX(Klima!1:1048576,8+25*Klimastation,2+'M2'!E$10),0)</f>
        <v>0</v>
      </c>
      <c r="F18" s="739">
        <f ca="1">IF(AND(Klimastation&lt;&gt;"",Klimastation&gt;-1),INDEX(Klima!1:1048576,8+25*Klimastation,2+'M2'!F$10),0)</f>
        <v>0</v>
      </c>
      <c r="G18" s="739">
        <f ca="1">IF(AND(Klimastation&lt;&gt;"",Klimastation&gt;-1),INDEX(Klima!1:1048576,8+25*Klimastation,2+'M2'!G$10),0)</f>
        <v>0</v>
      </c>
      <c r="H18" s="739">
        <f ca="1">IF(AND(Klimastation&lt;&gt;"",Klimastation&gt;-1),INDEX(Klima!1:1048576,8+25*Klimastation,2+'M2'!H$10),0)</f>
        <v>0</v>
      </c>
      <c r="I18" s="739">
        <f ca="1">IF(AND(Klimastation&lt;&gt;"",Klimastation&gt;-1),INDEX(Klima!1:1048576,8+25*Klimastation,2+'M2'!I$10),0)</f>
        <v>0</v>
      </c>
      <c r="J18" s="739">
        <f ca="1">IF(AND(Klimastation&lt;&gt;"",Klimastation&gt;-1),INDEX(Klima!1:1048576,8+25*Klimastation,2+'M2'!J$10),0)</f>
        <v>0</v>
      </c>
      <c r="K18" s="739">
        <f ca="1">IF(AND(Klimastation&lt;&gt;"",Klimastation&gt;-1),INDEX(Klima!1:1048576,8+25*Klimastation,2+'M2'!K$10),0)</f>
        <v>0</v>
      </c>
      <c r="L18" s="739">
        <f ca="1">IF(AND(Klimastation&lt;&gt;"",Klimastation&gt;-1),INDEX(Klima!1:1048576,8+25*Klimastation,2+'M2'!L$10),0)</f>
        <v>0</v>
      </c>
      <c r="M18" s="739">
        <f ca="1">IF(AND(Klimastation&lt;&gt;"",Klimastation&gt;-1),INDEX(Klima!1:1048576,8+25*Klimastation,2+'M2'!M$10),0)</f>
        <v>0</v>
      </c>
      <c r="N18" s="1385">
        <f ca="1">IF(AND(Klimastation&lt;&gt;"",Klimastation&gt;-1),INDEX(Klima!1:1048576,8+25*Klimastation,2+'M2'!N$10),0)</f>
        <v>0</v>
      </c>
      <c r="O18" s="741">
        <f t="shared" ca="1" si="0"/>
        <v>0</v>
      </c>
      <c r="P18" s="707" t="s">
        <v>250</v>
      </c>
      <c r="S18" s="1712" t="str">
        <f>B63</f>
        <v>Taux d'utilisation des apports:</v>
      </c>
      <c r="T18" s="1713" t="s">
        <v>1125</v>
      </c>
      <c r="U18" s="1714">
        <f>C63</f>
        <v>0</v>
      </c>
      <c r="V18" s="1714"/>
      <c r="W18" s="1714"/>
      <c r="X18" s="1714">
        <f>D63</f>
        <v>0</v>
      </c>
      <c r="Y18" s="1714"/>
      <c r="Z18" s="1714"/>
      <c r="AA18" s="1714">
        <f>E63</f>
        <v>0</v>
      </c>
      <c r="AB18" s="1714"/>
      <c r="AC18" s="1714"/>
      <c r="AD18" s="1714">
        <f>F63</f>
        <v>0</v>
      </c>
      <c r="AE18" s="1714"/>
      <c r="AF18" s="1714"/>
      <c r="AG18" s="1714">
        <f>G63</f>
        <v>0</v>
      </c>
      <c r="AH18" s="1714"/>
      <c r="AI18" s="1714"/>
      <c r="AJ18" s="1714">
        <f>H63</f>
        <v>0</v>
      </c>
      <c r="AK18" s="1714"/>
      <c r="AL18" s="1714"/>
      <c r="AM18" s="1714">
        <f>I63</f>
        <v>0</v>
      </c>
      <c r="AN18" s="1714"/>
      <c r="AO18" s="1714"/>
      <c r="AP18" s="1714">
        <f>J63</f>
        <v>0</v>
      </c>
      <c r="AQ18" s="1714"/>
      <c r="AR18" s="1714"/>
      <c r="AS18" s="1714">
        <f>K63</f>
        <v>0</v>
      </c>
      <c r="AT18" s="1714"/>
      <c r="AU18" s="1714"/>
      <c r="AV18" s="1714">
        <f>L63</f>
        <v>0</v>
      </c>
      <c r="AW18" s="1714"/>
      <c r="AX18" s="1714"/>
      <c r="AY18" s="1714">
        <f>M63</f>
        <v>0</v>
      </c>
      <c r="AZ18" s="1714"/>
      <c r="BA18" s="1714"/>
      <c r="BB18" s="1714">
        <f>N63</f>
        <v>0</v>
      </c>
      <c r="BC18" s="1714"/>
      <c r="BD18" s="1714"/>
      <c r="BE18" s="1714">
        <f>O63</f>
        <v>0</v>
      </c>
      <c r="BF18" s="1712"/>
    </row>
    <row r="19" spans="2:58" ht="18" customHeight="1">
      <c r="B19" s="738" t="str">
        <f>'M1'!B19</f>
        <v>Rayonnement solaire global Est:</v>
      </c>
      <c r="C19" s="739">
        <f ca="1">IF(AND(Klimastation&lt;&gt;"",Klimastation&gt;-1),INDEX(Klima!1:1048576,9+25*Klimastation,2+'M2'!C$10),0)</f>
        <v>0</v>
      </c>
      <c r="D19" s="739">
        <f ca="1">IF(AND(Klimastation&lt;&gt;"",Klimastation&gt;-1),INDEX(Klima!1:1048576,9+25*Klimastation,2+'M2'!D$10),0)</f>
        <v>0</v>
      </c>
      <c r="E19" s="739">
        <f ca="1">IF(AND(Klimastation&lt;&gt;"",Klimastation&gt;-1),INDEX(Klima!1:1048576,9+25*Klimastation,2+'M2'!E$10),0)</f>
        <v>0</v>
      </c>
      <c r="F19" s="739">
        <f ca="1">IF(AND(Klimastation&lt;&gt;"",Klimastation&gt;-1),INDEX(Klima!1:1048576,9+25*Klimastation,2+'M2'!F$10),0)</f>
        <v>0</v>
      </c>
      <c r="G19" s="739">
        <f ca="1">IF(AND(Klimastation&lt;&gt;"",Klimastation&gt;-1),INDEX(Klima!1:1048576,9+25*Klimastation,2+'M2'!G$10),0)</f>
        <v>0</v>
      </c>
      <c r="H19" s="739">
        <f ca="1">IF(AND(Klimastation&lt;&gt;"",Klimastation&gt;-1),INDEX(Klima!1:1048576,9+25*Klimastation,2+'M2'!H$10),0)</f>
        <v>0</v>
      </c>
      <c r="I19" s="739">
        <f ca="1">IF(AND(Klimastation&lt;&gt;"",Klimastation&gt;-1),INDEX(Klima!1:1048576,9+25*Klimastation,2+'M2'!I$10),0)</f>
        <v>0</v>
      </c>
      <c r="J19" s="739">
        <f ca="1">IF(AND(Klimastation&lt;&gt;"",Klimastation&gt;-1),INDEX(Klima!1:1048576,9+25*Klimastation,2+'M2'!J$10),0)</f>
        <v>0</v>
      </c>
      <c r="K19" s="739">
        <f ca="1">IF(AND(Klimastation&lt;&gt;"",Klimastation&gt;-1),INDEX(Klima!1:1048576,9+25*Klimastation,2+'M2'!K$10),0)</f>
        <v>0</v>
      </c>
      <c r="L19" s="739">
        <f ca="1">IF(AND(Klimastation&lt;&gt;"",Klimastation&gt;-1),INDEX(Klima!1:1048576,9+25*Klimastation,2+'M2'!L$10),0)</f>
        <v>0</v>
      </c>
      <c r="M19" s="739">
        <f ca="1">IF(AND(Klimastation&lt;&gt;"",Klimastation&gt;-1),INDEX(Klima!1:1048576,9+25*Klimastation,2+'M2'!M$10),0)</f>
        <v>0</v>
      </c>
      <c r="N19" s="1385">
        <f ca="1">IF(AND(Klimastation&lt;&gt;"",Klimastation&gt;-1),INDEX(Klima!1:1048576,9+25*Klimastation,2+'M2'!N$10),0)</f>
        <v>0</v>
      </c>
      <c r="O19" s="741">
        <f t="shared" ca="1" si="0"/>
        <v>0</v>
      </c>
      <c r="P19" s="707" t="s">
        <v>250</v>
      </c>
    </row>
    <row r="20" spans="2:58" ht="18" customHeight="1">
      <c r="B20" s="738" t="str">
        <f>'M1'!B20</f>
        <v>Rayonnement solaire global Ouest:</v>
      </c>
      <c r="C20" s="739">
        <f ca="1">IF(AND(Klimastation&lt;&gt;"",Klimastation&gt;-1),INDEX(Klima!1:1048576,10+25*Klimastation,2+'M2'!C$10),0)</f>
        <v>0</v>
      </c>
      <c r="D20" s="739">
        <f ca="1">IF(AND(Klimastation&lt;&gt;"",Klimastation&gt;-1),INDEX(Klima!1:1048576,10+25*Klimastation,2+'M2'!D$10),0)</f>
        <v>0</v>
      </c>
      <c r="E20" s="739">
        <f ca="1">IF(AND(Klimastation&lt;&gt;"",Klimastation&gt;-1),INDEX(Klima!1:1048576,10+25*Klimastation,2+'M2'!E$10),0)</f>
        <v>0</v>
      </c>
      <c r="F20" s="739">
        <f ca="1">IF(AND(Klimastation&lt;&gt;"",Klimastation&gt;-1),INDEX(Klima!1:1048576,10+25*Klimastation,2+'M2'!F$10),0)</f>
        <v>0</v>
      </c>
      <c r="G20" s="739">
        <f ca="1">IF(AND(Klimastation&lt;&gt;"",Klimastation&gt;-1),INDEX(Klima!1:1048576,10+25*Klimastation,2+'M2'!G$10),0)</f>
        <v>0</v>
      </c>
      <c r="H20" s="739">
        <f ca="1">IF(AND(Klimastation&lt;&gt;"",Klimastation&gt;-1),INDEX(Klima!1:1048576,10+25*Klimastation,2+'M2'!H$10),0)</f>
        <v>0</v>
      </c>
      <c r="I20" s="739">
        <f ca="1">IF(AND(Klimastation&lt;&gt;"",Klimastation&gt;-1),INDEX(Klima!1:1048576,10+25*Klimastation,2+'M2'!I$10),0)</f>
        <v>0</v>
      </c>
      <c r="J20" s="739">
        <f ca="1">IF(AND(Klimastation&lt;&gt;"",Klimastation&gt;-1),INDEX(Klima!1:1048576,10+25*Klimastation,2+'M2'!J$10),0)</f>
        <v>0</v>
      </c>
      <c r="K20" s="739">
        <f ca="1">IF(AND(Klimastation&lt;&gt;"",Klimastation&gt;-1),INDEX(Klima!1:1048576,10+25*Klimastation,2+'M2'!K$10),0)</f>
        <v>0</v>
      </c>
      <c r="L20" s="739">
        <f ca="1">IF(AND(Klimastation&lt;&gt;"",Klimastation&gt;-1),INDEX(Klima!1:1048576,10+25*Klimastation,2+'M2'!L$10),0)</f>
        <v>0</v>
      </c>
      <c r="M20" s="739">
        <f ca="1">IF(AND(Klimastation&lt;&gt;"",Klimastation&gt;-1),INDEX(Klima!1:1048576,10+25*Klimastation,2+'M2'!M$10),0)</f>
        <v>0</v>
      </c>
      <c r="N20" s="1385">
        <f ca="1">IF(AND(Klimastation&lt;&gt;"",Klimastation&gt;-1),INDEX(Klima!1:1048576,10+25*Klimastation,2+'M2'!N$10),0)</f>
        <v>0</v>
      </c>
      <c r="O20" s="741">
        <f t="shared" ca="1" si="0"/>
        <v>0</v>
      </c>
      <c r="P20" s="707" t="s">
        <v>250</v>
      </c>
    </row>
    <row r="21" spans="2:58" ht="18" customHeight="1">
      <c r="B21" s="738" t="str">
        <f>'M1'!B21</f>
        <v>Rayonnement solaire global Nord:</v>
      </c>
      <c r="C21" s="739">
        <f ca="1">IF(AND(Klimastation&lt;&gt;"",Klimastation&gt;-1),INDEX(Klima!1:1048576,11+25*Klimastation,2+'M2'!C$10),0)</f>
        <v>0</v>
      </c>
      <c r="D21" s="739">
        <f ca="1">IF(AND(Klimastation&lt;&gt;"",Klimastation&gt;-1),INDEX(Klima!1:1048576,11+25*Klimastation,2+'M2'!D$10),0)</f>
        <v>0</v>
      </c>
      <c r="E21" s="739">
        <f ca="1">IF(AND(Klimastation&lt;&gt;"",Klimastation&gt;-1),INDEX(Klima!1:1048576,11+25*Klimastation,2+'M2'!E$10),0)</f>
        <v>0</v>
      </c>
      <c r="F21" s="739">
        <f ca="1">IF(AND(Klimastation&lt;&gt;"",Klimastation&gt;-1),INDEX(Klima!1:1048576,11+25*Klimastation,2+'M2'!F$10),0)</f>
        <v>0</v>
      </c>
      <c r="G21" s="739">
        <f ca="1">IF(AND(Klimastation&lt;&gt;"",Klimastation&gt;-1),INDEX(Klima!1:1048576,11+25*Klimastation,2+'M2'!G$10),0)</f>
        <v>0</v>
      </c>
      <c r="H21" s="739">
        <f ca="1">IF(AND(Klimastation&lt;&gt;"",Klimastation&gt;-1),INDEX(Klima!1:1048576,11+25*Klimastation,2+'M2'!H$10),0)</f>
        <v>0</v>
      </c>
      <c r="I21" s="739">
        <f ca="1">IF(AND(Klimastation&lt;&gt;"",Klimastation&gt;-1),INDEX(Klima!1:1048576,11+25*Klimastation,2+'M2'!I$10),0)</f>
        <v>0</v>
      </c>
      <c r="J21" s="739">
        <f ca="1">IF(AND(Klimastation&lt;&gt;"",Klimastation&gt;-1),INDEX(Klima!1:1048576,11+25*Klimastation,2+'M2'!J$10),0)</f>
        <v>0</v>
      </c>
      <c r="K21" s="739">
        <f ca="1">IF(AND(Klimastation&lt;&gt;"",Klimastation&gt;-1),INDEX(Klima!1:1048576,11+25*Klimastation,2+'M2'!K$10),0)</f>
        <v>0</v>
      </c>
      <c r="L21" s="739">
        <f ca="1">IF(AND(Klimastation&lt;&gt;"",Klimastation&gt;-1),INDEX(Klima!1:1048576,11+25*Klimastation,2+'M2'!L$10),0)</f>
        <v>0</v>
      </c>
      <c r="M21" s="739">
        <f ca="1">IF(AND(Klimastation&lt;&gt;"",Klimastation&gt;-1),INDEX(Klima!1:1048576,11+25*Klimastation,2+'M2'!M$10),0)</f>
        <v>0</v>
      </c>
      <c r="N21" s="1385">
        <f ca="1">IF(AND(Klimastation&lt;&gt;"",Klimastation&gt;-1),INDEX(Klima!1:1048576,11+25*Klimastation,2+'M2'!N$10),0)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Déperditions par transmission</v>
      </c>
      <c r="C23" s="734"/>
      <c r="D23" s="742" t="s">
        <v>350</v>
      </c>
      <c r="E23" s="734"/>
      <c r="F23" s="734"/>
      <c r="G23" s="734"/>
      <c r="H23" s="734"/>
      <c r="I23" s="734"/>
      <c r="J23" s="734"/>
      <c r="K23" s="734"/>
      <c r="L23" s="734"/>
      <c r="M23" s="734"/>
      <c r="N23" s="736"/>
      <c r="O23" s="741"/>
    </row>
    <row r="24" spans="2:58" ht="18" customHeight="1">
      <c r="B24" s="738" t="str">
        <f>'M1'!B24</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40" si="1">SUM(C24:N24)</f>
        <v>0</v>
      </c>
      <c r="P24" s="707" t="s">
        <v>250</v>
      </c>
    </row>
    <row r="25" spans="2:58" ht="18" customHeight="1">
      <c r="B25" s="738" t="str">
        <f>'M1'!B25</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row>
    <row r="26" spans="2:58" ht="18" customHeight="1">
      <c r="B26" s="738" t="str">
        <f>'M1'!B26</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row>
    <row r="28" spans="2:58" ht="18" customHeight="1">
      <c r="B28" s="738" t="str">
        <f>'M1'!B28</f>
        <v>Mur contre des locaux non chauffés:</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row>
    <row r="29" spans="2:58" ht="18" customHeight="1">
      <c r="B29" s="738" t="str">
        <f>'M1'!B29</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row>
    <row r="30" spans="2:58" ht="18" customHeight="1">
      <c r="B30" s="738" t="str">
        <f>'M1'!B30</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 t="shared" si="1"/>
        <v>0</v>
      </c>
      <c r="P30" s="707" t="s">
        <v>250</v>
      </c>
    </row>
    <row r="31" spans="2:58" ht="18" customHeight="1">
      <c r="B31" s="738" t="str">
        <f>'M1'!B31</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row>
    <row r="32" spans="2:58" ht="18" customHeight="1">
      <c r="B32" s="738" t="str">
        <f>'M1'!B32</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row>
    <row r="33" spans="2:16" ht="18" customHeight="1">
      <c r="B33" s="738" t="str">
        <f>'M1'!B33</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row>
    <row r="34" spans="2:16" ht="18" customHeight="1">
      <c r="B34" s="738" t="str">
        <f>'M1'!B34</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16" ht="18" customHeight="1">
      <c r="B35" s="738" t="str">
        <f>'M1'!B35</f>
        <v>Fenêtre zénithale:</v>
      </c>
      <c r="C35" s="743">
        <f t="shared" ref="C35:N35" si="3">IF(EBF&gt;0,C$14*(Thetai-C$15)*AwH*UwH*0.0864/EBF,0)</f>
        <v>0</v>
      </c>
      <c r="D35" s="743">
        <f t="shared" si="3"/>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row>
    <row r="36" spans="2:16" ht="18" customHeight="1">
      <c r="B36" s="738" t="str">
        <f>'M1'!B36</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row>
    <row r="37" spans="2:16" ht="18" customHeight="1">
      <c r="B37" s="738" t="str">
        <f>'M1'!B37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row>
    <row r="38" spans="2:16" ht="18" customHeight="1">
      <c r="B38" s="738" t="str">
        <f>'M1'!B38</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row>
    <row r="39" spans="2:16" ht="18" customHeight="1">
      <c r="B39" s="738" t="str">
        <f>'M1'!B39</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 t="shared" si="1"/>
        <v>0</v>
      </c>
      <c r="P39" s="707" t="s">
        <v>250</v>
      </c>
    </row>
    <row r="40" spans="2:16" ht="18" customHeight="1">
      <c r="B40" s="738" t="str">
        <f>'M1'!B40</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 t="shared" si="1"/>
        <v>0</v>
      </c>
      <c r="P40" s="707" t="s">
        <v>250</v>
      </c>
    </row>
    <row r="41" spans="2:16"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16" ht="18" customHeight="1">
      <c r="B42" s="738" t="str">
        <f>'M1'!B42</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16" ht="27.6" customHeight="1">
      <c r="B43" s="687" t="str">
        <f>'M1'!B43</f>
        <v>G: Déperditions par renouvellement d'air:</v>
      </c>
      <c r="C43" s="711"/>
      <c r="D43" s="743"/>
      <c r="E43" s="711"/>
      <c r="F43" s="711"/>
      <c r="G43" s="711"/>
      <c r="H43" s="711"/>
      <c r="I43" s="711"/>
      <c r="J43" s="711"/>
      <c r="K43" s="711"/>
      <c r="L43" s="711"/>
      <c r="M43" s="711"/>
      <c r="N43" s="747"/>
      <c r="O43" s="748"/>
    </row>
    <row r="44" spans="2:16" ht="18" customHeight="1">
      <c r="B44" s="738" t="str">
        <f>'M1'!B44</f>
        <v>Dép. par renouvellement de l'air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row>
    <row r="45" spans="2:16" ht="18" customHeight="1">
      <c r="B45" s="770" t="str">
        <f>IF(_Vth1&gt;0,Uebersetzung!D417,"")</f>
        <v/>
      </c>
      <c r="C45" s="750"/>
      <c r="D45" s="750"/>
      <c r="E45" s="750"/>
      <c r="F45" s="750"/>
      <c r="G45" s="750"/>
      <c r="H45" s="750"/>
      <c r="I45" s="750"/>
      <c r="J45" s="750"/>
      <c r="K45" s="750"/>
      <c r="L45" s="750"/>
      <c r="M45" s="751"/>
      <c r="N45" s="752"/>
      <c r="O45" s="781" t="str">
        <f>IF(_Vth1&gt;0,(_Vth1*C14+_Vth2*D14+_Vth3*E14+_Vth4*F14+_Vth5*G14+_Vth6*H14+_Vth7*I14+_Vth8*J14+_Vth9*K14+_Vth10*L14+_Vth11*M14+_Vth12*N14)/365,"")</f>
        <v/>
      </c>
      <c r="P45" s="707" t="str">
        <f>IF(_Vth1&gt;0,"m3/m2h","")</f>
        <v/>
      </c>
    </row>
    <row r="46" spans="2:16" ht="18" customHeight="1">
      <c r="B46" s="742" t="str">
        <f>'M1'!B46</f>
        <v>H: Déperditions totales:</v>
      </c>
      <c r="D46" s="711"/>
      <c r="N46" s="740"/>
      <c r="O46" s="748"/>
    </row>
    <row r="47" spans="2:16" ht="18" customHeight="1">
      <c r="B47" s="738" t="str">
        <f>'M1'!B47</f>
        <v>Déperditions totales Qt:</v>
      </c>
      <c r="C47" s="743">
        <f t="shared" ref="C47:N47" si="10">C42+C44</f>
        <v>0</v>
      </c>
      <c r="D47" s="743">
        <f t="shared" si="10"/>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row>
    <row r="48" spans="2:16" ht="27.6" customHeight="1">
      <c r="B48" s="754" t="str">
        <f>'M1'!B48</f>
        <v>I: Apports de chaleur:</v>
      </c>
      <c r="C48" s="743"/>
      <c r="D48" s="745" t="s">
        <v>506</v>
      </c>
      <c r="E48" s="734"/>
      <c r="F48" s="734"/>
      <c r="G48" s="734"/>
      <c r="H48" s="734"/>
      <c r="I48" s="734"/>
      <c r="J48" s="734"/>
      <c r="K48" s="734"/>
      <c r="L48" s="734"/>
      <c r="M48" s="734"/>
      <c r="N48" s="736"/>
      <c r="O48" s="741"/>
    </row>
    <row r="49" spans="1:16" ht="18" customHeight="1">
      <c r="B49" s="738" t="str">
        <f>'M1'!B49</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4">
        <f>SUM(C49:N49)</f>
        <v>0</v>
      </c>
      <c r="P49" s="707" t="s">
        <v>250</v>
      </c>
    </row>
    <row r="50" spans="1:16" ht="18" customHeight="1">
      <c r="B50" s="738" t="str">
        <f>'M1'!B50</f>
        <v>interne des installations élec. QiE:</v>
      </c>
      <c r="C50" s="745">
        <f t="shared" ref="C50:N50" si="11">IF(EBF&gt;0,QE*fE*C14*EBF0/(EBF*365),0)</f>
        <v>0</v>
      </c>
      <c r="D50" s="745">
        <f t="shared" si="11"/>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4">
        <f t="shared" ref="O50:O59" si="12">SUM(C50:N50)</f>
        <v>0</v>
      </c>
      <c r="P50" s="707" t="s">
        <v>250</v>
      </c>
    </row>
    <row r="51" spans="1:16" ht="18" customHeight="1">
      <c r="B51" s="738" t="str">
        <f>'M1'!B51</f>
        <v>interne dus aux personnes QiP:</v>
      </c>
      <c r="C51" s="745">
        <f t="shared" ref="C51:N51" si="13">IF(EBF&gt;0,QP*tP*C14*EBF0*0.0036/(AP*EBF),0)</f>
        <v>0</v>
      </c>
      <c r="D51" s="745">
        <f t="shared" si="13"/>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4">
        <f t="shared" si="12"/>
        <v>0</v>
      </c>
      <c r="P51" s="707" t="s">
        <v>250</v>
      </c>
    </row>
    <row r="52" spans="1:16" ht="18" customHeight="1">
      <c r="B52" s="738" t="str">
        <f>'M1'!B52</f>
        <v>Apports de chaleur internes Qi:</v>
      </c>
      <c r="C52" s="745">
        <f t="shared" ref="C52:N52" si="14">SUM(C50:C51)</f>
        <v>0</v>
      </c>
      <c r="D52" s="745">
        <f t="shared" si="14"/>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5">
        <f t="shared" si="12"/>
        <v>0</v>
      </c>
      <c r="P52" s="707" t="s">
        <v>250</v>
      </c>
    </row>
    <row r="53" spans="1:16" ht="18" customHeight="1">
      <c r="A53" s="757"/>
      <c r="B53" s="738" t="str">
        <f>'M1'!B53</f>
        <v>Apports solaires zénithaux:</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4">
        <f t="shared" si="12"/>
        <v>0</v>
      </c>
      <c r="P53" s="707" t="s">
        <v>250</v>
      </c>
    </row>
    <row r="54" spans="1:16" ht="18" customHeight="1">
      <c r="B54" s="738" t="str">
        <f>'M1'!B54</f>
        <v>Apports solaires sud: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2">
        <f>'M1'!N54</f>
        <v>0</v>
      </c>
      <c r="O54" s="1924">
        <f t="shared" si="12"/>
        <v>0</v>
      </c>
      <c r="P54" s="707" t="s">
        <v>250</v>
      </c>
    </row>
    <row r="55" spans="1:16" ht="18" customHeight="1">
      <c r="B55" s="738" t="str">
        <f>'M1'!B55</f>
        <v>Apports solaires est: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2">
        <f>'M1'!N55</f>
        <v>0</v>
      </c>
      <c r="O55" s="1924">
        <f t="shared" si="12"/>
        <v>0</v>
      </c>
      <c r="P55" s="707" t="s">
        <v>250</v>
      </c>
    </row>
    <row r="56" spans="1:16" ht="18" customHeight="1">
      <c r="B56" s="738" t="str">
        <f>'M1'!B56</f>
        <v>Apports solaires ouest: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2">
        <f>'M1'!N56</f>
        <v>0</v>
      </c>
      <c r="O56" s="1924">
        <f t="shared" si="12"/>
        <v>0</v>
      </c>
      <c r="P56" s="707" t="s">
        <v>250</v>
      </c>
    </row>
    <row r="57" spans="1:16" ht="18" customHeight="1">
      <c r="B57" s="738" t="str">
        <f>'M1'!B57</f>
        <v>Apports solaires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2">
        <f>'M1'!N57</f>
        <v>0</v>
      </c>
      <c r="O57" s="1924">
        <f t="shared" si="12"/>
        <v>0</v>
      </c>
      <c r="P57" s="707" t="s">
        <v>250</v>
      </c>
    </row>
    <row r="58" spans="1:16" ht="18" customHeight="1">
      <c r="B58" s="738" t="str">
        <f>'M1'!B58</f>
        <v>Apports solaires totaux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4">
        <f t="shared" si="12"/>
        <v>0</v>
      </c>
      <c r="P58" s="707" t="s">
        <v>250</v>
      </c>
    </row>
    <row r="59" spans="1:16" ht="18" customHeight="1">
      <c r="B59" s="738" t="str">
        <f>'M1'!B59</f>
        <v>Apports totaux de chaleur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4">
        <f t="shared" si="12"/>
        <v>0</v>
      </c>
      <c r="P59" s="707" t="s">
        <v>250</v>
      </c>
    </row>
    <row r="60" spans="1:16" ht="18" customHeight="1">
      <c r="B60" s="738" t="str">
        <f>'M1'!B60</f>
        <v>Apports totaux / déperditions totales: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1:16" ht="18" customHeight="1">
      <c r="B61" s="738" t="str">
        <f>'M1'!B61</f>
        <v>Constante de temps du bâtiment:</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1:16" ht="18" customHeight="1">
      <c r="B62" s="738" t="str">
        <f>'M1'!B62</f>
        <v>Paramètre numérique a:</v>
      </c>
      <c r="C62" s="743">
        <f t="shared" ref="C62:N62" si="19">a0+C61/tau0</f>
        <v>1</v>
      </c>
      <c r="D62" s="743">
        <f t="shared" si="19"/>
        <v>1</v>
      </c>
      <c r="E62" s="743">
        <f t="shared" si="19"/>
        <v>1</v>
      </c>
      <c r="F62" s="743">
        <f t="shared" si="19"/>
        <v>1</v>
      </c>
      <c r="G62" s="743">
        <f t="shared" si="19"/>
        <v>1</v>
      </c>
      <c r="H62" s="743">
        <f t="shared" si="19"/>
        <v>1</v>
      </c>
      <c r="I62" s="743">
        <f t="shared" si="19"/>
        <v>1</v>
      </c>
      <c r="J62" s="743">
        <f t="shared" si="19"/>
        <v>1</v>
      </c>
      <c r="K62" s="743">
        <f t="shared" si="19"/>
        <v>1</v>
      </c>
      <c r="L62" s="743">
        <f t="shared" si="19"/>
        <v>1</v>
      </c>
      <c r="M62" s="743">
        <f t="shared" si="19"/>
        <v>1</v>
      </c>
      <c r="N62" s="744">
        <f t="shared" si="19"/>
        <v>1</v>
      </c>
      <c r="O62" s="755"/>
    </row>
    <row r="63" spans="1:16" ht="18" customHeight="1">
      <c r="B63" s="738" t="str">
        <f>'M1'!B63</f>
        <v>Taux d'utilisation des apports:</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row>
    <row r="64" spans="1:16" ht="18" customHeight="1">
      <c r="B64" s="738" t="str">
        <f>'M1'!B64</f>
        <v>Apports utiles de chaleur Qug:</v>
      </c>
      <c r="C64" s="743">
        <f t="shared" ref="C64:N64" si="21">IF(C47=0,C47,C63*C59)</f>
        <v>0</v>
      </c>
      <c r="D64" s="743">
        <f t="shared" si="21"/>
        <v>0</v>
      </c>
      <c r="E64" s="743">
        <f t="shared" si="21"/>
        <v>0</v>
      </c>
      <c r="F64" s="743">
        <f t="shared" si="21"/>
        <v>0</v>
      </c>
      <c r="G64" s="743">
        <f t="shared" si="21"/>
        <v>0</v>
      </c>
      <c r="H64" s="743">
        <f t="shared" si="21"/>
        <v>0</v>
      </c>
      <c r="I64" s="743">
        <f t="shared" si="21"/>
        <v>0</v>
      </c>
      <c r="J64" s="743">
        <f t="shared" si="21"/>
        <v>0</v>
      </c>
      <c r="K64" s="743">
        <f t="shared" si="21"/>
        <v>0</v>
      </c>
      <c r="L64" s="743">
        <f t="shared" si="21"/>
        <v>0</v>
      </c>
      <c r="M64" s="743">
        <f t="shared" si="21"/>
        <v>0</v>
      </c>
      <c r="N64" s="744">
        <f t="shared" si="21"/>
        <v>0</v>
      </c>
      <c r="O64" s="794">
        <f>SUM(C64:N64)</f>
        <v>0</v>
      </c>
      <c r="P64" s="707" t="s">
        <v>250</v>
      </c>
    </row>
    <row r="65" spans="2:16" ht="16.149999999999999" customHeight="1">
      <c r="B65" s="738"/>
      <c r="C65" s="760"/>
      <c r="D65" s="745"/>
      <c r="E65" s="760"/>
      <c r="F65" s="760"/>
      <c r="G65" s="760"/>
      <c r="H65" s="760"/>
      <c r="I65" s="760"/>
      <c r="J65" s="760"/>
      <c r="K65" s="760"/>
      <c r="L65" s="760"/>
      <c r="M65" s="760"/>
      <c r="N65" s="761"/>
      <c r="O65" s="741"/>
    </row>
    <row r="66" spans="2:16" ht="1.1499999999999999" hidden="1" customHeight="1">
      <c r="D66" s="760"/>
      <c r="N66" s="740"/>
      <c r="O66" s="764"/>
    </row>
    <row r="67" spans="2:16" ht="18" customHeight="1">
      <c r="B67" s="729" t="str">
        <f>'M1'!B67</f>
        <v>K: Besoins de chaleur pour le chauffage:</v>
      </c>
      <c r="D67" s="760"/>
      <c r="N67" s="740"/>
      <c r="O67" s="764"/>
    </row>
    <row r="68" spans="2:16" ht="18" customHeight="1" thickBot="1">
      <c r="B68" s="738" t="str">
        <f>'M1'!B68</f>
        <v>Besoins de chaleur  Qh:</v>
      </c>
      <c r="C68" s="743">
        <f>C47-C64</f>
        <v>0</v>
      </c>
      <c r="D68" s="743">
        <f t="shared" ref="D68:N68" si="22">D47-D64</f>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3">
        <f t="shared" si="22"/>
        <v>0</v>
      </c>
      <c r="O68" s="795">
        <f>SUM(C68:N68)</f>
        <v>0</v>
      </c>
      <c r="P68" s="687" t="s">
        <v>251</v>
      </c>
    </row>
    <row r="69" spans="2:16" ht="18" customHeight="1"/>
    <row r="70" spans="2:16" ht="18" customHeight="1"/>
    <row r="71" spans="2:16" ht="18" customHeight="1"/>
    <row r="72" spans="2:16" ht="18" customHeight="1"/>
    <row r="73" spans="2:16" ht="18" customHeight="1"/>
    <row r="74" spans="2:16" ht="18" customHeight="1"/>
    <row r="75" spans="2:16" ht="18" customHeight="1"/>
    <row r="76" spans="2:16" ht="18" customHeight="1"/>
    <row r="77" spans="2:16" ht="18" customHeight="1"/>
    <row r="78" spans="2:16" ht="18" customHeight="1"/>
    <row r="79" spans="2:16" ht="18" customHeight="1"/>
  </sheetData>
  <sheetProtection password="C9AE" sheet="1" objects="1" scenarios="1"/>
  <mergeCells count="1">
    <mergeCell ref="C2:E2"/>
  </mergeCells>
  <phoneticPr fontId="0" type="noConversion"/>
  <pageMargins left="0.85" right="0.28000000000000003" top="0.47" bottom="0.52" header="0.35" footer="0.32"/>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2:AC64"/>
  <sheetViews>
    <sheetView showZeros="0" zoomScaleNormal="100" workbookViewId="0"/>
  </sheetViews>
  <sheetFormatPr baseColWidth="10" defaultColWidth="11.5703125" defaultRowHeight="12.75"/>
  <cols>
    <col min="1" max="1" width="1.85546875" style="707" customWidth="1"/>
    <col min="2" max="2" width="18.7109375" style="707" customWidth="1"/>
    <col min="3" max="4" width="4.7109375" style="707" customWidth="1"/>
    <col min="5" max="6" width="4.7109375" style="777" customWidth="1"/>
    <col min="7" max="7" width="2.7109375" style="707" customWidth="1"/>
    <col min="8" max="8" width="6.7109375" style="707" customWidth="1"/>
    <col min="9" max="18" width="4.7109375" style="707" customWidth="1"/>
    <col min="19" max="29" width="11.5703125" style="707" hidden="1" customWidth="1"/>
    <col min="30" max="31" width="11.5703125" style="707" customWidth="1"/>
    <col min="32" max="16384" width="11.5703125" style="707"/>
  </cols>
  <sheetData>
    <row r="2" spans="1:18" ht="15" customHeight="1">
      <c r="A2" s="664"/>
      <c r="B2" s="807" t="str">
        <f>Projekt!B1</f>
        <v>Programme Entech 380/1, Ver. 6.1, BFE/EnFK-Zert.-Nr. 1639, SIA 380/1 (Edition 2016)</v>
      </c>
      <c r="C2" s="666"/>
      <c r="D2" s="666"/>
      <c r="E2" s="666"/>
      <c r="F2" s="666"/>
      <c r="G2" s="666"/>
      <c r="H2" s="666"/>
      <c r="I2" s="666"/>
      <c r="J2" s="666"/>
      <c r="K2" s="666"/>
      <c r="L2" s="1907"/>
      <c r="M2" s="1907"/>
      <c r="N2" s="1907"/>
      <c r="O2" s="1907"/>
      <c r="P2" s="1907"/>
      <c r="Q2" s="1907"/>
      <c r="R2" s="1908"/>
    </row>
    <row r="3" spans="1:18" ht="15" customHeight="1">
      <c r="A3" s="664"/>
      <c r="B3" s="1388" t="str">
        <f>Nachweis!B3</f>
        <v>© Huber Energietechnik AG, Jupiterstrasse 26, 8032 Zürich, Tel. 044 227 79 78, Fax. 044 227 79 79, Email: mail@hetag.ch</v>
      </c>
      <c r="C3" s="671"/>
      <c r="D3" s="671"/>
      <c r="E3" s="671"/>
      <c r="F3" s="671"/>
      <c r="G3" s="671"/>
      <c r="H3" s="671"/>
      <c r="I3" s="671"/>
      <c r="J3" s="671"/>
      <c r="K3" s="671"/>
      <c r="L3" s="716"/>
      <c r="M3" s="716"/>
      <c r="N3" s="716"/>
      <c r="O3" s="716"/>
      <c r="P3" s="716"/>
      <c r="Q3" s="716"/>
      <c r="R3" s="740"/>
    </row>
    <row r="4" spans="1:18" ht="15" customHeight="1">
      <c r="A4" s="671"/>
      <c r="B4" s="1855" t="str">
        <f>Nachweis!B4</f>
        <v>imprimé le:</v>
      </c>
      <c r="C4" s="2379">
        <f ca="1">Nachweis!C4</f>
        <v>43566.628989236109</v>
      </c>
      <c r="D4" s="2379"/>
      <c r="E4" s="2379"/>
      <c r="F4" s="776" t="str">
        <f>Nachweis!F4</f>
        <v xml:space="preserve">pour </v>
      </c>
      <c r="G4" s="1856"/>
      <c r="H4" s="1856"/>
      <c r="I4" s="1856"/>
      <c r="J4" s="1909"/>
      <c r="K4" s="676"/>
      <c r="L4" s="775"/>
      <c r="M4" s="775"/>
      <c r="N4" s="775"/>
      <c r="O4" s="775"/>
      <c r="P4" s="775"/>
      <c r="Q4" s="775"/>
      <c r="R4" s="1910"/>
    </row>
    <row r="5" spans="1:18">
      <c r="A5" s="664"/>
      <c r="B5" s="664" t="s">
        <v>350</v>
      </c>
      <c r="C5" s="664"/>
      <c r="D5" s="671"/>
      <c r="E5" s="664"/>
      <c r="F5" s="664"/>
      <c r="G5" s="664"/>
      <c r="H5" s="664"/>
      <c r="I5" s="664"/>
      <c r="J5" s="664"/>
      <c r="K5" s="664"/>
    </row>
    <row r="6" spans="1:18">
      <c r="A6" s="664"/>
      <c r="B6" s="665"/>
      <c r="C6" s="666"/>
      <c r="D6" s="666"/>
      <c r="E6" s="666"/>
      <c r="F6" s="666"/>
      <c r="G6" s="666"/>
      <c r="H6" s="666"/>
      <c r="I6" s="666"/>
      <c r="J6" s="666"/>
      <c r="K6" s="666"/>
      <c r="L6" s="667"/>
      <c r="M6" s="667"/>
      <c r="N6" s="667"/>
      <c r="O6" s="667"/>
      <c r="P6" s="667"/>
      <c r="Q6" s="1907"/>
      <c r="R6" s="1908"/>
    </row>
    <row r="7" spans="1:18">
      <c r="A7" s="664"/>
      <c r="B7" s="1794" t="str">
        <f>Nachweis!B7</f>
        <v>Projet:</v>
      </c>
      <c r="C7" s="679">
        <f>Nachweis!C7</f>
        <v>0</v>
      </c>
      <c r="E7" s="680"/>
      <c r="F7" s="680"/>
      <c r="G7" s="683"/>
      <c r="H7" s="680"/>
      <c r="I7" s="671"/>
      <c r="J7" s="672"/>
      <c r="K7" s="672"/>
      <c r="L7" s="1810"/>
      <c r="M7" s="681" t="str">
        <f>Nachweis!M7</f>
        <v>Dossier:</v>
      </c>
      <c r="N7" s="2258">
        <f>Nachweis!N7</f>
        <v>0</v>
      </c>
      <c r="O7" s="2258"/>
      <c r="P7" s="2258"/>
      <c r="Q7" s="2258"/>
      <c r="R7" s="2259"/>
    </row>
    <row r="8" spans="1:18" ht="6" customHeight="1">
      <c r="A8" s="664"/>
      <c r="B8" s="670"/>
      <c r="C8" s="671"/>
      <c r="D8" s="671"/>
      <c r="E8" s="671"/>
      <c r="F8" s="671"/>
      <c r="G8" s="671"/>
      <c r="H8" s="671"/>
      <c r="I8" s="671"/>
      <c r="J8" s="671"/>
      <c r="K8" s="671"/>
      <c r="L8" s="672"/>
      <c r="M8" s="672"/>
      <c r="N8" s="672"/>
      <c r="O8" s="672"/>
      <c r="P8" s="672"/>
      <c r="Q8" s="716"/>
      <c r="R8" s="740"/>
    </row>
    <row r="9" spans="1:18">
      <c r="A9" s="664"/>
      <c r="B9" s="670" t="str">
        <f>Nachweis!B9</f>
        <v>Adresse:</v>
      </c>
      <c r="C9" s="680" t="str">
        <f>Nachweis!C9</f>
        <v xml:space="preserve"> ,  </v>
      </c>
      <c r="D9" s="672"/>
      <c r="E9" s="680"/>
      <c r="F9" s="680"/>
      <c r="G9" s="680"/>
      <c r="H9" s="680"/>
      <c r="I9" s="671"/>
      <c r="J9" s="671"/>
      <c r="K9" s="671"/>
      <c r="L9" s="672"/>
      <c r="M9" s="672"/>
      <c r="N9" s="672"/>
      <c r="O9" s="672"/>
      <c r="P9" s="672"/>
      <c r="Q9" s="716"/>
      <c r="R9" s="740"/>
    </row>
    <row r="10" spans="1:18">
      <c r="A10" s="664"/>
      <c r="B10" s="1855"/>
      <c r="C10" s="1856"/>
      <c r="D10" s="1856"/>
      <c r="E10" s="1856"/>
      <c r="F10" s="1856"/>
      <c r="G10" s="1856"/>
      <c r="H10" s="1856"/>
      <c r="I10" s="1856"/>
      <c r="J10" s="1856"/>
      <c r="K10" s="1856"/>
      <c r="L10" s="676"/>
      <c r="M10" s="676"/>
      <c r="N10" s="676"/>
      <c r="O10" s="676"/>
      <c r="P10" s="676"/>
      <c r="Q10" s="775"/>
      <c r="R10" s="1910"/>
    </row>
    <row r="11" spans="1:18">
      <c r="A11" s="664"/>
      <c r="B11" s="664"/>
      <c r="C11" s="664"/>
      <c r="D11" s="671"/>
      <c r="E11" s="664"/>
      <c r="F11" s="664"/>
      <c r="G11" s="664"/>
      <c r="H11" s="664"/>
      <c r="I11" s="671"/>
      <c r="J11" s="664"/>
      <c r="K11" s="664"/>
      <c r="L11" s="1857"/>
      <c r="M11" s="1857"/>
      <c r="N11" s="1857"/>
      <c r="O11" s="1857"/>
      <c r="P11" s="1857"/>
    </row>
    <row r="12" spans="1:18" ht="7.9" customHeight="1">
      <c r="A12" s="664"/>
      <c r="B12" s="665"/>
      <c r="C12" s="666"/>
      <c r="D12" s="666"/>
      <c r="E12" s="666"/>
      <c r="F12" s="666"/>
      <c r="G12" s="666"/>
      <c r="H12" s="666"/>
      <c r="I12" s="666"/>
      <c r="J12" s="666"/>
      <c r="K12" s="666"/>
      <c r="L12" s="667"/>
      <c r="M12" s="667"/>
      <c r="N12" s="667"/>
      <c r="O12" s="667"/>
      <c r="P12" s="667"/>
      <c r="Q12" s="1907"/>
      <c r="R12" s="1908"/>
    </row>
    <row r="13" spans="1:18">
      <c r="A13" s="664"/>
      <c r="B13" s="678" t="str">
        <f>Nachweis!B13</f>
        <v>Maître de l'ouvrage:</v>
      </c>
      <c r="C13" s="680">
        <f>Nachweis!C13</f>
        <v>0</v>
      </c>
      <c r="D13" s="672"/>
      <c r="E13" s="680">
        <f>Projekt!E11</f>
        <v>0</v>
      </c>
      <c r="F13" s="680"/>
      <c r="G13" s="680"/>
      <c r="H13" s="680"/>
      <c r="I13" s="671"/>
      <c r="J13" s="671"/>
      <c r="K13" s="671"/>
      <c r="L13" s="672">
        <f>Nachweis!L13</f>
        <v>0</v>
      </c>
      <c r="M13" s="672"/>
      <c r="N13" s="672">
        <f>Nachweis!N13</f>
        <v>0</v>
      </c>
      <c r="O13" s="672"/>
      <c r="P13" s="672"/>
      <c r="Q13" s="716"/>
      <c r="R13" s="740"/>
    </row>
    <row r="14" spans="1:18" ht="6" customHeight="1">
      <c r="A14" s="664"/>
      <c r="B14" s="678">
        <f>Nachweis!B14</f>
        <v>0</v>
      </c>
      <c r="C14" s="680">
        <f>Nachweis!C14</f>
        <v>0</v>
      </c>
      <c r="D14" s="672"/>
      <c r="E14" s="671"/>
      <c r="F14" s="671"/>
      <c r="G14" s="671"/>
      <c r="H14" s="671"/>
      <c r="I14" s="671"/>
      <c r="J14" s="671"/>
      <c r="K14" s="671"/>
      <c r="L14" s="672">
        <f>Nachweis!L14</f>
        <v>0</v>
      </c>
      <c r="M14" s="672"/>
      <c r="N14" s="672">
        <f>Nachweis!N14</f>
        <v>0</v>
      </c>
      <c r="O14" s="672"/>
      <c r="P14" s="672"/>
      <c r="Q14" s="716"/>
      <c r="R14" s="740"/>
    </row>
    <row r="15" spans="1:18">
      <c r="A15" s="664"/>
      <c r="B15" s="670" t="str">
        <f>Nachweis!B15</f>
        <v>Représentant:</v>
      </c>
      <c r="C15" s="680">
        <f>Nachweis!C15</f>
        <v>0</v>
      </c>
      <c r="D15" s="672"/>
      <c r="E15" s="680"/>
      <c r="F15" s="680"/>
      <c r="G15" s="680"/>
      <c r="H15" s="680"/>
      <c r="I15" s="671"/>
      <c r="J15" s="671"/>
      <c r="K15" s="671"/>
      <c r="L15" s="672">
        <f>Nachweis!L15</f>
        <v>0</v>
      </c>
      <c r="M15" s="672"/>
      <c r="N15" s="672">
        <f>Nachweis!N15</f>
        <v>0</v>
      </c>
      <c r="O15" s="672"/>
      <c r="P15" s="672"/>
      <c r="Q15" s="716"/>
      <c r="R15" s="740"/>
    </row>
    <row r="16" spans="1:18" ht="6" customHeight="1">
      <c r="A16" s="664"/>
      <c r="B16" s="670">
        <f>Nachweis!B16</f>
        <v>0</v>
      </c>
      <c r="C16" s="680">
        <f>Nachweis!C16</f>
        <v>0</v>
      </c>
      <c r="D16" s="672"/>
      <c r="E16" s="671"/>
      <c r="F16" s="671"/>
      <c r="G16" s="671"/>
      <c r="H16" s="671"/>
      <c r="I16" s="671"/>
      <c r="J16" s="671"/>
      <c r="K16" s="671"/>
      <c r="L16" s="672">
        <f>Nachweis!L16</f>
        <v>0</v>
      </c>
      <c r="M16" s="672"/>
      <c r="N16" s="672">
        <f>Nachweis!N16</f>
        <v>0</v>
      </c>
      <c r="O16" s="672"/>
      <c r="P16" s="672"/>
      <c r="Q16" s="716"/>
      <c r="R16" s="740"/>
    </row>
    <row r="17" spans="1:18">
      <c r="A17" s="664"/>
      <c r="B17" s="670" t="str">
        <f>Nachweis!B17</f>
        <v>Adresse:</v>
      </c>
      <c r="C17" s="680" t="str">
        <f>Nachweis!C17</f>
        <v xml:space="preserve"> ,  </v>
      </c>
      <c r="D17" s="672"/>
      <c r="E17" s="680"/>
      <c r="F17" s="680"/>
      <c r="G17" s="680"/>
      <c r="H17" s="680"/>
      <c r="I17" s="683"/>
      <c r="J17" s="671"/>
      <c r="K17" s="671"/>
      <c r="L17" s="672">
        <f>Nachweis!L17</f>
        <v>0</v>
      </c>
      <c r="M17" s="672"/>
      <c r="N17" s="672">
        <f>Nachweis!N17</f>
        <v>0</v>
      </c>
      <c r="O17" s="672"/>
      <c r="P17" s="672"/>
      <c r="Q17" s="716"/>
      <c r="R17" s="740"/>
    </row>
    <row r="18" spans="1:18" ht="6" customHeight="1">
      <c r="A18" s="664"/>
      <c r="B18" s="670">
        <f>Nachweis!B18</f>
        <v>0</v>
      </c>
      <c r="C18" s="680">
        <f>Nachweis!C18</f>
        <v>0</v>
      </c>
      <c r="D18" s="671"/>
      <c r="E18" s="671"/>
      <c r="F18" s="671"/>
      <c r="G18" s="671"/>
      <c r="H18" s="671"/>
      <c r="I18" s="671"/>
      <c r="J18" s="671"/>
      <c r="K18" s="671"/>
      <c r="L18" s="672">
        <f>Nachweis!L18</f>
        <v>0</v>
      </c>
      <c r="M18" s="672"/>
      <c r="N18" s="672">
        <f>Nachweis!N18</f>
        <v>0</v>
      </c>
      <c r="O18" s="672"/>
      <c r="P18" s="672"/>
      <c r="Q18" s="716"/>
      <c r="R18" s="740"/>
    </row>
    <row r="19" spans="1:18">
      <c r="A19" s="664"/>
      <c r="B19" s="670" t="str">
        <f>Nachweis!B19</f>
        <v>Tél.:</v>
      </c>
      <c r="C19" s="680">
        <f>Nachweis!C19</f>
        <v>0</v>
      </c>
      <c r="D19" s="1854"/>
      <c r="E19" s="671"/>
      <c r="F19" s="1911"/>
      <c r="G19" s="671"/>
      <c r="H19" s="680"/>
      <c r="I19" s="672"/>
      <c r="J19" s="672"/>
      <c r="K19" s="672"/>
      <c r="L19" s="672" t="str">
        <f>Nachweis!L19</f>
        <v>Email:</v>
      </c>
      <c r="M19" s="672"/>
      <c r="N19" s="672">
        <f>Nachweis!N19</f>
        <v>0</v>
      </c>
      <c r="O19" s="672"/>
      <c r="P19" s="672"/>
      <c r="Q19" s="716"/>
      <c r="R19" s="740"/>
    </row>
    <row r="20" spans="1:18">
      <c r="A20" s="664"/>
      <c r="B20" s="678">
        <f>Nachweis!B20</f>
        <v>0</v>
      </c>
      <c r="C20" s="680">
        <f>Nachweis!C20</f>
        <v>0</v>
      </c>
      <c r="D20" s="671"/>
      <c r="E20" s="671"/>
      <c r="F20" s="671"/>
      <c r="G20" s="671"/>
      <c r="H20" s="671"/>
      <c r="I20" s="671"/>
      <c r="J20" s="671"/>
      <c r="K20" s="671"/>
      <c r="L20" s="672">
        <f>Nachweis!L20</f>
        <v>0</v>
      </c>
      <c r="M20" s="672"/>
      <c r="N20" s="672">
        <f>Nachweis!N20</f>
        <v>0</v>
      </c>
      <c r="O20" s="672"/>
      <c r="P20" s="672"/>
      <c r="Q20" s="716"/>
      <c r="R20" s="740"/>
    </row>
    <row r="21" spans="1:18">
      <c r="A21" s="664"/>
      <c r="B21" s="678" t="str">
        <f>Nachweis!B21</f>
        <v>Auteur du projet:</v>
      </c>
      <c r="C21" s="680">
        <f>Nachweis!C21</f>
        <v>0</v>
      </c>
      <c r="D21" s="671"/>
      <c r="E21" s="671"/>
      <c r="F21" s="671"/>
      <c r="G21" s="671"/>
      <c r="H21" s="671"/>
      <c r="I21" s="671"/>
      <c r="J21" s="671"/>
      <c r="K21" s="671"/>
      <c r="L21" s="672">
        <f>Nachweis!L21</f>
        <v>0</v>
      </c>
      <c r="M21" s="672"/>
      <c r="N21" s="672">
        <f>Nachweis!N21</f>
        <v>0</v>
      </c>
      <c r="O21" s="672"/>
      <c r="P21" s="672"/>
      <c r="Q21" s="716"/>
      <c r="R21" s="740"/>
    </row>
    <row r="22" spans="1:18" ht="6" customHeight="1">
      <c r="A22" s="664"/>
      <c r="B22" s="678">
        <f>Nachweis!B22</f>
        <v>0</v>
      </c>
      <c r="C22" s="680">
        <f>Nachweis!C22</f>
        <v>0</v>
      </c>
      <c r="D22" s="671"/>
      <c r="E22" s="671"/>
      <c r="F22" s="671"/>
      <c r="G22" s="671"/>
      <c r="H22" s="671"/>
      <c r="I22" s="671"/>
      <c r="J22" s="671"/>
      <c r="K22" s="671"/>
      <c r="L22" s="672">
        <f>Nachweis!L22</f>
        <v>0</v>
      </c>
      <c r="M22" s="672"/>
      <c r="N22" s="672">
        <f>Nachweis!N22</f>
        <v>0</v>
      </c>
      <c r="O22" s="672"/>
      <c r="P22" s="672"/>
      <c r="Q22" s="716"/>
      <c r="R22" s="740"/>
    </row>
    <row r="23" spans="1:18">
      <c r="A23" s="664"/>
      <c r="B23" s="670" t="str">
        <f>Nachweis!B23</f>
        <v>Entreprise:</v>
      </c>
      <c r="C23" s="680">
        <f>Nachweis!C23</f>
        <v>0</v>
      </c>
      <c r="D23" s="672"/>
      <c r="E23" s="680"/>
      <c r="F23" s="680"/>
      <c r="G23" s="680"/>
      <c r="H23" s="680"/>
      <c r="I23" s="671"/>
      <c r="J23" s="671"/>
      <c r="K23" s="671"/>
      <c r="L23" s="672">
        <f>Nachweis!L23</f>
        <v>0</v>
      </c>
      <c r="M23" s="672"/>
      <c r="N23" s="672">
        <f>Nachweis!N23</f>
        <v>0</v>
      </c>
      <c r="O23" s="672"/>
      <c r="P23" s="672"/>
      <c r="Q23" s="716"/>
      <c r="R23" s="740"/>
    </row>
    <row r="24" spans="1:18" ht="6" customHeight="1">
      <c r="A24" s="664"/>
      <c r="B24" s="670">
        <f>Nachweis!B24</f>
        <v>0</v>
      </c>
      <c r="C24" s="680">
        <f>Nachweis!C24</f>
        <v>0</v>
      </c>
      <c r="D24" s="672"/>
      <c r="E24" s="671"/>
      <c r="F24" s="671"/>
      <c r="G24" s="671"/>
      <c r="H24" s="671"/>
      <c r="I24" s="671"/>
      <c r="J24" s="671"/>
      <c r="K24" s="671"/>
      <c r="L24" s="672">
        <f>Nachweis!L24</f>
        <v>0</v>
      </c>
      <c r="M24" s="672"/>
      <c r="N24" s="672">
        <f>Nachweis!N24</f>
        <v>0</v>
      </c>
      <c r="O24" s="672"/>
      <c r="P24" s="672"/>
      <c r="Q24" s="716"/>
      <c r="R24" s="740"/>
    </row>
    <row r="25" spans="1:18">
      <c r="A25" s="664"/>
      <c r="B25" s="670" t="str">
        <f>Nachweis!B25</f>
        <v>Collaborateur:</v>
      </c>
      <c r="C25" s="680">
        <f>Nachweis!C25</f>
        <v>0</v>
      </c>
      <c r="D25" s="672"/>
      <c r="E25" s="680"/>
      <c r="F25" s="680"/>
      <c r="G25" s="680"/>
      <c r="H25" s="680"/>
      <c r="I25" s="671"/>
      <c r="J25" s="671"/>
      <c r="K25" s="671"/>
      <c r="L25" s="672">
        <f>Nachweis!L25</f>
        <v>0</v>
      </c>
      <c r="M25" s="672"/>
      <c r="N25" s="672">
        <f>Nachweis!N25</f>
        <v>0</v>
      </c>
      <c r="O25" s="672"/>
      <c r="P25" s="672"/>
      <c r="Q25" s="716"/>
      <c r="R25" s="740"/>
    </row>
    <row r="26" spans="1:18" ht="6" customHeight="1">
      <c r="A26" s="664"/>
      <c r="B26" s="670">
        <f>Nachweis!B26</f>
        <v>0</v>
      </c>
      <c r="C26" s="680">
        <f>Nachweis!C26</f>
        <v>0</v>
      </c>
      <c r="D26" s="672"/>
      <c r="E26" s="671"/>
      <c r="F26" s="671"/>
      <c r="G26" s="671"/>
      <c r="H26" s="671"/>
      <c r="I26" s="671"/>
      <c r="J26" s="671"/>
      <c r="K26" s="671"/>
      <c r="L26" s="672">
        <f>Nachweis!L26</f>
        <v>0</v>
      </c>
      <c r="M26" s="672"/>
      <c r="N26" s="672">
        <f>Nachweis!N26</f>
        <v>0</v>
      </c>
      <c r="O26" s="672"/>
      <c r="P26" s="672"/>
      <c r="Q26" s="716"/>
      <c r="R26" s="740"/>
    </row>
    <row r="27" spans="1:18">
      <c r="A27" s="664"/>
      <c r="B27" s="670" t="str">
        <f>Nachweis!B27</f>
        <v>Adresse:</v>
      </c>
      <c r="C27" s="680" t="str">
        <f>Nachweis!C27</f>
        <v xml:space="preserve"> ,  </v>
      </c>
      <c r="D27" s="672"/>
      <c r="E27" s="680"/>
      <c r="F27" s="680"/>
      <c r="G27" s="680"/>
      <c r="H27" s="680"/>
      <c r="I27" s="671"/>
      <c r="J27" s="671"/>
      <c r="K27" s="671"/>
      <c r="L27" s="672">
        <f>Nachweis!L27</f>
        <v>0</v>
      </c>
      <c r="M27" s="672"/>
      <c r="N27" s="672">
        <f>Nachweis!N27</f>
        <v>0</v>
      </c>
      <c r="O27" s="672"/>
      <c r="P27" s="672"/>
      <c r="Q27" s="716"/>
      <c r="R27" s="740"/>
    </row>
    <row r="28" spans="1:18" ht="6" customHeight="1">
      <c r="A28" s="664"/>
      <c r="B28" s="670">
        <f>Nachweis!B28</f>
        <v>0</v>
      </c>
      <c r="C28" s="680">
        <f>Nachweis!C28</f>
        <v>0</v>
      </c>
      <c r="D28" s="680"/>
      <c r="E28" s="680"/>
      <c r="F28" s="680"/>
      <c r="G28" s="680"/>
      <c r="H28" s="680"/>
      <c r="I28" s="671"/>
      <c r="J28" s="671"/>
      <c r="K28" s="671"/>
      <c r="L28" s="672">
        <f>Nachweis!L28</f>
        <v>0</v>
      </c>
      <c r="M28" s="672"/>
      <c r="N28" s="672">
        <f>Nachweis!N28</f>
        <v>0</v>
      </c>
      <c r="O28" s="672"/>
      <c r="P28" s="672"/>
      <c r="Q28" s="716"/>
      <c r="R28" s="740"/>
    </row>
    <row r="29" spans="1:18">
      <c r="A29" s="664"/>
      <c r="B29" s="670" t="str">
        <f>Nachweis!B29</f>
        <v>Tél.:</v>
      </c>
      <c r="C29" s="680">
        <f>Nachweis!C29</f>
        <v>0</v>
      </c>
      <c r="D29" s="1854"/>
      <c r="E29" s="671"/>
      <c r="F29" s="1911"/>
      <c r="G29" s="671"/>
      <c r="H29" s="680"/>
      <c r="I29" s="672"/>
      <c r="J29" s="672"/>
      <c r="K29" s="672"/>
      <c r="L29" s="672" t="str">
        <f>Nachweis!L29</f>
        <v>Email:</v>
      </c>
      <c r="M29" s="672"/>
      <c r="N29" s="672">
        <f>Nachweis!N29</f>
        <v>0</v>
      </c>
      <c r="O29" s="672"/>
      <c r="P29" s="672"/>
      <c r="Q29" s="716"/>
      <c r="R29" s="740"/>
    </row>
    <row r="30" spans="1:18">
      <c r="A30" s="664"/>
      <c r="B30" s="678">
        <f>Nachweis!B30</f>
        <v>0</v>
      </c>
      <c r="C30" s="680">
        <f>Nachweis!C30</f>
        <v>0</v>
      </c>
      <c r="D30" s="671"/>
      <c r="E30" s="671"/>
      <c r="F30" s="671"/>
      <c r="G30" s="671"/>
      <c r="H30" s="671"/>
      <c r="I30" s="671"/>
      <c r="J30" s="671"/>
      <c r="K30" s="671"/>
      <c r="L30" s="672">
        <f>Nachweis!L30</f>
        <v>0</v>
      </c>
      <c r="M30" s="672"/>
      <c r="N30" s="672">
        <f>Nachweis!N30</f>
        <v>0</v>
      </c>
      <c r="O30" s="672"/>
      <c r="P30" s="672"/>
      <c r="Q30" s="716"/>
      <c r="R30" s="740"/>
    </row>
    <row r="31" spans="1:18">
      <c r="A31" s="664"/>
      <c r="B31" s="678" t="str">
        <f>Nachweis!B31</f>
        <v>Justification:</v>
      </c>
      <c r="C31" s="680">
        <f>Nachweis!C31</f>
        <v>0</v>
      </c>
      <c r="D31" s="671"/>
      <c r="E31" s="671"/>
      <c r="F31" s="671"/>
      <c r="G31" s="671"/>
      <c r="H31" s="671"/>
      <c r="I31" s="671"/>
      <c r="J31" s="671"/>
      <c r="K31" s="671"/>
      <c r="L31" s="672">
        <f>Nachweis!L31</f>
        <v>0</v>
      </c>
      <c r="M31" s="672"/>
      <c r="N31" s="672">
        <f>Nachweis!N31</f>
        <v>0</v>
      </c>
      <c r="O31" s="672"/>
      <c r="P31" s="672"/>
      <c r="Q31" s="716"/>
      <c r="R31" s="740"/>
    </row>
    <row r="32" spans="1:18" ht="6" customHeight="1">
      <c r="A32" s="664"/>
      <c r="B32" s="678">
        <f>Nachweis!B32</f>
        <v>0</v>
      </c>
      <c r="C32" s="680">
        <f>Nachweis!C32</f>
        <v>0</v>
      </c>
      <c r="D32" s="671"/>
      <c r="E32" s="671"/>
      <c r="F32" s="671"/>
      <c r="G32" s="671"/>
      <c r="H32" s="671"/>
      <c r="I32" s="671"/>
      <c r="J32" s="671"/>
      <c r="K32" s="671"/>
      <c r="L32" s="672">
        <f>Nachweis!L32</f>
        <v>0</v>
      </c>
      <c r="M32" s="672"/>
      <c r="N32" s="672">
        <f>Nachweis!N32</f>
        <v>0</v>
      </c>
      <c r="O32" s="672"/>
      <c r="P32" s="672"/>
      <c r="Q32" s="716"/>
      <c r="R32" s="740"/>
    </row>
    <row r="33" spans="1:27">
      <c r="A33" s="664"/>
      <c r="B33" s="670" t="str">
        <f>Nachweis!B33</f>
        <v>Entreprise:</v>
      </c>
      <c r="C33" s="680">
        <f>Nachweis!C33</f>
        <v>0</v>
      </c>
      <c r="D33" s="672"/>
      <c r="E33" s="680"/>
      <c r="F33" s="680"/>
      <c r="G33" s="680"/>
      <c r="H33" s="680"/>
      <c r="I33" s="671"/>
      <c r="J33" s="671"/>
      <c r="K33" s="671"/>
      <c r="L33" s="672">
        <f>Nachweis!L33</f>
        <v>0</v>
      </c>
      <c r="M33" s="672"/>
      <c r="N33" s="672">
        <f>Nachweis!N33</f>
        <v>0</v>
      </c>
      <c r="O33" s="672"/>
      <c r="P33" s="672"/>
      <c r="Q33" s="716"/>
      <c r="R33" s="740"/>
    </row>
    <row r="34" spans="1:27" ht="6" customHeight="1">
      <c r="A34" s="664"/>
      <c r="B34" s="670">
        <f>Nachweis!B34</f>
        <v>0</v>
      </c>
      <c r="C34" s="680">
        <f>Nachweis!C34</f>
        <v>0</v>
      </c>
      <c r="D34" s="672"/>
      <c r="E34" s="671"/>
      <c r="F34" s="671"/>
      <c r="G34" s="671"/>
      <c r="H34" s="671"/>
      <c r="I34" s="671"/>
      <c r="J34" s="671"/>
      <c r="K34" s="671"/>
      <c r="L34" s="672">
        <f>Nachweis!L34</f>
        <v>0</v>
      </c>
      <c r="M34" s="672"/>
      <c r="N34" s="672">
        <f>Nachweis!N34</f>
        <v>0</v>
      </c>
      <c r="O34" s="672"/>
      <c r="P34" s="672"/>
      <c r="Q34" s="716"/>
      <c r="R34" s="740"/>
    </row>
    <row r="35" spans="1:27">
      <c r="A35" s="664"/>
      <c r="B35" s="670" t="str">
        <f>Nachweis!B35</f>
        <v>Collaborateur:</v>
      </c>
      <c r="C35" s="680">
        <f>Nachweis!C35</f>
        <v>0</v>
      </c>
      <c r="D35" s="672"/>
      <c r="E35" s="680"/>
      <c r="F35" s="680"/>
      <c r="G35" s="680"/>
      <c r="H35" s="680"/>
      <c r="I35" s="671"/>
      <c r="J35" s="671"/>
      <c r="K35" s="671"/>
      <c r="L35" s="672" t="str">
        <f>Nachweis!L35</f>
        <v>Email:</v>
      </c>
      <c r="M35" s="672"/>
      <c r="N35" s="672">
        <f>Nachweis!N35</f>
        <v>0</v>
      </c>
      <c r="O35" s="672"/>
      <c r="P35" s="672"/>
      <c r="Q35" s="716"/>
      <c r="R35" s="740"/>
    </row>
    <row r="36" spans="1:27" ht="6" customHeight="1">
      <c r="A36" s="664"/>
      <c r="B36" s="670">
        <f>Nachweis!B36</f>
        <v>0</v>
      </c>
      <c r="C36" s="680">
        <f>Nachweis!C36</f>
        <v>0</v>
      </c>
      <c r="D36" s="672"/>
      <c r="E36" s="671"/>
      <c r="F36" s="671"/>
      <c r="G36" s="671"/>
      <c r="H36" s="671"/>
      <c r="I36" s="671"/>
      <c r="J36" s="671"/>
      <c r="K36" s="671"/>
      <c r="L36" s="672">
        <f>Nachweis!L36</f>
        <v>0</v>
      </c>
      <c r="M36" s="672"/>
      <c r="N36" s="672">
        <f>Nachweis!N36</f>
        <v>0</v>
      </c>
      <c r="O36" s="672"/>
      <c r="P36" s="672"/>
      <c r="Q36" s="716"/>
      <c r="R36" s="740"/>
    </row>
    <row r="37" spans="1:27">
      <c r="A37" s="664"/>
      <c r="B37" s="670" t="str">
        <f>Nachweis!B37</f>
        <v>Adresse:</v>
      </c>
      <c r="C37" s="680" t="str">
        <f>Nachweis!C37</f>
        <v xml:space="preserve"> ,  </v>
      </c>
      <c r="D37" s="672"/>
      <c r="E37" s="680"/>
      <c r="F37" s="680"/>
      <c r="G37" s="680"/>
      <c r="H37" s="680"/>
      <c r="I37" s="671"/>
      <c r="J37" s="671"/>
      <c r="K37" s="671"/>
      <c r="L37" s="672">
        <f>Nachweis!L37</f>
        <v>0</v>
      </c>
      <c r="M37" s="672"/>
      <c r="N37" s="672">
        <f>Nachweis!N37</f>
        <v>0</v>
      </c>
      <c r="O37" s="672"/>
      <c r="P37" s="672"/>
      <c r="Q37" s="716"/>
      <c r="R37" s="740"/>
    </row>
    <row r="38" spans="1:27" ht="6" customHeight="1">
      <c r="A38" s="664"/>
      <c r="B38" s="670">
        <f>Nachweis!B38</f>
        <v>0</v>
      </c>
      <c r="C38" s="680">
        <f>Nachweis!C38</f>
        <v>0</v>
      </c>
      <c r="D38" s="680"/>
      <c r="E38" s="680"/>
      <c r="F38" s="680"/>
      <c r="G38" s="680"/>
      <c r="H38" s="680"/>
      <c r="I38" s="671"/>
      <c r="J38" s="671"/>
      <c r="K38" s="671"/>
      <c r="L38" s="672">
        <f>Nachweis!L38</f>
        <v>0</v>
      </c>
      <c r="M38" s="672"/>
      <c r="N38" s="672">
        <f>Nachweis!N38</f>
        <v>0</v>
      </c>
      <c r="O38" s="672"/>
      <c r="P38" s="672"/>
      <c r="Q38" s="716"/>
      <c r="R38" s="740"/>
    </row>
    <row r="39" spans="1:27">
      <c r="A39" s="664"/>
      <c r="B39" s="670" t="str">
        <f>Nachweis!B39</f>
        <v>Tél.:</v>
      </c>
      <c r="C39" s="680">
        <f>Nachweis!C39</f>
        <v>0</v>
      </c>
      <c r="D39" s="1854"/>
      <c r="E39" s="671"/>
      <c r="F39" s="1911"/>
      <c r="G39" s="671"/>
      <c r="H39" s="1854"/>
      <c r="I39" s="672"/>
      <c r="J39" s="672"/>
      <c r="K39" s="672"/>
      <c r="L39" s="672" t="str">
        <f>Nachweis!L39</f>
        <v>Email:</v>
      </c>
      <c r="M39" s="672"/>
      <c r="N39" s="672">
        <f>Nachweis!N39</f>
        <v>0</v>
      </c>
      <c r="O39" s="672"/>
      <c r="P39" s="672"/>
      <c r="Q39" s="716"/>
      <c r="R39" s="740"/>
    </row>
    <row r="40" spans="1:27" ht="6" customHeight="1">
      <c r="A40" s="671"/>
      <c r="B40" s="1855"/>
      <c r="C40" s="1856"/>
      <c r="D40" s="1856"/>
      <c r="E40" s="1856"/>
      <c r="F40" s="1856"/>
      <c r="G40" s="1856"/>
      <c r="H40" s="1856"/>
      <c r="I40" s="1856"/>
      <c r="J40" s="1856"/>
      <c r="K40" s="1856"/>
      <c r="L40" s="775"/>
      <c r="M40" s="775"/>
      <c r="N40" s="775"/>
      <c r="O40" s="775"/>
      <c r="P40" s="775"/>
      <c r="Q40" s="775"/>
      <c r="R40" s="1910"/>
    </row>
    <row r="41" spans="1:27">
      <c r="A41" s="669"/>
      <c r="B41" s="669"/>
      <c r="C41" s="669"/>
      <c r="D41" s="669"/>
      <c r="E41" s="669"/>
      <c r="F41" s="669"/>
      <c r="G41" s="669"/>
      <c r="H41" s="669"/>
      <c r="I41" s="669"/>
      <c r="J41" s="669"/>
      <c r="K41" s="669"/>
    </row>
    <row r="42" spans="1:27">
      <c r="A42" s="669"/>
      <c r="B42" s="669" t="str">
        <f>Nachweis!B42</f>
        <v>Nature des travaux:</v>
      </c>
      <c r="D42" s="1796">
        <f>Nachweis!D42</f>
        <v>0</v>
      </c>
      <c r="E42" s="1555"/>
      <c r="F42" s="669"/>
      <c r="G42" s="778"/>
      <c r="H42" s="669"/>
      <c r="I42" s="669"/>
      <c r="J42" s="779"/>
      <c r="K42" s="669"/>
    </row>
    <row r="43" spans="1:27">
      <c r="A43" s="669"/>
      <c r="B43" s="669"/>
      <c r="C43" s="669"/>
      <c r="D43" s="669"/>
      <c r="E43" s="669"/>
      <c r="F43" s="669"/>
      <c r="G43" s="669"/>
      <c r="H43" s="669"/>
      <c r="I43" s="669"/>
      <c r="J43" s="669"/>
      <c r="K43" s="669"/>
    </row>
    <row r="44" spans="1:27" ht="4.1500000000000004" customHeight="1">
      <c r="A44" s="669"/>
      <c r="B44" s="669"/>
      <c r="C44" s="669"/>
      <c r="D44" s="669"/>
      <c r="E44" s="669"/>
      <c r="F44" s="669"/>
      <c r="G44" s="669"/>
      <c r="H44" s="669"/>
      <c r="I44" s="669"/>
      <c r="J44" s="669"/>
      <c r="K44" s="669"/>
    </row>
    <row r="45" spans="1:27" ht="15.75">
      <c r="A45" s="669"/>
      <c r="B45" s="728" t="str">
        <f>IF(Projekt!X71&gt;EBF,Uebersetzung!D644,Uebersetzung!D645)</f>
        <v>Minergie</v>
      </c>
      <c r="C45" s="669"/>
      <c r="D45" s="669"/>
      <c r="E45" s="669"/>
      <c r="F45" s="669"/>
      <c r="G45" s="669"/>
      <c r="H45" s="669"/>
      <c r="I45" s="669"/>
      <c r="J45" s="669"/>
      <c r="K45" s="669"/>
      <c r="AA45" s="669" t="s">
        <v>442</v>
      </c>
    </row>
    <row r="46" spans="1:27" ht="6.6" customHeight="1">
      <c r="A46" s="669"/>
      <c r="B46" s="2536"/>
      <c r="C46" s="2536"/>
      <c r="D46" s="2536"/>
      <c r="E46" s="669"/>
      <c r="F46" s="669"/>
      <c r="G46" s="669"/>
      <c r="H46" s="669"/>
      <c r="I46" s="669"/>
      <c r="J46" s="669"/>
      <c r="K46" s="669"/>
      <c r="AA46" s="676"/>
    </row>
    <row r="47" spans="1:27">
      <c r="A47" s="669"/>
      <c r="B47" s="669" t="str">
        <f>Uebersetzung!D648</f>
        <v>Catégorie</v>
      </c>
      <c r="C47" s="669">
        <f>INDEX(Tab!C30:C42,Kategorie,1)</f>
        <v>0</v>
      </c>
      <c r="E47" s="669"/>
      <c r="G47" s="669"/>
      <c r="H47" s="664" t="str">
        <f>Uebersetzung!D649&amp;Projekt!BC35</f>
        <v>Station météorologique:0</v>
      </c>
      <c r="K47" s="669"/>
      <c r="AA47" s="686" t="b">
        <f>IF(Projekt!$AV$31=2,TRUE,FALSE)</f>
        <v>0</v>
      </c>
    </row>
    <row r="48" spans="1:27" ht="7.9" customHeight="1">
      <c r="A48" s="669"/>
      <c r="B48" s="669"/>
      <c r="C48" s="669"/>
      <c r="D48" s="669"/>
      <c r="E48" s="669"/>
      <c r="F48" s="669"/>
      <c r="G48" s="669"/>
      <c r="H48" s="669"/>
      <c r="I48" s="669"/>
      <c r="J48" s="669"/>
      <c r="K48" s="669"/>
      <c r="AA48" s="686" t="b">
        <f>IF(Projekt!$AV$31=3,TRUE,FALSE)</f>
        <v>0</v>
      </c>
    </row>
    <row r="49" spans="1:27" ht="13.5">
      <c r="A49" s="669"/>
      <c r="B49" s="669" t="str">
        <f>Uebersetzung!D647</f>
        <v>Surface de référence énergétique SRE:</v>
      </c>
      <c r="C49" s="669"/>
      <c r="D49" s="669"/>
      <c r="E49" s="669"/>
      <c r="H49" s="704">
        <f>EBF</f>
        <v>0</v>
      </c>
      <c r="I49" s="669" t="s">
        <v>2268</v>
      </c>
      <c r="J49" s="669"/>
      <c r="K49" s="669"/>
      <c r="AA49" s="686" t="b">
        <f>IF(Projekt!$AV$31=4,TRUE,FALSE)</f>
        <v>0</v>
      </c>
    </row>
    <row r="50" spans="1:27" ht="9" customHeight="1">
      <c r="A50" s="669"/>
      <c r="B50" s="669"/>
      <c r="C50" s="669"/>
      <c r="D50" s="669"/>
      <c r="E50" s="669"/>
      <c r="F50" s="669"/>
      <c r="G50" s="669"/>
      <c r="H50" s="669"/>
      <c r="I50" s="669"/>
      <c r="J50" s="669"/>
      <c r="K50" s="669"/>
      <c r="AA50" s="688" t="b">
        <f>IF(Projekt!$AV$31=5,TRUE,FALSE)</f>
        <v>0</v>
      </c>
    </row>
    <row r="51" spans="1:27" ht="13.5">
      <c r="A51" s="669"/>
      <c r="B51" s="669" t="str">
        <f>Uebersetzung!D646</f>
        <v xml:space="preserve">Débit d'air neuf thermiquement significatif </v>
      </c>
      <c r="C51" s="669"/>
      <c r="D51" s="669"/>
      <c r="E51" s="669"/>
      <c r="H51" s="669">
        <f>Vth</f>
        <v>0</v>
      </c>
      <c r="I51" s="671" t="s">
        <v>1767</v>
      </c>
      <c r="J51" s="669"/>
      <c r="K51" s="669"/>
    </row>
    <row r="52" spans="1:27" ht="24.6" customHeight="1">
      <c r="A52" s="669"/>
      <c r="B52" s="687" t="str">
        <f>Nachweis!B53</f>
        <v>Besoins de chaleur pour le chauffage</v>
      </c>
      <c r="C52" s="669"/>
      <c r="D52" s="669"/>
      <c r="E52" s="669"/>
      <c r="F52" s="1857"/>
      <c r="G52" s="1857"/>
      <c r="H52" s="1958">
        <f>IF(_Ver09,'M3'!O69,'M3'!O69/3.6)</f>
        <v>0</v>
      </c>
      <c r="I52" s="690" t="str">
        <f>IF(_Ver09,"MJ/m2","kWh/m2")</f>
        <v>kWh/m2</v>
      </c>
      <c r="J52" s="669"/>
      <c r="K52" s="669"/>
    </row>
    <row r="53" spans="1:27">
      <c r="A53" s="669"/>
      <c r="B53" s="669"/>
      <c r="C53" s="669"/>
      <c r="D53" s="669"/>
      <c r="E53" s="669"/>
      <c r="F53" s="669"/>
      <c r="G53" s="669"/>
      <c r="H53" s="669"/>
      <c r="I53" s="669"/>
      <c r="J53" s="669"/>
      <c r="K53" s="669"/>
    </row>
    <row r="54" spans="1:27">
      <c r="A54" s="669"/>
      <c r="B54" s="669"/>
      <c r="C54" s="669"/>
      <c r="D54" s="669"/>
      <c r="E54" s="669"/>
      <c r="F54" s="669"/>
      <c r="G54" s="669"/>
      <c r="H54" s="669"/>
      <c r="I54" s="669"/>
      <c r="J54" s="669"/>
      <c r="K54" s="669"/>
    </row>
    <row r="55" spans="1:27" ht="15" customHeight="1">
      <c r="A55" s="669"/>
      <c r="B55" s="669" t="str">
        <f>Nachweis!B58</f>
        <v>Les soussignés confirment par leur signature que les indications figurant ci-dessus et celles utilisées pour</v>
      </c>
      <c r="C55" s="669"/>
      <c r="D55" s="669"/>
      <c r="E55" s="669"/>
      <c r="F55" s="669"/>
      <c r="G55" s="669"/>
      <c r="H55" s="669"/>
      <c r="I55" s="669"/>
      <c r="J55" s="669"/>
      <c r="K55" s="669"/>
    </row>
    <row r="56" spans="1:27" ht="15" customHeight="1">
      <c r="A56" s="669"/>
      <c r="B56" s="669" t="str">
        <f>Nachweis!B59</f>
        <v>établir la justification d'une isolation thermique suffisante sont exactes et complètes.</v>
      </c>
      <c r="C56" s="669"/>
      <c r="D56" s="669"/>
      <c r="E56" s="669"/>
      <c r="F56" s="669"/>
      <c r="G56" s="669"/>
      <c r="H56" s="669"/>
      <c r="I56" s="669"/>
      <c r="J56" s="669"/>
      <c r="K56" s="669"/>
    </row>
    <row r="57" spans="1:27" ht="15" customHeight="1">
      <c r="A57" s="669"/>
      <c r="B57" s="669"/>
      <c r="C57" s="669"/>
      <c r="D57" s="669"/>
      <c r="E57" s="669"/>
      <c r="F57" s="669"/>
      <c r="G57" s="669"/>
      <c r="H57" s="669"/>
      <c r="I57" s="669"/>
      <c r="J57" s="669"/>
      <c r="K57" s="669"/>
    </row>
    <row r="58" spans="1:27" ht="15" customHeight="1">
      <c r="A58" s="669"/>
      <c r="B58" s="669"/>
      <c r="C58" s="669"/>
      <c r="D58" s="669"/>
      <c r="E58" s="669"/>
      <c r="F58" s="669"/>
      <c r="G58" s="669"/>
      <c r="H58" s="669"/>
      <c r="I58" s="669"/>
      <c r="J58" s="669"/>
      <c r="K58" s="669"/>
    </row>
    <row r="59" spans="1:27" ht="15" customHeight="1">
      <c r="A59" s="669"/>
      <c r="B59" s="669" t="str">
        <f>Nachweis!B63</f>
        <v>L'auteur du projet:</v>
      </c>
      <c r="C59" s="669"/>
      <c r="D59" s="669"/>
      <c r="E59" s="669"/>
      <c r="F59" s="669"/>
      <c r="G59" s="669"/>
      <c r="H59" s="669"/>
      <c r="I59" s="669"/>
      <c r="J59" s="669"/>
      <c r="K59" s="669"/>
      <c r="M59" s="1857" t="str">
        <f>Nachweis!M63</f>
        <v>Date:</v>
      </c>
    </row>
    <row r="60" spans="1:27" ht="15" customHeight="1">
      <c r="A60" s="669"/>
      <c r="B60" s="669"/>
      <c r="C60" s="669"/>
      <c r="D60" s="669"/>
      <c r="E60" s="669"/>
      <c r="F60" s="669"/>
      <c r="G60" s="669"/>
      <c r="H60" s="669"/>
      <c r="I60" s="669"/>
      <c r="J60" s="669"/>
      <c r="K60" s="669"/>
    </row>
    <row r="61" spans="1:27" ht="15" customHeight="1">
      <c r="A61" s="669"/>
      <c r="B61" s="669"/>
      <c r="C61" s="669"/>
      <c r="D61" s="669"/>
      <c r="E61" s="669"/>
      <c r="F61" s="669"/>
      <c r="G61" s="669"/>
      <c r="H61" s="669"/>
      <c r="I61" s="669"/>
      <c r="J61" s="669"/>
      <c r="K61" s="669"/>
    </row>
    <row r="62" spans="1:27" ht="15" customHeight="1">
      <c r="A62" s="669"/>
      <c r="B62" s="669"/>
      <c r="C62" s="669"/>
      <c r="D62" s="669"/>
      <c r="E62" s="669"/>
      <c r="F62" s="669"/>
      <c r="G62" s="669"/>
      <c r="H62" s="669"/>
      <c r="I62" s="669"/>
      <c r="J62" s="669"/>
      <c r="K62" s="669"/>
    </row>
    <row r="63" spans="1:27" ht="15" customHeight="1">
      <c r="A63" s="779"/>
      <c r="B63" s="779"/>
      <c r="C63" s="779"/>
      <c r="D63" s="779"/>
      <c r="E63" s="779"/>
      <c r="F63" s="779"/>
      <c r="G63" s="779"/>
      <c r="H63" s="779"/>
      <c r="I63" s="779"/>
      <c r="J63" s="779"/>
      <c r="K63" s="779"/>
    </row>
    <row r="64" spans="1:27" ht="15" customHeight="1">
      <c r="B64" s="1857" t="str">
        <f>Nachweis!B67</f>
        <v>L'auteur du justificatif:</v>
      </c>
      <c r="M64" s="1857" t="str">
        <f>M59</f>
        <v>Date:</v>
      </c>
    </row>
  </sheetData>
  <sheetProtection password="C9AE" sheet="1" objects="1" scenarios="1"/>
  <mergeCells count="3">
    <mergeCell ref="B46:D46"/>
    <mergeCell ref="C4:E4"/>
    <mergeCell ref="N7:R7"/>
  </mergeCells>
  <phoneticPr fontId="0" type="noConversion"/>
  <pageMargins left="0.62992125984251968" right="0.39370078740157483" top="0.39370078740157483" bottom="0.39370078740157483" header="0.19685039370078741" footer="0.19685039370078741"/>
  <pageSetup paperSize="9" orientation="portrait" r:id="rId1"/>
  <headerFooter alignWithMargins="0">
    <oddFooter>&amp;L&amp;"Times New Roman,Kursiv"&amp;6Huber Energietechnik, AG Zürich  &amp;C&amp;6&amp;F  &amp;R&amp;"Times New Roman,Kursiv"&amp;6ENTECH 380/1, Ver. 5.4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BF92"/>
  <sheetViews>
    <sheetView zoomScaleNormal="10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1.5703125" style="707"/>
    <col min="19" max="19" width="29.5703125" style="707" customWidth="1"/>
    <col min="20" max="21" width="6.7109375" style="707" customWidth="1"/>
    <col min="22" max="16384" width="11.5703125" style="707"/>
  </cols>
  <sheetData>
    <row r="1" spans="2:58">
      <c r="B1" s="707" t="str">
        <f>'M2'!B1</f>
        <v>Entech 380/1, Ver. 6.1</v>
      </c>
      <c r="H1" s="708" t="str">
        <f>IF(Projekt!E5&gt;0,Projekt!E5,"")</f>
        <v/>
      </c>
      <c r="J1" s="709"/>
      <c r="O1" s="707"/>
      <c r="P1" s="710" t="str">
        <f>"Qh= "&amp;ROUND(Qh,0)&amp;" MJ/m2"</f>
        <v>Qh= 0 MJ/m2</v>
      </c>
      <c r="S1" s="1715"/>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08"/>
      <c r="AW1" s="1708"/>
      <c r="AX1" s="1708"/>
      <c r="AY1" s="1708"/>
      <c r="AZ1" s="1708"/>
      <c r="BA1" s="1708"/>
      <c r="BB1" s="1708"/>
      <c r="BC1" s="1708"/>
      <c r="BD1" s="1708"/>
      <c r="BE1" s="1708"/>
      <c r="BF1" s="1708"/>
    </row>
    <row r="2" spans="2:58">
      <c r="B2" s="712" t="str">
        <f>'M1'!B2</f>
        <v>imprimé le:</v>
      </c>
      <c r="C2" s="2502">
        <f ca="1">NOW()</f>
        <v>43566.628989236109</v>
      </c>
      <c r="D2" s="2502"/>
      <c r="E2" s="2502"/>
      <c r="F2" s="712" t="str">
        <f>'M1'!F2</f>
        <v xml:space="preserve">pour </v>
      </c>
      <c r="G2" s="713"/>
      <c r="H2" s="712"/>
      <c r="I2" s="712"/>
      <c r="J2" s="712"/>
      <c r="K2" s="712"/>
      <c r="L2" s="712"/>
      <c r="M2" s="714"/>
      <c r="N2" s="715"/>
      <c r="O2" s="716"/>
      <c r="P2" s="717"/>
      <c r="Q2" s="718"/>
      <c r="R2" s="718"/>
      <c r="S2" s="1709" t="s">
        <v>1974</v>
      </c>
      <c r="T2" s="1710">
        <f>Bau!AG6</f>
        <v>0</v>
      </c>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row>
    <row r="3" spans="2:58" ht="33.6" customHeight="1" thickBot="1">
      <c r="B3" s="719" t="s">
        <v>2319</v>
      </c>
      <c r="C3" s="720"/>
      <c r="D3" s="721"/>
      <c r="E3" s="721"/>
      <c r="F3" s="722"/>
      <c r="G3" s="723"/>
      <c r="H3" s="722"/>
      <c r="I3" s="724"/>
      <c r="J3" s="723"/>
      <c r="K3" s="725"/>
      <c r="L3" s="722"/>
      <c r="M3" s="722"/>
      <c r="N3" s="722"/>
      <c r="O3" s="726"/>
      <c r="P3" s="727" t="str">
        <f>'M1'!P3</f>
        <v>Calcul des besoins de chaleur pour le chauffage dans bâtiments, SIA 380/1</v>
      </c>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row>
    <row r="4" spans="2:58" ht="18" customHeight="1">
      <c r="O4" s="707"/>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8"/>
      <c r="BF4" s="1708"/>
    </row>
    <row r="5" spans="2:58" ht="18" customHeight="1">
      <c r="B5" s="728" t="str">
        <f>IF(Projekt!AV34="Minergie-P",Uebersetzung!D418,Uebersetzung!D419)</f>
        <v>Avec facteur de réduction des apports de chaleur des installations électriques selon MINERGIE et avec aération mécanique</v>
      </c>
      <c r="O5" s="707"/>
      <c r="S5" s="1708"/>
      <c r="T5" s="1708"/>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c r="AT5" s="1708"/>
      <c r="AU5" s="1708"/>
      <c r="AV5" s="1708"/>
      <c r="AW5" s="1708"/>
      <c r="AX5" s="1708"/>
      <c r="AY5" s="1708"/>
      <c r="AZ5" s="1708"/>
      <c r="BA5" s="1708"/>
      <c r="BB5" s="1708"/>
      <c r="BC5" s="1708"/>
      <c r="BD5" s="1708"/>
      <c r="BE5" s="1708"/>
      <c r="BF5" s="1708"/>
    </row>
    <row r="6" spans="2:58" ht="18" customHeight="1">
      <c r="B6" s="728" t="str">
        <f>IF(Projekt!AV34="Minergie-P",Uebersetzung!D420,Uebersetzung!D421)</f>
        <v>Pour le justificatif MINERGIE</v>
      </c>
      <c r="O6" s="707"/>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row>
    <row r="7" spans="2:58" ht="18" customHeight="1">
      <c r="O7" s="707"/>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row>
    <row r="8" spans="2:58" ht="16.899999999999999" customHeight="1">
      <c r="B8" s="729" t="str">
        <f>'M1'!B8</f>
        <v>A:  Objet</v>
      </c>
      <c r="C8" s="729" t="str">
        <f>IF(Projekt!E5&lt;&gt;"",Projekt!E5,"")</f>
        <v/>
      </c>
      <c r="O8" s="707"/>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row>
    <row r="9" spans="2:58" ht="18" hidden="1" customHeight="1">
      <c r="O9" s="707"/>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S10" s="1711"/>
      <c r="T10" s="1711"/>
      <c r="U10" s="1711">
        <f>C10</f>
        <v>1</v>
      </c>
      <c r="V10" s="1711"/>
      <c r="W10" s="1711"/>
      <c r="X10" s="1711">
        <f>D10</f>
        <v>2</v>
      </c>
      <c r="Y10" s="1711"/>
      <c r="Z10" s="1711"/>
      <c r="AA10" s="1711">
        <f>E10</f>
        <v>3</v>
      </c>
      <c r="AB10" s="1711"/>
      <c r="AC10" s="1711"/>
      <c r="AD10" s="1711">
        <f>F10</f>
        <v>4</v>
      </c>
      <c r="AE10" s="1711"/>
      <c r="AF10" s="1711"/>
      <c r="AG10" s="1711">
        <f>G10</f>
        <v>5</v>
      </c>
      <c r="AH10" s="1711"/>
      <c r="AI10" s="1711"/>
      <c r="AJ10" s="1711">
        <f>H10</f>
        <v>6</v>
      </c>
      <c r="AK10" s="1711"/>
      <c r="AL10" s="1711"/>
      <c r="AM10" s="1711">
        <f>I10</f>
        <v>7</v>
      </c>
      <c r="AN10" s="1711"/>
      <c r="AO10" s="1711"/>
      <c r="AP10" s="1711">
        <f>J10</f>
        <v>8</v>
      </c>
      <c r="AQ10" s="1711"/>
      <c r="AR10" s="1711"/>
      <c r="AS10" s="1711">
        <f>K10</f>
        <v>9</v>
      </c>
      <c r="AT10" s="1711"/>
      <c r="AU10" s="1711"/>
      <c r="AV10" s="1711">
        <f>L10</f>
        <v>10</v>
      </c>
      <c r="AW10" s="1711"/>
      <c r="AX10" s="1711"/>
      <c r="AY10" s="1711">
        <f>M10</f>
        <v>11</v>
      </c>
      <c r="AZ10" s="1711"/>
      <c r="BA10" s="1711"/>
      <c r="BB10" s="1711">
        <f>N10</f>
        <v>12</v>
      </c>
      <c r="BC10" s="1711"/>
      <c r="BD10" s="1711"/>
      <c r="BE10" s="1711"/>
      <c r="BF10" s="1711"/>
    </row>
    <row r="11" spans="2:58" s="730" customFormat="1" ht="18" customHeight="1">
      <c r="C11" s="732" t="str">
        <f>'M1'!C11</f>
        <v>Jan</v>
      </c>
      <c r="D11" s="732" t="str">
        <f>'M1'!D11</f>
        <v>Fev</v>
      </c>
      <c r="E11" s="732" t="str">
        <f>'M1'!E11</f>
        <v>Mar</v>
      </c>
      <c r="F11" s="732" t="str">
        <f>'M1'!F11</f>
        <v>Avr</v>
      </c>
      <c r="G11" s="732" t="str">
        <f>'M1'!G11</f>
        <v>Mai</v>
      </c>
      <c r="H11" s="732" t="str">
        <f>'M1'!H11</f>
        <v>Juin</v>
      </c>
      <c r="I11" s="732" t="str">
        <f>'M1'!I11</f>
        <v>Juil</v>
      </c>
      <c r="J11" s="732" t="str">
        <f>'M1'!J11</f>
        <v>Août</v>
      </c>
      <c r="K11" s="732" t="str">
        <f>'M1'!K11</f>
        <v>Sep</v>
      </c>
      <c r="L11" s="732" t="str">
        <f>'M1'!L11</f>
        <v>Oct</v>
      </c>
      <c r="M11" s="732" t="str">
        <f>'M1'!M11</f>
        <v>Nov</v>
      </c>
      <c r="N11" s="733" t="str">
        <f>'M1'!N11</f>
        <v>Déc</v>
      </c>
      <c r="O11" s="732" t="str">
        <f>'M1'!O11</f>
        <v>Année</v>
      </c>
      <c r="S11" s="1712"/>
      <c r="T11" s="1712"/>
      <c r="U11" s="1712"/>
      <c r="V11" s="1712" t="s">
        <v>489</v>
      </c>
      <c r="W11" s="1712"/>
      <c r="X11" s="1712"/>
      <c r="Y11" s="1712" t="s">
        <v>490</v>
      </c>
      <c r="Z11" s="1712"/>
      <c r="AA11" s="1712"/>
      <c r="AB11" s="1712" t="s">
        <v>491</v>
      </c>
      <c r="AC11" s="1712"/>
      <c r="AD11" s="1712"/>
      <c r="AE11" s="1712" t="s">
        <v>492</v>
      </c>
      <c r="AF11" s="1712"/>
      <c r="AG11" s="1712"/>
      <c r="AH11" s="1712" t="s">
        <v>493</v>
      </c>
      <c r="AI11" s="1712"/>
      <c r="AJ11" s="1712"/>
      <c r="AK11" s="1712" t="s">
        <v>494</v>
      </c>
      <c r="AL11" s="1712"/>
      <c r="AM11" s="1712"/>
      <c r="AN11" s="1712" t="s">
        <v>495</v>
      </c>
      <c r="AO11" s="1712"/>
      <c r="AP11" s="1712"/>
      <c r="AQ11" s="1712" t="s">
        <v>496</v>
      </c>
      <c r="AR11" s="1712"/>
      <c r="AS11" s="1712"/>
      <c r="AT11" s="1712" t="s">
        <v>497</v>
      </c>
      <c r="AU11" s="1712"/>
      <c r="AV11" s="1712"/>
      <c r="AW11" s="1712" t="s">
        <v>498</v>
      </c>
      <c r="AX11" s="1712"/>
      <c r="AY11" s="1712"/>
      <c r="AZ11" s="1712" t="s">
        <v>499</v>
      </c>
      <c r="BA11" s="1712"/>
      <c r="BB11" s="1712"/>
      <c r="BC11" s="1712" t="s">
        <v>500</v>
      </c>
      <c r="BD11" s="1712"/>
      <c r="BE11" s="1712" t="s">
        <v>501</v>
      </c>
      <c r="BF11" s="1712"/>
    </row>
    <row r="12" spans="2:58" s="734" customFormat="1" ht="18" customHeight="1">
      <c r="C12" s="735"/>
      <c r="D12" s="735"/>
      <c r="E12" s="735"/>
      <c r="F12" s="735"/>
      <c r="G12" s="735"/>
      <c r="H12" s="735"/>
      <c r="I12" s="735"/>
      <c r="J12" s="735"/>
      <c r="K12" s="735"/>
      <c r="L12" s="735"/>
      <c r="M12" s="735"/>
      <c r="N12" s="736"/>
      <c r="O12" s="737"/>
      <c r="S12" s="1712" t="str">
        <f>B42</f>
        <v>Déperditions par transmission QT:</v>
      </c>
      <c r="T12" s="1712" t="s">
        <v>2383</v>
      </c>
      <c r="U12" s="1712">
        <f>C42</f>
        <v>0</v>
      </c>
      <c r="V12" s="1712"/>
      <c r="W12" s="1712"/>
      <c r="X12" s="1712">
        <f>D42</f>
        <v>0</v>
      </c>
      <c r="Y12" s="1712"/>
      <c r="Z12" s="1712"/>
      <c r="AA12" s="1712">
        <f>E42</f>
        <v>0</v>
      </c>
      <c r="AB12" s="1712"/>
      <c r="AC12" s="1712"/>
      <c r="AD12" s="1712">
        <f>F42</f>
        <v>0</v>
      </c>
      <c r="AE12" s="1712"/>
      <c r="AF12" s="1712"/>
      <c r="AG12" s="1712">
        <f>G42</f>
        <v>0</v>
      </c>
      <c r="AH12" s="1712"/>
      <c r="AI12" s="1712"/>
      <c r="AJ12" s="1712">
        <f>H42</f>
        <v>0</v>
      </c>
      <c r="AK12" s="1712"/>
      <c r="AL12" s="1712"/>
      <c r="AM12" s="1712">
        <f>I42</f>
        <v>0</v>
      </c>
      <c r="AN12" s="1712"/>
      <c r="AO12" s="1712"/>
      <c r="AP12" s="1712">
        <f>J42</f>
        <v>0</v>
      </c>
      <c r="AQ12" s="1712"/>
      <c r="AR12" s="1712"/>
      <c r="AS12" s="1712">
        <f>K42</f>
        <v>0</v>
      </c>
      <c r="AT12" s="1712"/>
      <c r="AU12" s="1712"/>
      <c r="AV12" s="1712">
        <f>L42</f>
        <v>0</v>
      </c>
      <c r="AW12" s="1712"/>
      <c r="AX12" s="1712"/>
      <c r="AY12" s="1712">
        <f>M42</f>
        <v>0</v>
      </c>
      <c r="AZ12" s="1712"/>
      <c r="BA12" s="1712"/>
      <c r="BB12" s="1712">
        <f>N42</f>
        <v>0</v>
      </c>
      <c r="BC12" s="1712"/>
      <c r="BD12" s="1712"/>
      <c r="BE12" s="1712">
        <f>O42</f>
        <v>0</v>
      </c>
      <c r="BF12" s="1712" t="str">
        <f>P42</f>
        <v>MJ/m2a</v>
      </c>
    </row>
    <row r="13" spans="2:58" s="734" customFormat="1" ht="18" customHeight="1">
      <c r="B13" s="729" t="str">
        <f>'M1'!B13</f>
        <v>B:  Données climatiques</v>
      </c>
      <c r="C13" s="707"/>
      <c r="D13" s="707"/>
      <c r="E13" s="707"/>
      <c r="F13" s="707"/>
      <c r="G13" s="707"/>
      <c r="H13" s="707"/>
      <c r="I13" s="707"/>
      <c r="J13" s="707"/>
      <c r="K13" s="707"/>
      <c r="L13" s="707"/>
      <c r="M13" s="707"/>
      <c r="N13" s="740"/>
      <c r="O13" s="730"/>
      <c r="S13" s="1712" t="str">
        <f>B44</f>
        <v>Dép. par renouvellement de l'air QV:</v>
      </c>
      <c r="T13" s="1712" t="s">
        <v>2375</v>
      </c>
      <c r="U13" s="1712">
        <f>C44</f>
        <v>0</v>
      </c>
      <c r="V13" s="1712"/>
      <c r="W13" s="1712"/>
      <c r="X13" s="1712">
        <f>D44</f>
        <v>0</v>
      </c>
      <c r="Y13" s="1712"/>
      <c r="Z13" s="1712"/>
      <c r="AA13" s="1712">
        <f>E44</f>
        <v>0</v>
      </c>
      <c r="AB13" s="1712"/>
      <c r="AC13" s="1712"/>
      <c r="AD13" s="1712">
        <f>F44</f>
        <v>0</v>
      </c>
      <c r="AE13" s="1712"/>
      <c r="AF13" s="1712"/>
      <c r="AG13" s="1712">
        <f>G44</f>
        <v>0</v>
      </c>
      <c r="AH13" s="1712"/>
      <c r="AI13" s="1712"/>
      <c r="AJ13" s="1712">
        <f>H44</f>
        <v>0</v>
      </c>
      <c r="AK13" s="1712"/>
      <c r="AL13" s="1712"/>
      <c r="AM13" s="1712">
        <f>I44</f>
        <v>0</v>
      </c>
      <c r="AN13" s="1712"/>
      <c r="AO13" s="1712"/>
      <c r="AP13" s="1712">
        <f>J44</f>
        <v>0</v>
      </c>
      <c r="AQ13" s="1712"/>
      <c r="AR13" s="1712"/>
      <c r="AS13" s="1712">
        <f>K44</f>
        <v>0</v>
      </c>
      <c r="AT13" s="1712"/>
      <c r="AU13" s="1712"/>
      <c r="AV13" s="1712">
        <f>L44</f>
        <v>0</v>
      </c>
      <c r="AW13" s="1712"/>
      <c r="AX13" s="1712"/>
      <c r="AY13" s="1712">
        <f>M44</f>
        <v>0</v>
      </c>
      <c r="AZ13" s="1712"/>
      <c r="BA13" s="1712"/>
      <c r="BB13" s="1712">
        <f>N44</f>
        <v>0</v>
      </c>
      <c r="BC13" s="1712"/>
      <c r="BD13" s="1712"/>
      <c r="BE13" s="1712">
        <f>O44</f>
        <v>0</v>
      </c>
      <c r="BF13" s="1712" t="str">
        <f>P44</f>
        <v>MJ/m2a</v>
      </c>
    </row>
    <row r="14" spans="2:58" ht="18" customHeight="1">
      <c r="B14" s="738" t="str">
        <f>'M1'!B14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S14" s="1712" t="str">
        <f>B68</f>
        <v>Besoins de chaleur  Qh:</v>
      </c>
      <c r="T14" s="1712" t="s">
        <v>2376</v>
      </c>
      <c r="U14" s="1712"/>
      <c r="V14" s="1712">
        <f>C68</f>
        <v>0</v>
      </c>
      <c r="W14" s="1712"/>
      <c r="X14" s="1712"/>
      <c r="Y14" s="1712">
        <f>D68</f>
        <v>0</v>
      </c>
      <c r="Z14" s="1712"/>
      <c r="AA14" s="1712"/>
      <c r="AB14" s="1712">
        <f>E68</f>
        <v>0</v>
      </c>
      <c r="AC14" s="1712"/>
      <c r="AD14" s="1712"/>
      <c r="AE14" s="1712">
        <f>F68</f>
        <v>0</v>
      </c>
      <c r="AF14" s="1712"/>
      <c r="AG14" s="1712"/>
      <c r="AH14" s="1712">
        <f>G68</f>
        <v>0</v>
      </c>
      <c r="AI14" s="1712"/>
      <c r="AJ14" s="1712"/>
      <c r="AK14" s="1712">
        <f>H68</f>
        <v>0</v>
      </c>
      <c r="AL14" s="1712"/>
      <c r="AM14" s="1712"/>
      <c r="AN14" s="1712">
        <f>I68</f>
        <v>0</v>
      </c>
      <c r="AO14" s="1712"/>
      <c r="AP14" s="1712"/>
      <c r="AQ14" s="1712">
        <f>J68</f>
        <v>0</v>
      </c>
      <c r="AR14" s="1712"/>
      <c r="AS14" s="1712"/>
      <c r="AT14" s="1712">
        <f>K68</f>
        <v>0</v>
      </c>
      <c r="AU14" s="1712"/>
      <c r="AV14" s="1712"/>
      <c r="AW14" s="1712">
        <f>L68</f>
        <v>0</v>
      </c>
      <c r="AX14" s="1712"/>
      <c r="AY14" s="1712"/>
      <c r="AZ14" s="1712">
        <f>M68</f>
        <v>0</v>
      </c>
      <c r="BA14" s="1712"/>
      <c r="BB14" s="1712"/>
      <c r="BC14" s="1712">
        <f>N68</f>
        <v>0</v>
      </c>
      <c r="BD14" s="1712"/>
      <c r="BE14" s="1712">
        <f>O68</f>
        <v>0</v>
      </c>
      <c r="BF14" s="1712" t="str">
        <f>P68</f>
        <v>MJ/m2a</v>
      </c>
    </row>
    <row r="15" spans="2:58" ht="18" customHeight="1">
      <c r="B15" s="738" t="str">
        <f>'M1'!B15</f>
        <v>Température extérieure Thetae :</v>
      </c>
      <c r="C15" s="734">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2" t="str">
        <f>B59</f>
        <v>Apports totaux de chaleur Qg:</v>
      </c>
      <c r="T15" s="1712" t="s">
        <v>2377</v>
      </c>
      <c r="U15" s="1712"/>
      <c r="V15" s="1712">
        <f>C59</f>
        <v>0</v>
      </c>
      <c r="W15" s="1712"/>
      <c r="X15" s="1712"/>
      <c r="Y15" s="1712">
        <f>D59</f>
        <v>0</v>
      </c>
      <c r="Z15" s="1712"/>
      <c r="AA15" s="1712"/>
      <c r="AB15" s="1712">
        <f>E59</f>
        <v>0</v>
      </c>
      <c r="AC15" s="1712"/>
      <c r="AD15" s="1712"/>
      <c r="AE15" s="1712">
        <f>F59</f>
        <v>0</v>
      </c>
      <c r="AF15" s="1712"/>
      <c r="AG15" s="1712"/>
      <c r="AH15" s="1712">
        <f>G59</f>
        <v>0</v>
      </c>
      <c r="AI15" s="1712"/>
      <c r="AJ15" s="1712"/>
      <c r="AK15" s="1712">
        <f>H59</f>
        <v>0</v>
      </c>
      <c r="AL15" s="1712"/>
      <c r="AM15" s="1712"/>
      <c r="AN15" s="1712">
        <f>I59</f>
        <v>0</v>
      </c>
      <c r="AO15" s="1712"/>
      <c r="AP15" s="1712"/>
      <c r="AQ15" s="1712">
        <f>J59</f>
        <v>0</v>
      </c>
      <c r="AR15" s="1712"/>
      <c r="AS15" s="1712"/>
      <c r="AT15" s="1712">
        <f>K59</f>
        <v>0</v>
      </c>
      <c r="AU15" s="1712"/>
      <c r="AV15" s="1712"/>
      <c r="AW15" s="1712">
        <f>L59</f>
        <v>0</v>
      </c>
      <c r="AX15" s="1712"/>
      <c r="AY15" s="1712"/>
      <c r="AZ15" s="1712">
        <f>M59</f>
        <v>0</v>
      </c>
      <c r="BA15" s="1712"/>
      <c r="BB15" s="1712"/>
      <c r="BC15" s="1712">
        <f>N59</f>
        <v>0</v>
      </c>
      <c r="BD15" s="1712"/>
      <c r="BE15" s="1712">
        <f>O59</f>
        <v>0</v>
      </c>
      <c r="BF15" s="1712" t="str">
        <f>P59</f>
        <v>MJ/m2a</v>
      </c>
    </row>
    <row r="16" spans="2:58" ht="18" customHeight="1">
      <c r="B16" s="738" t="str">
        <f>'M1'!B16</f>
        <v>Durée de la période de calcul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S16" s="1712" t="s">
        <v>2378</v>
      </c>
      <c r="T16" s="1712" t="s">
        <v>2379</v>
      </c>
      <c r="U16" s="1712"/>
      <c r="V16" s="1712">
        <f>U12+U13-V14</f>
        <v>0</v>
      </c>
      <c r="W16" s="1712"/>
      <c r="X16" s="1712"/>
      <c r="Y16" s="1712">
        <f>X12+X13-Y14</f>
        <v>0</v>
      </c>
      <c r="Z16" s="1712"/>
      <c r="AA16" s="1712"/>
      <c r="AB16" s="1712">
        <f>AA12+AA13-AB14</f>
        <v>0</v>
      </c>
      <c r="AC16" s="1712"/>
      <c r="AD16" s="1712"/>
      <c r="AE16" s="1712">
        <f>AD12+AD13-AE14</f>
        <v>0</v>
      </c>
      <c r="AF16" s="1712"/>
      <c r="AG16" s="1712"/>
      <c r="AH16" s="1712">
        <f>AG12+AG13-AH14</f>
        <v>0</v>
      </c>
      <c r="AI16" s="1712"/>
      <c r="AJ16" s="1712"/>
      <c r="AK16" s="1712">
        <f>AJ12+AJ13-AK14</f>
        <v>0</v>
      </c>
      <c r="AL16" s="1712"/>
      <c r="AM16" s="1712"/>
      <c r="AN16" s="1712">
        <f>AM12+AM13-AN14</f>
        <v>0</v>
      </c>
      <c r="AO16" s="1712"/>
      <c r="AP16" s="1712"/>
      <c r="AQ16" s="1712">
        <f>AP12+AP13-AQ14</f>
        <v>0</v>
      </c>
      <c r="AR16" s="1712"/>
      <c r="AS16" s="1712"/>
      <c r="AT16" s="1712">
        <f>AS12+AS13-AT14</f>
        <v>0</v>
      </c>
      <c r="AU16" s="1712"/>
      <c r="AV16" s="1712"/>
      <c r="AW16" s="1712">
        <f>AV12+AV13-AW14</f>
        <v>0</v>
      </c>
      <c r="AX16" s="1712"/>
      <c r="AY16" s="1712"/>
      <c r="AZ16" s="1712">
        <f>AY12+AY13-AZ14</f>
        <v>0</v>
      </c>
      <c r="BA16" s="1712"/>
      <c r="BB16" s="1712"/>
      <c r="BC16" s="1712">
        <f>BB12+BB13-BC14</f>
        <v>0</v>
      </c>
      <c r="BD16" s="1712"/>
      <c r="BE16" s="1712"/>
      <c r="BF16" s="1712"/>
    </row>
    <row r="17" spans="2:58" ht="18" customHeight="1">
      <c r="B17" s="738" t="str">
        <f>'M1'!B17</f>
        <v>Rayonnement solaire glob. horizontale:</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2" t="s">
        <v>2380</v>
      </c>
      <c r="T17" s="1712" t="s">
        <v>2381</v>
      </c>
      <c r="U17" s="1712"/>
      <c r="V17" s="1712">
        <f>V14+V15-U13-U12</f>
        <v>0</v>
      </c>
      <c r="W17" s="1712"/>
      <c r="X17" s="1712"/>
      <c r="Y17" s="1712">
        <f>Y14+Y15-X13-X12</f>
        <v>0</v>
      </c>
      <c r="Z17" s="1712"/>
      <c r="AA17" s="1712"/>
      <c r="AB17" s="1712">
        <f>AB14+AB15-AA13-AA12</f>
        <v>0</v>
      </c>
      <c r="AC17" s="1712"/>
      <c r="AD17" s="1712"/>
      <c r="AE17" s="1712">
        <f>AE14+AE15-AD13-AD12</f>
        <v>0</v>
      </c>
      <c r="AF17" s="1712"/>
      <c r="AG17" s="1712"/>
      <c r="AH17" s="1712">
        <f>AH14+AH15-AG13-AG12</f>
        <v>0</v>
      </c>
      <c r="AI17" s="1712"/>
      <c r="AJ17" s="1712"/>
      <c r="AK17" s="1712">
        <f>AK14+AK15-AJ13-AJ12</f>
        <v>0</v>
      </c>
      <c r="AL17" s="1712"/>
      <c r="AM17" s="1712"/>
      <c r="AN17" s="1712">
        <f>AN14+AN15-AM13-AM12</f>
        <v>0</v>
      </c>
      <c r="AO17" s="1712"/>
      <c r="AP17" s="1712"/>
      <c r="AQ17" s="1712">
        <f>AQ14+AQ15-AP13-AP12</f>
        <v>0</v>
      </c>
      <c r="AR17" s="1712"/>
      <c r="AS17" s="1712"/>
      <c r="AT17" s="1712">
        <f>AT14+AT15-AS13-AS12</f>
        <v>0</v>
      </c>
      <c r="AU17" s="1712"/>
      <c r="AV17" s="1712"/>
      <c r="AW17" s="1712">
        <f>AW14+AW15-AV13-AV12</f>
        <v>0</v>
      </c>
      <c r="AX17" s="1712"/>
      <c r="AY17" s="1712"/>
      <c r="AZ17" s="1712">
        <f>AZ14+AZ15-AY13-AY12</f>
        <v>0</v>
      </c>
      <c r="BA17" s="1712"/>
      <c r="BB17" s="1712"/>
      <c r="BC17" s="1712">
        <f>BC14+BC15-BB13-BB12</f>
        <v>0</v>
      </c>
      <c r="BD17" s="1712"/>
      <c r="BE17" s="1712"/>
      <c r="BF17" s="1712"/>
    </row>
    <row r="18" spans="2:58" ht="18" customHeight="1">
      <c r="B18" s="738" t="str">
        <f>'M1'!B18</f>
        <v>Rayonnement solaire global Sud: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2" t="str">
        <f>B63</f>
        <v>Taux d'utilisation des apports:</v>
      </c>
      <c r="T18" s="1713" t="s">
        <v>1125</v>
      </c>
      <c r="U18" s="1714">
        <f>C63</f>
        <v>0</v>
      </c>
      <c r="V18" s="1714"/>
      <c r="W18" s="1714"/>
      <c r="X18" s="1714">
        <f>D63</f>
        <v>0</v>
      </c>
      <c r="Y18" s="1714"/>
      <c r="Z18" s="1714"/>
      <c r="AA18" s="1714">
        <f>E63</f>
        <v>0</v>
      </c>
      <c r="AB18" s="1714"/>
      <c r="AC18" s="1714"/>
      <c r="AD18" s="1714">
        <f>F63</f>
        <v>0</v>
      </c>
      <c r="AE18" s="1714"/>
      <c r="AF18" s="1714"/>
      <c r="AG18" s="1714">
        <f>G63</f>
        <v>0</v>
      </c>
      <c r="AH18" s="1714"/>
      <c r="AI18" s="1714"/>
      <c r="AJ18" s="1714">
        <f>H63</f>
        <v>0</v>
      </c>
      <c r="AK18" s="1714"/>
      <c r="AL18" s="1714"/>
      <c r="AM18" s="1714">
        <f>I63</f>
        <v>0</v>
      </c>
      <c r="AN18" s="1714"/>
      <c r="AO18" s="1714"/>
      <c r="AP18" s="1714">
        <f>J63</f>
        <v>0</v>
      </c>
      <c r="AQ18" s="1714"/>
      <c r="AR18" s="1714"/>
      <c r="AS18" s="1714">
        <f>K63</f>
        <v>0</v>
      </c>
      <c r="AT18" s="1714"/>
      <c r="AU18" s="1714"/>
      <c r="AV18" s="1714">
        <f>L63</f>
        <v>0</v>
      </c>
      <c r="AW18" s="1714"/>
      <c r="AX18" s="1714"/>
      <c r="AY18" s="1714">
        <f>M63</f>
        <v>0</v>
      </c>
      <c r="AZ18" s="1714"/>
      <c r="BA18" s="1714"/>
      <c r="BB18" s="1714">
        <f>N63</f>
        <v>0</v>
      </c>
      <c r="BC18" s="1714"/>
      <c r="BD18" s="1714"/>
      <c r="BE18" s="1714">
        <f>O63</f>
        <v>0</v>
      </c>
      <c r="BF18" s="1712"/>
    </row>
    <row r="19" spans="2:58" ht="18" customHeight="1">
      <c r="B19" s="738" t="str">
        <f>'M1'!B19</f>
        <v>Rayonnement solaire global Est: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'M1'!B20</f>
        <v>Rayonnement solaire global Ouest: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'M1'!B21</f>
        <v>Rayonnement solaire global Nord:</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Déperditions par transmission</v>
      </c>
      <c r="C23" s="734"/>
      <c r="D23" s="742" t="s">
        <v>350</v>
      </c>
      <c r="E23" s="734"/>
      <c r="F23" s="734"/>
      <c r="G23" s="734"/>
      <c r="H23" s="734"/>
      <c r="I23" s="734"/>
      <c r="J23" s="734"/>
      <c r="K23" s="734"/>
      <c r="L23" s="734"/>
      <c r="M23" s="734"/>
      <c r="N23" s="736"/>
      <c r="O23" s="741"/>
    </row>
    <row r="24" spans="2:58" ht="18" customHeight="1">
      <c r="B24" s="738" t="str">
        <f>'M1'!B24</f>
        <v>Toit exposé à l'air extérieur:</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38" si="1">SUM(C24:N24)</f>
        <v>0</v>
      </c>
      <c r="P24" s="707" t="s">
        <v>250</v>
      </c>
      <c r="Q24" s="707" t="s">
        <v>350</v>
      </c>
    </row>
    <row r="25" spans="2:58" ht="18" customHeight="1">
      <c r="B25" s="738" t="str">
        <f>'M1'!B25</f>
        <v>Plafond contre des loc. non chauffés:</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c r="Q25" s="707" t="s">
        <v>350</v>
      </c>
    </row>
    <row r="26" spans="2:58" ht="18" customHeight="1">
      <c r="B26" s="738" t="str">
        <f>'M1'!B26</f>
        <v>Plafond contre des locaux chauffés:</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Mur exposé à l'air extérieur:</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c r="Q27" s="707" t="s">
        <v>350</v>
      </c>
    </row>
    <row r="28" spans="2:58" ht="18" customHeight="1">
      <c r="B28" s="738" t="str">
        <f>'M1'!B28</f>
        <v>Mur contre des locaux non chauffés:</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c r="Q28" s="707" t="s">
        <v>350</v>
      </c>
    </row>
    <row r="29" spans="2:58" ht="18" customHeight="1">
      <c r="B29" s="738" t="str">
        <f>'M1'!B29</f>
        <v>Mur contre le terrain:</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c r="Q29" s="707" t="s">
        <v>350</v>
      </c>
    </row>
    <row r="30" spans="2:58" ht="18" customHeight="1">
      <c r="B30" s="738" t="str">
        <f>'M1'!B30</f>
        <v>Mur contre des locaux chauffés:</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SUM(C30:N30)</f>
        <v>0</v>
      </c>
      <c r="P30" s="707" t="s">
        <v>250</v>
      </c>
    </row>
    <row r="31" spans="2:58" ht="18" customHeight="1">
      <c r="B31" s="738" t="str">
        <f>'M1'!B31</f>
        <v>Plancher exposé à l'air extérieur:</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c r="Q31" s="707" t="s">
        <v>350</v>
      </c>
    </row>
    <row r="32" spans="2:58" ht="18" customHeight="1">
      <c r="B32" s="738" t="str">
        <f>'M1'!B32</f>
        <v>Plancher contre des loc. non chauffés:</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c r="Q32" s="707" t="s">
        <v>350</v>
      </c>
    </row>
    <row r="33" spans="2:20" ht="18" customHeight="1">
      <c r="B33" s="738" t="str">
        <f>'M1'!B33</f>
        <v>Plancher contre le terrain:</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c r="Q33" s="707" t="s">
        <v>350</v>
      </c>
    </row>
    <row r="34" spans="2:20" ht="18" customHeight="1">
      <c r="B34" s="738" t="str">
        <f>'M1'!B34</f>
        <v>Plancher contre des locaux chauffés:</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20" ht="18" customHeight="1">
      <c r="B35" s="738" t="str">
        <f>'M1'!B35</f>
        <v>Fenêtre zénithale:</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c r="Q35" s="707" t="s">
        <v>350</v>
      </c>
    </row>
    <row r="36" spans="2:20" ht="18" customHeight="1">
      <c r="B36" s="738" t="str">
        <f>'M1'!B36</f>
        <v>Fenêtre orientée au sud:</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c r="Q36" s="707" t="s">
        <v>350</v>
      </c>
    </row>
    <row r="37" spans="2:20" ht="18" customHeight="1">
      <c r="B37" s="738" t="str">
        <f>'M1'!B37</f>
        <v>Fenêtre orientée à l'est:</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c r="Q37" s="707" t="s">
        <v>350</v>
      </c>
    </row>
    <row r="38" spans="2:20" ht="18" customHeight="1">
      <c r="B38" s="738" t="str">
        <f>'M1'!B38</f>
        <v>Fenêtre orientée à l'ouest:</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c r="Q38" s="707" t="s">
        <v>350</v>
      </c>
    </row>
    <row r="39" spans="2:20" ht="18" customHeight="1">
      <c r="B39" s="738" t="str">
        <f>'M1'!B39</f>
        <v>Fenêtre orientée au nord:</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SUM(C39:N39)</f>
        <v>0</v>
      </c>
      <c r="P39" s="707" t="s">
        <v>250</v>
      </c>
      <c r="Q39" s="707" t="s">
        <v>350</v>
      </c>
    </row>
    <row r="40" spans="2:20" ht="18" customHeight="1">
      <c r="B40" s="738" t="str">
        <f>'M1'!B40</f>
        <v>Ponts thermiques:</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SUM(C40:N40)</f>
        <v>0</v>
      </c>
      <c r="P40" s="707" t="s">
        <v>250</v>
      </c>
      <c r="Q40" s="707" t="s">
        <v>350</v>
      </c>
    </row>
    <row r="41" spans="2:20"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20" ht="18" customHeight="1">
      <c r="B42" s="738" t="str">
        <f>'M1'!B42</f>
        <v>Déperditions par transmission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20" ht="33" customHeight="1">
      <c r="B43" s="687" t="str">
        <f>'M1'!B43</f>
        <v>G: Déperditions par renouvellement d'air:</v>
      </c>
      <c r="C43" s="711"/>
      <c r="D43" s="743"/>
      <c r="E43" s="711"/>
      <c r="F43" s="711"/>
      <c r="G43" s="711"/>
      <c r="H43" s="711"/>
      <c r="I43" s="711"/>
      <c r="J43" s="711"/>
      <c r="K43" s="711"/>
      <c r="L43" s="711"/>
      <c r="M43" s="711"/>
      <c r="N43" s="747"/>
      <c r="O43" s="748"/>
    </row>
    <row r="44" spans="2:20" ht="18" customHeight="1">
      <c r="B44" s="738" t="str">
        <f>'M1'!B44</f>
        <v>Dép. par renouvellement de l'air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c r="Q44" s="707" t="s">
        <v>350</v>
      </c>
      <c r="S44" s="741"/>
      <c r="T44" s="749"/>
    </row>
    <row r="45" spans="2:20" ht="18" customHeight="1">
      <c r="B45" s="770" t="str">
        <f>'M2'!B45</f>
        <v/>
      </c>
      <c r="C45" s="780" t="str">
        <f>IF('M2'!C45&gt;0,'M2'!C45,"")</f>
        <v/>
      </c>
      <c r="D45" s="780" t="str">
        <f>IF('M2'!D45&gt;0,'M2'!D45,"")</f>
        <v/>
      </c>
      <c r="E45" s="780" t="str">
        <f>IF('M2'!E45&gt;0,'M2'!E45,"")</f>
        <v/>
      </c>
      <c r="F45" s="780" t="str">
        <f>IF('M2'!F45&gt;0,'M2'!F45,"")</f>
        <v/>
      </c>
      <c r="G45" s="780" t="str">
        <f>IF('M2'!G45&gt;0,'M2'!G45,"")</f>
        <v/>
      </c>
      <c r="H45" s="780" t="str">
        <f>IF('M2'!H45&gt;0,'M2'!H45,"")</f>
        <v/>
      </c>
      <c r="I45" s="780" t="str">
        <f>IF('M2'!I45&gt;0,'M2'!I45,"")</f>
        <v/>
      </c>
      <c r="J45" s="780" t="str">
        <f>IF('M2'!J45&gt;0,'M2'!J45,"")</f>
        <v/>
      </c>
      <c r="K45" s="780" t="str">
        <f>IF('M2'!K45&gt;0,'M2'!K45,"")</f>
        <v/>
      </c>
      <c r="L45" s="780" t="str">
        <f>IF('M2'!L45&gt;0,'M2'!L45,"")</f>
        <v/>
      </c>
      <c r="M45" s="780" t="str">
        <f>IF('M2'!M45&gt;0,'M2'!M45,"")</f>
        <v/>
      </c>
      <c r="N45" s="1724" t="str">
        <f>IF('M2'!N45&gt;0,'M2'!N45,"")</f>
        <v/>
      </c>
      <c r="O45" s="781" t="str">
        <f>'M2'!O45</f>
        <v/>
      </c>
      <c r="P45" s="707" t="str">
        <f>'M2'!P45</f>
        <v/>
      </c>
    </row>
    <row r="46" spans="2:20" ht="18" customHeight="1">
      <c r="B46" s="742" t="str">
        <f>'M1'!B46</f>
        <v>H: Déperditions totales:</v>
      </c>
      <c r="D46" s="711"/>
      <c r="N46" s="740"/>
      <c r="O46" s="748"/>
    </row>
    <row r="47" spans="2:20" ht="18" customHeight="1">
      <c r="B47" s="738" t="str">
        <f>'M1'!B47</f>
        <v>Déperditions totales Qt:</v>
      </c>
      <c r="C47" s="743">
        <f>C42+C44</f>
        <v>0</v>
      </c>
      <c r="D47" s="743">
        <f t="shared" ref="D47:N47" si="10">D42+D44</f>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c r="S47" s="753"/>
      <c r="T47" s="749"/>
    </row>
    <row r="48" spans="2:20" ht="28.15" customHeight="1">
      <c r="B48" s="754" t="str">
        <f>'M1'!B48</f>
        <v>I: Apports de chaleur:</v>
      </c>
      <c r="C48" s="743"/>
      <c r="D48" s="745" t="s">
        <v>506</v>
      </c>
      <c r="E48" s="734"/>
      <c r="F48" s="734"/>
      <c r="G48" s="734"/>
      <c r="H48" s="734"/>
      <c r="I48" s="734"/>
      <c r="J48" s="734"/>
      <c r="K48" s="734"/>
      <c r="L48" s="734"/>
      <c r="M48" s="734"/>
      <c r="N48" s="736"/>
      <c r="O48" s="741"/>
    </row>
    <row r="49" spans="2:20" ht="18" customHeight="1">
      <c r="B49" s="738" t="str">
        <f>'M1'!B49</f>
        <v>Apports solaires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4">
        <f>SUM(C49:N49)</f>
        <v>0</v>
      </c>
      <c r="P49" s="707" t="s">
        <v>250</v>
      </c>
    </row>
    <row r="50" spans="2:20" ht="18" customHeight="1">
      <c r="B50" s="738" t="str">
        <f>'M1'!B50</f>
        <v>interne des installations élec. QiE:</v>
      </c>
      <c r="C50" s="745">
        <f>IF(EBF&gt;0,QE*fE*C14*EBF0/(EBF*365),0)</f>
        <v>0</v>
      </c>
      <c r="D50" s="745">
        <f t="shared" ref="D50:N50" si="11">IF(EBF&gt;0,QE*fE*D14*EBF0/(EBF*365),0)</f>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4">
        <f>SUM(C50:N50)</f>
        <v>0</v>
      </c>
      <c r="P50" s="707" t="s">
        <v>250</v>
      </c>
      <c r="Q50" s="755" t="s">
        <v>350</v>
      </c>
      <c r="R50" s="755"/>
    </row>
    <row r="51" spans="2:20" ht="18" customHeight="1">
      <c r="B51" s="738" t="str">
        <f>'M1'!B51</f>
        <v>interne dus aux personnes QiP:</v>
      </c>
      <c r="C51" s="745">
        <f>IF(EBF&gt;0,QP*tP*C14*EBF0*0.0036/(AP*EBF),0)</f>
        <v>0</v>
      </c>
      <c r="D51" s="745">
        <f t="shared" ref="D51:N51" si="12">IF(EBF&gt;0,QP*tP*D14*EBF0*0.0036/(AP*EBF),0)</f>
        <v>0</v>
      </c>
      <c r="E51" s="745">
        <f t="shared" si="12"/>
        <v>0</v>
      </c>
      <c r="F51" s="745">
        <f t="shared" si="12"/>
        <v>0</v>
      </c>
      <c r="G51" s="745">
        <f t="shared" si="12"/>
        <v>0</v>
      </c>
      <c r="H51" s="745">
        <f t="shared" si="12"/>
        <v>0</v>
      </c>
      <c r="I51" s="745">
        <f t="shared" si="12"/>
        <v>0</v>
      </c>
      <c r="J51" s="745">
        <f t="shared" si="12"/>
        <v>0</v>
      </c>
      <c r="K51" s="745">
        <f t="shared" si="12"/>
        <v>0</v>
      </c>
      <c r="L51" s="745">
        <f t="shared" si="12"/>
        <v>0</v>
      </c>
      <c r="M51" s="745">
        <f t="shared" si="12"/>
        <v>0</v>
      </c>
      <c r="N51" s="746">
        <f t="shared" si="12"/>
        <v>0</v>
      </c>
      <c r="O51" s="1924">
        <f>SUM(C51:N51)</f>
        <v>0</v>
      </c>
      <c r="P51" s="707" t="s">
        <v>250</v>
      </c>
      <c r="Q51" s="755" t="s">
        <v>350</v>
      </c>
      <c r="R51" s="755"/>
    </row>
    <row r="52" spans="2:20" ht="18" customHeight="1">
      <c r="B52" s="738" t="str">
        <f>'M1'!B52</f>
        <v>Apports de chaleur internes Qi:</v>
      </c>
      <c r="C52" s="745">
        <f>SUM(C50:C51)</f>
        <v>0</v>
      </c>
      <c r="D52" s="745">
        <f t="shared" ref="D52:N52" si="13">SUM(D50:D51)</f>
        <v>0</v>
      </c>
      <c r="E52" s="745">
        <f t="shared" si="13"/>
        <v>0</v>
      </c>
      <c r="F52" s="745">
        <f t="shared" si="13"/>
        <v>0</v>
      </c>
      <c r="G52" s="745">
        <f t="shared" si="13"/>
        <v>0</v>
      </c>
      <c r="H52" s="745">
        <f t="shared" si="13"/>
        <v>0</v>
      </c>
      <c r="I52" s="745">
        <f t="shared" si="13"/>
        <v>0</v>
      </c>
      <c r="J52" s="745">
        <f t="shared" si="13"/>
        <v>0</v>
      </c>
      <c r="K52" s="745">
        <f t="shared" si="13"/>
        <v>0</v>
      </c>
      <c r="L52" s="745">
        <f t="shared" si="13"/>
        <v>0</v>
      </c>
      <c r="M52" s="745">
        <f t="shared" si="13"/>
        <v>0</v>
      </c>
      <c r="N52" s="746">
        <f t="shared" si="13"/>
        <v>0</v>
      </c>
      <c r="O52" s="1925">
        <f>SUM(C52:N52)</f>
        <v>0</v>
      </c>
      <c r="P52" s="707" t="s">
        <v>250</v>
      </c>
      <c r="Q52" s="756"/>
      <c r="R52" s="756"/>
    </row>
    <row r="53" spans="2:20" s="757" customFormat="1" ht="18" customHeight="1">
      <c r="B53" s="738" t="str">
        <f>'M1'!B53</f>
        <v>Apports solaires zénithaux:</v>
      </c>
      <c r="C53" s="745">
        <f>IF(EBF&gt;0,IsH*AwH*gh*0.9*FFh*FSh/EBF,0)</f>
        <v>0</v>
      </c>
      <c r="D53" s="745">
        <f t="shared" ref="D53:N53" si="14">IF(EBF&gt;0,D17*AwH*gh*0.9*FFh*FSh/EBF,0)</f>
        <v>0</v>
      </c>
      <c r="E53" s="745">
        <f t="shared" si="14"/>
        <v>0</v>
      </c>
      <c r="F53" s="745">
        <f t="shared" si="14"/>
        <v>0</v>
      </c>
      <c r="G53" s="745">
        <f t="shared" si="14"/>
        <v>0</v>
      </c>
      <c r="H53" s="745">
        <f t="shared" si="14"/>
        <v>0</v>
      </c>
      <c r="I53" s="745">
        <f t="shared" si="14"/>
        <v>0</v>
      </c>
      <c r="J53" s="745">
        <f t="shared" si="14"/>
        <v>0</v>
      </c>
      <c r="K53" s="745">
        <f t="shared" si="14"/>
        <v>0</v>
      </c>
      <c r="L53" s="745">
        <f t="shared" si="14"/>
        <v>0</v>
      </c>
      <c r="M53" s="745">
        <f t="shared" si="14"/>
        <v>0</v>
      </c>
      <c r="N53" s="746">
        <f t="shared" si="14"/>
        <v>0</v>
      </c>
      <c r="O53" s="1924">
        <f t="shared" ref="O53:O59" si="15">SUM(C53:N53)</f>
        <v>0</v>
      </c>
      <c r="P53" s="707" t="s">
        <v>250</v>
      </c>
      <c r="Q53" s="755" t="s">
        <v>350</v>
      </c>
      <c r="R53" s="755"/>
    </row>
    <row r="54" spans="2:20" ht="18" customHeight="1">
      <c r="B54" s="738" t="str">
        <f>'M1'!B54</f>
        <v>Apports solaires sud: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2">
        <f>'M1'!N54</f>
        <v>0</v>
      </c>
      <c r="O54" s="1924">
        <f t="shared" si="15"/>
        <v>0</v>
      </c>
      <c r="P54" s="707" t="s">
        <v>250</v>
      </c>
      <c r="Q54" s="755" t="s">
        <v>350</v>
      </c>
      <c r="R54" s="755"/>
    </row>
    <row r="55" spans="2:20" ht="18" customHeight="1">
      <c r="B55" s="738" t="str">
        <f>'M1'!B55</f>
        <v>Apports solaires est: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2">
        <f>'M1'!N55</f>
        <v>0</v>
      </c>
      <c r="O55" s="1924">
        <f t="shared" si="15"/>
        <v>0</v>
      </c>
      <c r="P55" s="707" t="s">
        <v>250</v>
      </c>
      <c r="Q55" s="755"/>
      <c r="R55" s="755"/>
    </row>
    <row r="56" spans="2:20" ht="18" customHeight="1">
      <c r="B56" s="738" t="str">
        <f>'M1'!B56</f>
        <v>Apports solaires ouest: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2">
        <f>'M1'!N56</f>
        <v>0</v>
      </c>
      <c r="O56" s="1924">
        <f t="shared" si="15"/>
        <v>0</v>
      </c>
      <c r="P56" s="707" t="s">
        <v>250</v>
      </c>
      <c r="Q56" s="755"/>
      <c r="R56" s="755"/>
    </row>
    <row r="57" spans="2:20" ht="18" customHeight="1">
      <c r="B57" s="738" t="str">
        <f>'M1'!B57</f>
        <v>Apports solaires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2">
        <f>'M1'!N57</f>
        <v>0</v>
      </c>
      <c r="O57" s="1924">
        <f t="shared" si="15"/>
        <v>0</v>
      </c>
      <c r="P57" s="707" t="s">
        <v>250</v>
      </c>
      <c r="Q57" s="759"/>
      <c r="R57" s="759"/>
    </row>
    <row r="58" spans="2:20" ht="18" customHeight="1">
      <c r="B58" s="738" t="str">
        <f>'M1'!B58</f>
        <v>Apports solaires totaux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4">
        <f t="shared" si="15"/>
        <v>0</v>
      </c>
      <c r="P58" s="707" t="s">
        <v>250</v>
      </c>
      <c r="Q58" s="755"/>
      <c r="R58" s="755"/>
    </row>
    <row r="59" spans="2:20" ht="18" customHeight="1">
      <c r="B59" s="738" t="str">
        <f>'M1'!B59</f>
        <v>Apports totaux de chaleur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4">
        <f t="shared" si="15"/>
        <v>0</v>
      </c>
      <c r="P59" s="707" t="s">
        <v>250</v>
      </c>
      <c r="Q59" s="755"/>
      <c r="R59" s="755"/>
      <c r="S59" s="741"/>
    </row>
    <row r="60" spans="2:20" ht="18" customHeight="1">
      <c r="B60" s="738" t="str">
        <f>'M1'!B60</f>
        <v>Apports totaux / déperditions totales: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2:20" ht="18" customHeight="1">
      <c r="B61" s="738" t="str">
        <f>'M1'!B61</f>
        <v>Constante de temps du bâtiment:</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2:20" ht="18" customHeight="1">
      <c r="B62" s="738" t="str">
        <f>'M1'!B62</f>
        <v>Paramètre numérique a:</v>
      </c>
      <c r="C62" s="743">
        <f>a0+C61/tau0</f>
        <v>1</v>
      </c>
      <c r="D62" s="743">
        <f>a0+D61/tau0</f>
        <v>1</v>
      </c>
      <c r="E62" s="743">
        <f>a0+E61/tau0</f>
        <v>1</v>
      </c>
      <c r="F62" s="743">
        <f>a0+F61/tau0</f>
        <v>1</v>
      </c>
      <c r="G62" s="743">
        <f>a0+G61/tau0</f>
        <v>1</v>
      </c>
      <c r="H62" s="743">
        <f t="shared" ref="H62:N62" si="19">a0+H61/tau0</f>
        <v>1</v>
      </c>
      <c r="I62" s="743">
        <f t="shared" si="19"/>
        <v>1</v>
      </c>
      <c r="J62" s="743">
        <f t="shared" si="19"/>
        <v>1</v>
      </c>
      <c r="K62" s="743">
        <f t="shared" si="19"/>
        <v>1</v>
      </c>
      <c r="L62" s="743">
        <f t="shared" si="19"/>
        <v>1</v>
      </c>
      <c r="M62" s="743">
        <f t="shared" si="19"/>
        <v>1</v>
      </c>
      <c r="N62" s="744">
        <f t="shared" si="19"/>
        <v>1</v>
      </c>
      <c r="O62" s="755"/>
    </row>
    <row r="63" spans="2:20" ht="18" customHeight="1">
      <c r="B63" s="738" t="str">
        <f>'M1'!B63</f>
        <v>Taux d'utilisation des apports:</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c r="Q63" s="755"/>
      <c r="R63" s="755"/>
      <c r="T63" s="763"/>
    </row>
    <row r="64" spans="2:20" ht="18" customHeight="1">
      <c r="B64" s="738" t="str">
        <f>'M1'!B64</f>
        <v>Apports utiles de chaleur Qug:</v>
      </c>
      <c r="C64" s="743">
        <f>IF(C47=0,C47,C63*C59)</f>
        <v>0</v>
      </c>
      <c r="D64" s="743">
        <f>IF(D47=0,D47,D63*D59)</f>
        <v>0</v>
      </c>
      <c r="E64" s="743">
        <f>IF(E47=0,E47,E63*E59)</f>
        <v>0</v>
      </c>
      <c r="F64" s="743">
        <f>IF(F47=0,F47,F63*F59)</f>
        <v>0</v>
      </c>
      <c r="G64" s="743">
        <f>IF(G47=0,G47,G63*G59)</f>
        <v>0</v>
      </c>
      <c r="H64" s="743">
        <f t="shared" ref="H64:N64" si="21">IF(H47=0,H47,H63*H59)</f>
        <v>0</v>
      </c>
      <c r="I64" s="743">
        <f t="shared" si="21"/>
        <v>0</v>
      </c>
      <c r="J64" s="743">
        <f t="shared" si="21"/>
        <v>0</v>
      </c>
      <c r="K64" s="743">
        <f t="shared" si="21"/>
        <v>0</v>
      </c>
      <c r="L64" s="743">
        <f t="shared" si="21"/>
        <v>0</v>
      </c>
      <c r="M64" s="743">
        <f>IF(M47=0,M47,M63*M59)</f>
        <v>0</v>
      </c>
      <c r="N64" s="744">
        <f t="shared" si="21"/>
        <v>0</v>
      </c>
      <c r="O64" s="741">
        <f>SUM(C64:N64)</f>
        <v>0</v>
      </c>
      <c r="P64" s="707" t="s">
        <v>250</v>
      </c>
      <c r="Q64" s="755"/>
      <c r="R64" s="755"/>
    </row>
    <row r="65" spans="1:18" ht="18" customHeight="1">
      <c r="B65" s="738"/>
      <c r="C65" s="760"/>
      <c r="D65" s="745"/>
      <c r="E65" s="760"/>
      <c r="F65" s="760"/>
      <c r="G65" s="760"/>
      <c r="H65" s="760"/>
      <c r="I65" s="760"/>
      <c r="J65" s="760"/>
      <c r="K65" s="760"/>
      <c r="L65" s="760"/>
      <c r="M65" s="760"/>
      <c r="N65" s="761"/>
      <c r="O65" s="741"/>
      <c r="Q65" s="755"/>
      <c r="R65" s="755"/>
    </row>
    <row r="66" spans="1:18" ht="1.1499999999999999" customHeight="1">
      <c r="D66" s="760"/>
      <c r="N66" s="740"/>
      <c r="O66" s="764"/>
    </row>
    <row r="67" spans="1:18" ht="18" customHeight="1">
      <c r="B67" s="729" t="str">
        <f>'M1'!B67</f>
        <v>K: Besoins de chaleur pour le chauffage:</v>
      </c>
      <c r="D67" s="760"/>
      <c r="N67" s="740"/>
      <c r="O67" s="764"/>
    </row>
    <row r="68" spans="1:18" ht="18" customHeight="1" thickBot="1">
      <c r="B68" s="738" t="str">
        <f>'M1'!B68</f>
        <v>Besoins de chaleur  Qh:</v>
      </c>
      <c r="C68" s="743">
        <f t="shared" ref="C68:N68" si="22">C47-C64</f>
        <v>0</v>
      </c>
      <c r="D68" s="743">
        <f t="shared" si="22"/>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4">
        <f t="shared" si="22"/>
        <v>0</v>
      </c>
      <c r="O68" s="765">
        <f>SUM(C68:N68)</f>
        <v>0</v>
      </c>
      <c r="P68" s="687" t="s">
        <v>251</v>
      </c>
    </row>
    <row r="69" spans="1:18" ht="18" customHeight="1" thickBot="1">
      <c r="B69" s="738" t="str">
        <f>Uebersetzung!D650</f>
        <v>Besoins de chaleur  Qh,korr:</v>
      </c>
      <c r="C69" s="743">
        <f>IF(Projekt!$X$71&gt;0,(C47-C64)/Projekt!$X$71*EBF,0)</f>
        <v>0</v>
      </c>
      <c r="D69" s="743">
        <f>IF(Projekt!$X$71&gt;0,(D47-D64)/Projekt!$X$71*EBF,0)</f>
        <v>0</v>
      </c>
      <c r="E69" s="743">
        <f>IF(Projekt!$X$71&gt;0,(E47-E64)/Projekt!$X$71*EBF,0)</f>
        <v>0</v>
      </c>
      <c r="F69" s="743">
        <f>IF(Projekt!$X$71&gt;0,(F47-F64)/Projekt!$X$71*EBF,0)</f>
        <v>0</v>
      </c>
      <c r="G69" s="743">
        <f>IF(Projekt!$X$71&gt;0,(G47-G64)/Projekt!$X$71*EBF,0)</f>
        <v>0</v>
      </c>
      <c r="H69" s="743">
        <f>IF(Projekt!$X$71&gt;0,(H47-H64)/Projekt!$X$71*EBF,0)</f>
        <v>0</v>
      </c>
      <c r="I69" s="743">
        <f>IF(Projekt!$X$71&gt;0,(I47-I64)/Projekt!$X$71*EBF,0)</f>
        <v>0</v>
      </c>
      <c r="J69" s="743">
        <f>IF(Projekt!$X$71&gt;0,(J47-J64)/Projekt!$X$71*EBF,0)</f>
        <v>0</v>
      </c>
      <c r="K69" s="743">
        <f>IF(Projekt!$X$71&gt;0,(K47-K64)/Projekt!$X$71*EBF,0)</f>
        <v>0</v>
      </c>
      <c r="L69" s="743">
        <f>IF(Projekt!$X$71&gt;0,(L47-L64)/Projekt!$X$71*EBF,0)</f>
        <v>0</v>
      </c>
      <c r="M69" s="743">
        <f>IF(Projekt!$X$71&gt;0,(M47-M64)/Projekt!$X$71*EBF,0)</f>
        <v>0</v>
      </c>
      <c r="N69" s="744">
        <f>IF(Projekt!$X$71&gt;0,(N47-N64)/Projekt!$X$71*EBF,0)</f>
        <v>0</v>
      </c>
      <c r="O69" s="765">
        <f>SUM(C69:N69)</f>
        <v>0</v>
      </c>
      <c r="P69" s="687" t="s">
        <v>804</v>
      </c>
      <c r="R69" s="783" t="b">
        <f>(Projekt!X71=EBF)</f>
        <v>1</v>
      </c>
    </row>
    <row r="70" spans="1:18">
      <c r="A70" s="783"/>
      <c r="B70" s="783"/>
      <c r="C70" s="783"/>
      <c r="D70" s="783"/>
      <c r="E70" s="783"/>
      <c r="F70" s="783"/>
      <c r="G70" s="783"/>
      <c r="H70" s="783"/>
      <c r="I70" s="783"/>
      <c r="J70" s="783"/>
      <c r="K70" s="783"/>
      <c r="L70" s="783"/>
      <c r="M70" s="783"/>
      <c r="N70" s="784"/>
      <c r="O70" s="785"/>
      <c r="P70" s="783"/>
      <c r="Q70" s="783"/>
      <c r="R70" s="783"/>
    </row>
    <row r="71" spans="1:18">
      <c r="A71" s="783"/>
      <c r="B71" s="786" t="s">
        <v>341</v>
      </c>
      <c r="C71" s="787">
        <f t="shared" ref="C71:N71" si="23">C42+C44</f>
        <v>0</v>
      </c>
      <c r="D71" s="787">
        <f t="shared" si="23"/>
        <v>0</v>
      </c>
      <c r="E71" s="787">
        <f t="shared" si="23"/>
        <v>0</v>
      </c>
      <c r="F71" s="787">
        <f t="shared" si="23"/>
        <v>0</v>
      </c>
      <c r="G71" s="787">
        <f t="shared" si="23"/>
        <v>0</v>
      </c>
      <c r="H71" s="787">
        <f t="shared" si="23"/>
        <v>0</v>
      </c>
      <c r="I71" s="787">
        <f t="shared" si="23"/>
        <v>0</v>
      </c>
      <c r="J71" s="787">
        <f t="shared" si="23"/>
        <v>0</v>
      </c>
      <c r="K71" s="787">
        <f t="shared" si="23"/>
        <v>0</v>
      </c>
      <c r="L71" s="787">
        <f t="shared" si="23"/>
        <v>0</v>
      </c>
      <c r="M71" s="787">
        <f t="shared" si="23"/>
        <v>0</v>
      </c>
      <c r="N71" s="787">
        <f t="shared" si="23"/>
        <v>0</v>
      </c>
      <c r="O71" s="788">
        <f>SUM(C71:N71)</f>
        <v>0</v>
      </c>
      <c r="P71" s="783" t="s">
        <v>804</v>
      </c>
      <c r="Q71" s="783"/>
      <c r="R71" s="783"/>
    </row>
    <row r="72" spans="1:18">
      <c r="A72" s="783"/>
      <c r="B72" s="786" t="s">
        <v>1845</v>
      </c>
      <c r="C72" s="789">
        <f>IF(C71&gt;0,C59/C71,0)</f>
        <v>0</v>
      </c>
      <c r="D72" s="789">
        <f t="shared" ref="D72:N72" si="24">IF(D71&gt;0,D59/D71,0)</f>
        <v>0</v>
      </c>
      <c r="E72" s="789">
        <f t="shared" si="24"/>
        <v>0</v>
      </c>
      <c r="F72" s="789">
        <f t="shared" si="24"/>
        <v>0</v>
      </c>
      <c r="G72" s="789">
        <f t="shared" si="24"/>
        <v>0</v>
      </c>
      <c r="H72" s="789">
        <f t="shared" si="24"/>
        <v>0</v>
      </c>
      <c r="I72" s="789">
        <f t="shared" si="24"/>
        <v>0</v>
      </c>
      <c r="J72" s="789">
        <f t="shared" si="24"/>
        <v>0</v>
      </c>
      <c r="K72" s="789">
        <f t="shared" si="24"/>
        <v>0</v>
      </c>
      <c r="L72" s="789">
        <f t="shared" si="24"/>
        <v>0</v>
      </c>
      <c r="M72" s="789">
        <f t="shared" si="24"/>
        <v>0</v>
      </c>
      <c r="N72" s="789">
        <f t="shared" si="24"/>
        <v>0</v>
      </c>
      <c r="O72" s="788"/>
      <c r="P72" s="783"/>
      <c r="Q72" s="783"/>
      <c r="R72" s="783"/>
    </row>
    <row r="73" spans="1:18">
      <c r="A73" s="783"/>
      <c r="B73" s="786" t="s">
        <v>1846</v>
      </c>
      <c r="C73" s="789">
        <f>1.21/(1-C72*C72*(0.06*C72*C72-0.18*C72-0.08))-0.21</f>
        <v>1</v>
      </c>
      <c r="D73" s="789">
        <f>1.21/(1-D72*D72*(0.06*D72*D72-0.18*D72-0.08))-0.21</f>
        <v>1</v>
      </c>
      <c r="E73" s="789">
        <f t="shared" ref="E73:N73" si="25">1.21/(1-E72*E72*(0.06*E72*E72-0.18*E72-0.08))-0.21</f>
        <v>1</v>
      </c>
      <c r="F73" s="789">
        <f t="shared" si="25"/>
        <v>1</v>
      </c>
      <c r="G73" s="789">
        <f t="shared" si="25"/>
        <v>1</v>
      </c>
      <c r="H73" s="789">
        <f t="shared" si="25"/>
        <v>1</v>
      </c>
      <c r="I73" s="789">
        <f t="shared" si="25"/>
        <v>1</v>
      </c>
      <c r="J73" s="789">
        <f t="shared" si="25"/>
        <v>1</v>
      </c>
      <c r="K73" s="789">
        <f t="shared" si="25"/>
        <v>1</v>
      </c>
      <c r="L73" s="789">
        <f t="shared" si="25"/>
        <v>1</v>
      </c>
      <c r="M73" s="789">
        <f t="shared" si="25"/>
        <v>1</v>
      </c>
      <c r="N73" s="789">
        <f t="shared" si="25"/>
        <v>1</v>
      </c>
      <c r="O73" s="788"/>
      <c r="P73" s="783"/>
      <c r="Q73" s="783"/>
      <c r="R73" s="783"/>
    </row>
    <row r="74" spans="1:18">
      <c r="A74" s="783"/>
      <c r="B74" s="786" t="s">
        <v>1847</v>
      </c>
      <c r="C74" s="787">
        <f>C73*C59</f>
        <v>0</v>
      </c>
      <c r="D74" s="787">
        <f t="shared" ref="D74:N74" si="26">D73*D59</f>
        <v>0</v>
      </c>
      <c r="E74" s="787">
        <f t="shared" si="26"/>
        <v>0</v>
      </c>
      <c r="F74" s="787">
        <f t="shared" si="26"/>
        <v>0</v>
      </c>
      <c r="G74" s="787">
        <f t="shared" si="26"/>
        <v>0</v>
      </c>
      <c r="H74" s="787">
        <f t="shared" si="26"/>
        <v>0</v>
      </c>
      <c r="I74" s="787">
        <f t="shared" si="26"/>
        <v>0</v>
      </c>
      <c r="J74" s="787">
        <f t="shared" si="26"/>
        <v>0</v>
      </c>
      <c r="K74" s="787">
        <f t="shared" si="26"/>
        <v>0</v>
      </c>
      <c r="L74" s="787">
        <f t="shared" si="26"/>
        <v>0</v>
      </c>
      <c r="M74" s="787">
        <f t="shared" si="26"/>
        <v>0</v>
      </c>
      <c r="N74" s="787">
        <f t="shared" si="26"/>
        <v>0</v>
      </c>
      <c r="O74" s="788">
        <f>SUM(C74:N74)</f>
        <v>0</v>
      </c>
      <c r="P74" s="783" t="s">
        <v>804</v>
      </c>
      <c r="Q74" s="783"/>
      <c r="R74" s="783"/>
    </row>
    <row r="75" spans="1:18">
      <c r="A75" s="783"/>
      <c r="B75" s="783"/>
      <c r="C75" s="783"/>
      <c r="D75" s="790"/>
      <c r="E75" s="783"/>
      <c r="F75" s="783" t="s">
        <v>350</v>
      </c>
      <c r="G75" s="783"/>
      <c r="H75" s="783"/>
      <c r="I75" s="783"/>
      <c r="J75" s="783"/>
      <c r="K75" s="783"/>
      <c r="L75" s="783"/>
      <c r="M75" s="783"/>
      <c r="N75" s="783"/>
      <c r="O75" s="783"/>
      <c r="P75" s="783"/>
      <c r="Q75" s="783"/>
      <c r="R75" s="783"/>
    </row>
    <row r="76" spans="1:18" s="774" customFormat="1">
      <c r="A76" s="783"/>
      <c r="B76" s="786" t="s">
        <v>342</v>
      </c>
      <c r="C76" s="790" t="e">
        <f>BBGF</f>
        <v>#NAME?</v>
      </c>
      <c r="D76" s="783" t="s">
        <v>1841</v>
      </c>
      <c r="E76" s="783"/>
      <c r="F76" s="783"/>
      <c r="G76" s="783"/>
      <c r="H76" s="783"/>
      <c r="I76" s="786" t="s">
        <v>2323</v>
      </c>
      <c r="J76" s="790" t="e">
        <f>Ti</f>
        <v>#NAME?</v>
      </c>
      <c r="K76" s="783" t="s">
        <v>2324</v>
      </c>
      <c r="L76" s="783"/>
      <c r="M76" s="783"/>
      <c r="N76" s="783"/>
      <c r="O76" s="791"/>
      <c r="P76" s="783"/>
      <c r="Q76" s="783"/>
      <c r="R76" s="783"/>
    </row>
    <row r="77" spans="1:18" s="774" customFormat="1">
      <c r="A77" s="783"/>
      <c r="B77" s="786" t="s">
        <v>1842</v>
      </c>
      <c r="C77" s="790">
        <f>EBF</f>
        <v>0</v>
      </c>
      <c r="D77" s="783" t="s">
        <v>1841</v>
      </c>
      <c r="E77" s="783"/>
      <c r="F77" s="783"/>
      <c r="G77" s="783"/>
      <c r="H77" s="783"/>
      <c r="I77" s="786" t="s">
        <v>792</v>
      </c>
      <c r="J77" s="790" t="e">
        <f>Td</f>
        <v>#NAME?</v>
      </c>
      <c r="K77" s="783" t="s">
        <v>2324</v>
      </c>
      <c r="L77" s="783"/>
      <c r="M77" s="783"/>
      <c r="N77" s="783"/>
      <c r="O77" s="791"/>
      <c r="P77" s="783"/>
      <c r="Q77" s="783"/>
      <c r="R77" s="783"/>
    </row>
    <row r="78" spans="1:18" s="774" customFormat="1">
      <c r="A78" s="783"/>
      <c r="B78" s="786" t="s">
        <v>811</v>
      </c>
      <c r="C78" s="790" t="e">
        <f>Heizgrenze</f>
        <v>#NAME?</v>
      </c>
      <c r="D78" s="783" t="s">
        <v>2324</v>
      </c>
      <c r="E78" s="783"/>
      <c r="F78" s="783"/>
      <c r="G78" s="783"/>
      <c r="H78" s="786"/>
      <c r="I78" s="786" t="s">
        <v>793</v>
      </c>
      <c r="J78" s="790" t="e">
        <f>Tk</f>
        <v>#NAME?</v>
      </c>
      <c r="K78" s="783" t="s">
        <v>2324</v>
      </c>
      <c r="L78" s="783"/>
      <c r="M78" s="783"/>
      <c r="N78" s="783"/>
      <c r="O78" s="791"/>
      <c r="P78" s="783"/>
      <c r="Q78" s="783"/>
      <c r="R78" s="783"/>
    </row>
    <row r="79" spans="1:18" s="774" customFormat="1">
      <c r="A79" s="783"/>
      <c r="B79" s="786" t="s">
        <v>343</v>
      </c>
      <c r="C79" s="790">
        <f ca="1">Klimastation</f>
        <v>147</v>
      </c>
      <c r="D79" s="783" t="s">
        <v>506</v>
      </c>
      <c r="E79" s="783"/>
      <c r="F79" s="783"/>
      <c r="G79" s="783"/>
      <c r="H79" s="786"/>
      <c r="I79" s="786" t="s">
        <v>1844</v>
      </c>
      <c r="J79" s="790" t="e">
        <f>Tunbeheizt</f>
        <v>#NAME?</v>
      </c>
      <c r="K79" s="783" t="s">
        <v>2324</v>
      </c>
      <c r="L79" s="783"/>
      <c r="M79" s="783"/>
      <c r="N79" s="783"/>
      <c r="O79" s="791"/>
      <c r="P79" s="783"/>
      <c r="Q79" s="783"/>
      <c r="R79" s="783"/>
    </row>
    <row r="80" spans="1:18" s="774" customFormat="1">
      <c r="A80" s="783"/>
      <c r="B80" s="786" t="s">
        <v>344</v>
      </c>
      <c r="C80" s="790">
        <f>Bau!AI26</f>
        <v>0</v>
      </c>
      <c r="D80" s="783" t="s">
        <v>345</v>
      </c>
      <c r="E80" s="783"/>
      <c r="F80" s="783"/>
      <c r="G80" s="783"/>
      <c r="H80" s="786"/>
      <c r="I80" s="786" t="s">
        <v>794</v>
      </c>
      <c r="J80" s="790" t="e">
        <f>Te</f>
        <v>#NAME?</v>
      </c>
      <c r="K80" s="783" t="s">
        <v>2324</v>
      </c>
      <c r="L80" s="783"/>
      <c r="M80" s="783"/>
      <c r="N80" s="783"/>
      <c r="O80" s="791"/>
      <c r="P80" s="783"/>
      <c r="Q80" s="783"/>
      <c r="R80" s="783"/>
    </row>
    <row r="81" spans="1:18" s="774" customFormat="1">
      <c r="A81" s="783"/>
      <c r="B81" s="783"/>
      <c r="C81" s="783"/>
      <c r="D81" s="783"/>
      <c r="E81" s="783"/>
      <c r="F81" s="783"/>
      <c r="G81" s="783"/>
      <c r="H81" s="783"/>
      <c r="I81" s="786" t="s">
        <v>802</v>
      </c>
      <c r="J81" s="790" t="e">
        <f>Tew</f>
        <v>#NAME?</v>
      </c>
      <c r="K81" s="783" t="s">
        <v>2324</v>
      </c>
      <c r="L81" s="783"/>
      <c r="M81" s="783"/>
      <c r="N81" s="783"/>
      <c r="O81" s="791"/>
      <c r="P81" s="783"/>
      <c r="Q81" s="783"/>
      <c r="R81" s="783"/>
    </row>
    <row r="82" spans="1:18">
      <c r="A82" s="783"/>
      <c r="B82" s="783"/>
      <c r="C82" s="783"/>
      <c r="D82" s="783"/>
      <c r="E82" s="783"/>
      <c r="F82" s="783"/>
      <c r="G82" s="783"/>
      <c r="H82" s="783"/>
      <c r="I82" s="783"/>
      <c r="J82" s="783"/>
      <c r="K82" s="783"/>
      <c r="L82" s="783"/>
      <c r="M82" s="783"/>
      <c r="N82" s="783"/>
      <c r="O82" s="783"/>
      <c r="P82" s="783"/>
      <c r="Q82" s="783"/>
      <c r="R82" s="783"/>
    </row>
    <row r="83" spans="1:18">
      <c r="A83" s="783"/>
      <c r="B83" s="783"/>
      <c r="C83" s="783"/>
      <c r="D83" s="783"/>
      <c r="E83" s="783"/>
      <c r="F83" s="783"/>
      <c r="G83" s="783"/>
      <c r="H83" s="783"/>
      <c r="I83" s="783"/>
      <c r="J83" s="783"/>
      <c r="K83" s="783"/>
      <c r="L83" s="783"/>
      <c r="M83" s="783"/>
      <c r="N83" s="783"/>
      <c r="O83" s="783"/>
      <c r="P83" s="783"/>
      <c r="Q83" s="783"/>
      <c r="R83" s="783"/>
    </row>
    <row r="84" spans="1:18">
      <c r="A84" s="783"/>
      <c r="B84" s="783"/>
      <c r="C84" s="783"/>
      <c r="D84" s="783"/>
      <c r="E84" s="783"/>
      <c r="F84" s="783"/>
      <c r="G84" s="783"/>
      <c r="H84" s="783"/>
      <c r="I84" s="783"/>
      <c r="J84" s="783"/>
      <c r="K84" s="783"/>
      <c r="L84" s="783"/>
      <c r="M84" s="783"/>
      <c r="N84" s="783"/>
      <c r="O84" s="791"/>
      <c r="P84" s="783"/>
      <c r="Q84" s="783"/>
      <c r="R84" s="783"/>
    </row>
    <row r="85" spans="1:18">
      <c r="A85" s="783"/>
      <c r="B85" s="783"/>
      <c r="C85" s="783"/>
      <c r="D85" s="783"/>
      <c r="E85" s="783"/>
      <c r="F85" s="783"/>
      <c r="G85" s="783"/>
      <c r="H85" s="783"/>
      <c r="I85" s="783"/>
      <c r="J85" s="783"/>
      <c r="K85" s="783"/>
      <c r="L85" s="783"/>
      <c r="M85" s="783"/>
      <c r="N85" s="783"/>
      <c r="O85" s="791"/>
      <c r="P85" s="783"/>
      <c r="Q85" s="783"/>
      <c r="R85" s="783"/>
    </row>
    <row r="86" spans="1:18">
      <c r="B86" s="766"/>
      <c r="C86" s="766"/>
      <c r="D86" s="766"/>
      <c r="E86" s="766"/>
      <c r="F86" s="766"/>
      <c r="G86" s="766"/>
      <c r="H86" s="766"/>
      <c r="I86" s="766"/>
      <c r="J86" s="766"/>
      <c r="K86" s="766"/>
      <c r="L86" s="766"/>
      <c r="M86" s="766"/>
      <c r="N86" s="766"/>
      <c r="O86" s="782"/>
      <c r="P86" s="766"/>
    </row>
    <row r="87" spans="1:18">
      <c r="B87" s="766"/>
      <c r="C87" s="766"/>
      <c r="D87" s="766"/>
      <c r="E87" s="766"/>
      <c r="F87" s="766"/>
      <c r="G87" s="766"/>
      <c r="H87" s="766"/>
      <c r="I87" s="766"/>
      <c r="J87" s="766"/>
      <c r="K87" s="766"/>
      <c r="L87" s="766"/>
      <c r="M87" s="766"/>
      <c r="N87" s="766"/>
      <c r="O87" s="782"/>
      <c r="P87" s="766"/>
    </row>
    <row r="88" spans="1:18">
      <c r="B88" s="766"/>
      <c r="C88" s="766"/>
      <c r="D88" s="766"/>
      <c r="E88" s="766"/>
      <c r="F88" s="766"/>
      <c r="G88" s="766"/>
      <c r="H88" s="766"/>
      <c r="I88" s="766"/>
      <c r="J88" s="766"/>
      <c r="K88" s="766"/>
      <c r="L88" s="766"/>
      <c r="M88" s="766"/>
      <c r="N88" s="766"/>
      <c r="O88" s="782"/>
      <c r="P88" s="766"/>
    </row>
    <row r="89" spans="1:18">
      <c r="D89" s="766"/>
    </row>
    <row r="90" spans="1:18">
      <c r="D90" s="766"/>
    </row>
    <row r="91" spans="1:18">
      <c r="D91" s="766"/>
    </row>
    <row r="92" spans="1:18">
      <c r="D92" s="766"/>
    </row>
  </sheetData>
  <sheetProtection password="C9AE" sheet="1" objects="1" scenarios="1"/>
  <mergeCells count="1">
    <mergeCell ref="C2:E2"/>
  </mergeCells>
  <phoneticPr fontId="0" type="noConversion"/>
  <conditionalFormatting sqref="B69:Q69">
    <cfRule type="expression" dxfId="43" priority="1" stopIfTrue="1">
      <formula>$R$69</formula>
    </cfRule>
  </conditionalFormatting>
  <conditionalFormatting sqref="O68">
    <cfRule type="expression" dxfId="42" priority="2" stopIfTrue="1">
      <formula>$R$69=FALSE</formula>
    </cfRule>
  </conditionalFormatting>
  <pageMargins left="0.71" right="0.28999999999999998" top="0.32"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B1:AQ149"/>
  <sheetViews>
    <sheetView showZeros="0" workbookViewId="0">
      <selection activeCell="AF24" sqref="AF24"/>
    </sheetView>
  </sheetViews>
  <sheetFormatPr baseColWidth="10" defaultColWidth="11.5703125" defaultRowHeight="12.75"/>
  <cols>
    <col min="1" max="1" width="2.7109375" style="174" customWidth="1"/>
    <col min="2" max="2" width="5.7109375" style="174" customWidth="1"/>
    <col min="3" max="5" width="8.28515625" style="174" customWidth="1"/>
    <col min="6" max="6" width="40.7109375" style="174" customWidth="1"/>
    <col min="7" max="7" width="7.7109375" style="174" customWidth="1"/>
    <col min="8" max="8" width="8.7109375" style="174" customWidth="1"/>
    <col min="9" max="9" width="7.7109375" style="174" customWidth="1"/>
    <col min="10" max="10" width="1.28515625" style="174" customWidth="1"/>
    <col min="11" max="11" width="1.5703125" style="174" hidden="1" customWidth="1"/>
    <col min="12" max="19" width="8.7109375" style="174" hidden="1" customWidth="1"/>
    <col min="20" max="23" width="8.7109375" style="1091" hidden="1" customWidth="1"/>
    <col min="24" max="24" width="8.7109375" style="174" hidden="1" customWidth="1"/>
    <col min="25" max="27" width="8.7109375" style="1091" hidden="1" customWidth="1"/>
    <col min="28" max="43" width="8.140625" style="1091" customWidth="1"/>
    <col min="44" max="16384" width="11.5703125" style="174"/>
  </cols>
  <sheetData>
    <row r="1" spans="2:27" ht="10.15" customHeight="1">
      <c r="B1" s="1650" t="str">
        <f>Bau!B1</f>
        <v>Programme Entech 380/1, Ver. 6.1, BFE/EnFK-Zert.-Nr. 1639, SIA 380/1 (Edition 2016)</v>
      </c>
      <c r="I1" s="1653" t="str">
        <f>Bau!Z1</f>
        <v>Qh=0kWh/m2</v>
      </c>
      <c r="J1" s="1653"/>
      <c r="L1" s="27"/>
    </row>
    <row r="2" spans="2:27" ht="10.15" customHeight="1">
      <c r="B2" s="1650" t="str">
        <f>Bau!B2</f>
        <v>imprimé le:</v>
      </c>
      <c r="D2" s="2539">
        <f ca="1">NOW()</f>
        <v>43566.628989236109</v>
      </c>
      <c r="E2" s="2539"/>
      <c r="F2" s="1651" t="str">
        <f>Bau!J2</f>
        <v xml:space="preserve">pour </v>
      </c>
      <c r="I2" s="1652"/>
      <c r="J2" s="1652"/>
      <c r="L2" s="1575"/>
    </row>
    <row r="3" spans="2:27" ht="11.45" customHeight="1">
      <c r="G3" s="27"/>
      <c r="I3" s="1703" t="s">
        <v>939</v>
      </c>
      <c r="J3" s="1702"/>
      <c r="L3" s="579" t="s">
        <v>446</v>
      </c>
    </row>
    <row r="4" spans="2:27" ht="15.75">
      <c r="B4" s="512" t="s">
        <v>1279</v>
      </c>
      <c r="L4" s="1017"/>
    </row>
    <row r="5" spans="2:27" ht="5.45" customHeight="1">
      <c r="K5" s="1588"/>
      <c r="AA5" s="1092"/>
    </row>
    <row r="6" spans="2:27">
      <c r="B6" s="1589"/>
      <c r="C6" s="1602"/>
      <c r="D6" s="1602"/>
      <c r="E6" s="1602"/>
      <c r="F6" s="1601"/>
      <c r="G6" s="1602"/>
      <c r="H6" s="1602" t="s">
        <v>673</v>
      </c>
      <c r="I6" s="1613"/>
      <c r="J6" s="260"/>
      <c r="K6" s="1588"/>
      <c r="L6" s="1644" t="s">
        <v>2141</v>
      </c>
      <c r="M6" s="1602" t="s">
        <v>2141</v>
      </c>
      <c r="N6" s="1602" t="s">
        <v>2141</v>
      </c>
      <c r="O6" s="1602" t="s">
        <v>2141</v>
      </c>
      <c r="P6" s="1602" t="s">
        <v>1193</v>
      </c>
      <c r="Q6" s="1602" t="s">
        <v>1193</v>
      </c>
      <c r="R6" s="1602" t="s">
        <v>1193</v>
      </c>
      <c r="S6" s="1602" t="s">
        <v>1193</v>
      </c>
      <c r="T6" s="1602" t="s">
        <v>1193</v>
      </c>
      <c r="U6" s="1602" t="s">
        <v>1452</v>
      </c>
      <c r="V6" s="1602" t="s">
        <v>1452</v>
      </c>
      <c r="W6" s="1602" t="s">
        <v>978</v>
      </c>
      <c r="X6" s="1602" t="s">
        <v>978</v>
      </c>
      <c r="Y6" s="1602" t="s">
        <v>978</v>
      </c>
      <c r="Z6" s="1602" t="s">
        <v>2007</v>
      </c>
      <c r="AA6" s="1603" t="s">
        <v>2007</v>
      </c>
    </row>
    <row r="7" spans="2:27">
      <c r="B7" s="1590"/>
      <c r="C7" s="1605" t="s">
        <v>1268</v>
      </c>
      <c r="D7" s="1605" t="s">
        <v>1269</v>
      </c>
      <c r="E7" s="1605" t="s">
        <v>750</v>
      </c>
      <c r="F7" s="1604"/>
      <c r="G7" s="1605" t="s">
        <v>1271</v>
      </c>
      <c r="H7" s="1605" t="s">
        <v>1271</v>
      </c>
      <c r="I7" s="1614"/>
      <c r="J7" s="260"/>
      <c r="K7" s="1588"/>
      <c r="L7" s="1645" t="str">
        <f>Bau!I10</f>
        <v>Nord</v>
      </c>
      <c r="M7" s="1605" t="str">
        <f>Bau!V10</f>
        <v>Est</v>
      </c>
      <c r="N7" s="1605" t="str">
        <f>Bau!I29</f>
        <v>Ouest</v>
      </c>
      <c r="O7" s="1605" t="str">
        <f>Bau!V29</f>
        <v>Sud</v>
      </c>
      <c r="P7" s="1605" t="s">
        <v>2357</v>
      </c>
      <c r="Q7" s="1605" t="str">
        <f>O7</f>
        <v>Sud</v>
      </c>
      <c r="R7" s="1605" t="str">
        <f>M7</f>
        <v>Est</v>
      </c>
      <c r="S7" s="1605" t="str">
        <f>N7</f>
        <v>Ouest</v>
      </c>
      <c r="T7" s="1605" t="str">
        <f>L7</f>
        <v>Nord</v>
      </c>
      <c r="U7" s="1605" t="s">
        <v>2358</v>
      </c>
      <c r="V7" s="1605" t="s">
        <v>2359</v>
      </c>
      <c r="W7" s="1605" t="s">
        <v>2360</v>
      </c>
      <c r="X7" s="1605" t="s">
        <v>2358</v>
      </c>
      <c r="Y7" s="1605" t="s">
        <v>2359</v>
      </c>
      <c r="Z7" s="1605" t="s">
        <v>2360</v>
      </c>
      <c r="AA7" s="1606" t="s">
        <v>2359</v>
      </c>
    </row>
    <row r="8" spans="2:27" ht="14.25" customHeight="1">
      <c r="B8" s="1590" t="s">
        <v>2356</v>
      </c>
      <c r="C8" s="1605" t="s">
        <v>864</v>
      </c>
      <c r="D8" s="1605" t="s">
        <v>864</v>
      </c>
      <c r="E8" s="1605" t="s">
        <v>864</v>
      </c>
      <c r="F8" s="1604" t="s">
        <v>1502</v>
      </c>
      <c r="G8" s="1605" t="s">
        <v>1272</v>
      </c>
      <c r="H8" s="1605" t="s">
        <v>1272</v>
      </c>
      <c r="I8" s="1614"/>
      <c r="J8" s="260"/>
      <c r="K8" s="1588"/>
      <c r="L8" s="1645" t="s">
        <v>864</v>
      </c>
      <c r="M8" s="1605" t="s">
        <v>864</v>
      </c>
      <c r="N8" s="1605" t="s">
        <v>864</v>
      </c>
      <c r="O8" s="1605" t="s">
        <v>864</v>
      </c>
      <c r="P8" s="1605" t="s">
        <v>864</v>
      </c>
      <c r="Q8" s="1605" t="s">
        <v>864</v>
      </c>
      <c r="R8" s="1605" t="s">
        <v>864</v>
      </c>
      <c r="S8" s="1605" t="s">
        <v>864</v>
      </c>
      <c r="T8" s="1605" t="s">
        <v>864</v>
      </c>
      <c r="U8" s="1605" t="s">
        <v>864</v>
      </c>
      <c r="V8" s="1605" t="s">
        <v>864</v>
      </c>
      <c r="W8" s="1605" t="s">
        <v>864</v>
      </c>
      <c r="X8" s="1605" t="s">
        <v>864</v>
      </c>
      <c r="Y8" s="1605" t="s">
        <v>864</v>
      </c>
      <c r="Z8" s="1605" t="s">
        <v>864</v>
      </c>
      <c r="AA8" s="1606" t="s">
        <v>864</v>
      </c>
    </row>
    <row r="9" spans="2:27" ht="14.25" customHeight="1">
      <c r="B9" s="1591" t="s">
        <v>1191</v>
      </c>
      <c r="C9" s="1608" t="s">
        <v>1275</v>
      </c>
      <c r="D9" s="1608" t="s">
        <v>1275</v>
      </c>
      <c r="E9" s="1608" t="s">
        <v>1275</v>
      </c>
      <c r="F9" s="1607"/>
      <c r="G9" s="1608" t="s">
        <v>384</v>
      </c>
      <c r="H9" s="1608" t="s">
        <v>1273</v>
      </c>
      <c r="I9" s="1609" t="s">
        <v>1760</v>
      </c>
      <c r="J9" s="1586"/>
      <c r="K9" s="1588"/>
      <c r="L9" s="1646" t="s">
        <v>1841</v>
      </c>
      <c r="M9" s="1608" t="s">
        <v>1841</v>
      </c>
      <c r="N9" s="1608" t="s">
        <v>1841</v>
      </c>
      <c r="O9" s="1608" t="s">
        <v>1841</v>
      </c>
      <c r="P9" s="1608" t="s">
        <v>1841</v>
      </c>
      <c r="Q9" s="1608" t="s">
        <v>1841</v>
      </c>
      <c r="R9" s="1608" t="s">
        <v>1841</v>
      </c>
      <c r="S9" s="1608" t="s">
        <v>1841</v>
      </c>
      <c r="T9" s="1608" t="s">
        <v>1841</v>
      </c>
      <c r="U9" s="1605" t="s">
        <v>1841</v>
      </c>
      <c r="V9" s="1608" t="s">
        <v>1841</v>
      </c>
      <c r="W9" s="1608" t="s">
        <v>1841</v>
      </c>
      <c r="X9" s="1608" t="s">
        <v>1841</v>
      </c>
      <c r="Y9" s="1608" t="s">
        <v>1841</v>
      </c>
      <c r="Z9" s="1608" t="s">
        <v>1841</v>
      </c>
      <c r="AA9" s="1609" t="s">
        <v>1841</v>
      </c>
    </row>
    <row r="10" spans="2:27" ht="14.25" customHeight="1">
      <c r="B10" s="1679">
        <v>1</v>
      </c>
      <c r="C10" s="1631">
        <f t="shared" ref="C10:C40" si="0">SUM(L10:AA10)</f>
        <v>0</v>
      </c>
      <c r="D10" s="1662"/>
      <c r="E10" s="1632">
        <f t="shared" ref="E10:E40" si="1">D10+C10</f>
        <v>0</v>
      </c>
      <c r="F10" s="1598">
        <f>UWert!C7</f>
        <v>0</v>
      </c>
      <c r="G10" s="1617">
        <f>UWert!D8</f>
        <v>0</v>
      </c>
      <c r="H10" s="1623">
        <f t="shared" ref="H10:H40" si="2">E10*G10</f>
        <v>0</v>
      </c>
      <c r="I10" s="1618">
        <f t="shared" ref="I10:I49" si="3">IF($H$63&gt;0,H10/$H$63,)</f>
        <v>0</v>
      </c>
      <c r="J10" s="1643"/>
      <c r="K10" s="1588"/>
      <c r="L10" s="1647">
        <f>IF(Bau!$K$14=$B10,Bau!$I$14,0)+IF(Bau!$K$15=$B10,Bau!$I$15,0)+IF(Bau!$K$16=$B10,Bau!$I$16,0)+IF(Bau!$K$17=$B10,Bau!$I$17,0)+IF(Bau!$K$18=$B10,Bau!$I$18,0)+IF(Bau!$K$20=$B10,Bau!$I$20,0)</f>
        <v>0</v>
      </c>
      <c r="M10" s="1592">
        <f>IF(Bau!$X$14=$B10,Bau!$V$14,0)+IF(Bau!$X$15=$B10,Bau!$V$15,0)+IF(Bau!$X$16=$B10,Bau!$V$16,0)+IF(Bau!$X$17=$B10,Bau!$V$17,0)+IF(Bau!$X$18=$B10,Bau!$V$18,0)+IF(Bau!$X$20=$B10,Bau!$V$20,0)</f>
        <v>0</v>
      </c>
      <c r="N10" s="1592">
        <f>IF(Bau!$K$33=$B10,Bau!$I$33,0)+IF(Bau!$K$34=$B10,Bau!$I$34,0)+IF(Bau!$K$35=$B10,Bau!$I$35,0)+IF(Bau!$K$36=$B10,Bau!$I$36,0)+IF(Bau!$K$37=$B10,Bau!$I$37,0)+IF(Bau!$K$39=$B10,Bau!$I$39,0)</f>
        <v>0</v>
      </c>
      <c r="O10" s="1592">
        <f>IF(Bau!$X$33=$B10,Bau!$V$33,0)+IF(Bau!$X$34=$B10,Bau!$V$34,0)+IF(Bau!$X$35=$B10,Bau!$V$35,0)+IF(Bau!$X$36=$B10,Bau!$V$36,0)+IF(Bau!$X$37=$B10,Bau!$V$37,0)+IF(Bau!$X$39=$B10,Bau!$V$39,0)</f>
        <v>0</v>
      </c>
      <c r="P10" s="1592">
        <f>IF(Fenster!$J$11=$B10,Fenster!$F$11*Fenster!$H$11,0)+IF(Fenster!$J$13=$B10,Fenster!$F$13*Fenster!$H$13,0)+IF(Fenster!$J$15=$B10,Fenster!$F$15*Fenster!$H$15,0)+IF(Fenster!$J$17=$B10,Fenster!$F$17*Fenster!$H$17,0)+IF(Fenster!$J$19=$B10,Fenster!$F$19*Fenster!$H$19,0)+IF(Fenster!$J$21=$B10,Fenster!$F$21*Fenster!$H$21,0)+IF(Fenster!$J$23=$B10,Fenster!$F$23*Fenster!$H$23,0)+IF(Fenster!$J$25=$B10,Fenster!$F$25*Fenster!$H$25,0)</f>
        <v>0</v>
      </c>
      <c r="Q10" s="1592">
        <f>IF(Fenster!$J$34=$B10,Fenster!$F$34*Fenster!$H$34,0)+IF(Fenster!$J$36=$B10,Fenster!$F$36*Fenster!$H$36,0)+IF(Fenster!$J$38=$B10,Fenster!$F$38*Fenster!$H$38,0)+IF(Fenster!$J$40=$B10,Fenster!$F$40*Fenster!$H$40,0)+IF(Fenster!$J$42=$B10,Fenster!$F$42*Fenster!$H$42,0)+IF(Fenster!$J$44=$B10,Fenster!$F$44*Fenster!$H$44,0)+IF(Fenster!$J$46=$B10,Fenster!$F$46*Fenster!$H$46,0)+IF(Fenster!$J$48=$B10,Fenster!$F$48*Fenster!$H$48,0)</f>
        <v>0</v>
      </c>
      <c r="R10" s="1592">
        <f>IF(Fenster!$J$57=$B10,Fenster!$F$57*Fenster!$H$57,0)+IF(Fenster!$J$59=$B10,Fenster!$F$59*Fenster!$H$59,0)+IF(Fenster!$J$61=$B10,Fenster!$F$61*Fenster!$H$61,0)+IF(Fenster!$J$63=$B10,Fenster!$F$63*Fenster!$H$63,0)+IF(Fenster!$J$65=$B10,Fenster!$F$65*Fenster!$H$65,0)+IF(Fenster!$J$67=$B10,Fenster!$F$67*Fenster!$H$67,0)+IF(Fenster!$J$69=$B10,Fenster!$F$69*Fenster!$H$69,0)+IF(Fenster!$J$71=$B10,Fenster!$F$71*Fenster!$H$71,0)</f>
        <v>0</v>
      </c>
      <c r="S10" s="1592">
        <f>IF(Fenster!$J$80=$B10,Fenster!$F$80*Fenster!$H$80,0)+IF(Fenster!$J$82=$B10,Fenster!$F$82*Fenster!$H$82,0)+IF(Fenster!$J$84=$B10,Fenster!$F$84*Fenster!$H$84,0)+IF(Fenster!$J$86=$B10,Fenster!$F$86*Fenster!$H$86,0)+IF(Fenster!$J$88=$B10,Fenster!$F$88*Fenster!$H$88,0)+IF(Fenster!$J$90=$B10,Fenster!$F$90*Fenster!$H$90,0)+IF(Fenster!$J$92=$B10,Fenster!$F$92*Fenster!$H$92,0)+IF(Fenster!$J$94=$B10,Fenster!$F$94*Fenster!$H$94,0)</f>
        <v>0</v>
      </c>
      <c r="T10" s="1592">
        <f>IF(Fenster!$J$103=$B10,Fenster!$F$103*Fenster!$H$103,0)+IF(Fenster!$J$105=$B10,Fenster!$F$105*Fenster!$H$105,0)+IF(Fenster!$J$107=$B10,Fenster!$F$107*Fenster!$H$107,0)+IF(Fenster!$J$109=$B10,Fenster!$F$109*Fenster!$H$109,0)+IF(Fenster!$J$111=$B10,Fenster!$F$111*Fenster!$H$111,0)+IF(Fenster!$J$113=$B10,Fenster!$F$113*Fenster!$H$113,0)+IF(Fenster!$J$115=$B10,Fenster!$F$115*Fenster!$H$115,0)+IF(Fenster!$J$117=$B10,Fenster!$F$117*Fenster!$H$117,0)</f>
        <v>0</v>
      </c>
      <c r="U10" s="1592">
        <f>IF(Bau!$K$23=$B10,Bau!$I$23,0)+IF(Bau!$K$24=$B10,Bau!$I$24,0)+IF(Bau!$X$23=$B10,Bau!$V$23,0)+IF(Bau!$X$24=$B10,Bau!$V$24,0)+IF(Bau!$K$42=$B10,Bau!$I$42,0)+IF(Bau!$K$43=$B10,Bau!$I$43,0)+IF(Bau!$X$42=$B10,Bau!$V$42,0)+IF(Bau!$X$43=$B10,Bau!$V$43,0)+IF(Bau!$K$94=$B10,Bau!$I$94,0)</f>
        <v>0</v>
      </c>
      <c r="V10" s="1592">
        <f>IF(Bau!$X$51=$B10,Bau!$V$51,0)+IF(Bau!$X$52=$B10,Bau!$V$52,0)+IF(Bau!$K$41=$B10,Bau!$I$41,0)+IF(Bau!$K$44=$B10,Bau!$I$44,0)+IF(Bau!$K$45=$B10,Bau!$I$45,0)+IF(Bau!$X$41=$B10,Bau!$V$41,0)+IF(Bau!$X$44=$B10,Bau!$V$44,0)+IF(Bau!$X$45=$B10,Bau!$V$45,0)+IF(Bau!$X$22=$B10,Bau!$V$22,0)+IF(Bau!$X$25=$B10,Bau!$V$25,0)+IF(Bau!$X$26=$B10,Bau!$V$26,0)+IF(Bau!$K$22=$B10,Bau!$I$22,0)+IF(Bau!$K$25=$B10,Bau!$I$25,0)+IF(Bau!$K$26=$B10,Bau!$I$26,0)</f>
        <v>0</v>
      </c>
      <c r="W10" s="1592">
        <f>IF(Bau!$K$64=$B10,Bau!$I$64,0)+IF(Bau!$K$65=$B10,Bau!$I$65,0)</f>
        <v>0</v>
      </c>
      <c r="X10" s="1592">
        <f>IF(Bau!$K$67=$B10,Bau!$I$67,0)+IF(Bau!$K$68=$B10,Bau!$I$68,0)</f>
        <v>0</v>
      </c>
      <c r="Y10" s="1592">
        <f>IF(Bau!$K$70=$B10,Bau!$I$70,0)+IF(Bau!$K$71=$B10,Bau!$I$71,0)+IF(Bau!$K$75=$B10,Bau!$I$75,0)+IF(Bau!$K$76=$B10,Bau!$I$76,0)</f>
        <v>0</v>
      </c>
      <c r="Z10" s="1592">
        <f>IF(Bau!$I$84=$B10,Bau!$I$84,0)+IF(Bau!$K$85=$B10,Bau!$I$85,0)+IF(Bau!$K$86=$B10,Bau!$I$86,0)</f>
        <v>0</v>
      </c>
      <c r="AA10" s="1593">
        <f>IF(Bau!$K$88=$B10,Bau!$I$88,0)+IF(Bau!$K$89=$B10,Bau!$I$89,0)+IF(Bau!$K$91=$B10,Bau!$I$91,0)+IF(Bau!$K$92=$B10,Bau!$I$92,0)</f>
        <v>0</v>
      </c>
    </row>
    <row r="11" spans="2:27" ht="14.25" customHeight="1">
      <c r="B11" s="1615">
        <v>2</v>
      </c>
      <c r="C11" s="1633">
        <f t="shared" si="0"/>
        <v>0</v>
      </c>
      <c r="D11" s="1662"/>
      <c r="E11" s="1634">
        <f t="shared" si="1"/>
        <v>0</v>
      </c>
      <c r="F11" s="1599">
        <f>UWert!K7</f>
        <v>0</v>
      </c>
      <c r="G11" s="1619">
        <f>UWert!L8</f>
        <v>0</v>
      </c>
      <c r="H11" s="1624">
        <f t="shared" si="2"/>
        <v>0</v>
      </c>
      <c r="I11" s="1620">
        <f t="shared" si="3"/>
        <v>0</v>
      </c>
      <c r="J11" s="1643"/>
      <c r="K11" s="1588"/>
      <c r="L11" s="1648">
        <f>IF(Bau!$K$14=$B11,Bau!$I$14,0)+IF(Bau!$K$15=$B11,Bau!$I$15,0)+IF(Bau!$K$16=$B11,Bau!$I$16,0)+IF(Bau!$K$17=$B11,Bau!$I$17,0)+IF(Bau!$K$18=$B11,Bau!$I$18,0)+IF(Bau!$K$20=$B11,Bau!$I$20,0)</f>
        <v>0</v>
      </c>
      <c r="M11" s="1594">
        <f>IF(Bau!$X$14=$B11,Bau!$V$14,0)+IF(Bau!$X$15=$B11,Bau!$V$15,0)+IF(Bau!$X$16=$B11,Bau!$V$16,0)+IF(Bau!$X$17=$B11,Bau!$V$17,0)+IF(Bau!$X$18=$B11,Bau!$V$18,0)+IF(Bau!$X$20=$B11,Bau!$V$20,0)</f>
        <v>0</v>
      </c>
      <c r="N11" s="1594">
        <f>IF(Bau!$K$33=$B11,Bau!$I$33,0)+IF(Bau!$K$34=$B11,Bau!$I$34,0)+IF(Bau!$K$35=$B11,Bau!$I$35,0)+IF(Bau!$K$36=$B11,Bau!$I$36,0)+IF(Bau!$K$37=$B11,Bau!$I$37,0)+IF(Bau!$K$39=$B11,Bau!$I$39,0)</f>
        <v>0</v>
      </c>
      <c r="O11" s="1594">
        <f>IF(Bau!$X$33=$B11,Bau!$V$33,0)+IF(Bau!$X$34=$B11,Bau!$V$34,0)+IF(Bau!$X$35=$B11,Bau!$V$35,0)+IF(Bau!$X$36=$B11,Bau!$V$36,0)+IF(Bau!$X$37=$B11,Bau!$V$37,0)+IF(Bau!$X$39=$B11,Bau!$V$39,0)</f>
        <v>0</v>
      </c>
      <c r="P11" s="1594">
        <f>IF(Fenster!$J$11=$B11,Fenster!$F$11*Fenster!$H$11,0)+IF(Fenster!$J$13=$B11,Fenster!$F$13*Fenster!$H$13,0)+IF(Fenster!$J$15=$B11,Fenster!$F$15*Fenster!$H$15,0)+IF(Fenster!$J$17=$B11,Fenster!$F$17*Fenster!$H$17,0)+IF(Fenster!$J$19=$B11,Fenster!$F$19*Fenster!$H$19,0)+IF(Fenster!$J$21=$B11,Fenster!$F$21*Fenster!$H$21,0)+IF(Fenster!$J$23=$B11,Fenster!$F$23*Fenster!$H$23,0)+IF(Fenster!$J$25=$B11,Fenster!$F$25*Fenster!$H$25,0)</f>
        <v>0</v>
      </c>
      <c r="Q11" s="1594">
        <f>IF(Fenster!$J$34=$B11,Fenster!$F$34*Fenster!$H$34,0)+IF(Fenster!$J$36=$B11,Fenster!$F$36*Fenster!$H$36,0)+IF(Fenster!$J$38=$B11,Fenster!$F$38*Fenster!$H$38,0)+IF(Fenster!$J$40=$B11,Fenster!$F$40*Fenster!$H$40,0)+IF(Fenster!$J$42=$B11,Fenster!$F$42*Fenster!$H$42,0)+IF(Fenster!$J$44=$B11,Fenster!$F$44*Fenster!$H$44,0)+IF(Fenster!$J$46=$B11,Fenster!$F$46*Fenster!$H$46,0)+IF(Fenster!$J$48=$B11,Fenster!$F$48*Fenster!$H$48,0)</f>
        <v>0</v>
      </c>
      <c r="R11" s="1594">
        <f>IF(Fenster!$J$57=$B11,Fenster!$F$57*Fenster!$H$57,0)+IF(Fenster!$J$59=$B11,Fenster!$F$59*Fenster!$H$59,0)+IF(Fenster!$J$61=$B11,Fenster!$F$61*Fenster!$H$61,0)+IF(Fenster!$J$63=$B11,Fenster!$F$63*Fenster!$H$63,0)+IF(Fenster!$J$65=$B11,Fenster!$F$65*Fenster!$H$65,0)+IF(Fenster!$J$67=$B11,Fenster!$F$67*Fenster!$H$67,0)+IF(Fenster!$J$69=$B11,Fenster!$F$69*Fenster!$H$69,0)+IF(Fenster!$J$71=$B11,Fenster!$F$71*Fenster!$H$71,0)</f>
        <v>0</v>
      </c>
      <c r="S11" s="1594">
        <f>IF(Fenster!$J$80=$B11,Fenster!$F$80*Fenster!$H$80,0)+IF(Fenster!$J$82=$B11,Fenster!$F$82*Fenster!$H$82,0)+IF(Fenster!$J$84=$B11,Fenster!$F$84*Fenster!$H$84,0)+IF(Fenster!$J$86=$B11,Fenster!$F$86*Fenster!$H$86,0)+IF(Fenster!$J$88=$B11,Fenster!$F$88*Fenster!$H$88,0)+IF(Fenster!$J$90=$B11,Fenster!$F$90*Fenster!$H$90,0)+IF(Fenster!$J$92=$B11,Fenster!$F$92*Fenster!$H$92,0)+IF(Fenster!$J$94=$B11,Fenster!$F$94*Fenster!$H$94,0)</f>
        <v>0</v>
      </c>
      <c r="T11" s="1594">
        <f>IF(Fenster!$J$103=$B11,Fenster!$F$103*Fenster!$H$103,0)+IF(Fenster!$J$105=$B11,Fenster!$F$105*Fenster!$H$105,0)+IF(Fenster!$J$107=$B11,Fenster!$F$107*Fenster!$H$107,0)+IF(Fenster!$J$109=$B11,Fenster!$F$109*Fenster!$H$109,0)+IF(Fenster!$J$111=$B11,Fenster!$F$111*Fenster!$H$111,0)+IF(Fenster!$J$113=$B11,Fenster!$F$113*Fenster!$H$113,0)+IF(Fenster!$J$115=$B11,Fenster!$F$115*Fenster!$H$115,0)+IF(Fenster!$J$117=$B11,Fenster!$F$117*Fenster!$H$117,0)</f>
        <v>0</v>
      </c>
      <c r="U11" s="1594">
        <f>IF(Bau!$K$23=$B11,Bau!$I$23,0)+IF(Bau!$K$24=$B11,Bau!$I$24,0)+IF(Bau!$X$23=$B11,Bau!$V$23,0)+IF(Bau!$X$24=$B11,Bau!$V$24,0)+IF(Bau!$K$42=$B11,Bau!$I$42,0)+IF(Bau!$K$43=$B11,Bau!$I$43,0)+IF(Bau!$X$42=$B11,Bau!$V$42,0)+IF(Bau!$X$43=$B11,Bau!$V$43,0)+IF(Bau!$K$94=$B11,Bau!$I$94,0)</f>
        <v>0</v>
      </c>
      <c r="V11" s="1594">
        <f>IF(Bau!$X$51=$B11,Bau!$V$51,0)+IF(Bau!$X$52=$B11,Bau!$V$52,0)+IF(Bau!$K$41=$B11,Bau!$I$41,0)+IF(Bau!$K$44=$B11,Bau!$I$44,0)+IF(Bau!$K$45=$B11,Bau!$I$45,0)+IF(Bau!$X$41=$B11,Bau!$V$41,0)+IF(Bau!$X$44=$B11,Bau!$V$44,0)+IF(Bau!$X$45=$B11,Bau!$V$45,0)+IF(Bau!$X$22=$B11,Bau!$V$22,0)+IF(Bau!$X$25=$B11,Bau!$V$25,0)+IF(Bau!$X$26=$B11,Bau!$V$26,0)+IF(Bau!$K$22=$B11,Bau!$I$22,0)+IF(Bau!$K$25=$B11,Bau!$I$25,0)+IF(Bau!$K$26=$B11,Bau!$I$26,0)</f>
        <v>0</v>
      </c>
      <c r="W11" s="1594">
        <f>IF(Bau!$K$64=$B11,Bau!$I$64,0)+IF(Bau!$K$65=$B11,Bau!$I$65,0)</f>
        <v>0</v>
      </c>
      <c r="X11" s="1594">
        <f>IF(Bau!$K$67=$B11,Bau!$I$67,0)+IF(Bau!$K$68=$B11,Bau!$I$68,0)</f>
        <v>0</v>
      </c>
      <c r="Y11" s="1594">
        <f>IF(Bau!$K$70=$B11,Bau!$I$70,0)+IF(Bau!$K$71=$B11,Bau!$I$71,0)+IF(Bau!$K$75=$B11,Bau!$I$75,0)+IF(Bau!$K$76=$B11,Bau!$I$76,0)</f>
        <v>0</v>
      </c>
      <c r="Z11" s="1594">
        <f>IF(Bau!$I$84=$B11,Bau!$I$84,0)+IF(Bau!$K$85=$B11,Bau!$I$85,0)+IF(Bau!$K$86=$B11,Bau!$I$86,0)</f>
        <v>0</v>
      </c>
      <c r="AA11" s="1595">
        <f>IF(Bau!$K$88=$B11,Bau!$I$88,0)+IF(Bau!$K$89=$B11,Bau!$I$89,0)+IF(Bau!$K$91=$B11,Bau!$I$91,0)+IF(Bau!$K$92=$B11,Bau!$I$92,0)</f>
        <v>0</v>
      </c>
    </row>
    <row r="12" spans="2:27" ht="14.25" customHeight="1">
      <c r="B12" s="1615">
        <v>3</v>
      </c>
      <c r="C12" s="1633">
        <f t="shared" si="0"/>
        <v>0</v>
      </c>
      <c r="D12" s="1662"/>
      <c r="E12" s="1634">
        <f t="shared" si="1"/>
        <v>0</v>
      </c>
      <c r="F12" s="1599">
        <f>UWert!C21</f>
        <v>0</v>
      </c>
      <c r="G12" s="1619">
        <f>UWert!D22</f>
        <v>0</v>
      </c>
      <c r="H12" s="1624">
        <f t="shared" si="2"/>
        <v>0</v>
      </c>
      <c r="I12" s="1620">
        <f t="shared" si="3"/>
        <v>0</v>
      </c>
      <c r="J12" s="1643"/>
      <c r="K12" s="1588"/>
      <c r="L12" s="1648">
        <f>IF(Bau!$K$14=$B12,Bau!$I$14,0)+IF(Bau!$K$15=$B12,Bau!$I$15,0)+IF(Bau!$K$16=$B12,Bau!$I$16,0)+IF(Bau!$K$17=$B12,Bau!$I$17,0)+IF(Bau!$K$18=$B12,Bau!$I$18,0)+IF(Bau!$K$20=$B12,Bau!$I$20,0)</f>
        <v>0</v>
      </c>
      <c r="M12" s="1594">
        <f>IF(Bau!$X$14=$B12,Bau!$V$14,0)+IF(Bau!$X$15=$B12,Bau!$V$15,0)+IF(Bau!$X$16=$B12,Bau!$V$16,0)+IF(Bau!$X$17=$B12,Bau!$V$17,0)+IF(Bau!$X$18=$B12,Bau!$V$18,0)+IF(Bau!$X$20=$B12,Bau!$V$20,0)</f>
        <v>0</v>
      </c>
      <c r="N12" s="1594">
        <f>IF(Bau!$K$33=$B12,Bau!$I$33,0)+IF(Bau!$K$34=$B12,Bau!$I$34,0)+IF(Bau!$K$35=$B12,Bau!$I$35,0)+IF(Bau!$K$36=$B12,Bau!$I$36,0)+IF(Bau!$K$37=$B12,Bau!$I$37,0)+IF(Bau!$K$39=$B12,Bau!$I$39,0)</f>
        <v>0</v>
      </c>
      <c r="O12" s="1594">
        <f>IF(Bau!$X$33=$B12,Bau!$V$33,0)+IF(Bau!$X$34=$B12,Bau!$V$34,0)+IF(Bau!$X$35=$B12,Bau!$V$35,0)+IF(Bau!$X$36=$B12,Bau!$V$36,0)+IF(Bau!$X$37=$B12,Bau!$V$37,0)+IF(Bau!$X$39=$B12,Bau!$V$39,0)</f>
        <v>0</v>
      </c>
      <c r="P12" s="1594">
        <f>IF(Fenster!$J$11=$B12,Fenster!$F$11*Fenster!$H$11,0)+IF(Fenster!$J$13=$B12,Fenster!$F$13*Fenster!$H$13,0)+IF(Fenster!$J$15=$B12,Fenster!$F$15*Fenster!$H$15,0)+IF(Fenster!$J$17=$B12,Fenster!$F$17*Fenster!$H$17,0)+IF(Fenster!$J$19=$B12,Fenster!$F$19*Fenster!$H$19,0)+IF(Fenster!$J$21=$B12,Fenster!$F$21*Fenster!$H$21,0)+IF(Fenster!$J$23=$B12,Fenster!$F$23*Fenster!$H$23,0)+IF(Fenster!$J$25=$B12,Fenster!$F$25*Fenster!$H$25,0)</f>
        <v>0</v>
      </c>
      <c r="Q12" s="1594">
        <f>IF(Fenster!$J$34=$B12,Fenster!$F$34*Fenster!$H$34,0)+IF(Fenster!$J$36=$B12,Fenster!$F$36*Fenster!$H$36,0)+IF(Fenster!$J$38=$B12,Fenster!$F$38*Fenster!$H$38,0)+IF(Fenster!$J$40=$B12,Fenster!$F$40*Fenster!$H$40,0)+IF(Fenster!$J$42=$B12,Fenster!$F$42*Fenster!$H$42,0)+IF(Fenster!$J$44=$B12,Fenster!$F$44*Fenster!$H$44,0)+IF(Fenster!$J$46=$B12,Fenster!$F$46*Fenster!$H$46,0)+IF(Fenster!$J$48=$B12,Fenster!$F$48*Fenster!$H$48,0)</f>
        <v>0</v>
      </c>
      <c r="R12" s="1594">
        <f>IF(Fenster!$J$57=$B12,Fenster!$F$57*Fenster!$H$57,0)+IF(Fenster!$J$59=$B12,Fenster!$F$59*Fenster!$H$59,0)+IF(Fenster!$J$61=$B12,Fenster!$F$61*Fenster!$H$61,0)+IF(Fenster!$J$63=$B12,Fenster!$F$63*Fenster!$H$63,0)+IF(Fenster!$J$65=$B12,Fenster!$F$65*Fenster!$H$65,0)+IF(Fenster!$J$67=$B12,Fenster!$F$67*Fenster!$H$67,0)+IF(Fenster!$J$69=$B12,Fenster!$F$69*Fenster!$H$69,0)+IF(Fenster!$J$71=$B12,Fenster!$F$71*Fenster!$H$71,0)</f>
        <v>0</v>
      </c>
      <c r="S12" s="1594">
        <f>IF(Fenster!$J$80=$B12,Fenster!$F$80*Fenster!$H$80,0)+IF(Fenster!$J$82=$B12,Fenster!$F$82*Fenster!$H$82,0)+IF(Fenster!$J$84=$B12,Fenster!$F$84*Fenster!$H$84,0)+IF(Fenster!$J$86=$B12,Fenster!$F$86*Fenster!$H$86,0)+IF(Fenster!$J$88=$B12,Fenster!$F$88*Fenster!$H$88,0)+IF(Fenster!$J$90=$B12,Fenster!$F$90*Fenster!$H$90,0)+IF(Fenster!$J$92=$B12,Fenster!$F$92*Fenster!$H$92,0)+IF(Fenster!$J$94=$B12,Fenster!$F$94*Fenster!$H$94,0)</f>
        <v>0</v>
      </c>
      <c r="T12" s="1594">
        <f>IF(Fenster!$J$103=$B12,Fenster!$F$103*Fenster!$H$103,0)+IF(Fenster!$J$105=$B12,Fenster!$F$105*Fenster!$H$105,0)+IF(Fenster!$J$107=$B12,Fenster!$F$107*Fenster!$H$107,0)+IF(Fenster!$J$109=$B12,Fenster!$F$109*Fenster!$H$109,0)+IF(Fenster!$J$111=$B12,Fenster!$F$111*Fenster!$H$111,0)+IF(Fenster!$J$113=$B12,Fenster!$F$113*Fenster!$H$113,0)+IF(Fenster!$J$115=$B12,Fenster!$F$115*Fenster!$H$115,0)+IF(Fenster!$J$117=$B12,Fenster!$F$117*Fenster!$H$117,0)</f>
        <v>0</v>
      </c>
      <c r="U12" s="1594">
        <f>IF(Bau!$K$23=$B12,Bau!$I$23,0)+IF(Bau!$K$24=$B12,Bau!$I$24,0)+IF(Bau!$X$23=$B12,Bau!$V$23,0)+IF(Bau!$X$24=$B12,Bau!$V$24,0)+IF(Bau!$K$42=$B12,Bau!$I$42,0)+IF(Bau!$K$43=$B12,Bau!$I$43,0)+IF(Bau!$X$42=$B12,Bau!$V$42,0)+IF(Bau!$X$43=$B12,Bau!$V$43,0)+IF(Bau!$K$94=$B12,Bau!$I$94,0)</f>
        <v>0</v>
      </c>
      <c r="V12" s="1594">
        <f>IF(Bau!$X$51=$B12,Bau!$V$51,0)+IF(Bau!$X$52=$B12,Bau!$V$52,0)+IF(Bau!$K$41=$B12,Bau!$I$41,0)+IF(Bau!$K$44=$B12,Bau!$I$44,0)+IF(Bau!$K$45=$B12,Bau!$I$45,0)+IF(Bau!$X$41=$B12,Bau!$V$41,0)+IF(Bau!$X$44=$B12,Bau!$V$44,0)+IF(Bau!$X$45=$B12,Bau!$V$45,0)+IF(Bau!$X$22=$B12,Bau!$V$22,0)+IF(Bau!$X$25=$B12,Bau!$V$25,0)+IF(Bau!$X$26=$B12,Bau!$V$26,0)+IF(Bau!$K$22=$B12,Bau!$I$22,0)+IF(Bau!$K$25=$B12,Bau!$I$25,0)+IF(Bau!$K$26=$B12,Bau!$I$26,0)</f>
        <v>0</v>
      </c>
      <c r="W12" s="1594">
        <f>IF(Bau!$K$64=$B12,Bau!$I$64,0)+IF(Bau!$K$65=$B12,Bau!$I$65,0)</f>
        <v>0</v>
      </c>
      <c r="X12" s="1594">
        <f>IF(Bau!$K$67=$B12,Bau!$I$67,0)+IF(Bau!$K$68=$B12,Bau!$I$68,0)</f>
        <v>0</v>
      </c>
      <c r="Y12" s="1594">
        <f>IF(Bau!$K$70=$B12,Bau!$I$70,0)+IF(Bau!$K$71=$B12,Bau!$I$71,0)+IF(Bau!$K$75=$B12,Bau!$I$75,0)+IF(Bau!$K$76=$B12,Bau!$I$76,0)</f>
        <v>0</v>
      </c>
      <c r="Z12" s="1594">
        <f>IF(Bau!$I$84=$B12,Bau!$I$84,0)+IF(Bau!$K$85=$B12,Bau!$I$85,0)+IF(Bau!$K$86=$B12,Bau!$I$86,0)</f>
        <v>0</v>
      </c>
      <c r="AA12" s="1595">
        <f>IF(Bau!$K$88=$B12,Bau!$I$88,0)+IF(Bau!$K$89=$B12,Bau!$I$89,0)+IF(Bau!$K$91=$B12,Bau!$I$91,0)+IF(Bau!$K$92=$B12,Bau!$I$92,0)</f>
        <v>0</v>
      </c>
    </row>
    <row r="13" spans="2:27">
      <c r="B13" s="1615">
        <v>4</v>
      </c>
      <c r="C13" s="1633">
        <f t="shared" si="0"/>
        <v>0</v>
      </c>
      <c r="D13" s="1662"/>
      <c r="E13" s="1634">
        <f t="shared" si="1"/>
        <v>0</v>
      </c>
      <c r="F13" s="1599">
        <f>UWert!K21</f>
        <v>0</v>
      </c>
      <c r="G13" s="1619">
        <f>UWert!L22</f>
        <v>0</v>
      </c>
      <c r="H13" s="1624">
        <f t="shared" si="2"/>
        <v>0</v>
      </c>
      <c r="I13" s="1620">
        <f t="shared" si="3"/>
        <v>0</v>
      </c>
      <c r="J13" s="1643"/>
      <c r="K13" s="1588"/>
      <c r="L13" s="1648">
        <f>IF(Bau!$K$14=$B13,Bau!$I$14,0)+IF(Bau!$K$15=$B13,Bau!$I$15,0)+IF(Bau!$K$16=$B13,Bau!$I$16,0)+IF(Bau!$K$17=$B13,Bau!$I$17,0)+IF(Bau!$K$18=$B13,Bau!$I$18,0)+IF(Bau!$K$20=$B13,Bau!$I$20,0)</f>
        <v>0</v>
      </c>
      <c r="M13" s="1594">
        <f>IF(Bau!$X$14=$B13,Bau!$V$14,0)+IF(Bau!$X$15=$B13,Bau!$V$15,0)+IF(Bau!$X$16=$B13,Bau!$V$16,0)+IF(Bau!$X$17=$B13,Bau!$V$17,0)+IF(Bau!$X$18=$B13,Bau!$V$18,0)+IF(Bau!$X$20=$B13,Bau!$V$20,0)</f>
        <v>0</v>
      </c>
      <c r="N13" s="1594">
        <f>IF(Bau!$K$33=$B13,Bau!$I$33,0)+IF(Bau!$K$34=$B13,Bau!$I$34,0)+IF(Bau!$K$35=$B13,Bau!$I$35,0)+IF(Bau!$K$36=$B13,Bau!$I$36,0)+IF(Bau!$K$37=$B13,Bau!$I$37,0)+IF(Bau!$K$39=$B13,Bau!$I$39,0)</f>
        <v>0</v>
      </c>
      <c r="O13" s="1594">
        <f>IF(Bau!$X$33=$B13,Bau!$V$33,0)+IF(Bau!$X$34=$B13,Bau!$V$34,0)+IF(Bau!$X$35=$B13,Bau!$V$35,0)+IF(Bau!$X$36=$B13,Bau!$V$36,0)+IF(Bau!$X$37=$B13,Bau!$V$37,0)+IF(Bau!$X$39=$B13,Bau!$V$39,0)</f>
        <v>0</v>
      </c>
      <c r="P13" s="1594">
        <f>IF(Fenster!$J$11=$B13,Fenster!$F$11*Fenster!$H$11,0)+IF(Fenster!$J$13=$B13,Fenster!$F$13*Fenster!$H$13,0)+IF(Fenster!$J$15=$B13,Fenster!$F$15*Fenster!$H$15,0)+IF(Fenster!$J$17=$B13,Fenster!$F$17*Fenster!$H$17,0)+IF(Fenster!$J$19=$B13,Fenster!$F$19*Fenster!$H$19,0)+IF(Fenster!$J$21=$B13,Fenster!$F$21*Fenster!$H$21,0)+IF(Fenster!$J$23=$B13,Fenster!$F$23*Fenster!$H$23,0)+IF(Fenster!$J$25=$B13,Fenster!$F$25*Fenster!$H$25,0)</f>
        <v>0</v>
      </c>
      <c r="Q13" s="1594">
        <f>IF(Fenster!$J$34=$B13,Fenster!$F$34*Fenster!$H$34,0)+IF(Fenster!$J$36=$B13,Fenster!$F$36*Fenster!$H$36,0)+IF(Fenster!$J$38=$B13,Fenster!$F$38*Fenster!$H$38,0)+IF(Fenster!$J$40=$B13,Fenster!$F$40*Fenster!$H$40,0)+IF(Fenster!$J$42=$B13,Fenster!$F$42*Fenster!$H$42,0)+IF(Fenster!$J$44=$B13,Fenster!$F$44*Fenster!$H$44,0)+IF(Fenster!$J$46=$B13,Fenster!$F$46*Fenster!$H$46,0)+IF(Fenster!$J$48=$B13,Fenster!$F$48*Fenster!$H$48,0)</f>
        <v>0</v>
      </c>
      <c r="R13" s="1594">
        <f>IF(Fenster!$J$57=$B13,Fenster!$F$57*Fenster!$H$57,0)+IF(Fenster!$J$59=$B13,Fenster!$F$59*Fenster!$H$59,0)+IF(Fenster!$J$61=$B13,Fenster!$F$61*Fenster!$H$61,0)+IF(Fenster!$J$63=$B13,Fenster!$F$63*Fenster!$H$63,0)+IF(Fenster!$J$65=$B13,Fenster!$F$65*Fenster!$H$65,0)+IF(Fenster!$J$67=$B13,Fenster!$F$67*Fenster!$H$67,0)+IF(Fenster!$J$69=$B13,Fenster!$F$69*Fenster!$H$69,0)+IF(Fenster!$J$71=$B13,Fenster!$F$71*Fenster!$H$71,0)</f>
        <v>0</v>
      </c>
      <c r="S13" s="1594">
        <f>IF(Fenster!$J$80=$B13,Fenster!$F$80*Fenster!$H$80,0)+IF(Fenster!$J$82=$B13,Fenster!$F$82*Fenster!$H$82,0)+IF(Fenster!$J$84=$B13,Fenster!$F$84*Fenster!$H$84,0)+IF(Fenster!$J$86=$B13,Fenster!$F$86*Fenster!$H$86,0)+IF(Fenster!$J$88=$B13,Fenster!$F$88*Fenster!$H$88,0)+IF(Fenster!$J$90=$B13,Fenster!$F$90*Fenster!$H$90,0)+IF(Fenster!$J$92=$B13,Fenster!$F$92*Fenster!$H$92,0)+IF(Fenster!$J$94=$B13,Fenster!$F$94*Fenster!$H$94,0)</f>
        <v>0</v>
      </c>
      <c r="T13" s="1594">
        <f>IF(Fenster!$J$103=$B13,Fenster!$F$103*Fenster!$H$103,0)+IF(Fenster!$J$105=$B13,Fenster!$F$105*Fenster!$H$105,0)+IF(Fenster!$J$107=$B13,Fenster!$F$107*Fenster!$H$107,0)+IF(Fenster!$J$109=$B13,Fenster!$F$109*Fenster!$H$109,0)+IF(Fenster!$J$111=$B13,Fenster!$F$111*Fenster!$H$111,0)+IF(Fenster!$J$113=$B13,Fenster!$F$113*Fenster!$H$113,0)+IF(Fenster!$J$115=$B13,Fenster!$F$115*Fenster!$H$115,0)+IF(Fenster!$J$117=$B13,Fenster!$F$117*Fenster!$H$117,0)</f>
        <v>0</v>
      </c>
      <c r="U13" s="1594">
        <f>IF(Bau!$K$23=$B13,Bau!$I$23,0)+IF(Bau!$K$24=$B13,Bau!$I$24,0)+IF(Bau!$X$23=$B13,Bau!$V$23,0)+IF(Bau!$X$24=$B13,Bau!$V$24,0)+IF(Bau!$K$42=$B13,Bau!$I$42,0)+IF(Bau!$K$43=$B13,Bau!$I$43,0)+IF(Bau!$X$42=$B13,Bau!$V$42,0)+IF(Bau!$X$43=$B13,Bau!$V$43,0)+IF(Bau!$K$94=$B13,Bau!$I$94,0)</f>
        <v>0</v>
      </c>
      <c r="V13" s="1594">
        <f>IF(Bau!$X$51=$B13,Bau!$V$51,0)+IF(Bau!$X$52=$B13,Bau!$V$52,0)+IF(Bau!$K$41=$B13,Bau!$I$41,0)+IF(Bau!$K$44=$B13,Bau!$I$44,0)+IF(Bau!$K$45=$B13,Bau!$I$45,0)+IF(Bau!$X$41=$B13,Bau!$V$41,0)+IF(Bau!$X$44=$B13,Bau!$V$44,0)+IF(Bau!$X$45=$B13,Bau!$V$45,0)+IF(Bau!$X$22=$B13,Bau!$V$22,0)+IF(Bau!$X$25=$B13,Bau!$V$25,0)+IF(Bau!$X$26=$B13,Bau!$V$26,0)+IF(Bau!$K$22=$B13,Bau!$I$22,0)+IF(Bau!$K$25=$B13,Bau!$I$25,0)+IF(Bau!$K$26=$B13,Bau!$I$26,0)</f>
        <v>0</v>
      </c>
      <c r="W13" s="1594">
        <f>IF(Bau!$K$64=$B13,Bau!$I$64,0)+IF(Bau!$K$65=$B13,Bau!$I$65,0)</f>
        <v>0</v>
      </c>
      <c r="X13" s="1594">
        <f>IF(Bau!$K$67=$B13,Bau!$I$67,0)+IF(Bau!$K$68=$B13,Bau!$I$68,0)</f>
        <v>0</v>
      </c>
      <c r="Y13" s="1594">
        <f>IF(Bau!$K$70=$B13,Bau!$I$70,0)+IF(Bau!$K$71=$B13,Bau!$I$71,0)+IF(Bau!$K$75=$B13,Bau!$I$75,0)+IF(Bau!$K$76=$B13,Bau!$I$76,0)</f>
        <v>0</v>
      </c>
      <c r="Z13" s="1594">
        <f>IF(Bau!$I$84=$B13,Bau!$I$84,0)+IF(Bau!$K$85=$B13,Bau!$I$85,0)+IF(Bau!$K$86=$B13,Bau!$I$86,0)</f>
        <v>0</v>
      </c>
      <c r="AA13" s="1595">
        <f>IF(Bau!$K$88=$B13,Bau!$I$88,0)+IF(Bau!$K$89=$B13,Bau!$I$89,0)+IF(Bau!$K$91=$B13,Bau!$I$91,0)+IF(Bau!$K$92=$B13,Bau!$I$92,0)</f>
        <v>0</v>
      </c>
    </row>
    <row r="14" spans="2:27">
      <c r="B14" s="1615">
        <v>5</v>
      </c>
      <c r="C14" s="1633">
        <f t="shared" si="0"/>
        <v>0</v>
      </c>
      <c r="D14" s="1662"/>
      <c r="E14" s="1634">
        <f t="shared" si="1"/>
        <v>0</v>
      </c>
      <c r="F14" s="1599">
        <f>UWert!C35</f>
        <v>0</v>
      </c>
      <c r="G14" s="1619">
        <f>UWert!D36</f>
        <v>0</v>
      </c>
      <c r="H14" s="1624">
        <f t="shared" si="2"/>
        <v>0</v>
      </c>
      <c r="I14" s="1620">
        <f t="shared" si="3"/>
        <v>0</v>
      </c>
      <c r="J14" s="1643"/>
      <c r="K14" s="1588"/>
      <c r="L14" s="1648">
        <f>IF(Bau!$K$14=$B14,Bau!$I$14,0)+IF(Bau!$K$15=$B14,Bau!$I$15,0)+IF(Bau!$K$16=$B14,Bau!$I$16,0)+IF(Bau!$K$17=$B14,Bau!$I$17,0)+IF(Bau!$K$18=$B14,Bau!$I$18,0)+IF(Bau!$K$20=$B14,Bau!$I$20,0)</f>
        <v>0</v>
      </c>
      <c r="M14" s="1594">
        <f>IF(Bau!$X$14=$B14,Bau!$V$14,0)+IF(Bau!$X$15=$B14,Bau!$V$15,0)+IF(Bau!$X$16=$B14,Bau!$V$16,0)+IF(Bau!$X$17=$B14,Bau!$V$17,0)+IF(Bau!$X$18=$B14,Bau!$V$18,0)+IF(Bau!$X$20=$B14,Bau!$V$20,0)</f>
        <v>0</v>
      </c>
      <c r="N14" s="1594">
        <f>IF(Bau!$K$33=$B14,Bau!$I$33,0)+IF(Bau!$K$34=$B14,Bau!$I$34,0)+IF(Bau!$K$35=$B14,Bau!$I$35,0)+IF(Bau!$K$36=$B14,Bau!$I$36,0)+IF(Bau!$K$37=$B14,Bau!$I$37,0)+IF(Bau!$K$39=$B14,Bau!$I$39,0)</f>
        <v>0</v>
      </c>
      <c r="O14" s="1594">
        <f>IF(Bau!$X$33=$B14,Bau!$V$33,0)+IF(Bau!$X$34=$B14,Bau!$V$34,0)+IF(Bau!$X$35=$B14,Bau!$V$35,0)+IF(Bau!$X$36=$B14,Bau!$V$36,0)+IF(Bau!$X$37=$B14,Bau!$V$37,0)+IF(Bau!$X$39=$B14,Bau!$V$39,0)</f>
        <v>0</v>
      </c>
      <c r="P14" s="1594">
        <f>IF(Fenster!$J$11=$B14,Fenster!$F$11*Fenster!$H$11,0)+IF(Fenster!$J$13=$B14,Fenster!$F$13*Fenster!$H$13,0)+IF(Fenster!$J$15=$B14,Fenster!$F$15*Fenster!$H$15,0)+IF(Fenster!$J$17=$B14,Fenster!$F$17*Fenster!$H$17,0)+IF(Fenster!$J$19=$B14,Fenster!$F$19*Fenster!$H$19,0)+IF(Fenster!$J$21=$B14,Fenster!$F$21*Fenster!$H$21,0)+IF(Fenster!$J$23=$B14,Fenster!$F$23*Fenster!$H$23,0)+IF(Fenster!$J$25=$B14,Fenster!$F$25*Fenster!$H$25,0)</f>
        <v>0</v>
      </c>
      <c r="Q14" s="1594">
        <f>IF(Fenster!$J$34=$B14,Fenster!$F$34*Fenster!$H$34,0)+IF(Fenster!$J$36=$B14,Fenster!$F$36*Fenster!$H$36,0)+IF(Fenster!$J$38=$B14,Fenster!$F$38*Fenster!$H$38,0)+IF(Fenster!$J$40=$B14,Fenster!$F$40*Fenster!$H$40,0)+IF(Fenster!$J$42=$B14,Fenster!$F$42*Fenster!$H$42,0)+IF(Fenster!$J$44=$B14,Fenster!$F$44*Fenster!$H$44,0)+IF(Fenster!$J$46=$B14,Fenster!$F$46*Fenster!$H$46,0)+IF(Fenster!$J$48=$B14,Fenster!$F$48*Fenster!$H$48,0)</f>
        <v>0</v>
      </c>
      <c r="R14" s="1594">
        <f>IF(Fenster!$J$57=$B14,Fenster!$F$57*Fenster!$H$57,0)+IF(Fenster!$J$59=$B14,Fenster!$F$59*Fenster!$H$59,0)+IF(Fenster!$J$61=$B14,Fenster!$F$61*Fenster!$H$61,0)+IF(Fenster!$J$63=$B14,Fenster!$F$63*Fenster!$H$63,0)+IF(Fenster!$J$65=$B14,Fenster!$F$65*Fenster!$H$65,0)+IF(Fenster!$J$67=$B14,Fenster!$F$67*Fenster!$H$67,0)+IF(Fenster!$J$69=$B14,Fenster!$F$69*Fenster!$H$69,0)+IF(Fenster!$J$71=$B14,Fenster!$F$71*Fenster!$H$71,0)</f>
        <v>0</v>
      </c>
      <c r="S14" s="1594">
        <f>IF(Fenster!$J$80=$B14,Fenster!$F$80*Fenster!$H$80,0)+IF(Fenster!$J$82=$B14,Fenster!$F$82*Fenster!$H$82,0)+IF(Fenster!$J$84=$B14,Fenster!$F$84*Fenster!$H$84,0)+IF(Fenster!$J$86=$B14,Fenster!$F$86*Fenster!$H$86,0)+IF(Fenster!$J$88=$B14,Fenster!$F$88*Fenster!$H$88,0)+IF(Fenster!$J$90=$B14,Fenster!$F$90*Fenster!$H$90,0)+IF(Fenster!$J$92=$B14,Fenster!$F$92*Fenster!$H$92,0)+IF(Fenster!$J$94=$B14,Fenster!$F$94*Fenster!$H$94,0)</f>
        <v>0</v>
      </c>
      <c r="T14" s="1594">
        <f>IF(Fenster!$J$103=$B14,Fenster!$F$103*Fenster!$H$103,0)+IF(Fenster!$J$105=$B14,Fenster!$F$105*Fenster!$H$105,0)+IF(Fenster!$J$107=$B14,Fenster!$F$107*Fenster!$H$107,0)+IF(Fenster!$J$109=$B14,Fenster!$F$109*Fenster!$H$109,0)+IF(Fenster!$J$111=$B14,Fenster!$F$111*Fenster!$H$111,0)+IF(Fenster!$J$113=$B14,Fenster!$F$113*Fenster!$H$113,0)+IF(Fenster!$J$115=$B14,Fenster!$F$115*Fenster!$H$115,0)+IF(Fenster!$J$117=$B14,Fenster!$F$117*Fenster!$H$117,0)</f>
        <v>0</v>
      </c>
      <c r="U14" s="1594">
        <f>IF(Bau!$K$23=$B14,Bau!$I$23,0)+IF(Bau!$K$24=$B14,Bau!$I$24,0)+IF(Bau!$X$23=$B14,Bau!$V$23,0)+IF(Bau!$X$24=$B14,Bau!$V$24,0)+IF(Bau!$K$42=$B14,Bau!$I$42,0)+IF(Bau!$K$43=$B14,Bau!$I$43,0)+IF(Bau!$X$42=$B14,Bau!$V$42,0)+IF(Bau!$X$43=$B14,Bau!$V$43,0)+IF(Bau!$K$94=$B14,Bau!$I$94,0)</f>
        <v>0</v>
      </c>
      <c r="V14" s="1594">
        <f>IF(Bau!$X$51=$B14,Bau!$V$51,0)+IF(Bau!$X$52=$B14,Bau!$V$52,0)+IF(Bau!$K$41=$B14,Bau!$I$41,0)+IF(Bau!$K$44=$B14,Bau!$I$44,0)+IF(Bau!$K$45=$B14,Bau!$I$45,0)+IF(Bau!$X$41=$B14,Bau!$V$41,0)+IF(Bau!$X$44=$B14,Bau!$V$44,0)+IF(Bau!$X$45=$B14,Bau!$V$45,0)+IF(Bau!$X$22=$B14,Bau!$V$22,0)+IF(Bau!$X$25=$B14,Bau!$V$25,0)+IF(Bau!$X$26=$B14,Bau!$V$26,0)+IF(Bau!$K$22=$B14,Bau!$I$22,0)+IF(Bau!$K$25=$B14,Bau!$I$25,0)+IF(Bau!$K$26=$B14,Bau!$I$26,0)</f>
        <v>0</v>
      </c>
      <c r="W14" s="1594">
        <f>IF(Bau!$K$64=$B14,Bau!$I$64,0)+IF(Bau!$K$65=$B14,Bau!$I$65,0)</f>
        <v>0</v>
      </c>
      <c r="X14" s="1594">
        <f>IF(Bau!$K$67=$B14,Bau!$I$67,0)+IF(Bau!$K$68=$B14,Bau!$I$68,0)</f>
        <v>0</v>
      </c>
      <c r="Y14" s="1594">
        <f>IF(Bau!$K$70=$B14,Bau!$I$70,0)+IF(Bau!$K$71=$B14,Bau!$I$71,0)+IF(Bau!$K$75=$B14,Bau!$I$75,0)+IF(Bau!$K$76=$B14,Bau!$I$76,0)</f>
        <v>0</v>
      </c>
      <c r="Z14" s="1594">
        <f>IF(Bau!$I$84=$B14,Bau!$I$84,0)+IF(Bau!$K$85=$B14,Bau!$I$85,0)+IF(Bau!$K$86=$B14,Bau!$I$86,0)</f>
        <v>0</v>
      </c>
      <c r="AA14" s="1595">
        <f>IF(Bau!$K$88=$B14,Bau!$I$88,0)+IF(Bau!$K$89=$B14,Bau!$I$89,0)+IF(Bau!$K$91=$B14,Bau!$I$91,0)+IF(Bau!$K$92=$B14,Bau!$I$92,0)</f>
        <v>0</v>
      </c>
    </row>
    <row r="15" spans="2:27" ht="14.25" customHeight="1">
      <c r="B15" s="1615">
        <v>6</v>
      </c>
      <c r="C15" s="1633">
        <f t="shared" si="0"/>
        <v>0</v>
      </c>
      <c r="D15" s="1662"/>
      <c r="E15" s="1634">
        <f t="shared" si="1"/>
        <v>0</v>
      </c>
      <c r="F15" s="1599">
        <f>UWert!K35</f>
        <v>0</v>
      </c>
      <c r="G15" s="1619">
        <f>UWert!L36</f>
        <v>0</v>
      </c>
      <c r="H15" s="1624">
        <f t="shared" si="2"/>
        <v>0</v>
      </c>
      <c r="I15" s="1620">
        <f t="shared" si="3"/>
        <v>0</v>
      </c>
      <c r="J15" s="1643"/>
      <c r="K15" s="1588"/>
      <c r="L15" s="1648">
        <f>IF(Bau!$K$14=$B15,Bau!$I$14,0)+IF(Bau!$K$15=$B15,Bau!$I$15,0)+IF(Bau!$K$16=$B15,Bau!$I$16,0)+IF(Bau!$K$17=$B15,Bau!$I$17,0)+IF(Bau!$K$18=$B15,Bau!$I$18,0)+IF(Bau!$K$20=$B15,Bau!$I$20,0)</f>
        <v>0</v>
      </c>
      <c r="M15" s="1594">
        <f>IF(Bau!$X$14=$B15,Bau!$V$14,0)+IF(Bau!$X$15=$B15,Bau!$V$15,0)+IF(Bau!$X$16=$B15,Bau!$V$16,0)+IF(Bau!$X$17=$B15,Bau!$V$17,0)+IF(Bau!$X$18=$B15,Bau!$V$18,0)+IF(Bau!$X$20=$B15,Bau!$V$20,0)</f>
        <v>0</v>
      </c>
      <c r="N15" s="1594">
        <f>IF(Bau!$K$33=$B15,Bau!$I$33,0)+IF(Bau!$K$34=$B15,Bau!$I$34,0)+IF(Bau!$K$35=$B15,Bau!$I$35,0)+IF(Bau!$K$36=$B15,Bau!$I$36,0)+IF(Bau!$K$37=$B15,Bau!$I$37,0)+IF(Bau!$K$39=$B15,Bau!$I$39,0)</f>
        <v>0</v>
      </c>
      <c r="O15" s="1594">
        <f>IF(Bau!$X$33=$B15,Bau!$V$33,0)+IF(Bau!$X$34=$B15,Bau!$V$34,0)+IF(Bau!$X$35=$B15,Bau!$V$35,0)+IF(Bau!$X$36=$B15,Bau!$V$36,0)+IF(Bau!$X$37=$B15,Bau!$V$37,0)+IF(Bau!$X$39=$B15,Bau!$V$39,0)</f>
        <v>0</v>
      </c>
      <c r="P15" s="1594">
        <f>IF(Fenster!$J$11=$B15,Fenster!$F$11*Fenster!$H$11,0)+IF(Fenster!$J$13=$B15,Fenster!$F$13*Fenster!$H$13,0)+IF(Fenster!$J$15=$B15,Fenster!$F$15*Fenster!$H$15,0)+IF(Fenster!$J$17=$B15,Fenster!$F$17*Fenster!$H$17,0)+IF(Fenster!$J$19=$B15,Fenster!$F$19*Fenster!$H$19,0)+IF(Fenster!$J$21=$B15,Fenster!$F$21*Fenster!$H$21,0)+IF(Fenster!$J$23=$B15,Fenster!$F$23*Fenster!$H$23,0)+IF(Fenster!$J$25=$B15,Fenster!$F$25*Fenster!$H$25,0)</f>
        <v>0</v>
      </c>
      <c r="Q15" s="1594">
        <f>IF(Fenster!$J$34=$B15,Fenster!$F$34*Fenster!$H$34,0)+IF(Fenster!$J$36=$B15,Fenster!$F$36*Fenster!$H$36,0)+IF(Fenster!$J$38=$B15,Fenster!$F$38*Fenster!$H$38,0)+IF(Fenster!$J$40=$B15,Fenster!$F$40*Fenster!$H$40,0)+IF(Fenster!$J$42=$B15,Fenster!$F$42*Fenster!$H$42,0)+IF(Fenster!$J$44=$B15,Fenster!$F$44*Fenster!$H$44,0)+IF(Fenster!$J$46=$B15,Fenster!$F$46*Fenster!$H$46,0)+IF(Fenster!$J$48=$B15,Fenster!$F$48*Fenster!$H$48,0)</f>
        <v>0</v>
      </c>
      <c r="R15" s="1594">
        <f>IF(Fenster!$J$57=$B15,Fenster!$F$57*Fenster!$H$57,0)+IF(Fenster!$J$59=$B15,Fenster!$F$59*Fenster!$H$59,0)+IF(Fenster!$J$61=$B15,Fenster!$F$61*Fenster!$H$61,0)+IF(Fenster!$J$63=$B15,Fenster!$F$63*Fenster!$H$63,0)+IF(Fenster!$J$65=$B15,Fenster!$F$65*Fenster!$H$65,0)+IF(Fenster!$J$67=$B15,Fenster!$F$67*Fenster!$H$67,0)+IF(Fenster!$J$69=$B15,Fenster!$F$69*Fenster!$H$69,0)+IF(Fenster!$J$71=$B15,Fenster!$F$71*Fenster!$H$71,0)</f>
        <v>0</v>
      </c>
      <c r="S15" s="1594">
        <f>IF(Fenster!$J$80=$B15,Fenster!$F$80*Fenster!$H$80,0)+IF(Fenster!$J$82=$B15,Fenster!$F$82*Fenster!$H$82,0)+IF(Fenster!$J$84=$B15,Fenster!$F$84*Fenster!$H$84,0)+IF(Fenster!$J$86=$B15,Fenster!$F$86*Fenster!$H$86,0)+IF(Fenster!$J$88=$B15,Fenster!$F$88*Fenster!$H$88,0)+IF(Fenster!$J$90=$B15,Fenster!$F$90*Fenster!$H$90,0)+IF(Fenster!$J$92=$B15,Fenster!$F$92*Fenster!$H$92,0)+IF(Fenster!$J$94=$B15,Fenster!$F$94*Fenster!$H$94,0)</f>
        <v>0</v>
      </c>
      <c r="T15" s="1594">
        <f>IF(Fenster!$J$103=$B15,Fenster!$F$103*Fenster!$H$103,0)+IF(Fenster!$J$105=$B15,Fenster!$F$105*Fenster!$H$105,0)+IF(Fenster!$J$107=$B15,Fenster!$F$107*Fenster!$H$107,0)+IF(Fenster!$J$109=$B15,Fenster!$F$109*Fenster!$H$109,0)+IF(Fenster!$J$111=$B15,Fenster!$F$111*Fenster!$H$111,0)+IF(Fenster!$J$113=$B15,Fenster!$F$113*Fenster!$H$113,0)+IF(Fenster!$J$115=$B15,Fenster!$F$115*Fenster!$H$115,0)+IF(Fenster!$J$117=$B15,Fenster!$F$117*Fenster!$H$117,0)</f>
        <v>0</v>
      </c>
      <c r="U15" s="1594">
        <f>IF(Bau!$K$23=$B15,Bau!$I$23,0)+IF(Bau!$K$24=$B15,Bau!$I$24,0)+IF(Bau!$X$23=$B15,Bau!$V$23,0)+IF(Bau!$X$24=$B15,Bau!$V$24,0)+IF(Bau!$K$42=$B15,Bau!$I$42,0)+IF(Bau!$K$43=$B15,Bau!$I$43,0)+IF(Bau!$X$42=$B15,Bau!$V$42,0)+IF(Bau!$X$43=$B15,Bau!$V$43,0)+IF(Bau!$K$94=$B15,Bau!$I$94,0)</f>
        <v>0</v>
      </c>
      <c r="V15" s="1594">
        <f>IF(Bau!$X$51=$B15,Bau!$V$51,0)+IF(Bau!$X$52=$B15,Bau!$V$52,0)+IF(Bau!$K$41=$B15,Bau!$I$41,0)+IF(Bau!$K$44=$B15,Bau!$I$44,0)+IF(Bau!$K$45=$B15,Bau!$I$45,0)+IF(Bau!$X$41=$B15,Bau!$V$41,0)+IF(Bau!$X$44=$B15,Bau!$V$44,0)+IF(Bau!$X$45=$B15,Bau!$V$45,0)+IF(Bau!$X$22=$B15,Bau!$V$22,0)+IF(Bau!$X$25=$B15,Bau!$V$25,0)+IF(Bau!$X$26=$B15,Bau!$V$26,0)+IF(Bau!$K$22=$B15,Bau!$I$22,0)+IF(Bau!$K$25=$B15,Bau!$I$25,0)+IF(Bau!$K$26=$B15,Bau!$I$26,0)</f>
        <v>0</v>
      </c>
      <c r="W15" s="1594">
        <f>IF(Bau!$K$64=$B15,Bau!$I$64,0)+IF(Bau!$K$65=$B15,Bau!$I$65,0)</f>
        <v>0</v>
      </c>
      <c r="X15" s="1594">
        <f>IF(Bau!$K$67=$B15,Bau!$I$67,0)+IF(Bau!$K$68=$B15,Bau!$I$68,0)</f>
        <v>0</v>
      </c>
      <c r="Y15" s="1594">
        <f>IF(Bau!$K$70=$B15,Bau!$I$70,0)+IF(Bau!$K$71=$B15,Bau!$I$71,0)+IF(Bau!$K$75=$B15,Bau!$I$75,0)+IF(Bau!$K$76=$B15,Bau!$I$76,0)</f>
        <v>0</v>
      </c>
      <c r="Z15" s="1594">
        <f>IF(Bau!$I$84=$B15,Bau!$I$84,0)+IF(Bau!$K$85=$B15,Bau!$I$85,0)+IF(Bau!$K$86=$B15,Bau!$I$86,0)</f>
        <v>0</v>
      </c>
      <c r="AA15" s="1595">
        <f>IF(Bau!$K$88=$B15,Bau!$I$88,0)+IF(Bau!$K$89=$B15,Bau!$I$89,0)+IF(Bau!$K$91=$B15,Bau!$I$91,0)+IF(Bau!$K$92=$B15,Bau!$I$92,0)</f>
        <v>0</v>
      </c>
    </row>
    <row r="16" spans="2:27" ht="15.6" customHeight="1">
      <c r="B16" s="1615">
        <v>7</v>
      </c>
      <c r="C16" s="1633">
        <f t="shared" si="0"/>
        <v>0</v>
      </c>
      <c r="D16" s="1662"/>
      <c r="E16" s="1634">
        <f t="shared" si="1"/>
        <v>0</v>
      </c>
      <c r="F16" s="1599">
        <f>UWert!C49</f>
        <v>0</v>
      </c>
      <c r="G16" s="1619">
        <f>UWert!D50</f>
        <v>0</v>
      </c>
      <c r="H16" s="1624">
        <f t="shared" si="2"/>
        <v>0</v>
      </c>
      <c r="I16" s="1620">
        <f t="shared" si="3"/>
        <v>0</v>
      </c>
      <c r="J16" s="1643"/>
      <c r="K16" s="1588"/>
      <c r="L16" s="1648">
        <f>IF(Bau!$K$14=$B16,Bau!$I$14,0)+IF(Bau!$K$15=$B16,Bau!$I$15,0)+IF(Bau!$K$16=$B16,Bau!$I$16,0)+IF(Bau!$K$17=$B16,Bau!$I$17,0)+IF(Bau!$K$18=$B16,Bau!$I$18,0)+IF(Bau!$K$20=$B16,Bau!$I$20,0)</f>
        <v>0</v>
      </c>
      <c r="M16" s="1594">
        <f>IF(Bau!$X$14=$B16,Bau!$V$14,0)+IF(Bau!$X$15=$B16,Bau!$V$15,0)+IF(Bau!$X$16=$B16,Bau!$V$16,0)+IF(Bau!$X$17=$B16,Bau!$V$17,0)+IF(Bau!$X$18=$B16,Bau!$V$18,0)+IF(Bau!$X$20=$B16,Bau!$V$20,0)</f>
        <v>0</v>
      </c>
      <c r="N16" s="1594">
        <f>IF(Bau!$K$33=$B16,Bau!$I$33,0)+IF(Bau!$K$34=$B16,Bau!$I$34,0)+IF(Bau!$K$35=$B16,Bau!$I$35,0)+IF(Bau!$K$36=$B16,Bau!$I$36,0)+IF(Bau!$K$37=$B16,Bau!$I$37,0)+IF(Bau!$K$39=$B16,Bau!$I$39,0)</f>
        <v>0</v>
      </c>
      <c r="O16" s="1594">
        <f>IF(Bau!$X$33=$B16,Bau!$V$33,0)+IF(Bau!$X$34=$B16,Bau!$V$34,0)+IF(Bau!$X$35=$B16,Bau!$V$35,0)+IF(Bau!$X$36=$B16,Bau!$V$36,0)+IF(Bau!$X$37=$B16,Bau!$V$37,0)+IF(Bau!$X$39=$B16,Bau!$V$39,0)</f>
        <v>0</v>
      </c>
      <c r="P16" s="1594">
        <f>IF(Fenster!$J$11=$B16,Fenster!$F$11*Fenster!$H$11,0)+IF(Fenster!$J$13=$B16,Fenster!$F$13*Fenster!$H$13,0)+IF(Fenster!$J$15=$B16,Fenster!$F$15*Fenster!$H$15,0)+IF(Fenster!$J$17=$B16,Fenster!$F$17*Fenster!$H$17,0)+IF(Fenster!$J$19=$B16,Fenster!$F$19*Fenster!$H$19,0)+IF(Fenster!$J$21=$B16,Fenster!$F$21*Fenster!$H$21,0)+IF(Fenster!$J$23=$B16,Fenster!$F$23*Fenster!$H$23,0)+IF(Fenster!$J$25=$B16,Fenster!$F$25*Fenster!$H$25,0)</f>
        <v>0</v>
      </c>
      <c r="Q16" s="1594">
        <f>IF(Fenster!$J$34=$B16,Fenster!$F$34*Fenster!$H$34,0)+IF(Fenster!$J$36=$B16,Fenster!$F$36*Fenster!$H$36,0)+IF(Fenster!$J$38=$B16,Fenster!$F$38*Fenster!$H$38,0)+IF(Fenster!$J$40=$B16,Fenster!$F$40*Fenster!$H$40,0)+IF(Fenster!$J$42=$B16,Fenster!$F$42*Fenster!$H$42,0)+IF(Fenster!$J$44=$B16,Fenster!$F$44*Fenster!$H$44,0)+IF(Fenster!$J$46=$B16,Fenster!$F$46*Fenster!$H$46,0)+IF(Fenster!$J$48=$B16,Fenster!$F$48*Fenster!$H$48,0)</f>
        <v>0</v>
      </c>
      <c r="R16" s="1594">
        <f>IF(Fenster!$J$57=$B16,Fenster!$F$57*Fenster!$H$57,0)+IF(Fenster!$J$59=$B16,Fenster!$F$59*Fenster!$H$59,0)+IF(Fenster!$J$61=$B16,Fenster!$F$61*Fenster!$H$61,0)+IF(Fenster!$J$63=$B16,Fenster!$F$63*Fenster!$H$63,0)+IF(Fenster!$J$65=$B16,Fenster!$F$65*Fenster!$H$65,0)+IF(Fenster!$J$67=$B16,Fenster!$F$67*Fenster!$H$67,0)+IF(Fenster!$J$69=$B16,Fenster!$F$69*Fenster!$H$69,0)+IF(Fenster!$J$71=$B16,Fenster!$F$71*Fenster!$H$71,0)</f>
        <v>0</v>
      </c>
      <c r="S16" s="1594">
        <f>IF(Fenster!$J$80=$B16,Fenster!$F$80*Fenster!$H$80,0)+IF(Fenster!$J$82=$B16,Fenster!$F$82*Fenster!$H$82,0)+IF(Fenster!$J$84=$B16,Fenster!$F$84*Fenster!$H$84,0)+IF(Fenster!$J$86=$B16,Fenster!$F$86*Fenster!$H$86,0)+IF(Fenster!$J$88=$B16,Fenster!$F$88*Fenster!$H$88,0)+IF(Fenster!$J$90=$B16,Fenster!$F$90*Fenster!$H$90,0)+IF(Fenster!$J$92=$B16,Fenster!$F$92*Fenster!$H$92,0)+IF(Fenster!$J$94=$B16,Fenster!$F$94*Fenster!$H$94,0)</f>
        <v>0</v>
      </c>
      <c r="T16" s="1594">
        <f>IF(Fenster!$J$103=$B16,Fenster!$F$103*Fenster!$H$103,0)+IF(Fenster!$J$105=$B16,Fenster!$F$105*Fenster!$H$105,0)+IF(Fenster!$J$107=$B16,Fenster!$F$107*Fenster!$H$107,0)+IF(Fenster!$J$109=$B16,Fenster!$F$109*Fenster!$H$109,0)+IF(Fenster!$J$111=$B16,Fenster!$F$111*Fenster!$H$111,0)+IF(Fenster!$J$113=$B16,Fenster!$F$113*Fenster!$H$113,0)+IF(Fenster!$J$115=$B16,Fenster!$F$115*Fenster!$H$115,0)+IF(Fenster!$J$117=$B16,Fenster!$F$117*Fenster!$H$117,0)</f>
        <v>0</v>
      </c>
      <c r="U16" s="1594">
        <f>IF(Bau!$K$23=$B16,Bau!$I$23,0)+IF(Bau!$K$24=$B16,Bau!$I$24,0)+IF(Bau!$X$23=$B16,Bau!$V$23,0)+IF(Bau!$X$24=$B16,Bau!$V$24,0)+IF(Bau!$K$42=$B16,Bau!$I$42,0)+IF(Bau!$K$43=$B16,Bau!$I$43,0)+IF(Bau!$X$42=$B16,Bau!$V$42,0)+IF(Bau!$X$43=$B16,Bau!$V$43,0)+IF(Bau!$K$94=$B16,Bau!$I$94,0)</f>
        <v>0</v>
      </c>
      <c r="V16" s="1594">
        <f>IF(Bau!$X$51=$B16,Bau!$V$51,0)+IF(Bau!$X$52=$B16,Bau!$V$52,0)+IF(Bau!$K$41=$B16,Bau!$I$41,0)+IF(Bau!$K$44=$B16,Bau!$I$44,0)+IF(Bau!$K$45=$B16,Bau!$I$45,0)+IF(Bau!$X$41=$B16,Bau!$V$41,0)+IF(Bau!$X$44=$B16,Bau!$V$44,0)+IF(Bau!$X$45=$B16,Bau!$V$45,0)+IF(Bau!$X$22=$B16,Bau!$V$22,0)+IF(Bau!$X$25=$B16,Bau!$V$25,0)+IF(Bau!$X$26=$B16,Bau!$V$26,0)+IF(Bau!$K$22=$B16,Bau!$I$22,0)+IF(Bau!$K$25=$B16,Bau!$I$25,0)+IF(Bau!$K$26=$B16,Bau!$I$26,0)</f>
        <v>0</v>
      </c>
      <c r="W16" s="1594">
        <f>IF(Bau!$K$64=$B16,Bau!$I$64,0)+IF(Bau!$K$65=$B16,Bau!$I$65,0)</f>
        <v>0</v>
      </c>
      <c r="X16" s="1594">
        <f>IF(Bau!$K$67=$B16,Bau!$I$67,0)+IF(Bau!$K$68=$B16,Bau!$I$68,0)</f>
        <v>0</v>
      </c>
      <c r="Y16" s="1594">
        <f>IF(Bau!$K$70=$B16,Bau!$I$70,0)+IF(Bau!$K$71=$B16,Bau!$I$71,0)+IF(Bau!$K$75=$B16,Bau!$I$75,0)+IF(Bau!$K$76=$B16,Bau!$I$76,0)</f>
        <v>0</v>
      </c>
      <c r="Z16" s="1594">
        <f>IF(Bau!$I$84=$B16,Bau!$I$84,0)+IF(Bau!$K$85=$B16,Bau!$I$85,0)+IF(Bau!$K$86=$B16,Bau!$I$86,0)</f>
        <v>0</v>
      </c>
      <c r="AA16" s="1595">
        <f>IF(Bau!$K$88=$B16,Bau!$I$88,0)+IF(Bau!$K$89=$B16,Bau!$I$89,0)+IF(Bau!$K$91=$B16,Bau!$I$91,0)+IF(Bau!$K$92=$B16,Bau!$I$92,0)</f>
        <v>0</v>
      </c>
    </row>
    <row r="17" spans="2:27">
      <c r="B17" s="1615">
        <v>8</v>
      </c>
      <c r="C17" s="1633">
        <f t="shared" si="0"/>
        <v>0</v>
      </c>
      <c r="D17" s="1662"/>
      <c r="E17" s="1634">
        <f t="shared" si="1"/>
        <v>0</v>
      </c>
      <c r="F17" s="1599">
        <f>UWert!K49</f>
        <v>0</v>
      </c>
      <c r="G17" s="1619">
        <f>UWert!L50</f>
        <v>0</v>
      </c>
      <c r="H17" s="1624">
        <f t="shared" si="2"/>
        <v>0</v>
      </c>
      <c r="I17" s="1620">
        <f t="shared" si="3"/>
        <v>0</v>
      </c>
      <c r="J17" s="1643"/>
      <c r="K17" s="1588"/>
      <c r="L17" s="1648">
        <f>IF(Bau!$K$14=$B17,Bau!$I$14,0)+IF(Bau!$K$15=$B17,Bau!$I$15,0)+IF(Bau!$K$16=$B17,Bau!$I$16,0)+IF(Bau!$K$17=$B17,Bau!$I$17,0)+IF(Bau!$K$18=$B17,Bau!$I$18,0)+IF(Bau!$K$20=$B17,Bau!$I$20,0)</f>
        <v>0</v>
      </c>
      <c r="M17" s="1594">
        <f>IF(Bau!$X$14=$B17,Bau!$V$14,0)+IF(Bau!$X$15=$B17,Bau!$V$15,0)+IF(Bau!$X$16=$B17,Bau!$V$16,0)+IF(Bau!$X$17=$B17,Bau!$V$17,0)+IF(Bau!$X$18=$B17,Bau!$V$18,0)+IF(Bau!$X$20=$B17,Bau!$V$20,0)</f>
        <v>0</v>
      </c>
      <c r="N17" s="1594">
        <f>IF(Bau!$K$33=$B17,Bau!$I$33,0)+IF(Bau!$K$34=$B17,Bau!$I$34,0)+IF(Bau!$K$35=$B17,Bau!$I$35,0)+IF(Bau!$K$36=$B17,Bau!$I$36,0)+IF(Bau!$K$37=$B17,Bau!$I$37,0)+IF(Bau!$K$39=$B17,Bau!$I$39,0)</f>
        <v>0</v>
      </c>
      <c r="O17" s="1594">
        <f>IF(Bau!$X$33=$B17,Bau!$V$33,0)+IF(Bau!$X$34=$B17,Bau!$V$34,0)+IF(Bau!$X$35=$B17,Bau!$V$35,0)+IF(Bau!$X$36=$B17,Bau!$V$36,0)+IF(Bau!$X$37=$B17,Bau!$V$37,0)+IF(Bau!$X$39=$B17,Bau!$V$39,0)</f>
        <v>0</v>
      </c>
      <c r="P17" s="1594">
        <f>IF(Fenster!$J$11=$B17,Fenster!$F$11*Fenster!$H$11,0)+IF(Fenster!$J$13=$B17,Fenster!$F$13*Fenster!$H$13,0)+IF(Fenster!$J$15=$B17,Fenster!$F$15*Fenster!$H$15,0)+IF(Fenster!$J$17=$B17,Fenster!$F$17*Fenster!$H$17,0)+IF(Fenster!$J$19=$B17,Fenster!$F$19*Fenster!$H$19,0)+IF(Fenster!$J$21=$B17,Fenster!$F$21*Fenster!$H$21,0)+IF(Fenster!$J$23=$B17,Fenster!$F$23*Fenster!$H$23,0)+IF(Fenster!$J$25=$B17,Fenster!$F$25*Fenster!$H$25,0)</f>
        <v>0</v>
      </c>
      <c r="Q17" s="1594">
        <f>IF(Fenster!$J$34=$B17,Fenster!$F$34*Fenster!$H$34,0)+IF(Fenster!$J$36=$B17,Fenster!$F$36*Fenster!$H$36,0)+IF(Fenster!$J$38=$B17,Fenster!$F$38*Fenster!$H$38,0)+IF(Fenster!$J$40=$B17,Fenster!$F$40*Fenster!$H$40,0)+IF(Fenster!$J$42=$B17,Fenster!$F$42*Fenster!$H$42,0)+IF(Fenster!$J$44=$B17,Fenster!$F$44*Fenster!$H$44,0)+IF(Fenster!$J$46=$B17,Fenster!$F$46*Fenster!$H$46,0)+IF(Fenster!$J$48=$B17,Fenster!$F$48*Fenster!$H$48,0)</f>
        <v>0</v>
      </c>
      <c r="R17" s="1594">
        <f>IF(Fenster!$J$57=$B17,Fenster!$F$57*Fenster!$H$57,0)+IF(Fenster!$J$59=$B17,Fenster!$F$59*Fenster!$H$59,0)+IF(Fenster!$J$61=$B17,Fenster!$F$61*Fenster!$H$61,0)+IF(Fenster!$J$63=$B17,Fenster!$F$63*Fenster!$H$63,0)+IF(Fenster!$J$65=$B17,Fenster!$F$65*Fenster!$H$65,0)+IF(Fenster!$J$67=$B17,Fenster!$F$67*Fenster!$H$67,0)+IF(Fenster!$J$69=$B17,Fenster!$F$69*Fenster!$H$69,0)+IF(Fenster!$J$71=$B17,Fenster!$F$71*Fenster!$H$71,0)</f>
        <v>0</v>
      </c>
      <c r="S17" s="1594">
        <f>IF(Fenster!$J$80=$B17,Fenster!$F$80*Fenster!$H$80,0)+IF(Fenster!$J$82=$B17,Fenster!$F$82*Fenster!$H$82,0)+IF(Fenster!$J$84=$B17,Fenster!$F$84*Fenster!$H$84,0)+IF(Fenster!$J$86=$B17,Fenster!$F$86*Fenster!$H$86,0)+IF(Fenster!$J$88=$B17,Fenster!$F$88*Fenster!$H$88,0)+IF(Fenster!$J$90=$B17,Fenster!$F$90*Fenster!$H$90,0)+IF(Fenster!$J$92=$B17,Fenster!$F$92*Fenster!$H$92,0)+IF(Fenster!$J$94=$B17,Fenster!$F$94*Fenster!$H$94,0)</f>
        <v>0</v>
      </c>
      <c r="T17" s="1594">
        <f>IF(Fenster!$J$103=$B17,Fenster!$F$103*Fenster!$H$103,0)+IF(Fenster!$J$105=$B17,Fenster!$F$105*Fenster!$H$105,0)+IF(Fenster!$J$107=$B17,Fenster!$F$107*Fenster!$H$107,0)+IF(Fenster!$J$109=$B17,Fenster!$F$109*Fenster!$H$109,0)+IF(Fenster!$J$111=$B17,Fenster!$F$111*Fenster!$H$111,0)+IF(Fenster!$J$113=$B17,Fenster!$F$113*Fenster!$H$113,0)+IF(Fenster!$J$115=$B17,Fenster!$F$115*Fenster!$H$115,0)+IF(Fenster!$J$117=$B17,Fenster!$F$117*Fenster!$H$117,0)</f>
        <v>0</v>
      </c>
      <c r="U17" s="1594">
        <f>IF(Bau!$K$23=$B17,Bau!$I$23,0)+IF(Bau!$K$24=$B17,Bau!$I$24,0)+IF(Bau!$X$23=$B17,Bau!$V$23,0)+IF(Bau!$X$24=$B17,Bau!$V$24,0)+IF(Bau!$K$42=$B17,Bau!$I$42,0)+IF(Bau!$K$43=$B17,Bau!$I$43,0)+IF(Bau!$X$42=$B17,Bau!$V$42,0)+IF(Bau!$X$43=$B17,Bau!$V$43,0)+IF(Bau!$K$94=$B17,Bau!$I$94,0)</f>
        <v>0</v>
      </c>
      <c r="V17" s="1594">
        <f>IF(Bau!$X$51=$B17,Bau!$V$51,0)+IF(Bau!$X$52=$B17,Bau!$V$52,0)+IF(Bau!$K$41=$B17,Bau!$I$41,0)+IF(Bau!$K$44=$B17,Bau!$I$44,0)+IF(Bau!$K$45=$B17,Bau!$I$45,0)+IF(Bau!$X$41=$B17,Bau!$V$41,0)+IF(Bau!$X$44=$B17,Bau!$V$44,0)+IF(Bau!$X$45=$B17,Bau!$V$45,0)+IF(Bau!$X$22=$B17,Bau!$V$22,0)+IF(Bau!$X$25=$B17,Bau!$V$25,0)+IF(Bau!$X$26=$B17,Bau!$V$26,0)+IF(Bau!$K$22=$B17,Bau!$I$22,0)+IF(Bau!$K$25=$B17,Bau!$I$25,0)+IF(Bau!$K$26=$B17,Bau!$I$26,0)</f>
        <v>0</v>
      </c>
      <c r="W17" s="1594">
        <f>IF(Bau!$K$64=$B17,Bau!$I$64,0)+IF(Bau!$K$65=$B17,Bau!$I$65,0)</f>
        <v>0</v>
      </c>
      <c r="X17" s="1594">
        <f>IF(Bau!$K$67=$B17,Bau!$I$67,0)+IF(Bau!$K$68=$B17,Bau!$I$68,0)</f>
        <v>0</v>
      </c>
      <c r="Y17" s="1594">
        <f>IF(Bau!$K$70=$B17,Bau!$I$70,0)+IF(Bau!$K$71=$B17,Bau!$I$71,0)+IF(Bau!$K$75=$B17,Bau!$I$75,0)+IF(Bau!$K$76=$B17,Bau!$I$76,0)</f>
        <v>0</v>
      </c>
      <c r="Z17" s="1594">
        <f>IF(Bau!$I$84=$B17,Bau!$I$84,0)+IF(Bau!$K$85=$B17,Bau!$I$85,0)+IF(Bau!$K$86=$B17,Bau!$I$86,0)</f>
        <v>0</v>
      </c>
      <c r="AA17" s="1595">
        <f>IF(Bau!$K$88=$B17,Bau!$I$88,0)+IF(Bau!$K$89=$B17,Bau!$I$89,0)+IF(Bau!$K$91=$B17,Bau!$I$91,0)+IF(Bau!$K$92=$B17,Bau!$I$92,0)</f>
        <v>0</v>
      </c>
    </row>
    <row r="18" spans="2:27">
      <c r="B18" s="1615">
        <v>9</v>
      </c>
      <c r="C18" s="1633">
        <f t="shared" si="0"/>
        <v>0</v>
      </c>
      <c r="D18" s="1662"/>
      <c r="E18" s="1634">
        <f t="shared" si="1"/>
        <v>0</v>
      </c>
      <c r="F18" s="1599">
        <f>UWert!C63</f>
        <v>0</v>
      </c>
      <c r="G18" s="1619">
        <f>UWert!D64</f>
        <v>0</v>
      </c>
      <c r="H18" s="1624">
        <f t="shared" si="2"/>
        <v>0</v>
      </c>
      <c r="I18" s="1620">
        <f t="shared" si="3"/>
        <v>0</v>
      </c>
      <c r="J18" s="1643"/>
      <c r="K18" s="1588"/>
      <c r="L18" s="1648">
        <f>IF(Bau!$K$14=$B18,Bau!$I$14,0)+IF(Bau!$K$15=$B18,Bau!$I$15,0)+IF(Bau!$K$16=$B18,Bau!$I$16,0)+IF(Bau!$K$17=$B18,Bau!$I$17,0)+IF(Bau!$K$18=$B18,Bau!$I$18,0)+IF(Bau!$K$20=$B18,Bau!$I$20,0)</f>
        <v>0</v>
      </c>
      <c r="M18" s="1594">
        <f>IF(Bau!$X$14=$B18,Bau!$V$14,0)+IF(Bau!$X$15=$B18,Bau!$V$15,0)+IF(Bau!$X$16=$B18,Bau!$V$16,0)+IF(Bau!$X$17=$B18,Bau!$V$17,0)+IF(Bau!$X$18=$B18,Bau!$V$18,0)+IF(Bau!$X$20=$B18,Bau!$V$20,0)</f>
        <v>0</v>
      </c>
      <c r="N18" s="1594">
        <f>IF(Bau!$K$33=$B18,Bau!$I$33,0)+IF(Bau!$K$34=$B18,Bau!$I$34,0)+IF(Bau!$K$35=$B18,Bau!$I$35,0)+IF(Bau!$K$36=$B18,Bau!$I$36,0)+IF(Bau!$K$37=$B18,Bau!$I$37,0)+IF(Bau!$K$39=$B18,Bau!$I$39,0)</f>
        <v>0</v>
      </c>
      <c r="O18" s="1594">
        <f>IF(Bau!$X$33=$B18,Bau!$V$33,0)+IF(Bau!$X$34=$B18,Bau!$V$34,0)+IF(Bau!$X$35=$B18,Bau!$V$35,0)+IF(Bau!$X$36=$B18,Bau!$V$36,0)+IF(Bau!$X$37=$B18,Bau!$V$37,0)+IF(Bau!$X$39=$B18,Bau!$V$39,0)</f>
        <v>0</v>
      </c>
      <c r="P18" s="1594">
        <f>IF(Fenster!$J$11=$B18,Fenster!$F$11*Fenster!$H$11,0)+IF(Fenster!$J$13=$B18,Fenster!$F$13*Fenster!$H$13,0)+IF(Fenster!$J$15=$B18,Fenster!$F$15*Fenster!$H$15,0)+IF(Fenster!$J$17=$B18,Fenster!$F$17*Fenster!$H$17,0)+IF(Fenster!$J$19=$B18,Fenster!$F$19*Fenster!$H$19,0)+IF(Fenster!$J$21=$B18,Fenster!$F$21*Fenster!$H$21,0)+IF(Fenster!$J$23=$B18,Fenster!$F$23*Fenster!$H$23,0)+IF(Fenster!$J$25=$B18,Fenster!$F$25*Fenster!$H$25,0)</f>
        <v>0</v>
      </c>
      <c r="Q18" s="1594">
        <f>IF(Fenster!$J$34=$B18,Fenster!$F$34*Fenster!$H$34,0)+IF(Fenster!$J$36=$B18,Fenster!$F$36*Fenster!$H$36,0)+IF(Fenster!$J$38=$B18,Fenster!$F$38*Fenster!$H$38,0)+IF(Fenster!$J$40=$B18,Fenster!$F$40*Fenster!$H$40,0)+IF(Fenster!$J$42=$B18,Fenster!$F$42*Fenster!$H$42,0)+IF(Fenster!$J$44=$B18,Fenster!$F$44*Fenster!$H$44,0)+IF(Fenster!$J$46=$B18,Fenster!$F$46*Fenster!$H$46,0)+IF(Fenster!$J$48=$B18,Fenster!$F$48*Fenster!$H$48,0)</f>
        <v>0</v>
      </c>
      <c r="R18" s="1594">
        <f>IF(Fenster!$J$57=$B18,Fenster!$F$57*Fenster!$H$57,0)+IF(Fenster!$J$59=$B18,Fenster!$F$59*Fenster!$H$59,0)+IF(Fenster!$J$61=$B18,Fenster!$F$61*Fenster!$H$61,0)+IF(Fenster!$J$63=$B18,Fenster!$F$63*Fenster!$H$63,0)+IF(Fenster!$J$65=$B18,Fenster!$F$65*Fenster!$H$65,0)+IF(Fenster!$J$67=$B18,Fenster!$F$67*Fenster!$H$67,0)+IF(Fenster!$J$69=$B18,Fenster!$F$69*Fenster!$H$69,0)+IF(Fenster!$J$71=$B18,Fenster!$F$71*Fenster!$H$71,0)</f>
        <v>0</v>
      </c>
      <c r="S18" s="1594">
        <f>IF(Fenster!$J$80=$B18,Fenster!$F$80*Fenster!$H$80,0)+IF(Fenster!$J$82=$B18,Fenster!$F$82*Fenster!$H$82,0)+IF(Fenster!$J$84=$B18,Fenster!$F$84*Fenster!$H$84,0)+IF(Fenster!$J$86=$B18,Fenster!$F$86*Fenster!$H$86,0)+IF(Fenster!$J$88=$B18,Fenster!$F$88*Fenster!$H$88,0)+IF(Fenster!$J$90=$B18,Fenster!$F$90*Fenster!$H$90,0)+IF(Fenster!$J$92=$B18,Fenster!$F$92*Fenster!$H$92,0)+IF(Fenster!$J$94=$B18,Fenster!$F$94*Fenster!$H$94,0)</f>
        <v>0</v>
      </c>
      <c r="T18" s="1594">
        <f>IF(Fenster!$J$103=$B18,Fenster!$F$103*Fenster!$H$103,0)+IF(Fenster!$J$105=$B18,Fenster!$F$105*Fenster!$H$105,0)+IF(Fenster!$J$107=$B18,Fenster!$F$107*Fenster!$H$107,0)+IF(Fenster!$J$109=$B18,Fenster!$F$109*Fenster!$H$109,0)+IF(Fenster!$J$111=$B18,Fenster!$F$111*Fenster!$H$111,0)+IF(Fenster!$J$113=$B18,Fenster!$F$113*Fenster!$H$113,0)+IF(Fenster!$J$115=$B18,Fenster!$F$115*Fenster!$H$115,0)+IF(Fenster!$J$117=$B18,Fenster!$F$117*Fenster!$H$117,0)</f>
        <v>0</v>
      </c>
      <c r="U18" s="1594">
        <f>IF(Bau!$K$23=$B18,Bau!$I$23,0)+IF(Bau!$K$24=$B18,Bau!$I$24,0)+IF(Bau!$X$23=$B18,Bau!$V$23,0)+IF(Bau!$X$24=$B18,Bau!$V$24,0)+IF(Bau!$K$42=$B18,Bau!$I$42,0)+IF(Bau!$K$43=$B18,Bau!$I$43,0)+IF(Bau!$X$42=$B18,Bau!$V$42,0)+IF(Bau!$X$43=$B18,Bau!$V$43,0)+IF(Bau!$K$94=$B18,Bau!$I$94,0)</f>
        <v>0</v>
      </c>
      <c r="V18" s="1594">
        <f>IF(Bau!$X$51=$B18,Bau!$V$51,0)+IF(Bau!$X$52=$B18,Bau!$V$52,0)+IF(Bau!$K$41=$B18,Bau!$I$41,0)+IF(Bau!$K$44=$B18,Bau!$I$44,0)+IF(Bau!$K$45=$B18,Bau!$I$45,0)+IF(Bau!$X$41=$B18,Bau!$V$41,0)+IF(Bau!$X$44=$B18,Bau!$V$44,0)+IF(Bau!$X$45=$B18,Bau!$V$45,0)+IF(Bau!$X$22=$B18,Bau!$V$22,0)+IF(Bau!$X$25=$B18,Bau!$V$25,0)+IF(Bau!$X$26=$B18,Bau!$V$26,0)+IF(Bau!$K$22=$B18,Bau!$I$22,0)+IF(Bau!$K$25=$B18,Bau!$I$25,0)+IF(Bau!$K$26=$B18,Bau!$I$26,0)</f>
        <v>0</v>
      </c>
      <c r="W18" s="1594">
        <f>IF(Bau!$K$64=$B18,Bau!$I$64,0)+IF(Bau!$K$65=$B18,Bau!$I$65,0)</f>
        <v>0</v>
      </c>
      <c r="X18" s="1594">
        <f>IF(Bau!$K$67=$B18,Bau!$I$67,0)+IF(Bau!$K$68=$B18,Bau!$I$68,0)</f>
        <v>0</v>
      </c>
      <c r="Y18" s="1594">
        <f>IF(Bau!$K$70=$B18,Bau!$I$70,0)+IF(Bau!$K$71=$B18,Bau!$I$71,0)+IF(Bau!$K$75=$B18,Bau!$I$75,0)+IF(Bau!$K$76=$B18,Bau!$I$76,0)</f>
        <v>0</v>
      </c>
      <c r="Z18" s="1594">
        <f>IF(Bau!$I$84=$B18,Bau!$I$84,0)+IF(Bau!$K$85=$B18,Bau!$I$85,0)+IF(Bau!$K$86=$B18,Bau!$I$86,0)</f>
        <v>0</v>
      </c>
      <c r="AA18" s="1595">
        <f>IF(Bau!$K$88=$B18,Bau!$I$88,0)+IF(Bau!$K$89=$B18,Bau!$I$89,0)+IF(Bau!$K$91=$B18,Bau!$I$91,0)+IF(Bau!$K$92=$B18,Bau!$I$92,0)</f>
        <v>0</v>
      </c>
    </row>
    <row r="19" spans="2:27">
      <c r="B19" s="1615">
        <v>10</v>
      </c>
      <c r="C19" s="1633">
        <f t="shared" si="0"/>
        <v>0</v>
      </c>
      <c r="D19" s="1662"/>
      <c r="E19" s="1634">
        <f t="shared" si="1"/>
        <v>0</v>
      </c>
      <c r="F19" s="1599">
        <f>UWert!K63</f>
        <v>0</v>
      </c>
      <c r="G19" s="1619">
        <f>UWert!L64</f>
        <v>0</v>
      </c>
      <c r="H19" s="1624">
        <f t="shared" si="2"/>
        <v>0</v>
      </c>
      <c r="I19" s="1620">
        <f t="shared" si="3"/>
        <v>0</v>
      </c>
      <c r="J19" s="1643"/>
      <c r="K19" s="1588"/>
      <c r="L19" s="1648">
        <f>IF(Bau!$K$14=$B19,Bau!$I$14,0)+IF(Bau!$K$15=$B19,Bau!$I$15,0)+IF(Bau!$K$16=$B19,Bau!$I$16,0)+IF(Bau!$K$17=$B19,Bau!$I$17,0)+IF(Bau!$K$18=$B19,Bau!$I$18,0)+IF(Bau!$K$20=$B19,Bau!$I$20,0)</f>
        <v>0</v>
      </c>
      <c r="M19" s="1594">
        <f>IF(Bau!$X$14=$B19,Bau!$V$14,0)+IF(Bau!$X$15=$B19,Bau!$V$15,0)+IF(Bau!$X$16=$B19,Bau!$V$16,0)+IF(Bau!$X$17=$B19,Bau!$V$17,0)+IF(Bau!$X$18=$B19,Bau!$V$18,0)+IF(Bau!$X$20=$B19,Bau!$V$20,0)</f>
        <v>0</v>
      </c>
      <c r="N19" s="1594">
        <f>IF(Bau!$K$33=$B19,Bau!$I$33,0)+IF(Bau!$K$34=$B19,Bau!$I$34,0)+IF(Bau!$K$35=$B19,Bau!$I$35,0)+IF(Bau!$K$36=$B19,Bau!$I$36,0)+IF(Bau!$K$37=$B19,Bau!$I$37,0)+IF(Bau!$K$39=$B19,Bau!$I$39,0)</f>
        <v>0</v>
      </c>
      <c r="O19" s="1594">
        <f>IF(Bau!$X$33=$B19,Bau!$V$33,0)+IF(Bau!$X$34=$B19,Bau!$V$34,0)+IF(Bau!$X$35=$B19,Bau!$V$35,0)+IF(Bau!$X$36=$B19,Bau!$V$36,0)+IF(Bau!$X$37=$B19,Bau!$V$37,0)+IF(Bau!$X$39=$B19,Bau!$V$39,0)</f>
        <v>0</v>
      </c>
      <c r="P19" s="1594">
        <f>IF(Fenster!$J$11=$B19,Fenster!$F$11*Fenster!$H$11,0)+IF(Fenster!$J$13=$B19,Fenster!$F$13*Fenster!$H$13,0)+IF(Fenster!$J$15=$B19,Fenster!$F$15*Fenster!$H$15,0)+IF(Fenster!$J$17=$B19,Fenster!$F$17*Fenster!$H$17,0)+IF(Fenster!$J$19=$B19,Fenster!$F$19*Fenster!$H$19,0)+IF(Fenster!$J$21=$B19,Fenster!$F$21*Fenster!$H$21,0)+IF(Fenster!$J$23=$B19,Fenster!$F$23*Fenster!$H$23,0)+IF(Fenster!$J$25=$B19,Fenster!$F$25*Fenster!$H$25,0)</f>
        <v>0</v>
      </c>
      <c r="Q19" s="1594">
        <f>IF(Fenster!$J$34=$B19,Fenster!$F$34*Fenster!$H$34,0)+IF(Fenster!$J$36=$B19,Fenster!$F$36*Fenster!$H$36,0)+IF(Fenster!$J$38=$B19,Fenster!$F$38*Fenster!$H$38,0)+IF(Fenster!$J$40=$B19,Fenster!$F$40*Fenster!$H$40,0)+IF(Fenster!$J$42=$B19,Fenster!$F$42*Fenster!$H$42,0)+IF(Fenster!$J$44=$B19,Fenster!$F$44*Fenster!$H$44,0)+IF(Fenster!$J$46=$B19,Fenster!$F$46*Fenster!$H$46,0)+IF(Fenster!$J$48=$B19,Fenster!$F$48*Fenster!$H$48,0)</f>
        <v>0</v>
      </c>
      <c r="R19" s="1594">
        <f>IF(Fenster!$J$57=$B19,Fenster!$F$57*Fenster!$H$57,0)+IF(Fenster!$J$59=$B19,Fenster!$F$59*Fenster!$H$59,0)+IF(Fenster!$J$61=$B19,Fenster!$F$61*Fenster!$H$61,0)+IF(Fenster!$J$63=$B19,Fenster!$F$63*Fenster!$H$63,0)+IF(Fenster!$J$65=$B19,Fenster!$F$65*Fenster!$H$65,0)+IF(Fenster!$J$67=$B19,Fenster!$F$67*Fenster!$H$67,0)+IF(Fenster!$J$69=$B19,Fenster!$F$69*Fenster!$H$69,0)+IF(Fenster!$J$71=$B19,Fenster!$F$71*Fenster!$H$71,0)</f>
        <v>0</v>
      </c>
      <c r="S19" s="1594">
        <f>IF(Fenster!$J$80=$B19,Fenster!$F$80*Fenster!$H$80,0)+IF(Fenster!$J$82=$B19,Fenster!$F$82*Fenster!$H$82,0)+IF(Fenster!$J$84=$B19,Fenster!$F$84*Fenster!$H$84,0)+IF(Fenster!$J$86=$B19,Fenster!$F$86*Fenster!$H$86,0)+IF(Fenster!$J$88=$B19,Fenster!$F$88*Fenster!$H$88,0)+IF(Fenster!$J$90=$B19,Fenster!$F$90*Fenster!$H$90,0)+IF(Fenster!$J$92=$B19,Fenster!$F$92*Fenster!$H$92,0)+IF(Fenster!$J$94=$B19,Fenster!$F$94*Fenster!$H$94,0)</f>
        <v>0</v>
      </c>
      <c r="T19" s="1594">
        <f>IF(Fenster!$J$103=$B19,Fenster!$F$103*Fenster!$H$103,0)+IF(Fenster!$J$105=$B19,Fenster!$F$105*Fenster!$H$105,0)+IF(Fenster!$J$107=$B19,Fenster!$F$107*Fenster!$H$107,0)+IF(Fenster!$J$109=$B19,Fenster!$F$109*Fenster!$H$109,0)+IF(Fenster!$J$111=$B19,Fenster!$F$111*Fenster!$H$111,0)+IF(Fenster!$J$113=$B19,Fenster!$F$113*Fenster!$H$113,0)+IF(Fenster!$J$115=$B19,Fenster!$F$115*Fenster!$H$115,0)+IF(Fenster!$J$117=$B19,Fenster!$F$117*Fenster!$H$117,0)</f>
        <v>0</v>
      </c>
      <c r="U19" s="1594">
        <f>IF(Bau!$K$23=$B19,Bau!$I$23,0)+IF(Bau!$K$24=$B19,Bau!$I$24,0)+IF(Bau!$X$23=$B19,Bau!$V$23,0)+IF(Bau!$X$24=$B19,Bau!$V$24,0)+IF(Bau!$K$42=$B19,Bau!$I$42,0)+IF(Bau!$K$43=$B19,Bau!$I$43,0)+IF(Bau!$X$42=$B19,Bau!$V$42,0)+IF(Bau!$X$43=$B19,Bau!$V$43,0)+IF(Bau!$K$94=$B19,Bau!$I$94,0)</f>
        <v>0</v>
      </c>
      <c r="V19" s="1594">
        <f>IF(Bau!$X$51=$B19,Bau!$V$51,0)+IF(Bau!$X$52=$B19,Bau!$V$52,0)+IF(Bau!$K$41=$B19,Bau!$I$41,0)+IF(Bau!$K$44=$B19,Bau!$I$44,0)+IF(Bau!$K$45=$B19,Bau!$I$45,0)+IF(Bau!$X$41=$B19,Bau!$V$41,0)+IF(Bau!$X$44=$B19,Bau!$V$44,0)+IF(Bau!$X$45=$B19,Bau!$V$45,0)+IF(Bau!$X$22=$B19,Bau!$V$22,0)+IF(Bau!$X$25=$B19,Bau!$V$25,0)+IF(Bau!$X$26=$B19,Bau!$V$26,0)+IF(Bau!$K$22=$B19,Bau!$I$22,0)+IF(Bau!$K$25=$B19,Bau!$I$25,0)+IF(Bau!$K$26=$B19,Bau!$I$26,0)</f>
        <v>0</v>
      </c>
      <c r="W19" s="1594">
        <f>IF(Bau!$K$64=$B19,Bau!$I$64,0)+IF(Bau!$K$65=$B19,Bau!$I$65,0)</f>
        <v>0</v>
      </c>
      <c r="X19" s="1594">
        <f>IF(Bau!$K$67=$B19,Bau!$I$67,0)+IF(Bau!$K$68=$B19,Bau!$I$68,0)</f>
        <v>0</v>
      </c>
      <c r="Y19" s="1594">
        <f>IF(Bau!$K$70=$B19,Bau!$I$70,0)+IF(Bau!$K$71=$B19,Bau!$I$71,0)+IF(Bau!$K$75=$B19,Bau!$I$75,0)+IF(Bau!$K$76=$B19,Bau!$I$76,0)</f>
        <v>0</v>
      </c>
      <c r="Z19" s="1594">
        <f>IF(Bau!$I$84=$B19,Bau!$I$84,0)+IF(Bau!$K$85=$B19,Bau!$I$85,0)+IF(Bau!$K$86=$B19,Bau!$I$86,0)</f>
        <v>0</v>
      </c>
      <c r="AA19" s="1595">
        <f>IF(Bau!$K$88=$B19,Bau!$I$88,0)+IF(Bau!$K$89=$B19,Bau!$I$89,0)+IF(Bau!$K$91=$B19,Bau!$I$91,0)+IF(Bau!$K$92=$B19,Bau!$I$92,0)</f>
        <v>0</v>
      </c>
    </row>
    <row r="20" spans="2:27">
      <c r="B20" s="1615">
        <v>11</v>
      </c>
      <c r="C20" s="1633">
        <f t="shared" si="0"/>
        <v>0</v>
      </c>
      <c r="D20" s="1662"/>
      <c r="E20" s="1634">
        <f t="shared" si="1"/>
        <v>0</v>
      </c>
      <c r="F20" s="1599">
        <f>UWert!C84</f>
        <v>0</v>
      </c>
      <c r="G20" s="1619">
        <f>UWert!D85</f>
        <v>0</v>
      </c>
      <c r="H20" s="1624">
        <f t="shared" si="2"/>
        <v>0</v>
      </c>
      <c r="I20" s="1620">
        <f t="shared" si="3"/>
        <v>0</v>
      </c>
      <c r="J20" s="1643"/>
      <c r="K20" s="1588"/>
      <c r="L20" s="1648">
        <f>IF(Bau!$K$14=$B20,Bau!$I$14,0)+IF(Bau!$K$15=$B20,Bau!$I$15,0)+IF(Bau!$K$16=$B20,Bau!$I$16,0)+IF(Bau!$K$17=$B20,Bau!$I$17,0)+IF(Bau!$K$18=$B20,Bau!$I$18,0)+IF(Bau!$K$20=$B20,Bau!$I$20,0)</f>
        <v>0</v>
      </c>
      <c r="M20" s="1594">
        <f>IF(Bau!$X$14=$B20,Bau!$V$14,0)+IF(Bau!$X$15=$B20,Bau!$V$15,0)+IF(Bau!$X$16=$B20,Bau!$V$16,0)+IF(Bau!$X$17=$B20,Bau!$V$17,0)+IF(Bau!$X$18=$B20,Bau!$V$18,0)+IF(Bau!$X$20=$B20,Bau!$V$20,0)</f>
        <v>0</v>
      </c>
      <c r="N20" s="1594">
        <f>IF(Bau!$K$33=$B20,Bau!$I$33,0)+IF(Bau!$K$34=$B20,Bau!$I$34,0)+IF(Bau!$K$35=$B20,Bau!$I$35,0)+IF(Bau!$K$36=$B20,Bau!$I$36,0)+IF(Bau!$K$37=$B20,Bau!$I$37,0)+IF(Bau!$K$39=$B20,Bau!$I$39,0)</f>
        <v>0</v>
      </c>
      <c r="O20" s="1594">
        <f>IF(Bau!$X$33=$B20,Bau!$V$33,0)+IF(Bau!$X$34=$B20,Bau!$V$34,0)+IF(Bau!$X$35=$B20,Bau!$V$35,0)+IF(Bau!$X$36=$B20,Bau!$V$36,0)+IF(Bau!$X$37=$B20,Bau!$V$37,0)+IF(Bau!$X$39=$B20,Bau!$V$39,0)</f>
        <v>0</v>
      </c>
      <c r="P20" s="1594">
        <f>IF(Fenster!$J$11=$B20,Fenster!$F$11*Fenster!$H$11,0)+IF(Fenster!$J$13=$B20,Fenster!$F$13*Fenster!$H$13,0)+IF(Fenster!$J$15=$B20,Fenster!$F$15*Fenster!$H$15,0)+IF(Fenster!$J$17=$B20,Fenster!$F$17*Fenster!$H$17,0)+IF(Fenster!$J$19=$B20,Fenster!$F$19*Fenster!$H$19,0)+IF(Fenster!$J$21=$B20,Fenster!$F$21*Fenster!$H$21,0)+IF(Fenster!$J$23=$B20,Fenster!$F$23*Fenster!$H$23,0)+IF(Fenster!$J$25=$B20,Fenster!$F$25*Fenster!$H$25,0)</f>
        <v>0</v>
      </c>
      <c r="Q20" s="1594">
        <f>IF(Fenster!$J$34=$B20,Fenster!$F$34*Fenster!$H$34,0)+IF(Fenster!$J$36=$B20,Fenster!$F$36*Fenster!$H$36,0)+IF(Fenster!$J$38=$B20,Fenster!$F$38*Fenster!$H$38,0)+IF(Fenster!$J$40=$B20,Fenster!$F$40*Fenster!$H$40,0)+IF(Fenster!$J$42=$B20,Fenster!$F$42*Fenster!$H$42,0)+IF(Fenster!$J$44=$B20,Fenster!$F$44*Fenster!$H$44,0)+IF(Fenster!$J$46=$B20,Fenster!$F$46*Fenster!$H$46,0)+IF(Fenster!$J$48=$B20,Fenster!$F$48*Fenster!$H$48,0)</f>
        <v>0</v>
      </c>
      <c r="R20" s="1594">
        <f>IF(Fenster!$J$57=$B20,Fenster!$F$57*Fenster!$H$57,0)+IF(Fenster!$J$59=$B20,Fenster!$F$59*Fenster!$H$59,0)+IF(Fenster!$J$61=$B20,Fenster!$F$61*Fenster!$H$61,0)+IF(Fenster!$J$63=$B20,Fenster!$F$63*Fenster!$H$63,0)+IF(Fenster!$J$65=$B20,Fenster!$F$65*Fenster!$H$65,0)+IF(Fenster!$J$67=$B20,Fenster!$F$67*Fenster!$H$67,0)+IF(Fenster!$J$69=$B20,Fenster!$F$69*Fenster!$H$69,0)+IF(Fenster!$J$71=$B20,Fenster!$F$71*Fenster!$H$71,0)</f>
        <v>0</v>
      </c>
      <c r="S20" s="1594">
        <f>IF(Fenster!$J$80=$B20,Fenster!$F$80*Fenster!$H$80,0)+IF(Fenster!$J$82=$B20,Fenster!$F$82*Fenster!$H$82,0)+IF(Fenster!$J$84=$B20,Fenster!$F$84*Fenster!$H$84,0)+IF(Fenster!$J$86=$B20,Fenster!$F$86*Fenster!$H$86,0)+IF(Fenster!$J$88=$B20,Fenster!$F$88*Fenster!$H$88,0)+IF(Fenster!$J$90=$B20,Fenster!$F$90*Fenster!$H$90,0)+IF(Fenster!$J$92=$B20,Fenster!$F$92*Fenster!$H$92,0)+IF(Fenster!$J$94=$B20,Fenster!$F$94*Fenster!$H$94,0)</f>
        <v>0</v>
      </c>
      <c r="T20" s="1594">
        <f>IF(Fenster!$J$103=$B20,Fenster!$F$103*Fenster!$H$103,0)+IF(Fenster!$J$105=$B20,Fenster!$F$105*Fenster!$H$105,0)+IF(Fenster!$J$107=$B20,Fenster!$F$107*Fenster!$H$107,0)+IF(Fenster!$J$109=$B20,Fenster!$F$109*Fenster!$H$109,0)+IF(Fenster!$J$111=$B20,Fenster!$F$111*Fenster!$H$111,0)+IF(Fenster!$J$113=$B20,Fenster!$F$113*Fenster!$H$113,0)+IF(Fenster!$J$115=$B20,Fenster!$F$115*Fenster!$H$115,0)+IF(Fenster!$J$117=$B20,Fenster!$F$117*Fenster!$H$117,0)</f>
        <v>0</v>
      </c>
      <c r="U20" s="1594">
        <f>IF(Bau!$K$23=$B20,Bau!$I$23,0)+IF(Bau!$K$24=$B20,Bau!$I$24,0)+IF(Bau!$X$23=$B20,Bau!$V$23,0)+IF(Bau!$X$24=$B20,Bau!$V$24,0)+IF(Bau!$K$42=$B20,Bau!$I$42,0)+IF(Bau!$K$43=$B20,Bau!$I$43,0)+IF(Bau!$X$42=$B20,Bau!$V$42,0)+IF(Bau!$X$43=$B20,Bau!$V$43,0)+IF(Bau!$K$94=$B20,Bau!$I$94,0)</f>
        <v>0</v>
      </c>
      <c r="V20" s="1594">
        <f>IF(Bau!$X$51=$B20,Bau!$V$51,0)+IF(Bau!$X$52=$B20,Bau!$V$52,0)+IF(Bau!$K$41=$B20,Bau!$I$41,0)+IF(Bau!$K$44=$B20,Bau!$I$44,0)+IF(Bau!$K$45=$B20,Bau!$I$45,0)+IF(Bau!$X$41=$B20,Bau!$V$41,0)+IF(Bau!$X$44=$B20,Bau!$V$44,0)+IF(Bau!$X$45=$B20,Bau!$V$45,0)+IF(Bau!$X$22=$B20,Bau!$V$22,0)+IF(Bau!$X$25=$B20,Bau!$V$25,0)+IF(Bau!$X$26=$B20,Bau!$V$26,0)+IF(Bau!$K$22=$B20,Bau!$I$22,0)+IF(Bau!$K$25=$B20,Bau!$I$25,0)+IF(Bau!$K$26=$B20,Bau!$I$26,0)</f>
        <v>0</v>
      </c>
      <c r="W20" s="1594">
        <f>IF(Bau!$K$64=$B20,Bau!$I$64,0)+IF(Bau!$K$65=$B20,Bau!$I$65,0)</f>
        <v>0</v>
      </c>
      <c r="X20" s="1594">
        <f>IF(Bau!$K$67=$B20,Bau!$I$67,0)+IF(Bau!$K$68=$B20,Bau!$I$68,0)</f>
        <v>0</v>
      </c>
      <c r="Y20" s="1594">
        <f>IF(Bau!$K$70=$B20,Bau!$I$70,0)+IF(Bau!$K$71=$B20,Bau!$I$71,0)+IF(Bau!$K$75=$B20,Bau!$I$75,0)+IF(Bau!$K$76=$B20,Bau!$I$76,0)</f>
        <v>0</v>
      </c>
      <c r="Z20" s="1594">
        <f>IF(Bau!$I$84=$B20,Bau!$I$84,0)+IF(Bau!$K$85=$B20,Bau!$I$85,0)+IF(Bau!$K$86=$B20,Bau!$I$86,0)</f>
        <v>0</v>
      </c>
      <c r="AA20" s="1595">
        <f>IF(Bau!$K$88=$B20,Bau!$I$88,0)+IF(Bau!$K$89=$B20,Bau!$I$89,0)+IF(Bau!$K$91=$B20,Bau!$I$91,0)+IF(Bau!$K$92=$B20,Bau!$I$92,0)</f>
        <v>0</v>
      </c>
    </row>
    <row r="21" spans="2:27">
      <c r="B21" s="1615">
        <v>12</v>
      </c>
      <c r="C21" s="1633">
        <f t="shared" si="0"/>
        <v>0</v>
      </c>
      <c r="D21" s="1662"/>
      <c r="E21" s="1634">
        <f t="shared" si="1"/>
        <v>0</v>
      </c>
      <c r="F21" s="1599">
        <f>UWert!K84</f>
        <v>0</v>
      </c>
      <c r="G21" s="1619">
        <f>UWert!L85</f>
        <v>0</v>
      </c>
      <c r="H21" s="1624">
        <f t="shared" si="2"/>
        <v>0</v>
      </c>
      <c r="I21" s="1620">
        <f t="shared" si="3"/>
        <v>0</v>
      </c>
      <c r="J21" s="1643"/>
      <c r="K21" s="1588"/>
      <c r="L21" s="1648">
        <f>IF(Bau!$K$14=$B21,Bau!$I$14,0)+IF(Bau!$K$15=$B21,Bau!$I$15,0)+IF(Bau!$K$16=$B21,Bau!$I$16,0)+IF(Bau!$K$17=$B21,Bau!$I$17,0)+IF(Bau!$K$18=$B21,Bau!$I$18,0)+IF(Bau!$K$20=$B21,Bau!$I$20,0)</f>
        <v>0</v>
      </c>
      <c r="M21" s="1594">
        <f>IF(Bau!$X$14=$B21,Bau!$V$14,0)+IF(Bau!$X$15=$B21,Bau!$V$15,0)+IF(Bau!$X$16=$B21,Bau!$V$16,0)+IF(Bau!$X$17=$B21,Bau!$V$17,0)+IF(Bau!$X$18=$B21,Bau!$V$18,0)+IF(Bau!$X$20=$B21,Bau!$V$20,0)</f>
        <v>0</v>
      </c>
      <c r="N21" s="1594">
        <f>IF(Bau!$K$33=$B21,Bau!$I$33,0)+IF(Bau!$K$34=$B21,Bau!$I$34,0)+IF(Bau!$K$35=$B21,Bau!$I$35,0)+IF(Bau!$K$36=$B21,Bau!$I$36,0)+IF(Bau!$K$37=$B21,Bau!$I$37,0)+IF(Bau!$K$39=$B21,Bau!$I$39,0)</f>
        <v>0</v>
      </c>
      <c r="O21" s="1594">
        <f>IF(Bau!$X$33=$B21,Bau!$V$33,0)+IF(Bau!$X$34=$B21,Bau!$V$34,0)+IF(Bau!$X$35=$B21,Bau!$V$35,0)+IF(Bau!$X$36=$B21,Bau!$V$36,0)+IF(Bau!$X$37=$B21,Bau!$V$37,0)+IF(Bau!$X$39=$B21,Bau!$V$39,0)</f>
        <v>0</v>
      </c>
      <c r="P21" s="1594">
        <f>IF(Fenster!$J$11=$B21,Fenster!$F$11*Fenster!$H$11,0)+IF(Fenster!$J$13=$B21,Fenster!$F$13*Fenster!$H$13,0)+IF(Fenster!$J$15=$B21,Fenster!$F$15*Fenster!$H$15,0)+IF(Fenster!$J$17=$B21,Fenster!$F$17*Fenster!$H$17,0)+IF(Fenster!$J$19=$B21,Fenster!$F$19*Fenster!$H$19,0)+IF(Fenster!$J$21=$B21,Fenster!$F$21*Fenster!$H$21,0)+IF(Fenster!$J$23=$B21,Fenster!$F$23*Fenster!$H$23,0)+IF(Fenster!$J$25=$B21,Fenster!$F$25*Fenster!$H$25,0)</f>
        <v>0</v>
      </c>
      <c r="Q21" s="1594">
        <f>IF(Fenster!$J$34=$B21,Fenster!$F$34*Fenster!$H$34,0)+IF(Fenster!$J$36=$B21,Fenster!$F$36*Fenster!$H$36,0)+IF(Fenster!$J$38=$B21,Fenster!$F$38*Fenster!$H$38,0)+IF(Fenster!$J$40=$B21,Fenster!$F$40*Fenster!$H$40,0)+IF(Fenster!$J$42=$B21,Fenster!$F$42*Fenster!$H$42,0)+IF(Fenster!$J$44=$B21,Fenster!$F$44*Fenster!$H$44,0)+IF(Fenster!$J$46=$B21,Fenster!$F$46*Fenster!$H$46,0)+IF(Fenster!$J$48=$B21,Fenster!$F$48*Fenster!$H$48,0)</f>
        <v>0</v>
      </c>
      <c r="R21" s="1594">
        <f>IF(Fenster!$J$57=$B21,Fenster!$F$57*Fenster!$H$57,0)+IF(Fenster!$J$59=$B21,Fenster!$F$59*Fenster!$H$59,0)+IF(Fenster!$J$61=$B21,Fenster!$F$61*Fenster!$H$61,0)+IF(Fenster!$J$63=$B21,Fenster!$F$63*Fenster!$H$63,0)+IF(Fenster!$J$65=$B21,Fenster!$F$65*Fenster!$H$65,0)+IF(Fenster!$J$67=$B21,Fenster!$F$67*Fenster!$H$67,0)+IF(Fenster!$J$69=$B21,Fenster!$F$69*Fenster!$H$69,0)+IF(Fenster!$J$71=$B21,Fenster!$F$71*Fenster!$H$71,0)</f>
        <v>0</v>
      </c>
      <c r="S21" s="1594">
        <f>IF(Fenster!$J$80=$B21,Fenster!$F$80*Fenster!$H$80,0)+IF(Fenster!$J$82=$B21,Fenster!$F$82*Fenster!$H$82,0)+IF(Fenster!$J$84=$B21,Fenster!$F$84*Fenster!$H$84,0)+IF(Fenster!$J$86=$B21,Fenster!$F$86*Fenster!$H$86,0)+IF(Fenster!$J$88=$B21,Fenster!$F$88*Fenster!$H$88,0)+IF(Fenster!$J$90=$B21,Fenster!$F$90*Fenster!$H$90,0)+IF(Fenster!$J$92=$B21,Fenster!$F$92*Fenster!$H$92,0)+IF(Fenster!$J$94=$B21,Fenster!$F$94*Fenster!$H$94,0)</f>
        <v>0</v>
      </c>
      <c r="T21" s="1594">
        <f>IF(Fenster!$J$103=$B21,Fenster!$F$103*Fenster!$H$103,0)+IF(Fenster!$J$105=$B21,Fenster!$F$105*Fenster!$H$105,0)+IF(Fenster!$J$107=$B21,Fenster!$F$107*Fenster!$H$107,0)+IF(Fenster!$J$109=$B21,Fenster!$F$109*Fenster!$H$109,0)+IF(Fenster!$J$111=$B21,Fenster!$F$111*Fenster!$H$111,0)+IF(Fenster!$J$113=$B21,Fenster!$F$113*Fenster!$H$113,0)+IF(Fenster!$J$115=$B21,Fenster!$F$115*Fenster!$H$115,0)+IF(Fenster!$J$117=$B21,Fenster!$F$117*Fenster!$H$117,0)</f>
        <v>0</v>
      </c>
      <c r="U21" s="1594">
        <f>IF(Bau!$K$23=$B21,Bau!$I$23,0)+IF(Bau!$K$24=$B21,Bau!$I$24,0)+IF(Bau!$X$23=$B21,Bau!$V$23,0)+IF(Bau!$X$24=$B21,Bau!$V$24,0)+IF(Bau!$K$42=$B21,Bau!$I$42,0)+IF(Bau!$K$43=$B21,Bau!$I$43,0)+IF(Bau!$X$42=$B21,Bau!$V$42,0)+IF(Bau!$X$43=$B21,Bau!$V$43,0)+IF(Bau!$K$94=$B21,Bau!$I$94,0)</f>
        <v>0</v>
      </c>
      <c r="V21" s="1594">
        <f>IF(Bau!$X$51=$B21,Bau!$V$51,0)+IF(Bau!$X$52=$B21,Bau!$V$52,0)+IF(Bau!$K$41=$B21,Bau!$I$41,0)+IF(Bau!$K$44=$B21,Bau!$I$44,0)+IF(Bau!$K$45=$B21,Bau!$I$45,0)+IF(Bau!$X$41=$B21,Bau!$V$41,0)+IF(Bau!$X$44=$B21,Bau!$V$44,0)+IF(Bau!$X$45=$B21,Bau!$V$45,0)+IF(Bau!$X$22=$B21,Bau!$V$22,0)+IF(Bau!$X$25=$B21,Bau!$V$25,0)+IF(Bau!$X$26=$B21,Bau!$V$26,0)+IF(Bau!$K$22=$B21,Bau!$I$22,0)+IF(Bau!$K$25=$B21,Bau!$I$25,0)+IF(Bau!$K$26=$B21,Bau!$I$26,0)</f>
        <v>0</v>
      </c>
      <c r="W21" s="1594">
        <f>IF(Bau!$K$64=$B21,Bau!$I$64,0)+IF(Bau!$K$65=$B21,Bau!$I$65,0)</f>
        <v>0</v>
      </c>
      <c r="X21" s="1594">
        <f>IF(Bau!$K$67=$B21,Bau!$I$67,0)+IF(Bau!$K$68=$B21,Bau!$I$68,0)</f>
        <v>0</v>
      </c>
      <c r="Y21" s="1594">
        <f>IF(Bau!$K$70=$B21,Bau!$I$70,0)+IF(Bau!$K$71=$B21,Bau!$I$71,0)+IF(Bau!$K$75=$B21,Bau!$I$75,0)+IF(Bau!$K$76=$B21,Bau!$I$76,0)</f>
        <v>0</v>
      </c>
      <c r="Z21" s="1594">
        <f>IF(Bau!$I$84=$B21,Bau!$I$84,0)+IF(Bau!$K$85=$B21,Bau!$I$85,0)+IF(Bau!$K$86=$B21,Bau!$I$86,0)</f>
        <v>0</v>
      </c>
      <c r="AA21" s="1595">
        <f>IF(Bau!$K$88=$B21,Bau!$I$88,0)+IF(Bau!$K$89=$B21,Bau!$I$89,0)+IF(Bau!$K$91=$B21,Bau!$I$91,0)+IF(Bau!$K$92=$B21,Bau!$I$92,0)</f>
        <v>0</v>
      </c>
    </row>
    <row r="22" spans="2:27">
      <c r="B22" s="1615">
        <v>13</v>
      </c>
      <c r="C22" s="1633">
        <f t="shared" si="0"/>
        <v>0</v>
      </c>
      <c r="D22" s="1662"/>
      <c r="E22" s="1634">
        <f t="shared" si="1"/>
        <v>0</v>
      </c>
      <c r="F22" s="1599">
        <f>UWert!C98</f>
        <v>0</v>
      </c>
      <c r="G22" s="1619">
        <f>UWert!D99</f>
        <v>0</v>
      </c>
      <c r="H22" s="1624">
        <f t="shared" si="2"/>
        <v>0</v>
      </c>
      <c r="I22" s="1620">
        <f t="shared" si="3"/>
        <v>0</v>
      </c>
      <c r="J22" s="1643"/>
      <c r="K22" s="1588"/>
      <c r="L22" s="1648">
        <f>IF(Bau!$K$14=$B22,Bau!$I$14,0)+IF(Bau!$K$15=$B22,Bau!$I$15,0)+IF(Bau!$K$16=$B22,Bau!$I$16,0)+IF(Bau!$K$17=$B22,Bau!$I$17,0)+IF(Bau!$K$18=$B22,Bau!$I$18,0)+IF(Bau!$K$20=$B22,Bau!$I$20,0)</f>
        <v>0</v>
      </c>
      <c r="M22" s="1594">
        <f>IF(Bau!$X$14=$B22,Bau!$V$14,0)+IF(Bau!$X$15=$B22,Bau!$V$15,0)+IF(Bau!$X$16=$B22,Bau!$V$16,0)+IF(Bau!$X$17=$B22,Bau!$V$17,0)+IF(Bau!$X$18=$B22,Bau!$V$18,0)+IF(Bau!$X$20=$B22,Bau!$V$20,0)</f>
        <v>0</v>
      </c>
      <c r="N22" s="1594">
        <f>IF(Bau!$K$33=$B22,Bau!$I$33,0)+IF(Bau!$K$34=$B22,Bau!$I$34,0)+IF(Bau!$K$35=$B22,Bau!$I$35,0)+IF(Bau!$K$36=$B22,Bau!$I$36,0)+IF(Bau!$K$37=$B22,Bau!$I$37,0)+IF(Bau!$K$39=$B22,Bau!$I$39,0)</f>
        <v>0</v>
      </c>
      <c r="O22" s="1594">
        <f>IF(Bau!$X$33=$B22,Bau!$V$33,0)+IF(Bau!$X$34=$B22,Bau!$V$34,0)+IF(Bau!$X$35=$B22,Bau!$V$35,0)+IF(Bau!$X$36=$B22,Bau!$V$36,0)+IF(Bau!$X$37=$B22,Bau!$V$37,0)+IF(Bau!$X$39=$B22,Bau!$V$39,0)</f>
        <v>0</v>
      </c>
      <c r="P22" s="1594">
        <f>IF(Fenster!$J$11=$B22,Fenster!$F$11*Fenster!$H$11,0)+IF(Fenster!$J$13=$B22,Fenster!$F$13*Fenster!$H$13,0)+IF(Fenster!$J$15=$B22,Fenster!$F$15*Fenster!$H$15,0)+IF(Fenster!$J$17=$B22,Fenster!$F$17*Fenster!$H$17,0)+IF(Fenster!$J$19=$B22,Fenster!$F$19*Fenster!$H$19,0)+IF(Fenster!$J$21=$B22,Fenster!$F$21*Fenster!$H$21,0)+IF(Fenster!$J$23=$B22,Fenster!$F$23*Fenster!$H$23,0)+IF(Fenster!$J$25=$B22,Fenster!$F$25*Fenster!$H$25,0)</f>
        <v>0</v>
      </c>
      <c r="Q22" s="1594">
        <f>IF(Fenster!$J$34=$B22,Fenster!$F$34*Fenster!$H$34,0)+IF(Fenster!$J$36=$B22,Fenster!$F$36*Fenster!$H$36,0)+IF(Fenster!$J$38=$B22,Fenster!$F$38*Fenster!$H$38,0)+IF(Fenster!$J$40=$B22,Fenster!$F$40*Fenster!$H$40,0)+IF(Fenster!$J$42=$B22,Fenster!$F$42*Fenster!$H$42,0)+IF(Fenster!$J$44=$B22,Fenster!$F$44*Fenster!$H$44,0)+IF(Fenster!$J$46=$B22,Fenster!$F$46*Fenster!$H$46,0)+IF(Fenster!$J$48=$B22,Fenster!$F$48*Fenster!$H$48,0)</f>
        <v>0</v>
      </c>
      <c r="R22" s="1594">
        <f>IF(Fenster!$J$57=$B22,Fenster!$F$57*Fenster!$H$57,0)+IF(Fenster!$J$59=$B22,Fenster!$F$59*Fenster!$H$59,0)+IF(Fenster!$J$61=$B22,Fenster!$F$61*Fenster!$H$61,0)+IF(Fenster!$J$63=$B22,Fenster!$F$63*Fenster!$H$63,0)+IF(Fenster!$J$65=$B22,Fenster!$F$65*Fenster!$H$65,0)+IF(Fenster!$J$67=$B22,Fenster!$F$67*Fenster!$H$67,0)+IF(Fenster!$J$69=$B22,Fenster!$F$69*Fenster!$H$69,0)+IF(Fenster!$J$71=$B22,Fenster!$F$71*Fenster!$H$71,0)</f>
        <v>0</v>
      </c>
      <c r="S22" s="1594">
        <f>IF(Fenster!$J$80=$B22,Fenster!$F$80*Fenster!$H$80,0)+IF(Fenster!$J$82=$B22,Fenster!$F$82*Fenster!$H$82,0)+IF(Fenster!$J$84=$B22,Fenster!$F$84*Fenster!$H$84,0)+IF(Fenster!$J$86=$B22,Fenster!$F$86*Fenster!$H$86,0)+IF(Fenster!$J$88=$B22,Fenster!$F$88*Fenster!$H$88,0)+IF(Fenster!$J$90=$B22,Fenster!$F$90*Fenster!$H$90,0)+IF(Fenster!$J$92=$B22,Fenster!$F$92*Fenster!$H$92,0)+IF(Fenster!$J$94=$B22,Fenster!$F$94*Fenster!$H$94,0)</f>
        <v>0</v>
      </c>
      <c r="T22" s="1594">
        <f>IF(Fenster!$J$103=$B22,Fenster!$F$103*Fenster!$H$103,0)+IF(Fenster!$J$105=$B22,Fenster!$F$105*Fenster!$H$105,0)+IF(Fenster!$J$107=$B22,Fenster!$F$107*Fenster!$H$107,0)+IF(Fenster!$J$109=$B22,Fenster!$F$109*Fenster!$H$109,0)+IF(Fenster!$J$111=$B22,Fenster!$F$111*Fenster!$H$111,0)+IF(Fenster!$J$113=$B22,Fenster!$F$113*Fenster!$H$113,0)+IF(Fenster!$J$115=$B22,Fenster!$F$115*Fenster!$H$115,0)+IF(Fenster!$J$117=$B22,Fenster!$F$117*Fenster!$H$117,0)</f>
        <v>0</v>
      </c>
      <c r="U22" s="1594">
        <f>IF(Bau!$K$23=$B22,Bau!$I$23,0)+IF(Bau!$K$24=$B22,Bau!$I$24,0)+IF(Bau!$X$23=$B22,Bau!$V$23,0)+IF(Bau!$X$24=$B22,Bau!$V$24,0)+IF(Bau!$K$42=$B22,Bau!$I$42,0)+IF(Bau!$K$43=$B22,Bau!$I$43,0)+IF(Bau!$X$42=$B22,Bau!$V$42,0)+IF(Bau!$X$43=$B22,Bau!$V$43,0)+IF(Bau!$K$94=$B22,Bau!$I$94,0)</f>
        <v>0</v>
      </c>
      <c r="V22" s="1594">
        <f>IF(Bau!$X$51=$B22,Bau!$V$51,0)+IF(Bau!$X$52=$B22,Bau!$V$52,0)+IF(Bau!$K$41=$B22,Bau!$I$41,0)+IF(Bau!$K$44=$B22,Bau!$I$44,0)+IF(Bau!$K$45=$B22,Bau!$I$45,0)+IF(Bau!$X$41=$B22,Bau!$V$41,0)+IF(Bau!$X$44=$B22,Bau!$V$44,0)+IF(Bau!$X$45=$B22,Bau!$V$45,0)+IF(Bau!$X$22=$B22,Bau!$V$22,0)+IF(Bau!$X$25=$B22,Bau!$V$25,0)+IF(Bau!$X$26=$B22,Bau!$V$26,0)+IF(Bau!$K$22=$B22,Bau!$I$22,0)+IF(Bau!$K$25=$B22,Bau!$I$25,0)+IF(Bau!$K$26=$B22,Bau!$I$26,0)</f>
        <v>0</v>
      </c>
      <c r="W22" s="1594">
        <f>IF(Bau!$K$64=$B22,Bau!$I$64,0)+IF(Bau!$K$65=$B22,Bau!$I$65,0)</f>
        <v>0</v>
      </c>
      <c r="X22" s="1594">
        <f>IF(Bau!$K$67=$B22,Bau!$I$67,0)+IF(Bau!$K$68=$B22,Bau!$I$68,0)</f>
        <v>0</v>
      </c>
      <c r="Y22" s="1594">
        <f>IF(Bau!$K$70=$B22,Bau!$I$70,0)+IF(Bau!$K$71=$B22,Bau!$I$71,0)+IF(Bau!$K$75=$B22,Bau!$I$75,0)+IF(Bau!$K$76=$B22,Bau!$I$76,0)</f>
        <v>0</v>
      </c>
      <c r="Z22" s="1594">
        <f>IF(Bau!$I$84=$B22,Bau!$I$84,0)+IF(Bau!$K$85=$B22,Bau!$I$85,0)+IF(Bau!$K$86=$B22,Bau!$I$86,0)</f>
        <v>0</v>
      </c>
      <c r="AA22" s="1595">
        <f>IF(Bau!$K$88=$B22,Bau!$I$88,0)+IF(Bau!$K$89=$B22,Bau!$I$89,0)+IF(Bau!$K$91=$B22,Bau!$I$91,0)+IF(Bau!$K$92=$B22,Bau!$I$92,0)</f>
        <v>0</v>
      </c>
    </row>
    <row r="23" spans="2:27">
      <c r="B23" s="1615">
        <v>14</v>
      </c>
      <c r="C23" s="1633">
        <f t="shared" si="0"/>
        <v>0</v>
      </c>
      <c r="D23" s="1662"/>
      <c r="E23" s="1634">
        <f t="shared" si="1"/>
        <v>0</v>
      </c>
      <c r="F23" s="1599">
        <f>UWert!K98</f>
        <v>0</v>
      </c>
      <c r="G23" s="1619">
        <f>UWert!L99</f>
        <v>0</v>
      </c>
      <c r="H23" s="1624">
        <f t="shared" si="2"/>
        <v>0</v>
      </c>
      <c r="I23" s="1620">
        <f t="shared" si="3"/>
        <v>0</v>
      </c>
      <c r="J23" s="1643"/>
      <c r="K23" s="1588"/>
      <c r="L23" s="1648">
        <f>IF(Bau!$K$14=$B23,Bau!$I$14,0)+IF(Bau!$K$15=$B23,Bau!$I$15,0)+IF(Bau!$K$16=$B23,Bau!$I$16,0)+IF(Bau!$K$17=$B23,Bau!$I$17,0)+IF(Bau!$K$18=$B23,Bau!$I$18,0)+IF(Bau!$K$20=$B23,Bau!$I$20,0)</f>
        <v>0</v>
      </c>
      <c r="M23" s="1594">
        <f>IF(Bau!$X$14=$B23,Bau!$V$14,0)+IF(Bau!$X$15=$B23,Bau!$V$15,0)+IF(Bau!$X$16=$B23,Bau!$V$16,0)+IF(Bau!$X$17=$B23,Bau!$V$17,0)+IF(Bau!$X$18=$B23,Bau!$V$18,0)+IF(Bau!$X$20=$B23,Bau!$V$20,0)</f>
        <v>0</v>
      </c>
      <c r="N23" s="1594">
        <f>IF(Bau!$K$33=$B23,Bau!$I$33,0)+IF(Bau!$K$34=$B23,Bau!$I$34,0)+IF(Bau!$K$35=$B23,Bau!$I$35,0)+IF(Bau!$K$36=$B23,Bau!$I$36,0)+IF(Bau!$K$37=$B23,Bau!$I$37,0)+IF(Bau!$K$39=$B23,Bau!$I$39,0)</f>
        <v>0</v>
      </c>
      <c r="O23" s="1594">
        <f>IF(Bau!$X$33=$B23,Bau!$V$33,0)+IF(Bau!$X$34=$B23,Bau!$V$34,0)+IF(Bau!$X$35=$B23,Bau!$V$35,0)+IF(Bau!$X$36=$B23,Bau!$V$36,0)+IF(Bau!$X$37=$B23,Bau!$V$37,0)+IF(Bau!$X$39=$B23,Bau!$V$39,0)</f>
        <v>0</v>
      </c>
      <c r="P23" s="1594">
        <f>IF(Fenster!$J$11=$B23,Fenster!$F$11*Fenster!$H$11,0)+IF(Fenster!$J$13=$B23,Fenster!$F$13*Fenster!$H$13,0)+IF(Fenster!$J$15=$B23,Fenster!$F$15*Fenster!$H$15,0)+IF(Fenster!$J$17=$B23,Fenster!$F$17*Fenster!$H$17,0)+IF(Fenster!$J$19=$B23,Fenster!$F$19*Fenster!$H$19,0)+IF(Fenster!$J$21=$B23,Fenster!$F$21*Fenster!$H$21,0)+IF(Fenster!$J$23=$B23,Fenster!$F$23*Fenster!$H$23,0)+IF(Fenster!$J$25=$B23,Fenster!$F$25*Fenster!$H$25,0)</f>
        <v>0</v>
      </c>
      <c r="Q23" s="1594">
        <f>IF(Fenster!$J$34=$B23,Fenster!$F$34*Fenster!$H$34,0)+IF(Fenster!$J$36=$B23,Fenster!$F$36*Fenster!$H$36,0)+IF(Fenster!$J$38=$B23,Fenster!$F$38*Fenster!$H$38,0)+IF(Fenster!$J$40=$B23,Fenster!$F$40*Fenster!$H$40,0)+IF(Fenster!$J$42=$B23,Fenster!$F$42*Fenster!$H$42,0)+IF(Fenster!$J$44=$B23,Fenster!$F$44*Fenster!$H$44,0)+IF(Fenster!$J$46=$B23,Fenster!$F$46*Fenster!$H$46,0)+IF(Fenster!$J$48=$B23,Fenster!$F$48*Fenster!$H$48,0)</f>
        <v>0</v>
      </c>
      <c r="R23" s="1594">
        <f>IF(Fenster!$J$57=$B23,Fenster!$F$57*Fenster!$H$57,0)+IF(Fenster!$J$59=$B23,Fenster!$F$59*Fenster!$H$59,0)+IF(Fenster!$J$61=$B23,Fenster!$F$61*Fenster!$H$61,0)+IF(Fenster!$J$63=$B23,Fenster!$F$63*Fenster!$H$63,0)+IF(Fenster!$J$65=$B23,Fenster!$F$65*Fenster!$H$65,0)+IF(Fenster!$J$67=$B23,Fenster!$F$67*Fenster!$H$67,0)+IF(Fenster!$J$69=$B23,Fenster!$F$69*Fenster!$H$69,0)+IF(Fenster!$J$71=$B23,Fenster!$F$71*Fenster!$H$71,0)</f>
        <v>0</v>
      </c>
      <c r="S23" s="1594">
        <f>IF(Fenster!$J$80=$B23,Fenster!$F$80*Fenster!$H$80,0)+IF(Fenster!$J$82=$B23,Fenster!$F$82*Fenster!$H$82,0)+IF(Fenster!$J$84=$B23,Fenster!$F$84*Fenster!$H$84,0)+IF(Fenster!$J$86=$B23,Fenster!$F$86*Fenster!$H$86,0)+IF(Fenster!$J$88=$B23,Fenster!$F$88*Fenster!$H$88,0)+IF(Fenster!$J$90=$B23,Fenster!$F$90*Fenster!$H$90,0)+IF(Fenster!$J$92=$B23,Fenster!$F$92*Fenster!$H$92,0)+IF(Fenster!$J$94=$B23,Fenster!$F$94*Fenster!$H$94,0)</f>
        <v>0</v>
      </c>
      <c r="T23" s="1594">
        <f>IF(Fenster!$J$103=$B23,Fenster!$F$103*Fenster!$H$103,0)+IF(Fenster!$J$105=$B23,Fenster!$F$105*Fenster!$H$105,0)+IF(Fenster!$J$107=$B23,Fenster!$F$107*Fenster!$H$107,0)+IF(Fenster!$J$109=$B23,Fenster!$F$109*Fenster!$H$109,0)+IF(Fenster!$J$111=$B23,Fenster!$F$111*Fenster!$H$111,0)+IF(Fenster!$J$113=$B23,Fenster!$F$113*Fenster!$H$113,0)+IF(Fenster!$J$115=$B23,Fenster!$F$115*Fenster!$H$115,0)+IF(Fenster!$J$117=$B23,Fenster!$F$117*Fenster!$H$117,0)</f>
        <v>0</v>
      </c>
      <c r="U23" s="1594">
        <f>IF(Bau!$K$23=$B23,Bau!$I$23,0)+IF(Bau!$K$24=$B23,Bau!$I$24,0)+IF(Bau!$X$23=$B23,Bau!$V$23,0)+IF(Bau!$X$24=$B23,Bau!$V$24,0)+IF(Bau!$K$42=$B23,Bau!$I$42,0)+IF(Bau!$K$43=$B23,Bau!$I$43,0)+IF(Bau!$X$42=$B23,Bau!$V$42,0)+IF(Bau!$X$43=$B23,Bau!$V$43,0)+IF(Bau!$K$94=$B23,Bau!$I$94,0)</f>
        <v>0</v>
      </c>
      <c r="V23" s="1594">
        <f>IF(Bau!$X$51=$B23,Bau!$V$51,0)+IF(Bau!$X$52=$B23,Bau!$V$52,0)+IF(Bau!$K$41=$B23,Bau!$I$41,0)+IF(Bau!$K$44=$B23,Bau!$I$44,0)+IF(Bau!$K$45=$B23,Bau!$I$45,0)+IF(Bau!$X$41=$B23,Bau!$V$41,0)+IF(Bau!$X$44=$B23,Bau!$V$44,0)+IF(Bau!$X$45=$B23,Bau!$V$45,0)+IF(Bau!$X$22=$B23,Bau!$V$22,0)+IF(Bau!$X$25=$B23,Bau!$V$25,0)+IF(Bau!$X$26=$B23,Bau!$V$26,0)+IF(Bau!$K$22=$B23,Bau!$I$22,0)+IF(Bau!$K$25=$B23,Bau!$I$25,0)+IF(Bau!$K$26=$B23,Bau!$I$26,0)</f>
        <v>0</v>
      </c>
      <c r="W23" s="1594">
        <f>IF(Bau!$K$64=$B23,Bau!$I$64,0)+IF(Bau!$K$65=$B23,Bau!$I$65,0)</f>
        <v>0</v>
      </c>
      <c r="X23" s="1594">
        <f>IF(Bau!$K$67=$B23,Bau!$I$67,0)+IF(Bau!$K$68=$B23,Bau!$I$68,0)</f>
        <v>0</v>
      </c>
      <c r="Y23" s="1594">
        <f>IF(Bau!$K$70=$B23,Bau!$I$70,0)+IF(Bau!$K$71=$B23,Bau!$I$71,0)+IF(Bau!$K$75=$B23,Bau!$I$75,0)+IF(Bau!$K$76=$B23,Bau!$I$76,0)</f>
        <v>0</v>
      </c>
      <c r="Z23" s="1594">
        <f>IF(Bau!$I$84=$B23,Bau!$I$84,0)+IF(Bau!$K$85=$B23,Bau!$I$85,0)+IF(Bau!$K$86=$B23,Bau!$I$86,0)</f>
        <v>0</v>
      </c>
      <c r="AA23" s="1595">
        <f>IF(Bau!$K$88=$B23,Bau!$I$88,0)+IF(Bau!$K$89=$B23,Bau!$I$89,0)+IF(Bau!$K$91=$B23,Bau!$I$91,0)+IF(Bau!$K$92=$B23,Bau!$I$92,0)</f>
        <v>0</v>
      </c>
    </row>
    <row r="24" spans="2:27">
      <c r="B24" s="1615">
        <v>15</v>
      </c>
      <c r="C24" s="1633">
        <f t="shared" si="0"/>
        <v>0</v>
      </c>
      <c r="D24" s="1662"/>
      <c r="E24" s="1634">
        <f t="shared" si="1"/>
        <v>0</v>
      </c>
      <c r="F24" s="1599">
        <f>UWert!C114</f>
        <v>0</v>
      </c>
      <c r="G24" s="1619">
        <f>UWert!H118</f>
        <v>0</v>
      </c>
      <c r="H24" s="1624">
        <f t="shared" si="2"/>
        <v>0</v>
      </c>
      <c r="I24" s="1620">
        <f t="shared" si="3"/>
        <v>0</v>
      </c>
      <c r="J24" s="1643"/>
      <c r="K24" s="1588"/>
      <c r="L24" s="1648">
        <f>IF(Bau!$K$14=$B24,Bau!$I$14,0)+IF(Bau!$K$15=$B24,Bau!$I$15,0)+IF(Bau!$K$16=$B24,Bau!$I$16,0)+IF(Bau!$K$17=$B24,Bau!$I$17,0)+IF(Bau!$K$18=$B24,Bau!$I$18,0)+IF(Bau!$K$20=$B24,Bau!$I$20,0)</f>
        <v>0</v>
      </c>
      <c r="M24" s="1594">
        <f>IF(Bau!$X$14=$B24,Bau!$V$14,0)+IF(Bau!$X$15=$B24,Bau!$V$15,0)+IF(Bau!$X$16=$B24,Bau!$V$16,0)+IF(Bau!$X$17=$B24,Bau!$V$17,0)+IF(Bau!$X$18=$B24,Bau!$V$18,0)+IF(Bau!$X$20=$B24,Bau!$V$20,0)</f>
        <v>0</v>
      </c>
      <c r="N24" s="1594">
        <f>IF(Bau!$K$33=$B24,Bau!$I$33,0)+IF(Bau!$K$34=$B24,Bau!$I$34,0)+IF(Bau!$K$35=$B24,Bau!$I$35,0)+IF(Bau!$K$36=$B24,Bau!$I$36,0)+IF(Bau!$K$37=$B24,Bau!$I$37,0)+IF(Bau!$K$39=$B24,Bau!$I$39,0)</f>
        <v>0</v>
      </c>
      <c r="O24" s="1594">
        <f>IF(Bau!$X$33=$B24,Bau!$V$33,0)+IF(Bau!$X$34=$B24,Bau!$V$34,0)+IF(Bau!$X$35=$B24,Bau!$V$35,0)+IF(Bau!$X$36=$B24,Bau!$V$36,0)+IF(Bau!$X$37=$B24,Bau!$V$37,0)+IF(Bau!$X$39=$B24,Bau!$V$39,0)</f>
        <v>0</v>
      </c>
      <c r="P24" s="1594">
        <f>IF(Fenster!$J$11=$B24,Fenster!$F$11*Fenster!$H$11,0)+IF(Fenster!$J$13=$B24,Fenster!$F$13*Fenster!$H$13,0)+IF(Fenster!$J$15=$B24,Fenster!$F$15*Fenster!$H$15,0)+IF(Fenster!$J$17=$B24,Fenster!$F$17*Fenster!$H$17,0)+IF(Fenster!$J$19=$B24,Fenster!$F$19*Fenster!$H$19,0)+IF(Fenster!$J$21=$B24,Fenster!$F$21*Fenster!$H$21,0)+IF(Fenster!$J$23=$B24,Fenster!$F$23*Fenster!$H$23,0)+IF(Fenster!$J$25=$B24,Fenster!$F$25*Fenster!$H$25,0)</f>
        <v>0</v>
      </c>
      <c r="Q24" s="1594">
        <f>IF(Fenster!$J$34=$B24,Fenster!$F$34*Fenster!$H$34,0)+IF(Fenster!$J$36=$B24,Fenster!$F$36*Fenster!$H$36,0)+IF(Fenster!$J$38=$B24,Fenster!$F$38*Fenster!$H$38,0)+IF(Fenster!$J$40=$B24,Fenster!$F$40*Fenster!$H$40,0)+IF(Fenster!$J$42=$B24,Fenster!$F$42*Fenster!$H$42,0)+IF(Fenster!$J$44=$B24,Fenster!$F$44*Fenster!$H$44,0)+IF(Fenster!$J$46=$B24,Fenster!$F$46*Fenster!$H$46,0)+IF(Fenster!$J$48=$B24,Fenster!$F$48*Fenster!$H$48,0)</f>
        <v>0</v>
      </c>
      <c r="R24" s="1594">
        <f>IF(Fenster!$J$57=$B24,Fenster!$F$57*Fenster!$H$57,0)+IF(Fenster!$J$59=$B24,Fenster!$F$59*Fenster!$H$59,0)+IF(Fenster!$J$61=$B24,Fenster!$F$61*Fenster!$H$61,0)+IF(Fenster!$J$63=$B24,Fenster!$F$63*Fenster!$H$63,0)+IF(Fenster!$J$65=$B24,Fenster!$F$65*Fenster!$H$65,0)+IF(Fenster!$J$67=$B24,Fenster!$F$67*Fenster!$H$67,0)+IF(Fenster!$J$69=$B24,Fenster!$F$69*Fenster!$H$69,0)+IF(Fenster!$J$71=$B24,Fenster!$F$71*Fenster!$H$71,0)</f>
        <v>0</v>
      </c>
      <c r="S24" s="1594">
        <f>IF(Fenster!$J$80=$B24,Fenster!$F$80*Fenster!$H$80,0)+IF(Fenster!$J$82=$B24,Fenster!$F$82*Fenster!$H$82,0)+IF(Fenster!$J$84=$B24,Fenster!$F$84*Fenster!$H$84,0)+IF(Fenster!$J$86=$B24,Fenster!$F$86*Fenster!$H$86,0)+IF(Fenster!$J$88=$B24,Fenster!$F$88*Fenster!$H$88,0)+IF(Fenster!$J$90=$B24,Fenster!$F$90*Fenster!$H$90,0)+IF(Fenster!$J$92=$B24,Fenster!$F$92*Fenster!$H$92,0)+IF(Fenster!$J$94=$B24,Fenster!$F$94*Fenster!$H$94,0)</f>
        <v>0</v>
      </c>
      <c r="T24" s="1594">
        <f>IF(Fenster!$J$103=$B24,Fenster!$F$103*Fenster!$H$103,0)+IF(Fenster!$J$105=$B24,Fenster!$F$105*Fenster!$H$105,0)+IF(Fenster!$J$107=$B24,Fenster!$F$107*Fenster!$H$107,0)+IF(Fenster!$J$109=$B24,Fenster!$F$109*Fenster!$H$109,0)+IF(Fenster!$J$111=$B24,Fenster!$F$111*Fenster!$H$111,0)+IF(Fenster!$J$113=$B24,Fenster!$F$113*Fenster!$H$113,0)+IF(Fenster!$J$115=$B24,Fenster!$F$115*Fenster!$H$115,0)+IF(Fenster!$J$117=$B24,Fenster!$F$117*Fenster!$H$117,0)</f>
        <v>0</v>
      </c>
      <c r="U24" s="1594">
        <f>IF(Bau!$K$23=$B24,Bau!$I$23,0)+IF(Bau!$K$24=$B24,Bau!$I$24,0)+IF(Bau!$X$23=$B24,Bau!$V$23,0)+IF(Bau!$X$24=$B24,Bau!$V$24,0)+IF(Bau!$K$42=$B24,Bau!$I$42,0)+IF(Bau!$K$43=$B24,Bau!$I$43,0)+IF(Bau!$X$42=$B24,Bau!$V$42,0)+IF(Bau!$X$43=$B24,Bau!$V$43,0)+IF(Bau!$K$94=$B24,Bau!$I$94,0)</f>
        <v>0</v>
      </c>
      <c r="V24" s="1594">
        <f>IF(Bau!$X$51=$B24,Bau!$V$51,0)+IF(Bau!$X$52=$B24,Bau!$V$52,0)+IF(Bau!$K$41=$B24,Bau!$I$41,0)+IF(Bau!$K$44=$B24,Bau!$I$44,0)+IF(Bau!$K$45=$B24,Bau!$I$45,0)+IF(Bau!$X$41=$B24,Bau!$V$41,0)+IF(Bau!$X$44=$B24,Bau!$V$44,0)+IF(Bau!$X$45=$B24,Bau!$V$45,0)+IF(Bau!$X$22=$B24,Bau!$V$22,0)+IF(Bau!$X$25=$B24,Bau!$V$25,0)+IF(Bau!$X$26=$B24,Bau!$V$26,0)+IF(Bau!$K$22=$B24,Bau!$I$22,0)+IF(Bau!$K$25=$B24,Bau!$I$25,0)+IF(Bau!$K$26=$B24,Bau!$I$26,0)</f>
        <v>0</v>
      </c>
      <c r="W24" s="1594">
        <f>IF(Bau!$K$64=$B24,Bau!$I$64,0)+IF(Bau!$K$65=$B24,Bau!$I$65,0)</f>
        <v>0</v>
      </c>
      <c r="X24" s="1594">
        <f>IF(Bau!$K$67=$B24,Bau!$I$67,0)+IF(Bau!$K$68=$B24,Bau!$I$68,0)</f>
        <v>0</v>
      </c>
      <c r="Y24" s="1594">
        <f>IF(Bau!$K$70=$B24,Bau!$I$70,0)+IF(Bau!$K$71=$B24,Bau!$I$71,0)+IF(Bau!$K$75=$B24,Bau!$I$75,0)+IF(Bau!$K$76=$B24,Bau!$I$76,0)</f>
        <v>0</v>
      </c>
      <c r="Z24" s="1594">
        <f>IF(Bau!$I$84=$B24,Bau!$I$84,0)+IF(Bau!$K$85=$B24,Bau!$I$85,0)+IF(Bau!$K$86=$B24,Bau!$I$86,0)</f>
        <v>0</v>
      </c>
      <c r="AA24" s="1595">
        <f>IF(Bau!$K$88=$B24,Bau!$I$88,0)+IF(Bau!$K$89=$B24,Bau!$I$89,0)+IF(Bau!$K$91=$B24,Bau!$I$91,0)+IF(Bau!$K$92=$B24,Bau!$I$92,0)</f>
        <v>0</v>
      </c>
    </row>
    <row r="25" spans="2:27">
      <c r="B25" s="1615">
        <v>16</v>
      </c>
      <c r="C25" s="1633">
        <f t="shared" si="0"/>
        <v>0</v>
      </c>
      <c r="D25" s="1662"/>
      <c r="E25" s="1634">
        <f t="shared" si="1"/>
        <v>0</v>
      </c>
      <c r="F25" s="1599">
        <f>UWert!K114</f>
        <v>0</v>
      </c>
      <c r="G25" s="1619">
        <f>UWert!P118</f>
        <v>0</v>
      </c>
      <c r="H25" s="1624">
        <f t="shared" si="2"/>
        <v>0</v>
      </c>
      <c r="I25" s="1620">
        <f t="shared" si="3"/>
        <v>0</v>
      </c>
      <c r="J25" s="1643"/>
      <c r="K25" s="1588"/>
      <c r="L25" s="1648">
        <f>IF(Bau!$K$14=$B25,Bau!$I$14,0)+IF(Bau!$K$15=$B25,Bau!$I$15,0)+IF(Bau!$K$16=$B25,Bau!$I$16,0)+IF(Bau!$K$17=$B25,Bau!$I$17,0)+IF(Bau!$K$18=$B25,Bau!$I$18,0)+IF(Bau!$K$20=$B25,Bau!$I$20,0)</f>
        <v>0</v>
      </c>
      <c r="M25" s="1594">
        <f>IF(Bau!$X$14=$B25,Bau!$V$14,0)+IF(Bau!$X$15=$B25,Bau!$V$15,0)+IF(Bau!$X$16=$B25,Bau!$V$16,0)+IF(Bau!$X$17=$B25,Bau!$V$17,0)+IF(Bau!$X$18=$B25,Bau!$V$18,0)+IF(Bau!$X$20=$B25,Bau!$V$20,0)</f>
        <v>0</v>
      </c>
      <c r="N25" s="1594">
        <f>IF(Bau!$K$33=$B25,Bau!$I$33,0)+IF(Bau!$K$34=$B25,Bau!$I$34,0)+IF(Bau!$K$35=$B25,Bau!$I$35,0)+IF(Bau!$K$36=$B25,Bau!$I$36,0)+IF(Bau!$K$37=$B25,Bau!$I$37,0)+IF(Bau!$K$39=$B25,Bau!$I$39,0)</f>
        <v>0</v>
      </c>
      <c r="O25" s="1594">
        <f>IF(Bau!$X$33=$B25,Bau!$V$33,0)+IF(Bau!$X$34=$B25,Bau!$V$34,0)+IF(Bau!$X$35=$B25,Bau!$V$35,0)+IF(Bau!$X$36=$B25,Bau!$V$36,0)+IF(Bau!$X$37=$B25,Bau!$V$37,0)+IF(Bau!$X$39=$B25,Bau!$V$39,0)</f>
        <v>0</v>
      </c>
      <c r="P25" s="1594">
        <f>IF(Fenster!$J$11=$B25,Fenster!$F$11*Fenster!$H$11,0)+IF(Fenster!$J$13=$B25,Fenster!$F$13*Fenster!$H$13,0)+IF(Fenster!$J$15=$B25,Fenster!$F$15*Fenster!$H$15,0)+IF(Fenster!$J$17=$B25,Fenster!$F$17*Fenster!$H$17,0)+IF(Fenster!$J$19=$B25,Fenster!$F$19*Fenster!$H$19,0)+IF(Fenster!$J$21=$B25,Fenster!$F$21*Fenster!$H$21,0)+IF(Fenster!$J$23=$B25,Fenster!$F$23*Fenster!$H$23,0)+IF(Fenster!$J$25=$B25,Fenster!$F$25*Fenster!$H$25,0)</f>
        <v>0</v>
      </c>
      <c r="Q25" s="1594">
        <f>IF(Fenster!$J$34=$B25,Fenster!$F$34*Fenster!$H$34,0)+IF(Fenster!$J$36=$B25,Fenster!$F$36*Fenster!$H$36,0)+IF(Fenster!$J$38=$B25,Fenster!$F$38*Fenster!$H$38,0)+IF(Fenster!$J$40=$B25,Fenster!$F$40*Fenster!$H$40,0)+IF(Fenster!$J$42=$B25,Fenster!$F$42*Fenster!$H$42,0)+IF(Fenster!$J$44=$B25,Fenster!$F$44*Fenster!$H$44,0)+IF(Fenster!$J$46=$B25,Fenster!$F$46*Fenster!$H$46,0)+IF(Fenster!$J$48=$B25,Fenster!$F$48*Fenster!$H$48,0)</f>
        <v>0</v>
      </c>
      <c r="R25" s="1594">
        <f>IF(Fenster!$J$57=$B25,Fenster!$F$57*Fenster!$H$57,0)+IF(Fenster!$J$59=$B25,Fenster!$F$59*Fenster!$H$59,0)+IF(Fenster!$J$61=$B25,Fenster!$F$61*Fenster!$H$61,0)+IF(Fenster!$J$63=$B25,Fenster!$F$63*Fenster!$H$63,0)+IF(Fenster!$J$65=$B25,Fenster!$F$65*Fenster!$H$65,0)+IF(Fenster!$J$67=$B25,Fenster!$F$67*Fenster!$H$67,0)+IF(Fenster!$J$69=$B25,Fenster!$F$69*Fenster!$H$69,0)+IF(Fenster!$J$71=$B25,Fenster!$F$71*Fenster!$H$71,0)</f>
        <v>0</v>
      </c>
      <c r="S25" s="1594">
        <f>IF(Fenster!$J$80=$B25,Fenster!$F$80*Fenster!$H$80,0)+IF(Fenster!$J$82=$B25,Fenster!$F$82*Fenster!$H$82,0)+IF(Fenster!$J$84=$B25,Fenster!$F$84*Fenster!$H$84,0)+IF(Fenster!$J$86=$B25,Fenster!$F$86*Fenster!$H$86,0)+IF(Fenster!$J$88=$B25,Fenster!$F$88*Fenster!$H$88,0)+IF(Fenster!$J$90=$B25,Fenster!$F$90*Fenster!$H$90,0)+IF(Fenster!$J$92=$B25,Fenster!$F$92*Fenster!$H$92,0)+IF(Fenster!$J$94=$B25,Fenster!$F$94*Fenster!$H$94,0)</f>
        <v>0</v>
      </c>
      <c r="T25" s="1594">
        <f>IF(Fenster!$J$103=$B25,Fenster!$F$103*Fenster!$H$103,0)+IF(Fenster!$J$105=$B25,Fenster!$F$105*Fenster!$H$105,0)+IF(Fenster!$J$107=$B25,Fenster!$F$107*Fenster!$H$107,0)+IF(Fenster!$J$109=$B25,Fenster!$F$109*Fenster!$H$109,0)+IF(Fenster!$J$111=$B25,Fenster!$F$111*Fenster!$H$111,0)+IF(Fenster!$J$113=$B25,Fenster!$F$113*Fenster!$H$113,0)+IF(Fenster!$J$115=$B25,Fenster!$F$115*Fenster!$H$115,0)+IF(Fenster!$J$117=$B25,Fenster!$F$117*Fenster!$H$117,0)</f>
        <v>0</v>
      </c>
      <c r="U25" s="1594">
        <f>IF(Bau!$K$23=$B25,Bau!$I$23,0)+IF(Bau!$K$24=$B25,Bau!$I$24,0)+IF(Bau!$X$23=$B25,Bau!$V$23,0)+IF(Bau!$X$24=$B25,Bau!$V$24,0)+IF(Bau!$K$42=$B25,Bau!$I$42,0)+IF(Bau!$K$43=$B25,Bau!$I$43,0)+IF(Bau!$X$42=$B25,Bau!$V$42,0)+IF(Bau!$X$43=$B25,Bau!$V$43,0)+IF(Bau!$K$94=$B25,Bau!$I$94,0)</f>
        <v>0</v>
      </c>
      <c r="V25" s="1594">
        <f>IF(Bau!$X$51=$B25,Bau!$V$51,0)+IF(Bau!$X$52=$B25,Bau!$V$52,0)+IF(Bau!$K$41=$B25,Bau!$I$41,0)+IF(Bau!$K$44=$B25,Bau!$I$44,0)+IF(Bau!$K$45=$B25,Bau!$I$45,0)+IF(Bau!$X$41=$B25,Bau!$V$41,0)+IF(Bau!$X$44=$B25,Bau!$V$44,0)+IF(Bau!$X$45=$B25,Bau!$V$45,0)+IF(Bau!$X$22=$B25,Bau!$V$22,0)+IF(Bau!$X$25=$B25,Bau!$V$25,0)+IF(Bau!$X$26=$B25,Bau!$V$26,0)+IF(Bau!$K$22=$B25,Bau!$I$22,0)+IF(Bau!$K$25=$B25,Bau!$I$25,0)+IF(Bau!$K$26=$B25,Bau!$I$26,0)</f>
        <v>0</v>
      </c>
      <c r="W25" s="1594">
        <f>IF(Bau!$K$64=$B25,Bau!$I$64,0)+IF(Bau!$K$65=$B25,Bau!$I$65,0)</f>
        <v>0</v>
      </c>
      <c r="X25" s="1594">
        <f>IF(Bau!$K$67=$B25,Bau!$I$67,0)+IF(Bau!$K$68=$B25,Bau!$I$68,0)</f>
        <v>0</v>
      </c>
      <c r="Y25" s="1594">
        <f>IF(Bau!$K$70=$B25,Bau!$I$70,0)+IF(Bau!$K$71=$B25,Bau!$I$71,0)+IF(Bau!$K$75=$B25,Bau!$I$75,0)+IF(Bau!$K$76=$B25,Bau!$I$76,0)</f>
        <v>0</v>
      </c>
      <c r="Z25" s="1594">
        <f>IF(Bau!$I$84=$B25,Bau!$I$84,0)+IF(Bau!$K$85=$B25,Bau!$I$85,0)+IF(Bau!$K$86=$B25,Bau!$I$86,0)</f>
        <v>0</v>
      </c>
      <c r="AA25" s="1595">
        <f>IF(Bau!$K$88=$B25,Bau!$I$88,0)+IF(Bau!$K$89=$B25,Bau!$I$89,0)+IF(Bau!$K$91=$B25,Bau!$I$91,0)+IF(Bau!$K$92=$B25,Bau!$I$92,0)</f>
        <v>0</v>
      </c>
    </row>
    <row r="26" spans="2:27">
      <c r="B26" s="1615">
        <v>17</v>
      </c>
      <c r="C26" s="1633">
        <f t="shared" si="0"/>
        <v>0</v>
      </c>
      <c r="D26" s="1662"/>
      <c r="E26" s="1634">
        <f t="shared" si="1"/>
        <v>0</v>
      </c>
      <c r="F26" s="1599">
        <f>UWert!C123</f>
        <v>0</v>
      </c>
      <c r="G26" s="1619">
        <f>UWert!H124</f>
        <v>0</v>
      </c>
      <c r="H26" s="1624">
        <f t="shared" si="2"/>
        <v>0</v>
      </c>
      <c r="I26" s="1620">
        <f t="shared" si="3"/>
        <v>0</v>
      </c>
      <c r="J26" s="1643"/>
      <c r="K26" s="1588"/>
      <c r="L26" s="1648">
        <f>IF(Bau!$K$14=$B26,Bau!$I$14,0)+IF(Bau!$K$15=$B26,Bau!$I$15,0)+IF(Bau!$K$16=$B26,Bau!$I$16,0)+IF(Bau!$K$17=$B26,Bau!$I$17,0)+IF(Bau!$K$18=$B26,Bau!$I$18,0)+IF(Bau!$K$20=$B26,Bau!$I$20,0)</f>
        <v>0</v>
      </c>
      <c r="M26" s="1594">
        <f>IF(Bau!$X$14=$B26,Bau!$V$14,0)+IF(Bau!$X$15=$B26,Bau!$V$15,0)+IF(Bau!$X$16=$B26,Bau!$V$16,0)+IF(Bau!$X$17=$B26,Bau!$V$17,0)+IF(Bau!$X$18=$B26,Bau!$V$18,0)+IF(Bau!$X$20=$B26,Bau!$V$20,0)</f>
        <v>0</v>
      </c>
      <c r="N26" s="1594">
        <f>IF(Bau!$K$33=$B26,Bau!$I$33,0)+IF(Bau!$K$34=$B26,Bau!$I$34,0)+IF(Bau!$K$35=$B26,Bau!$I$35,0)+IF(Bau!$K$36=$B26,Bau!$I$36,0)+IF(Bau!$K$37=$B26,Bau!$I$37,0)+IF(Bau!$K$39=$B26,Bau!$I$39,0)</f>
        <v>0</v>
      </c>
      <c r="O26" s="1594">
        <f>IF(Bau!$X$33=$B26,Bau!$V$33,0)+IF(Bau!$X$34=$B26,Bau!$V$34,0)+IF(Bau!$X$35=$B26,Bau!$V$35,0)+IF(Bau!$X$36=$B26,Bau!$V$36,0)+IF(Bau!$X$37=$B26,Bau!$V$37,0)+IF(Bau!$X$39=$B26,Bau!$V$39,0)</f>
        <v>0</v>
      </c>
      <c r="P26" s="1594">
        <f>IF(Fenster!$J$11=$B26,Fenster!$F$11*Fenster!$H$11,0)+IF(Fenster!$J$13=$B26,Fenster!$F$13*Fenster!$H$13,0)+IF(Fenster!$J$15=$B26,Fenster!$F$15*Fenster!$H$15,0)+IF(Fenster!$J$17=$B26,Fenster!$F$17*Fenster!$H$17,0)+IF(Fenster!$J$19=$B26,Fenster!$F$19*Fenster!$H$19,0)+IF(Fenster!$J$21=$B26,Fenster!$F$21*Fenster!$H$21,0)+IF(Fenster!$J$23=$B26,Fenster!$F$23*Fenster!$H$23,0)+IF(Fenster!$J$25=$B26,Fenster!$F$25*Fenster!$H$25,0)</f>
        <v>0</v>
      </c>
      <c r="Q26" s="1594">
        <f>IF(Fenster!$J$34=$B26,Fenster!$F$34*Fenster!$H$34,0)+IF(Fenster!$J$36=$B26,Fenster!$F$36*Fenster!$H$36,0)+IF(Fenster!$J$38=$B26,Fenster!$F$38*Fenster!$H$38,0)+IF(Fenster!$J$40=$B26,Fenster!$F$40*Fenster!$H$40,0)+IF(Fenster!$J$42=$B26,Fenster!$F$42*Fenster!$H$42,0)+IF(Fenster!$J$44=$B26,Fenster!$F$44*Fenster!$H$44,0)+IF(Fenster!$J$46=$B26,Fenster!$F$46*Fenster!$H$46,0)+IF(Fenster!$J$48=$B26,Fenster!$F$48*Fenster!$H$48,0)</f>
        <v>0</v>
      </c>
      <c r="R26" s="1594">
        <f>IF(Fenster!$J$57=$B26,Fenster!$F$57*Fenster!$H$57,0)+IF(Fenster!$J$59=$B26,Fenster!$F$59*Fenster!$H$59,0)+IF(Fenster!$J$61=$B26,Fenster!$F$61*Fenster!$H$61,0)+IF(Fenster!$J$63=$B26,Fenster!$F$63*Fenster!$H$63,0)+IF(Fenster!$J$65=$B26,Fenster!$F$65*Fenster!$H$65,0)+IF(Fenster!$J$67=$B26,Fenster!$F$67*Fenster!$H$67,0)+IF(Fenster!$J$69=$B26,Fenster!$F$69*Fenster!$H$69,0)+IF(Fenster!$J$71=$B26,Fenster!$F$71*Fenster!$H$71,0)</f>
        <v>0</v>
      </c>
      <c r="S26" s="1594">
        <f>IF(Fenster!$J$80=$B26,Fenster!$F$80*Fenster!$H$80,0)+IF(Fenster!$J$82=$B26,Fenster!$F$82*Fenster!$H$82,0)+IF(Fenster!$J$84=$B26,Fenster!$F$84*Fenster!$H$84,0)+IF(Fenster!$J$86=$B26,Fenster!$F$86*Fenster!$H$86,0)+IF(Fenster!$J$88=$B26,Fenster!$F$88*Fenster!$H$88,0)+IF(Fenster!$J$90=$B26,Fenster!$F$90*Fenster!$H$90,0)+IF(Fenster!$J$92=$B26,Fenster!$F$92*Fenster!$H$92,0)+IF(Fenster!$J$94=$B26,Fenster!$F$94*Fenster!$H$94,0)</f>
        <v>0</v>
      </c>
      <c r="T26" s="1594">
        <f>IF(Fenster!$J$103=$B26,Fenster!$F$103*Fenster!$H$103,0)+IF(Fenster!$J$105=$B26,Fenster!$F$105*Fenster!$H$105,0)+IF(Fenster!$J$107=$B26,Fenster!$F$107*Fenster!$H$107,0)+IF(Fenster!$J$109=$B26,Fenster!$F$109*Fenster!$H$109,0)+IF(Fenster!$J$111=$B26,Fenster!$F$111*Fenster!$H$111,0)+IF(Fenster!$J$113=$B26,Fenster!$F$113*Fenster!$H$113,0)+IF(Fenster!$J$115=$B26,Fenster!$F$115*Fenster!$H$115,0)+IF(Fenster!$J$117=$B26,Fenster!$F$117*Fenster!$H$117,0)</f>
        <v>0</v>
      </c>
      <c r="U26" s="1594">
        <f>IF(Bau!$K$23=$B26,Bau!$I$23,0)+IF(Bau!$K$24=$B26,Bau!$I$24,0)+IF(Bau!$X$23=$B26,Bau!$V$23,0)+IF(Bau!$X$24=$B26,Bau!$V$24,0)+IF(Bau!$K$42=$B26,Bau!$I$42,0)+IF(Bau!$K$43=$B26,Bau!$I$43,0)+IF(Bau!$X$42=$B26,Bau!$V$42,0)+IF(Bau!$X$43=$B26,Bau!$V$43,0)+IF(Bau!$K$94=$B26,Bau!$I$94,0)</f>
        <v>0</v>
      </c>
      <c r="V26" s="1594">
        <f>IF(Bau!$X$51=$B26,Bau!$V$51,0)+IF(Bau!$X$52=$B26,Bau!$V$52,0)+IF(Bau!$K$41=$B26,Bau!$I$41,0)+IF(Bau!$K$44=$B26,Bau!$I$44,0)+IF(Bau!$K$45=$B26,Bau!$I$45,0)+IF(Bau!$X$41=$B26,Bau!$V$41,0)+IF(Bau!$X$44=$B26,Bau!$V$44,0)+IF(Bau!$X$45=$B26,Bau!$V$45,0)+IF(Bau!$X$22=$B26,Bau!$V$22,0)+IF(Bau!$X$25=$B26,Bau!$V$25,0)+IF(Bau!$X$26=$B26,Bau!$V$26,0)+IF(Bau!$K$22=$B26,Bau!$I$22,0)+IF(Bau!$K$25=$B26,Bau!$I$25,0)+IF(Bau!$K$26=$B26,Bau!$I$26,0)</f>
        <v>0</v>
      </c>
      <c r="W26" s="1594">
        <f>IF(Bau!$K$64=$B26,Bau!$I$64,0)+IF(Bau!$K$65=$B26,Bau!$I$65,0)</f>
        <v>0</v>
      </c>
      <c r="X26" s="1594">
        <f>IF(Bau!$K$67=$B26,Bau!$I$67,0)+IF(Bau!$K$68=$B26,Bau!$I$68,0)</f>
        <v>0</v>
      </c>
      <c r="Y26" s="1594">
        <f>IF(Bau!$K$70=$B26,Bau!$I$70,0)+IF(Bau!$K$71=$B26,Bau!$I$71,0)+IF(Bau!$K$75=$B26,Bau!$I$75,0)+IF(Bau!$K$76=$B26,Bau!$I$76,0)</f>
        <v>0</v>
      </c>
      <c r="Z26" s="1594">
        <f>IF(Bau!$I$84=$B26,Bau!$I$84,0)+IF(Bau!$K$85=$B26,Bau!$I$85,0)+IF(Bau!$K$86=$B26,Bau!$I$86,0)</f>
        <v>0</v>
      </c>
      <c r="AA26" s="1595">
        <f>IF(Bau!$K$88=$B26,Bau!$I$88,0)+IF(Bau!$K$89=$B26,Bau!$I$89,0)+IF(Bau!$K$91=$B26,Bau!$I$91,0)+IF(Bau!$K$92=$B26,Bau!$I$92,0)</f>
        <v>0</v>
      </c>
    </row>
    <row r="27" spans="2:27">
      <c r="B27" s="1615">
        <v>18</v>
      </c>
      <c r="C27" s="1633">
        <f t="shared" si="0"/>
        <v>0</v>
      </c>
      <c r="D27" s="1662"/>
      <c r="E27" s="1634">
        <f t="shared" si="1"/>
        <v>0</v>
      </c>
      <c r="F27" s="1599">
        <f>UWert!K123</f>
        <v>0</v>
      </c>
      <c r="G27" s="1619">
        <f>UWert!P124</f>
        <v>0</v>
      </c>
      <c r="H27" s="1624">
        <f t="shared" si="2"/>
        <v>0</v>
      </c>
      <c r="I27" s="1620">
        <f t="shared" si="3"/>
        <v>0</v>
      </c>
      <c r="J27" s="1643"/>
      <c r="K27" s="1588"/>
      <c r="L27" s="1648">
        <f>IF(Bau!$K$14=$B27,Bau!$I$14,0)+IF(Bau!$K$15=$B27,Bau!$I$15,0)+IF(Bau!$K$16=$B27,Bau!$I$16,0)+IF(Bau!$K$17=$B27,Bau!$I$17,0)+IF(Bau!$K$18=$B27,Bau!$I$18,0)+IF(Bau!$K$20=$B27,Bau!$I$20,0)</f>
        <v>0</v>
      </c>
      <c r="M27" s="1594">
        <f>IF(Bau!$X$14=$B27,Bau!$V$14,0)+IF(Bau!$X$15=$B27,Bau!$V$15,0)+IF(Bau!$X$16=$B27,Bau!$V$16,0)+IF(Bau!$X$17=$B27,Bau!$V$17,0)+IF(Bau!$X$18=$B27,Bau!$V$18,0)+IF(Bau!$X$20=$B27,Bau!$V$20,0)</f>
        <v>0</v>
      </c>
      <c r="N27" s="1594">
        <f>IF(Bau!$K$33=$B27,Bau!$I$33,0)+IF(Bau!$K$34=$B27,Bau!$I$34,0)+IF(Bau!$K$35=$B27,Bau!$I$35,0)+IF(Bau!$K$36=$B27,Bau!$I$36,0)+IF(Bau!$K$37=$B27,Bau!$I$37,0)+IF(Bau!$K$39=$B27,Bau!$I$39,0)</f>
        <v>0</v>
      </c>
      <c r="O27" s="1594">
        <f>IF(Bau!$X$33=$B27,Bau!$V$33,0)+IF(Bau!$X$34=$B27,Bau!$V$34,0)+IF(Bau!$X$35=$B27,Bau!$V$35,0)+IF(Bau!$X$36=$B27,Bau!$V$36,0)+IF(Bau!$X$37=$B27,Bau!$V$37,0)+IF(Bau!$X$39=$B27,Bau!$V$39,0)</f>
        <v>0</v>
      </c>
      <c r="P27" s="1594">
        <f>IF(Fenster!$J$11=$B27,Fenster!$F$11*Fenster!$H$11,0)+IF(Fenster!$J$13=$B27,Fenster!$F$13*Fenster!$H$13,0)+IF(Fenster!$J$15=$B27,Fenster!$F$15*Fenster!$H$15,0)+IF(Fenster!$J$17=$B27,Fenster!$F$17*Fenster!$H$17,0)+IF(Fenster!$J$19=$B27,Fenster!$F$19*Fenster!$H$19,0)+IF(Fenster!$J$21=$B27,Fenster!$F$21*Fenster!$H$21,0)+IF(Fenster!$J$23=$B27,Fenster!$F$23*Fenster!$H$23,0)+IF(Fenster!$J$25=$B27,Fenster!$F$25*Fenster!$H$25,0)</f>
        <v>0</v>
      </c>
      <c r="Q27" s="1594">
        <f>IF(Fenster!$J$34=$B27,Fenster!$F$34*Fenster!$H$34,0)+IF(Fenster!$J$36=$B27,Fenster!$F$36*Fenster!$H$36,0)+IF(Fenster!$J$38=$B27,Fenster!$F$38*Fenster!$H$38,0)+IF(Fenster!$J$40=$B27,Fenster!$F$40*Fenster!$H$40,0)+IF(Fenster!$J$42=$B27,Fenster!$F$42*Fenster!$H$42,0)+IF(Fenster!$J$44=$B27,Fenster!$F$44*Fenster!$H$44,0)+IF(Fenster!$J$46=$B27,Fenster!$F$46*Fenster!$H$46,0)+IF(Fenster!$J$48=$B27,Fenster!$F$48*Fenster!$H$48,0)</f>
        <v>0</v>
      </c>
      <c r="R27" s="1594">
        <f>IF(Fenster!$J$57=$B27,Fenster!$F$57*Fenster!$H$57,0)+IF(Fenster!$J$59=$B27,Fenster!$F$59*Fenster!$H$59,0)+IF(Fenster!$J$61=$B27,Fenster!$F$61*Fenster!$H$61,0)+IF(Fenster!$J$63=$B27,Fenster!$F$63*Fenster!$H$63,0)+IF(Fenster!$J$65=$B27,Fenster!$F$65*Fenster!$H$65,0)+IF(Fenster!$J$67=$B27,Fenster!$F$67*Fenster!$H$67,0)+IF(Fenster!$J$69=$B27,Fenster!$F$69*Fenster!$H$69,0)+IF(Fenster!$J$71=$B27,Fenster!$F$71*Fenster!$H$71,0)</f>
        <v>0</v>
      </c>
      <c r="S27" s="1594">
        <f>IF(Fenster!$J$80=$B27,Fenster!$F$80*Fenster!$H$80,0)+IF(Fenster!$J$82=$B27,Fenster!$F$82*Fenster!$H$82,0)+IF(Fenster!$J$84=$B27,Fenster!$F$84*Fenster!$H$84,0)+IF(Fenster!$J$86=$B27,Fenster!$F$86*Fenster!$H$86,0)+IF(Fenster!$J$88=$B27,Fenster!$F$88*Fenster!$H$88,0)+IF(Fenster!$J$90=$B27,Fenster!$F$90*Fenster!$H$90,0)+IF(Fenster!$J$92=$B27,Fenster!$F$92*Fenster!$H$92,0)+IF(Fenster!$J$94=$B27,Fenster!$F$94*Fenster!$H$94,0)</f>
        <v>0</v>
      </c>
      <c r="T27" s="1594">
        <f>IF(Fenster!$J$103=$B27,Fenster!$F$103*Fenster!$H$103,0)+IF(Fenster!$J$105=$B27,Fenster!$F$105*Fenster!$H$105,0)+IF(Fenster!$J$107=$B27,Fenster!$F$107*Fenster!$H$107,0)+IF(Fenster!$J$109=$B27,Fenster!$F$109*Fenster!$H$109,0)+IF(Fenster!$J$111=$B27,Fenster!$F$111*Fenster!$H$111,0)+IF(Fenster!$J$113=$B27,Fenster!$F$113*Fenster!$H$113,0)+IF(Fenster!$J$115=$B27,Fenster!$F$115*Fenster!$H$115,0)+IF(Fenster!$J$117=$B27,Fenster!$F$117*Fenster!$H$117,0)</f>
        <v>0</v>
      </c>
      <c r="U27" s="1594">
        <f>IF(Bau!$K$23=$B27,Bau!$I$23,0)+IF(Bau!$K$24=$B27,Bau!$I$24,0)+IF(Bau!$X$23=$B27,Bau!$V$23,0)+IF(Bau!$X$24=$B27,Bau!$V$24,0)+IF(Bau!$K$42=$B27,Bau!$I$42,0)+IF(Bau!$K$43=$B27,Bau!$I$43,0)+IF(Bau!$X$42=$B27,Bau!$V$42,0)+IF(Bau!$X$43=$B27,Bau!$V$43,0)+IF(Bau!$K$94=$B27,Bau!$I$94,0)</f>
        <v>0</v>
      </c>
      <c r="V27" s="1594">
        <f>IF(Bau!$X$51=$B27,Bau!$V$51,0)+IF(Bau!$X$52=$B27,Bau!$V$52,0)+IF(Bau!$K$41=$B27,Bau!$I$41,0)+IF(Bau!$K$44=$B27,Bau!$I$44,0)+IF(Bau!$K$45=$B27,Bau!$I$45,0)+IF(Bau!$X$41=$B27,Bau!$V$41,0)+IF(Bau!$X$44=$B27,Bau!$V$44,0)+IF(Bau!$X$45=$B27,Bau!$V$45,0)+IF(Bau!$X$22=$B27,Bau!$V$22,0)+IF(Bau!$X$25=$B27,Bau!$V$25,0)+IF(Bau!$X$26=$B27,Bau!$V$26,0)+IF(Bau!$K$22=$B27,Bau!$I$22,0)+IF(Bau!$K$25=$B27,Bau!$I$25,0)+IF(Bau!$K$26=$B27,Bau!$I$26,0)</f>
        <v>0</v>
      </c>
      <c r="W27" s="1594">
        <f>IF(Bau!$K$64=$B27,Bau!$I$64,0)+IF(Bau!$K$65=$B27,Bau!$I$65,0)</f>
        <v>0</v>
      </c>
      <c r="X27" s="1594">
        <f>IF(Bau!$K$67=$B27,Bau!$I$67,0)+IF(Bau!$K$68=$B27,Bau!$I$68,0)</f>
        <v>0</v>
      </c>
      <c r="Y27" s="1594">
        <f>IF(Bau!$K$70=$B27,Bau!$I$70,0)+IF(Bau!$K$71=$B27,Bau!$I$71,0)+IF(Bau!$K$75=$B27,Bau!$I$75,0)+IF(Bau!$K$76=$B27,Bau!$I$76,0)</f>
        <v>0</v>
      </c>
      <c r="Z27" s="1594">
        <f>IF(Bau!$I$84=$B27,Bau!$I$84,0)+IF(Bau!$K$85=$B27,Bau!$I$85,0)+IF(Bau!$K$86=$B27,Bau!$I$86,0)</f>
        <v>0</v>
      </c>
      <c r="AA27" s="1595">
        <f>IF(Bau!$K$88=$B27,Bau!$I$88,0)+IF(Bau!$K$89=$B27,Bau!$I$89,0)+IF(Bau!$K$91=$B27,Bau!$I$91,0)+IF(Bau!$K$92=$B27,Bau!$I$92,0)</f>
        <v>0</v>
      </c>
    </row>
    <row r="28" spans="2:27">
      <c r="B28" s="1615">
        <v>19</v>
      </c>
      <c r="C28" s="1633">
        <f t="shared" si="0"/>
        <v>0</v>
      </c>
      <c r="D28" s="1662"/>
      <c r="E28" s="1634">
        <f t="shared" si="1"/>
        <v>0</v>
      </c>
      <c r="F28" s="1599">
        <f>UWert!C128</f>
        <v>0</v>
      </c>
      <c r="G28" s="1619">
        <f>UWert!D135</f>
        <v>0</v>
      </c>
      <c r="H28" s="1624">
        <f t="shared" si="2"/>
        <v>0</v>
      </c>
      <c r="I28" s="1620">
        <f t="shared" si="3"/>
        <v>0</v>
      </c>
      <c r="J28" s="1643"/>
      <c r="K28" s="1588"/>
      <c r="L28" s="1648">
        <f>IF(Bau!$K$14=$B28,Bau!$I$14,0)+IF(Bau!$K$15=$B28,Bau!$I$15,0)+IF(Bau!$K$16=$B28,Bau!$I$16,0)+IF(Bau!$K$17=$B28,Bau!$I$17,0)+IF(Bau!$K$18=$B28,Bau!$I$18,0)+IF(Bau!$K$20=$B28,Bau!$I$20,0)</f>
        <v>0</v>
      </c>
      <c r="M28" s="1594">
        <f>IF(Bau!$X$14=$B28,Bau!$V$14,0)+IF(Bau!$X$15=$B28,Bau!$V$15,0)+IF(Bau!$X$16=$B28,Bau!$V$16,0)+IF(Bau!$X$17=$B28,Bau!$V$17,0)+IF(Bau!$X$18=$B28,Bau!$V$18,0)+IF(Bau!$X$20=$B28,Bau!$V$20,0)</f>
        <v>0</v>
      </c>
      <c r="N28" s="1594">
        <f>IF(Bau!$K$33=$B28,Bau!$I$33,0)+IF(Bau!$K$34=$B28,Bau!$I$34,0)+IF(Bau!$K$35=$B28,Bau!$I$35,0)+IF(Bau!$K$36=$B28,Bau!$I$36,0)+IF(Bau!$K$37=$B28,Bau!$I$37,0)+IF(Bau!$K$39=$B28,Bau!$I$39,0)</f>
        <v>0</v>
      </c>
      <c r="O28" s="1594">
        <f>IF(Bau!$X$33=$B28,Bau!$V$33,0)+IF(Bau!$X$34=$B28,Bau!$V$34,0)+IF(Bau!$X$35=$B28,Bau!$V$35,0)+IF(Bau!$X$36=$B28,Bau!$V$36,0)+IF(Bau!$X$37=$B28,Bau!$V$37,0)+IF(Bau!$X$39=$B28,Bau!$V$39,0)</f>
        <v>0</v>
      </c>
      <c r="P28" s="1594">
        <f>IF(Fenster!$J$11=$B28,Fenster!$F$11*Fenster!$H$11,0)+IF(Fenster!$J$13=$B28,Fenster!$F$13*Fenster!$H$13,0)+IF(Fenster!$J$15=$B28,Fenster!$F$15*Fenster!$H$15,0)+IF(Fenster!$J$17=$B28,Fenster!$F$17*Fenster!$H$17,0)+IF(Fenster!$J$19=$B28,Fenster!$F$19*Fenster!$H$19,0)+IF(Fenster!$J$21=$B28,Fenster!$F$21*Fenster!$H$21,0)+IF(Fenster!$J$23=$B28,Fenster!$F$23*Fenster!$H$23,0)+IF(Fenster!$J$25=$B28,Fenster!$F$25*Fenster!$H$25,0)</f>
        <v>0</v>
      </c>
      <c r="Q28" s="1594">
        <f>IF(Fenster!$J$34=$B28,Fenster!$F$34*Fenster!$H$34,0)+IF(Fenster!$J$36=$B28,Fenster!$F$36*Fenster!$H$36,0)+IF(Fenster!$J$38=$B28,Fenster!$F$38*Fenster!$H$38,0)+IF(Fenster!$J$40=$B28,Fenster!$F$40*Fenster!$H$40,0)+IF(Fenster!$J$42=$B28,Fenster!$F$42*Fenster!$H$42,0)+IF(Fenster!$J$44=$B28,Fenster!$F$44*Fenster!$H$44,0)+IF(Fenster!$J$46=$B28,Fenster!$F$46*Fenster!$H$46,0)+IF(Fenster!$J$48=$B28,Fenster!$F$48*Fenster!$H$48,0)</f>
        <v>0</v>
      </c>
      <c r="R28" s="1594">
        <f>IF(Fenster!$J$57=$B28,Fenster!$F$57*Fenster!$H$57,0)+IF(Fenster!$J$59=$B28,Fenster!$F$59*Fenster!$H$59,0)+IF(Fenster!$J$61=$B28,Fenster!$F$61*Fenster!$H$61,0)+IF(Fenster!$J$63=$B28,Fenster!$F$63*Fenster!$H$63,0)+IF(Fenster!$J$65=$B28,Fenster!$F$65*Fenster!$H$65,0)+IF(Fenster!$J$67=$B28,Fenster!$F$67*Fenster!$H$67,0)+IF(Fenster!$J$69=$B28,Fenster!$F$69*Fenster!$H$69,0)+IF(Fenster!$J$71=$B28,Fenster!$F$71*Fenster!$H$71,0)</f>
        <v>0</v>
      </c>
      <c r="S28" s="1594">
        <f>IF(Fenster!$J$80=$B28,Fenster!$F$80*Fenster!$H$80,0)+IF(Fenster!$J$82=$B28,Fenster!$F$82*Fenster!$H$82,0)+IF(Fenster!$J$84=$B28,Fenster!$F$84*Fenster!$H$84,0)+IF(Fenster!$J$86=$B28,Fenster!$F$86*Fenster!$H$86,0)+IF(Fenster!$J$88=$B28,Fenster!$F$88*Fenster!$H$88,0)+IF(Fenster!$J$90=$B28,Fenster!$F$90*Fenster!$H$90,0)+IF(Fenster!$J$92=$B28,Fenster!$F$92*Fenster!$H$92,0)+IF(Fenster!$J$94=$B28,Fenster!$F$94*Fenster!$H$94,0)</f>
        <v>0</v>
      </c>
      <c r="T28" s="1594">
        <f>IF(Fenster!$J$103=$B28,Fenster!$F$103*Fenster!$H$103,0)+IF(Fenster!$J$105=$B28,Fenster!$F$105*Fenster!$H$105,0)+IF(Fenster!$J$107=$B28,Fenster!$F$107*Fenster!$H$107,0)+IF(Fenster!$J$109=$B28,Fenster!$F$109*Fenster!$H$109,0)+IF(Fenster!$J$111=$B28,Fenster!$F$111*Fenster!$H$111,0)+IF(Fenster!$J$113=$B28,Fenster!$F$113*Fenster!$H$113,0)+IF(Fenster!$J$115=$B28,Fenster!$F$115*Fenster!$H$115,0)+IF(Fenster!$J$117=$B28,Fenster!$F$117*Fenster!$H$117,0)</f>
        <v>0</v>
      </c>
      <c r="U28" s="1594">
        <f>IF(Bau!$K$23=$B28,Bau!$I$23,0)+IF(Bau!$K$24=$B28,Bau!$I$24,0)+IF(Bau!$X$23=$B28,Bau!$V$23,0)+IF(Bau!$X$24=$B28,Bau!$V$24,0)+IF(Bau!$K$42=$B28,Bau!$I$42,0)+IF(Bau!$K$43=$B28,Bau!$I$43,0)+IF(Bau!$X$42=$B28,Bau!$V$42,0)+IF(Bau!$X$43=$B28,Bau!$V$43,0)+IF(Bau!$K$94=$B28,Bau!$I$94,0)</f>
        <v>0</v>
      </c>
      <c r="V28" s="1594">
        <f>IF(Bau!$X$51=$B28,Bau!$V$51,0)+IF(Bau!$X$52=$B28,Bau!$V$52,0)+IF(Bau!$K$41=$B28,Bau!$I$41,0)+IF(Bau!$K$44=$B28,Bau!$I$44,0)+IF(Bau!$K$45=$B28,Bau!$I$45,0)+IF(Bau!$X$41=$B28,Bau!$V$41,0)+IF(Bau!$X$44=$B28,Bau!$V$44,0)+IF(Bau!$X$45=$B28,Bau!$V$45,0)+IF(Bau!$X$22=$B28,Bau!$V$22,0)+IF(Bau!$X$25=$B28,Bau!$V$25,0)+IF(Bau!$X$26=$B28,Bau!$V$26,0)+IF(Bau!$K$22=$B28,Bau!$I$22,0)+IF(Bau!$K$25=$B28,Bau!$I$25,0)+IF(Bau!$K$26=$B28,Bau!$I$26,0)</f>
        <v>0</v>
      </c>
      <c r="W28" s="1594">
        <f>IF(Bau!$K$64=$B28,Bau!$I$64,0)+IF(Bau!$K$65=$B28,Bau!$I$65,0)</f>
        <v>0</v>
      </c>
      <c r="X28" s="1594">
        <f>IF(Bau!$K$67=$B28,Bau!$I$67,0)+IF(Bau!$K$68=$B28,Bau!$I$68,0)</f>
        <v>0</v>
      </c>
      <c r="Y28" s="1594">
        <f>IF(Bau!$K$70=$B28,Bau!$I$70,0)+IF(Bau!$K$71=$B28,Bau!$I$71,0)+IF(Bau!$K$75=$B28,Bau!$I$75,0)+IF(Bau!$K$76=$B28,Bau!$I$76,0)</f>
        <v>0</v>
      </c>
      <c r="Z28" s="1594">
        <f>IF(Bau!$I$84=$B28,Bau!$I$84,0)+IF(Bau!$K$85=$B28,Bau!$I$85,0)+IF(Bau!$K$86=$B28,Bau!$I$86,0)</f>
        <v>0</v>
      </c>
      <c r="AA28" s="1595">
        <f>IF(Bau!$K$88=$B28,Bau!$I$88,0)+IF(Bau!$K$89=$B28,Bau!$I$89,0)+IF(Bau!$K$91=$B28,Bau!$I$91,0)+IF(Bau!$K$92=$B28,Bau!$I$92,0)</f>
        <v>0</v>
      </c>
    </row>
    <row r="29" spans="2:27">
      <c r="B29" s="1615">
        <v>20</v>
      </c>
      <c r="C29" s="1633">
        <f t="shared" si="0"/>
        <v>0</v>
      </c>
      <c r="D29" s="1662"/>
      <c r="E29" s="1634">
        <f t="shared" si="1"/>
        <v>0</v>
      </c>
      <c r="F29" s="1599">
        <f>UWert!C148</f>
        <v>0</v>
      </c>
      <c r="G29" s="1619">
        <f>UWert!D152</f>
        <v>0</v>
      </c>
      <c r="H29" s="1624">
        <f t="shared" si="2"/>
        <v>0</v>
      </c>
      <c r="I29" s="1620">
        <f t="shared" si="3"/>
        <v>0</v>
      </c>
      <c r="J29" s="1643"/>
      <c r="K29" s="1588"/>
      <c r="L29" s="1648">
        <f>IF(Bau!$K$14=$B29,Bau!$I$14,0)+IF(Bau!$K$15=$B29,Bau!$I$15,0)+IF(Bau!$K$16=$B29,Bau!$I$16,0)+IF(Bau!$K$17=$B29,Bau!$I$17,0)+IF(Bau!$K$18=$B29,Bau!$I$18,0)+IF(Bau!$K$20=$B29,Bau!$I$20,0)</f>
        <v>0</v>
      </c>
      <c r="M29" s="1594">
        <f>IF(Bau!$X$14=$B29,Bau!$V$14,0)+IF(Bau!$X$15=$B29,Bau!$V$15,0)+IF(Bau!$X$16=$B29,Bau!$V$16,0)+IF(Bau!$X$17=$B29,Bau!$V$17,0)+IF(Bau!$X$18=$B29,Bau!$V$18,0)+IF(Bau!$X$20=$B29,Bau!$V$20,0)</f>
        <v>0</v>
      </c>
      <c r="N29" s="1594">
        <f>IF(Bau!$K$33=$B29,Bau!$I$33,0)+IF(Bau!$K$34=$B29,Bau!$I$34,0)+IF(Bau!$K$35=$B29,Bau!$I$35,0)+IF(Bau!$K$36=$B29,Bau!$I$36,0)+IF(Bau!$K$37=$B29,Bau!$I$37,0)+IF(Bau!$K$39=$B29,Bau!$I$39,0)</f>
        <v>0</v>
      </c>
      <c r="O29" s="1594">
        <f>IF(Bau!$X$33=$B29,Bau!$V$33,0)+IF(Bau!$X$34=$B29,Bau!$V$34,0)+IF(Bau!$X$35=$B29,Bau!$V$35,0)+IF(Bau!$X$36=$B29,Bau!$V$36,0)+IF(Bau!$X$37=$B29,Bau!$V$37,0)+IF(Bau!$X$39=$B29,Bau!$V$39,0)</f>
        <v>0</v>
      </c>
      <c r="P29" s="1594">
        <f>IF(Fenster!$J$11=$B29,Fenster!$F$11*Fenster!$H$11,0)+IF(Fenster!$J$13=$B29,Fenster!$F$13*Fenster!$H$13,0)+IF(Fenster!$J$15=$B29,Fenster!$F$15*Fenster!$H$15,0)+IF(Fenster!$J$17=$B29,Fenster!$F$17*Fenster!$H$17,0)+IF(Fenster!$J$19=$B29,Fenster!$F$19*Fenster!$H$19,0)+IF(Fenster!$J$21=$B29,Fenster!$F$21*Fenster!$H$21,0)+IF(Fenster!$J$23=$B29,Fenster!$F$23*Fenster!$H$23,0)+IF(Fenster!$J$25=$B29,Fenster!$F$25*Fenster!$H$25,0)</f>
        <v>0</v>
      </c>
      <c r="Q29" s="1594">
        <f>IF(Fenster!$J$34=$B29,Fenster!$F$34*Fenster!$H$34,0)+IF(Fenster!$J$36=$B29,Fenster!$F$36*Fenster!$H$36,0)+IF(Fenster!$J$38=$B29,Fenster!$F$38*Fenster!$H$38,0)+IF(Fenster!$J$40=$B29,Fenster!$F$40*Fenster!$H$40,0)+IF(Fenster!$J$42=$B29,Fenster!$F$42*Fenster!$H$42,0)+IF(Fenster!$J$44=$B29,Fenster!$F$44*Fenster!$H$44,0)+IF(Fenster!$J$46=$B29,Fenster!$F$46*Fenster!$H$46,0)+IF(Fenster!$J$48=$B29,Fenster!$F$48*Fenster!$H$48,0)</f>
        <v>0</v>
      </c>
      <c r="R29" s="1594">
        <f>IF(Fenster!$J$57=$B29,Fenster!$F$57*Fenster!$H$57,0)+IF(Fenster!$J$59=$B29,Fenster!$F$59*Fenster!$H$59,0)+IF(Fenster!$J$61=$B29,Fenster!$F$61*Fenster!$H$61,0)+IF(Fenster!$J$63=$B29,Fenster!$F$63*Fenster!$H$63,0)+IF(Fenster!$J$65=$B29,Fenster!$F$65*Fenster!$H$65,0)+IF(Fenster!$J$67=$B29,Fenster!$F$67*Fenster!$H$67,0)+IF(Fenster!$J$69=$B29,Fenster!$F$69*Fenster!$H$69,0)+IF(Fenster!$J$71=$B29,Fenster!$F$71*Fenster!$H$71,0)</f>
        <v>0</v>
      </c>
      <c r="S29" s="1594">
        <f>IF(Fenster!$J$80=$B29,Fenster!$F$80*Fenster!$H$80,0)+IF(Fenster!$J$82=$B29,Fenster!$F$82*Fenster!$H$82,0)+IF(Fenster!$J$84=$B29,Fenster!$F$84*Fenster!$H$84,0)+IF(Fenster!$J$86=$B29,Fenster!$F$86*Fenster!$H$86,0)+IF(Fenster!$J$88=$B29,Fenster!$F$88*Fenster!$H$88,0)+IF(Fenster!$J$90=$B29,Fenster!$F$90*Fenster!$H$90,0)+IF(Fenster!$J$92=$B29,Fenster!$F$92*Fenster!$H$92,0)+IF(Fenster!$J$94=$B29,Fenster!$F$94*Fenster!$H$94,0)</f>
        <v>0</v>
      </c>
      <c r="T29" s="1594">
        <f>IF(Fenster!$J$103=$B29,Fenster!$F$103*Fenster!$H$103,0)+IF(Fenster!$J$105=$B29,Fenster!$F$105*Fenster!$H$105,0)+IF(Fenster!$J$107=$B29,Fenster!$F$107*Fenster!$H$107,0)+IF(Fenster!$J$109=$B29,Fenster!$F$109*Fenster!$H$109,0)+IF(Fenster!$J$111=$B29,Fenster!$F$111*Fenster!$H$111,0)+IF(Fenster!$J$113=$B29,Fenster!$F$113*Fenster!$H$113,0)+IF(Fenster!$J$115=$B29,Fenster!$F$115*Fenster!$H$115,0)+IF(Fenster!$J$117=$B29,Fenster!$F$117*Fenster!$H$117,0)</f>
        <v>0</v>
      </c>
      <c r="U29" s="1594">
        <f>IF(Bau!$K$23=$B29,Bau!$I$23,0)+IF(Bau!$K$24=$B29,Bau!$I$24,0)+IF(Bau!$X$23=$B29,Bau!$V$23,0)+IF(Bau!$X$24=$B29,Bau!$V$24,0)+IF(Bau!$K$42=$B29,Bau!$I$42,0)+IF(Bau!$K$43=$B29,Bau!$I$43,0)+IF(Bau!$X$42=$B29,Bau!$V$42,0)+IF(Bau!$X$43=$B29,Bau!$V$43,0)+IF(Bau!$K$94=$B29,Bau!$I$94,0)</f>
        <v>0</v>
      </c>
      <c r="V29" s="1594">
        <f>IF(Bau!$X$51=$B29,Bau!$V$51,0)+IF(Bau!$X$52=$B29,Bau!$V$52,0)+IF(Bau!$K$41=$B29,Bau!$I$41,0)+IF(Bau!$K$44=$B29,Bau!$I$44,0)+IF(Bau!$K$45=$B29,Bau!$I$45,0)+IF(Bau!$X$41=$B29,Bau!$V$41,0)+IF(Bau!$X$44=$B29,Bau!$V$44,0)+IF(Bau!$X$45=$B29,Bau!$V$45,0)+IF(Bau!$X$22=$B29,Bau!$V$22,0)+IF(Bau!$X$25=$B29,Bau!$V$25,0)+IF(Bau!$X$26=$B29,Bau!$V$26,0)+IF(Bau!$K$22=$B29,Bau!$I$22,0)+IF(Bau!$K$25=$B29,Bau!$I$25,0)+IF(Bau!$K$26=$B29,Bau!$I$26,0)</f>
        <v>0</v>
      </c>
      <c r="W29" s="1594">
        <f>IF(Bau!$K$64=$B29,Bau!$I$64,0)+IF(Bau!$K$65=$B29,Bau!$I$65,0)</f>
        <v>0</v>
      </c>
      <c r="X29" s="1594">
        <f>IF(Bau!$K$67=$B29,Bau!$I$67,0)+IF(Bau!$K$68=$B29,Bau!$I$68,0)</f>
        <v>0</v>
      </c>
      <c r="Y29" s="1594">
        <f>IF(Bau!$K$70=$B29,Bau!$I$70,0)+IF(Bau!$K$71=$B29,Bau!$I$71,0)+IF(Bau!$K$75=$B29,Bau!$I$75,0)+IF(Bau!$K$76=$B29,Bau!$I$76,0)</f>
        <v>0</v>
      </c>
      <c r="Z29" s="1594">
        <f>IF(Bau!$I$84=$B29,Bau!$I$84,0)+IF(Bau!$K$85=$B29,Bau!$I$85,0)+IF(Bau!$K$86=$B29,Bau!$I$86,0)</f>
        <v>0</v>
      </c>
      <c r="AA29" s="1595">
        <f>IF(Bau!$K$88=$B29,Bau!$I$88,0)+IF(Bau!$K$89=$B29,Bau!$I$89,0)+IF(Bau!$K$91=$B29,Bau!$I$91,0)+IF(Bau!$K$92=$B29,Bau!$I$92,0)</f>
        <v>0</v>
      </c>
    </row>
    <row r="30" spans="2:27">
      <c r="B30" s="1615">
        <v>21</v>
      </c>
      <c r="C30" s="1633">
        <f t="shared" si="0"/>
        <v>0</v>
      </c>
      <c r="D30" s="1662"/>
      <c r="E30" s="1634">
        <f t="shared" si="1"/>
        <v>0</v>
      </c>
      <c r="F30" s="1599">
        <f>UWert!C165</f>
        <v>0</v>
      </c>
      <c r="G30" s="1619">
        <f>UWert!D169</f>
        <v>0</v>
      </c>
      <c r="H30" s="1624">
        <f t="shared" si="2"/>
        <v>0</v>
      </c>
      <c r="I30" s="1620">
        <f t="shared" si="3"/>
        <v>0</v>
      </c>
      <c r="J30" s="1643"/>
      <c r="K30" s="1588"/>
      <c r="L30" s="1648">
        <f>IF(Bau!$K$14=$B30,Bau!$I$14,0)+IF(Bau!$K$15=$B30,Bau!$I$15,0)+IF(Bau!$K$16=$B30,Bau!$I$16,0)+IF(Bau!$K$17=$B30,Bau!$I$17,0)+IF(Bau!$K$18=$B30,Bau!$I$18,0)+IF(Bau!$K$20=$B30,Bau!$I$20,0)</f>
        <v>0</v>
      </c>
      <c r="M30" s="1594">
        <f>IF(Bau!$X$14=$B30,Bau!$V$14,0)+IF(Bau!$X$15=$B30,Bau!$V$15,0)+IF(Bau!$X$16=$B30,Bau!$V$16,0)+IF(Bau!$X$17=$B30,Bau!$V$17,0)+IF(Bau!$X$18=$B30,Bau!$V$18,0)+IF(Bau!$X$20=$B30,Bau!$V$20,0)</f>
        <v>0</v>
      </c>
      <c r="N30" s="1594">
        <f>IF(Bau!$K$33=$B30,Bau!$I$33,0)+IF(Bau!$K$34=$B30,Bau!$I$34,0)+IF(Bau!$K$35=$B30,Bau!$I$35,0)+IF(Bau!$K$36=$B30,Bau!$I$36,0)+IF(Bau!$K$37=$B30,Bau!$I$37,0)+IF(Bau!$K$39=$B30,Bau!$I$39,0)</f>
        <v>0</v>
      </c>
      <c r="O30" s="1594">
        <f>IF(Bau!$X$33=$B30,Bau!$V$33,0)+IF(Bau!$X$34=$B30,Bau!$V$34,0)+IF(Bau!$X$35=$B30,Bau!$V$35,0)+IF(Bau!$X$36=$B30,Bau!$V$36,0)+IF(Bau!$X$37=$B30,Bau!$V$37,0)+IF(Bau!$X$39=$B30,Bau!$V$39,0)</f>
        <v>0</v>
      </c>
      <c r="P30" s="1594">
        <f>IF(Fenster!$J$11=$B30,Fenster!$F$11*Fenster!$H$11,0)+IF(Fenster!$J$13=$B30,Fenster!$F$13*Fenster!$H$13,0)+IF(Fenster!$J$15=$B30,Fenster!$F$15*Fenster!$H$15,0)+IF(Fenster!$J$17=$B30,Fenster!$F$17*Fenster!$H$17,0)+IF(Fenster!$J$19=$B30,Fenster!$F$19*Fenster!$H$19,0)+IF(Fenster!$J$21=$B30,Fenster!$F$21*Fenster!$H$21,0)+IF(Fenster!$J$23=$B30,Fenster!$F$23*Fenster!$H$23,0)+IF(Fenster!$J$25=$B30,Fenster!$F$25*Fenster!$H$25,0)</f>
        <v>0</v>
      </c>
      <c r="Q30" s="1594">
        <f>IF(Fenster!$J$34=$B30,Fenster!$F$34*Fenster!$H$34,0)+IF(Fenster!$J$36=$B30,Fenster!$F$36*Fenster!$H$36,0)+IF(Fenster!$J$38=$B30,Fenster!$F$38*Fenster!$H$38,0)+IF(Fenster!$J$40=$B30,Fenster!$F$40*Fenster!$H$40,0)+IF(Fenster!$J$42=$B30,Fenster!$F$42*Fenster!$H$42,0)+IF(Fenster!$J$44=$B30,Fenster!$F$44*Fenster!$H$44,0)+IF(Fenster!$J$46=$B30,Fenster!$F$46*Fenster!$H$46,0)+IF(Fenster!$J$48=$B30,Fenster!$F$48*Fenster!$H$48,0)</f>
        <v>0</v>
      </c>
      <c r="R30" s="1594">
        <f>IF(Fenster!$J$57=$B30,Fenster!$F$57*Fenster!$H$57,0)+IF(Fenster!$J$59=$B30,Fenster!$F$59*Fenster!$H$59,0)+IF(Fenster!$J$61=$B30,Fenster!$F$61*Fenster!$H$61,0)+IF(Fenster!$J$63=$B30,Fenster!$F$63*Fenster!$H$63,0)+IF(Fenster!$J$65=$B30,Fenster!$F$65*Fenster!$H$65,0)+IF(Fenster!$J$67=$B30,Fenster!$F$67*Fenster!$H$67,0)+IF(Fenster!$J$69=$B30,Fenster!$F$69*Fenster!$H$69,0)+IF(Fenster!$J$71=$B30,Fenster!$F$71*Fenster!$H$71,0)</f>
        <v>0</v>
      </c>
      <c r="S30" s="1594">
        <f>IF(Fenster!$J$80=$B30,Fenster!$F$80*Fenster!$H$80,0)+IF(Fenster!$J$82=$B30,Fenster!$F$82*Fenster!$H$82,0)+IF(Fenster!$J$84=$B30,Fenster!$F$84*Fenster!$H$84,0)+IF(Fenster!$J$86=$B30,Fenster!$F$86*Fenster!$H$86,0)+IF(Fenster!$J$88=$B30,Fenster!$F$88*Fenster!$H$88,0)+IF(Fenster!$J$90=$B30,Fenster!$F$90*Fenster!$H$90,0)+IF(Fenster!$J$92=$B30,Fenster!$F$92*Fenster!$H$92,0)+IF(Fenster!$J$94=$B30,Fenster!$F$94*Fenster!$H$94,0)</f>
        <v>0</v>
      </c>
      <c r="T30" s="1594">
        <f>IF(Fenster!$J$103=$B30,Fenster!$F$103*Fenster!$H$103,0)+IF(Fenster!$J$105=$B30,Fenster!$F$105*Fenster!$H$105,0)+IF(Fenster!$J$107=$B30,Fenster!$F$107*Fenster!$H$107,0)+IF(Fenster!$J$109=$B30,Fenster!$F$109*Fenster!$H$109,0)+IF(Fenster!$J$111=$B30,Fenster!$F$111*Fenster!$H$111,0)+IF(Fenster!$J$113=$B30,Fenster!$F$113*Fenster!$H$113,0)+IF(Fenster!$J$115=$B30,Fenster!$F$115*Fenster!$H$115,0)+IF(Fenster!$J$117=$B30,Fenster!$F$117*Fenster!$H$117,0)</f>
        <v>0</v>
      </c>
      <c r="U30" s="1594">
        <f>IF(Bau!$K$23=$B30,Bau!$I$23,0)+IF(Bau!$K$24=$B30,Bau!$I$24,0)+IF(Bau!$X$23=$B30,Bau!$V$23,0)+IF(Bau!$X$24=$B30,Bau!$V$24,0)+IF(Bau!$K$42=$B30,Bau!$I$42,0)+IF(Bau!$K$43=$B30,Bau!$I$43,0)+IF(Bau!$X$42=$B30,Bau!$V$42,0)+IF(Bau!$X$43=$B30,Bau!$V$43,0)+IF(Bau!$K$94=$B30,Bau!$I$94,0)</f>
        <v>0</v>
      </c>
      <c r="V30" s="1594">
        <f>IF(Bau!$X$51=$B30,Bau!$V$51,0)+IF(Bau!$X$52=$B30,Bau!$V$52,0)+IF(Bau!$K$41=$B30,Bau!$I$41,0)+IF(Bau!$K$44=$B30,Bau!$I$44,0)+IF(Bau!$K$45=$B30,Bau!$I$45,0)+IF(Bau!$X$41=$B30,Bau!$V$41,0)+IF(Bau!$X$44=$B30,Bau!$V$44,0)+IF(Bau!$X$45=$B30,Bau!$V$45,0)+IF(Bau!$X$22=$B30,Bau!$V$22,0)+IF(Bau!$X$25=$B30,Bau!$V$25,0)+IF(Bau!$X$26=$B30,Bau!$V$26,0)+IF(Bau!$K$22=$B30,Bau!$I$22,0)+IF(Bau!$K$25=$B30,Bau!$I$25,0)+IF(Bau!$K$26=$B30,Bau!$I$26,0)</f>
        <v>0</v>
      </c>
      <c r="W30" s="1594">
        <f>IF(Bau!$K$64=$B30,Bau!$I$64,0)+IF(Bau!$K$65=$B30,Bau!$I$65,0)</f>
        <v>0</v>
      </c>
      <c r="X30" s="1594">
        <f>IF(Bau!$K$67=$B30,Bau!$I$67,0)+IF(Bau!$K$68=$B30,Bau!$I$68,0)</f>
        <v>0</v>
      </c>
      <c r="Y30" s="1594">
        <f>IF(Bau!$K$70=$B30,Bau!$I$70,0)+IF(Bau!$K$71=$B30,Bau!$I$71,0)+IF(Bau!$K$75=$B30,Bau!$I$75,0)+IF(Bau!$K$76=$B30,Bau!$I$76,0)</f>
        <v>0</v>
      </c>
      <c r="Z30" s="1594">
        <f>IF(Bau!$I$84=$B30,Bau!$I$84,0)+IF(Bau!$K$85=$B30,Bau!$I$85,0)+IF(Bau!$K$86=$B30,Bau!$I$86,0)</f>
        <v>0</v>
      </c>
      <c r="AA30" s="1595">
        <f>IF(Bau!$K$88=$B30,Bau!$I$88,0)+IF(Bau!$K$89=$B30,Bau!$I$89,0)+IF(Bau!$K$91=$B30,Bau!$I$91,0)+IF(Bau!$K$92=$B30,Bau!$I$92,0)</f>
        <v>0</v>
      </c>
    </row>
    <row r="31" spans="2:27">
      <c r="B31" s="1615">
        <v>22</v>
      </c>
      <c r="C31" s="1633">
        <f t="shared" si="0"/>
        <v>0</v>
      </c>
      <c r="D31" s="1662"/>
      <c r="E31" s="1634">
        <f t="shared" si="1"/>
        <v>0</v>
      </c>
      <c r="F31" s="1599">
        <f>UWert!C185</f>
        <v>0</v>
      </c>
      <c r="G31" s="1619">
        <f>UWert!G185</f>
        <v>0</v>
      </c>
      <c r="H31" s="1624">
        <f t="shared" si="2"/>
        <v>0</v>
      </c>
      <c r="I31" s="1620">
        <f t="shared" si="3"/>
        <v>0</v>
      </c>
      <c r="J31" s="1643"/>
      <c r="K31" s="1588"/>
      <c r="L31" s="1648">
        <f>IF(Bau!$K$14=$B31,Bau!$I$14,0)+IF(Bau!$K$15=$B31,Bau!$I$15,0)+IF(Bau!$K$16=$B31,Bau!$I$16,0)+IF(Bau!$K$17=$B31,Bau!$I$17,0)+IF(Bau!$K$18=$B31,Bau!$I$18,0)+IF(Bau!$K$20=$B31,Bau!$I$20,0)</f>
        <v>0</v>
      </c>
      <c r="M31" s="1594">
        <f>IF(Bau!$X$14=$B31,Bau!$V$14,0)+IF(Bau!$X$15=$B31,Bau!$V$15,0)+IF(Bau!$X$16=$B31,Bau!$V$16,0)+IF(Bau!$X$17=$B31,Bau!$V$17,0)+IF(Bau!$X$18=$B31,Bau!$V$18,0)+IF(Bau!$X$20=$B31,Bau!$V$20,0)</f>
        <v>0</v>
      </c>
      <c r="N31" s="1594">
        <f>IF(Bau!$K$33=$B31,Bau!$I$33,0)+IF(Bau!$K$34=$B31,Bau!$I$34,0)+IF(Bau!$K$35=$B31,Bau!$I$35,0)+IF(Bau!$K$36=$B31,Bau!$I$36,0)+IF(Bau!$K$37=$B31,Bau!$I$37,0)+IF(Bau!$K$39=$B31,Bau!$I$39,0)</f>
        <v>0</v>
      </c>
      <c r="O31" s="1594">
        <f>IF(Bau!$X$33=$B31,Bau!$V$33,0)+IF(Bau!$X$34=$B31,Bau!$V$34,0)+IF(Bau!$X$35=$B31,Bau!$V$35,0)+IF(Bau!$X$36=$B31,Bau!$V$36,0)+IF(Bau!$X$37=$B31,Bau!$V$37,0)+IF(Bau!$X$39=$B31,Bau!$V$39,0)</f>
        <v>0</v>
      </c>
      <c r="P31" s="1594">
        <f>IF(Fenster!$J$11=$B31,Fenster!$F$11*Fenster!$H$11,0)+IF(Fenster!$J$13=$B31,Fenster!$F$13*Fenster!$H$13,0)+IF(Fenster!$J$15=$B31,Fenster!$F$15*Fenster!$H$15,0)+IF(Fenster!$J$17=$B31,Fenster!$F$17*Fenster!$H$17,0)+IF(Fenster!$J$19=$B31,Fenster!$F$19*Fenster!$H$19,0)+IF(Fenster!$J$21=$B31,Fenster!$F$21*Fenster!$H$21,0)+IF(Fenster!$J$23=$B31,Fenster!$F$23*Fenster!$H$23,0)+IF(Fenster!$J$25=$B31,Fenster!$F$25*Fenster!$H$25,0)</f>
        <v>0</v>
      </c>
      <c r="Q31" s="1594">
        <f>IF(Fenster!$J$34=$B31,Fenster!$F$34*Fenster!$H$34,0)+IF(Fenster!$J$36=$B31,Fenster!$F$36*Fenster!$H$36,0)+IF(Fenster!$J$38=$B31,Fenster!$F$38*Fenster!$H$38,0)+IF(Fenster!$J$40=$B31,Fenster!$F$40*Fenster!$H$40,0)+IF(Fenster!$J$42=$B31,Fenster!$F$42*Fenster!$H$42,0)+IF(Fenster!$J$44=$B31,Fenster!$F$44*Fenster!$H$44,0)+IF(Fenster!$J$46=$B31,Fenster!$F$46*Fenster!$H$46,0)+IF(Fenster!$J$48=$B31,Fenster!$F$48*Fenster!$H$48,0)</f>
        <v>0</v>
      </c>
      <c r="R31" s="1594">
        <f>IF(Fenster!$J$57=$B31,Fenster!$F$57*Fenster!$H$57,0)+IF(Fenster!$J$59=$B31,Fenster!$F$59*Fenster!$H$59,0)+IF(Fenster!$J$61=$B31,Fenster!$F$61*Fenster!$H$61,0)+IF(Fenster!$J$63=$B31,Fenster!$F$63*Fenster!$H$63,0)+IF(Fenster!$J$65=$B31,Fenster!$F$65*Fenster!$H$65,0)+IF(Fenster!$J$67=$B31,Fenster!$F$67*Fenster!$H$67,0)+IF(Fenster!$J$69=$B31,Fenster!$F$69*Fenster!$H$69,0)+IF(Fenster!$J$71=$B31,Fenster!$F$71*Fenster!$H$71,0)</f>
        <v>0</v>
      </c>
      <c r="S31" s="1594">
        <f>IF(Fenster!$J$80=$B31,Fenster!$F$80*Fenster!$H$80,0)+IF(Fenster!$J$82=$B31,Fenster!$F$82*Fenster!$H$82,0)+IF(Fenster!$J$84=$B31,Fenster!$F$84*Fenster!$H$84,0)+IF(Fenster!$J$86=$B31,Fenster!$F$86*Fenster!$H$86,0)+IF(Fenster!$J$88=$B31,Fenster!$F$88*Fenster!$H$88,0)+IF(Fenster!$J$90=$B31,Fenster!$F$90*Fenster!$H$90,0)+IF(Fenster!$J$92=$B31,Fenster!$F$92*Fenster!$H$92,0)+IF(Fenster!$J$94=$B31,Fenster!$F$94*Fenster!$H$94,0)</f>
        <v>0</v>
      </c>
      <c r="T31" s="1594">
        <f>IF(Fenster!$J$103=$B31,Fenster!$F$103*Fenster!$H$103,0)+IF(Fenster!$J$105=$B31,Fenster!$F$105*Fenster!$H$105,0)+IF(Fenster!$J$107=$B31,Fenster!$F$107*Fenster!$H$107,0)+IF(Fenster!$J$109=$B31,Fenster!$F$109*Fenster!$H$109,0)+IF(Fenster!$J$111=$B31,Fenster!$F$111*Fenster!$H$111,0)+IF(Fenster!$J$113=$B31,Fenster!$F$113*Fenster!$H$113,0)+IF(Fenster!$J$115=$B31,Fenster!$F$115*Fenster!$H$115,0)+IF(Fenster!$J$117=$B31,Fenster!$F$117*Fenster!$H$117,0)</f>
        <v>0</v>
      </c>
      <c r="U31" s="1594">
        <f>IF(Bau!$K$23=$B31,Bau!$I$23,0)+IF(Bau!$K$24=$B31,Bau!$I$24,0)+IF(Bau!$X$23=$B31,Bau!$V$23,0)+IF(Bau!$X$24=$B31,Bau!$V$24,0)+IF(Bau!$K$42=$B31,Bau!$I$42,0)+IF(Bau!$K$43=$B31,Bau!$I$43,0)+IF(Bau!$X$42=$B31,Bau!$V$42,0)+IF(Bau!$X$43=$B31,Bau!$V$43,0)+IF(Bau!$K$94=$B31,Bau!$I$94,0)</f>
        <v>0</v>
      </c>
      <c r="V31" s="1594">
        <f>IF(Bau!$X$51=$B31,Bau!$V$51,0)+IF(Bau!$X$52=$B31,Bau!$V$52,0)+IF(Bau!$K$41=$B31,Bau!$I$41,0)+IF(Bau!$K$44=$B31,Bau!$I$44,0)+IF(Bau!$K$45=$B31,Bau!$I$45,0)+IF(Bau!$X$41=$B31,Bau!$V$41,0)+IF(Bau!$X$44=$B31,Bau!$V$44,0)+IF(Bau!$X$45=$B31,Bau!$V$45,0)+IF(Bau!$X$22=$B31,Bau!$V$22,0)+IF(Bau!$X$25=$B31,Bau!$V$25,0)+IF(Bau!$X$26=$B31,Bau!$V$26,0)+IF(Bau!$K$22=$B31,Bau!$I$22,0)+IF(Bau!$K$25=$B31,Bau!$I$25,0)+IF(Bau!$K$26=$B31,Bau!$I$26,0)</f>
        <v>0</v>
      </c>
      <c r="W31" s="1594">
        <f>IF(Bau!$K$64=$B31,Bau!$I$64,0)+IF(Bau!$K$65=$B31,Bau!$I$65,0)</f>
        <v>0</v>
      </c>
      <c r="X31" s="1594">
        <f>IF(Bau!$K$67=$B31,Bau!$I$67,0)+IF(Bau!$K$68=$B31,Bau!$I$68,0)</f>
        <v>0</v>
      </c>
      <c r="Y31" s="1594">
        <f>IF(Bau!$K$70=$B31,Bau!$I$70,0)+IF(Bau!$K$71=$B31,Bau!$I$71,0)+IF(Bau!$K$75=$B31,Bau!$I$75,0)+IF(Bau!$K$76=$B31,Bau!$I$76,0)</f>
        <v>0</v>
      </c>
      <c r="Z31" s="1594">
        <f>IF(Bau!$I$84=$B31,Bau!$I$84,0)+IF(Bau!$K$85=$B31,Bau!$I$85,0)+IF(Bau!$K$86=$B31,Bau!$I$86,0)</f>
        <v>0</v>
      </c>
      <c r="AA31" s="1595">
        <f>IF(Bau!$K$88=$B31,Bau!$I$88,0)+IF(Bau!$K$89=$B31,Bau!$I$89,0)+IF(Bau!$K$91=$B31,Bau!$I$91,0)+IF(Bau!$K$92=$B31,Bau!$I$92,0)</f>
        <v>0</v>
      </c>
    </row>
    <row r="32" spans="2:27">
      <c r="B32" s="1615">
        <v>23</v>
      </c>
      <c r="C32" s="1633">
        <f t="shared" si="0"/>
        <v>0</v>
      </c>
      <c r="D32" s="1662"/>
      <c r="E32" s="1634">
        <f t="shared" si="1"/>
        <v>0</v>
      </c>
      <c r="F32" s="1599">
        <f>UWert!C186</f>
        <v>0</v>
      </c>
      <c r="G32" s="1619">
        <f>UWert!G186</f>
        <v>0</v>
      </c>
      <c r="H32" s="1624">
        <f t="shared" si="2"/>
        <v>0</v>
      </c>
      <c r="I32" s="1620">
        <f t="shared" si="3"/>
        <v>0</v>
      </c>
      <c r="J32" s="1643"/>
      <c r="K32" s="1588"/>
      <c r="L32" s="1648">
        <f>IF(Bau!$K$14=$B32,Bau!$I$14,0)+IF(Bau!$K$15=$B32,Bau!$I$15,0)+IF(Bau!$K$16=$B32,Bau!$I$16,0)+IF(Bau!$K$17=$B32,Bau!$I$17,0)+IF(Bau!$K$18=$B32,Bau!$I$18,0)+IF(Bau!$K$20=$B32,Bau!$I$20,0)</f>
        <v>0</v>
      </c>
      <c r="M32" s="1594">
        <f>IF(Bau!$X$14=$B32,Bau!$V$14,0)+IF(Bau!$X$15=$B32,Bau!$V$15,0)+IF(Bau!$X$16=$B32,Bau!$V$16,0)+IF(Bau!$X$17=$B32,Bau!$V$17,0)+IF(Bau!$X$18=$B32,Bau!$V$18,0)+IF(Bau!$X$20=$B32,Bau!$V$20,0)</f>
        <v>0</v>
      </c>
      <c r="N32" s="1594">
        <f>IF(Bau!$K$33=$B32,Bau!$I$33,0)+IF(Bau!$K$34=$B32,Bau!$I$34,0)+IF(Bau!$K$35=$B32,Bau!$I$35,0)+IF(Bau!$K$36=$B32,Bau!$I$36,0)+IF(Bau!$K$37=$B32,Bau!$I$37,0)+IF(Bau!$K$39=$B32,Bau!$I$39,0)</f>
        <v>0</v>
      </c>
      <c r="O32" s="1594">
        <f>IF(Bau!$X$33=$B32,Bau!$V$33,0)+IF(Bau!$X$34=$B32,Bau!$V$34,0)+IF(Bau!$X$35=$B32,Bau!$V$35,0)+IF(Bau!$X$36=$B32,Bau!$V$36,0)+IF(Bau!$X$37=$B32,Bau!$V$37,0)+IF(Bau!$X$39=$B32,Bau!$V$39,0)</f>
        <v>0</v>
      </c>
      <c r="P32" s="1594">
        <f>IF(Fenster!$J$11=$B32,Fenster!$F$11*Fenster!$H$11,0)+IF(Fenster!$J$13=$B32,Fenster!$F$13*Fenster!$H$13,0)+IF(Fenster!$J$15=$B32,Fenster!$F$15*Fenster!$H$15,0)+IF(Fenster!$J$17=$B32,Fenster!$F$17*Fenster!$H$17,0)+IF(Fenster!$J$19=$B32,Fenster!$F$19*Fenster!$H$19,0)+IF(Fenster!$J$21=$B32,Fenster!$F$21*Fenster!$H$21,0)+IF(Fenster!$J$23=$B32,Fenster!$F$23*Fenster!$H$23,0)+IF(Fenster!$J$25=$B32,Fenster!$F$25*Fenster!$H$25,0)</f>
        <v>0</v>
      </c>
      <c r="Q32" s="1594">
        <f>IF(Fenster!$J$34=$B32,Fenster!$F$34*Fenster!$H$34,0)+IF(Fenster!$J$36=$B32,Fenster!$F$36*Fenster!$H$36,0)+IF(Fenster!$J$38=$B32,Fenster!$F$38*Fenster!$H$38,0)+IF(Fenster!$J$40=$B32,Fenster!$F$40*Fenster!$H$40,0)+IF(Fenster!$J$42=$B32,Fenster!$F$42*Fenster!$H$42,0)+IF(Fenster!$J$44=$B32,Fenster!$F$44*Fenster!$H$44,0)+IF(Fenster!$J$46=$B32,Fenster!$F$46*Fenster!$H$46,0)+IF(Fenster!$J$48=$B32,Fenster!$F$48*Fenster!$H$48,0)</f>
        <v>0</v>
      </c>
      <c r="R32" s="1594">
        <f>IF(Fenster!$J$57=$B32,Fenster!$F$57*Fenster!$H$57,0)+IF(Fenster!$J$59=$B32,Fenster!$F$59*Fenster!$H$59,0)+IF(Fenster!$J$61=$B32,Fenster!$F$61*Fenster!$H$61,0)+IF(Fenster!$J$63=$B32,Fenster!$F$63*Fenster!$H$63,0)+IF(Fenster!$J$65=$B32,Fenster!$F$65*Fenster!$H$65,0)+IF(Fenster!$J$67=$B32,Fenster!$F$67*Fenster!$H$67,0)+IF(Fenster!$J$69=$B32,Fenster!$F$69*Fenster!$H$69,0)+IF(Fenster!$J$71=$B32,Fenster!$F$71*Fenster!$H$71,0)</f>
        <v>0</v>
      </c>
      <c r="S32" s="1594">
        <f>IF(Fenster!$J$80=$B32,Fenster!$F$80*Fenster!$H$80,0)+IF(Fenster!$J$82=$B32,Fenster!$F$82*Fenster!$H$82,0)+IF(Fenster!$J$84=$B32,Fenster!$F$84*Fenster!$H$84,0)+IF(Fenster!$J$86=$B32,Fenster!$F$86*Fenster!$H$86,0)+IF(Fenster!$J$88=$B32,Fenster!$F$88*Fenster!$H$88,0)+IF(Fenster!$J$90=$B32,Fenster!$F$90*Fenster!$H$90,0)+IF(Fenster!$J$92=$B32,Fenster!$F$92*Fenster!$H$92,0)+IF(Fenster!$J$94=$B32,Fenster!$F$94*Fenster!$H$94,0)</f>
        <v>0</v>
      </c>
      <c r="T32" s="1594">
        <f>IF(Fenster!$J$103=$B32,Fenster!$F$103*Fenster!$H$103,0)+IF(Fenster!$J$105=$B32,Fenster!$F$105*Fenster!$H$105,0)+IF(Fenster!$J$107=$B32,Fenster!$F$107*Fenster!$H$107,0)+IF(Fenster!$J$109=$B32,Fenster!$F$109*Fenster!$H$109,0)+IF(Fenster!$J$111=$B32,Fenster!$F$111*Fenster!$H$111,0)+IF(Fenster!$J$113=$B32,Fenster!$F$113*Fenster!$H$113,0)+IF(Fenster!$J$115=$B32,Fenster!$F$115*Fenster!$H$115,0)+IF(Fenster!$J$117=$B32,Fenster!$F$117*Fenster!$H$117,0)</f>
        <v>0</v>
      </c>
      <c r="U32" s="1594">
        <f>IF(Bau!$K$23=$B32,Bau!$I$23,0)+IF(Bau!$K$24=$B32,Bau!$I$24,0)+IF(Bau!$X$23=$B32,Bau!$V$23,0)+IF(Bau!$X$24=$B32,Bau!$V$24,0)+IF(Bau!$K$42=$B32,Bau!$I$42,0)+IF(Bau!$K$43=$B32,Bau!$I$43,0)+IF(Bau!$X$42=$B32,Bau!$V$42,0)+IF(Bau!$X$43=$B32,Bau!$V$43,0)+IF(Bau!$K$94=$B32,Bau!$I$94,0)</f>
        <v>0</v>
      </c>
      <c r="V32" s="1594">
        <f>IF(Bau!$X$51=$B32,Bau!$V$51,0)+IF(Bau!$X$52=$B32,Bau!$V$52,0)+IF(Bau!$K$41=$B32,Bau!$I$41,0)+IF(Bau!$K$44=$B32,Bau!$I$44,0)+IF(Bau!$K$45=$B32,Bau!$I$45,0)+IF(Bau!$X$41=$B32,Bau!$V$41,0)+IF(Bau!$X$44=$B32,Bau!$V$44,0)+IF(Bau!$X$45=$B32,Bau!$V$45,0)+IF(Bau!$X$22=$B32,Bau!$V$22,0)+IF(Bau!$X$25=$B32,Bau!$V$25,0)+IF(Bau!$X$26=$B32,Bau!$V$26,0)+IF(Bau!$K$22=$B32,Bau!$I$22,0)+IF(Bau!$K$25=$B32,Bau!$I$25,0)+IF(Bau!$K$26=$B32,Bau!$I$26,0)</f>
        <v>0</v>
      </c>
      <c r="W32" s="1594">
        <f>IF(Bau!$K$64=$B32,Bau!$I$64,0)+IF(Bau!$K$65=$B32,Bau!$I$65,0)</f>
        <v>0</v>
      </c>
      <c r="X32" s="1594">
        <f>IF(Bau!$K$67=$B32,Bau!$I$67,0)+IF(Bau!$K$68=$B32,Bau!$I$68,0)</f>
        <v>0</v>
      </c>
      <c r="Y32" s="1594">
        <f>IF(Bau!$K$70=$B32,Bau!$I$70,0)+IF(Bau!$K$71=$B32,Bau!$I$71,0)+IF(Bau!$K$75=$B32,Bau!$I$75,0)+IF(Bau!$K$76=$B32,Bau!$I$76,0)</f>
        <v>0</v>
      </c>
      <c r="Z32" s="1594">
        <f>IF(Bau!$I$84=$B32,Bau!$I$84,0)+IF(Bau!$K$85=$B32,Bau!$I$85,0)+IF(Bau!$K$86=$B32,Bau!$I$86,0)</f>
        <v>0</v>
      </c>
      <c r="AA32" s="1595">
        <f>IF(Bau!$K$88=$B32,Bau!$I$88,0)+IF(Bau!$K$89=$B32,Bau!$I$89,0)+IF(Bau!$K$91=$B32,Bau!$I$91,0)+IF(Bau!$K$92=$B32,Bau!$I$92,0)</f>
        <v>0</v>
      </c>
    </row>
    <row r="33" spans="2:27">
      <c r="B33" s="1615">
        <v>24</v>
      </c>
      <c r="C33" s="1633">
        <f t="shared" si="0"/>
        <v>0</v>
      </c>
      <c r="D33" s="1662"/>
      <c r="E33" s="1634">
        <f t="shared" si="1"/>
        <v>0</v>
      </c>
      <c r="F33" s="1599">
        <f>UWert!C187</f>
        <v>0</v>
      </c>
      <c r="G33" s="1619">
        <f>UWert!G187</f>
        <v>0</v>
      </c>
      <c r="H33" s="1624">
        <f t="shared" si="2"/>
        <v>0</v>
      </c>
      <c r="I33" s="1620">
        <f t="shared" si="3"/>
        <v>0</v>
      </c>
      <c r="J33" s="1643"/>
      <c r="K33" s="1588"/>
      <c r="L33" s="1648">
        <f>IF(Bau!$K$14=$B33,Bau!$I$14,0)+IF(Bau!$K$15=$B33,Bau!$I$15,0)+IF(Bau!$K$16=$B33,Bau!$I$16,0)+IF(Bau!$K$17=$B33,Bau!$I$17,0)+IF(Bau!$K$18=$B33,Bau!$I$18,0)+IF(Bau!$K$20=$B33,Bau!$I$20,0)</f>
        <v>0</v>
      </c>
      <c r="M33" s="1594">
        <f>IF(Bau!$X$14=$B33,Bau!$V$14,0)+IF(Bau!$X$15=$B33,Bau!$V$15,0)+IF(Bau!$X$16=$B33,Bau!$V$16,0)+IF(Bau!$X$17=$B33,Bau!$V$17,0)+IF(Bau!$X$18=$B33,Bau!$V$18,0)+IF(Bau!$X$20=$B33,Bau!$V$20,0)</f>
        <v>0</v>
      </c>
      <c r="N33" s="1594">
        <f>IF(Bau!$K$33=$B33,Bau!$I$33,0)+IF(Bau!$K$34=$B33,Bau!$I$34,0)+IF(Bau!$K$35=$B33,Bau!$I$35,0)+IF(Bau!$K$36=$B33,Bau!$I$36,0)+IF(Bau!$K$37=$B33,Bau!$I$37,0)+IF(Bau!$K$39=$B33,Bau!$I$39,0)</f>
        <v>0</v>
      </c>
      <c r="O33" s="1594">
        <f>IF(Bau!$X$33=$B33,Bau!$V$33,0)+IF(Bau!$X$34=$B33,Bau!$V$34,0)+IF(Bau!$X$35=$B33,Bau!$V$35,0)+IF(Bau!$X$36=$B33,Bau!$V$36,0)+IF(Bau!$X$37=$B33,Bau!$V$37,0)+IF(Bau!$X$39=$B33,Bau!$V$39,0)</f>
        <v>0</v>
      </c>
      <c r="P33" s="1594">
        <f>IF(Fenster!$J$11=$B33,Fenster!$F$11*Fenster!$H$11,0)+IF(Fenster!$J$13=$B33,Fenster!$F$13*Fenster!$H$13,0)+IF(Fenster!$J$15=$B33,Fenster!$F$15*Fenster!$H$15,0)+IF(Fenster!$J$17=$B33,Fenster!$F$17*Fenster!$H$17,0)+IF(Fenster!$J$19=$B33,Fenster!$F$19*Fenster!$H$19,0)+IF(Fenster!$J$21=$B33,Fenster!$F$21*Fenster!$H$21,0)+IF(Fenster!$J$23=$B33,Fenster!$F$23*Fenster!$H$23,0)+IF(Fenster!$J$25=$B33,Fenster!$F$25*Fenster!$H$25,0)</f>
        <v>0</v>
      </c>
      <c r="Q33" s="1594">
        <f>IF(Fenster!$J$34=$B33,Fenster!$F$34*Fenster!$H$34,0)+IF(Fenster!$J$36=$B33,Fenster!$F$36*Fenster!$H$36,0)+IF(Fenster!$J$38=$B33,Fenster!$F$38*Fenster!$H$38,0)+IF(Fenster!$J$40=$B33,Fenster!$F$40*Fenster!$H$40,0)+IF(Fenster!$J$42=$B33,Fenster!$F$42*Fenster!$H$42,0)+IF(Fenster!$J$44=$B33,Fenster!$F$44*Fenster!$H$44,0)+IF(Fenster!$J$46=$B33,Fenster!$F$46*Fenster!$H$46,0)+IF(Fenster!$J$48=$B33,Fenster!$F$48*Fenster!$H$48,0)</f>
        <v>0</v>
      </c>
      <c r="R33" s="1594">
        <f>IF(Fenster!$J$57=$B33,Fenster!$F$57*Fenster!$H$57,0)+IF(Fenster!$J$59=$B33,Fenster!$F$59*Fenster!$H$59,0)+IF(Fenster!$J$61=$B33,Fenster!$F$61*Fenster!$H$61,0)+IF(Fenster!$J$63=$B33,Fenster!$F$63*Fenster!$H$63,0)+IF(Fenster!$J$65=$B33,Fenster!$F$65*Fenster!$H$65,0)+IF(Fenster!$J$67=$B33,Fenster!$F$67*Fenster!$H$67,0)+IF(Fenster!$J$69=$B33,Fenster!$F$69*Fenster!$H$69,0)+IF(Fenster!$J$71=$B33,Fenster!$F$71*Fenster!$H$71,0)</f>
        <v>0</v>
      </c>
      <c r="S33" s="1594">
        <f>IF(Fenster!$J$80=$B33,Fenster!$F$80*Fenster!$H$80,0)+IF(Fenster!$J$82=$B33,Fenster!$F$82*Fenster!$H$82,0)+IF(Fenster!$J$84=$B33,Fenster!$F$84*Fenster!$H$84,0)+IF(Fenster!$J$86=$B33,Fenster!$F$86*Fenster!$H$86,0)+IF(Fenster!$J$88=$B33,Fenster!$F$88*Fenster!$H$88,0)+IF(Fenster!$J$90=$B33,Fenster!$F$90*Fenster!$H$90,0)+IF(Fenster!$J$92=$B33,Fenster!$F$92*Fenster!$H$92,0)+IF(Fenster!$J$94=$B33,Fenster!$F$94*Fenster!$H$94,0)</f>
        <v>0</v>
      </c>
      <c r="T33" s="1594">
        <f>IF(Fenster!$J$103=$B33,Fenster!$F$103*Fenster!$H$103,0)+IF(Fenster!$J$105=$B33,Fenster!$F$105*Fenster!$H$105,0)+IF(Fenster!$J$107=$B33,Fenster!$F$107*Fenster!$H$107,0)+IF(Fenster!$J$109=$B33,Fenster!$F$109*Fenster!$H$109,0)+IF(Fenster!$J$111=$B33,Fenster!$F$111*Fenster!$H$111,0)+IF(Fenster!$J$113=$B33,Fenster!$F$113*Fenster!$H$113,0)+IF(Fenster!$J$115=$B33,Fenster!$F$115*Fenster!$H$115,0)+IF(Fenster!$J$117=$B33,Fenster!$F$117*Fenster!$H$117,0)</f>
        <v>0</v>
      </c>
      <c r="U33" s="1594">
        <f>IF(Bau!$K$23=$B33,Bau!$I$23,0)+IF(Bau!$K$24=$B33,Bau!$I$24,0)+IF(Bau!$X$23=$B33,Bau!$V$23,0)+IF(Bau!$X$24=$B33,Bau!$V$24,0)+IF(Bau!$K$42=$B33,Bau!$I$42,0)+IF(Bau!$K$43=$B33,Bau!$I$43,0)+IF(Bau!$X$42=$B33,Bau!$V$42,0)+IF(Bau!$X$43=$B33,Bau!$V$43,0)+IF(Bau!$K$94=$B33,Bau!$I$94,0)</f>
        <v>0</v>
      </c>
      <c r="V33" s="1594">
        <f>IF(Bau!$X$51=$B33,Bau!$V$51,0)+IF(Bau!$X$52=$B33,Bau!$V$52,0)+IF(Bau!$K$41=$B33,Bau!$I$41,0)+IF(Bau!$K$44=$B33,Bau!$I$44,0)+IF(Bau!$K$45=$B33,Bau!$I$45,0)+IF(Bau!$X$41=$B33,Bau!$V$41,0)+IF(Bau!$X$44=$B33,Bau!$V$44,0)+IF(Bau!$X$45=$B33,Bau!$V$45,0)+IF(Bau!$X$22=$B33,Bau!$V$22,0)+IF(Bau!$X$25=$B33,Bau!$V$25,0)+IF(Bau!$X$26=$B33,Bau!$V$26,0)+IF(Bau!$K$22=$B33,Bau!$I$22,0)+IF(Bau!$K$25=$B33,Bau!$I$25,0)+IF(Bau!$K$26=$B33,Bau!$I$26,0)</f>
        <v>0</v>
      </c>
      <c r="W33" s="1594">
        <f>IF(Bau!$K$64=$B33,Bau!$I$64,0)+IF(Bau!$K$65=$B33,Bau!$I$65,0)</f>
        <v>0</v>
      </c>
      <c r="X33" s="1594">
        <f>IF(Bau!$K$67=$B33,Bau!$I$67,0)+IF(Bau!$K$68=$B33,Bau!$I$68,0)</f>
        <v>0</v>
      </c>
      <c r="Y33" s="1594">
        <f>IF(Bau!$K$70=$B33,Bau!$I$70,0)+IF(Bau!$K$71=$B33,Bau!$I$71,0)+IF(Bau!$K$75=$B33,Bau!$I$75,0)+IF(Bau!$K$76=$B33,Bau!$I$76,0)</f>
        <v>0</v>
      </c>
      <c r="Z33" s="1594">
        <f>IF(Bau!$I$84=$B33,Bau!$I$84,0)+IF(Bau!$K$85=$B33,Bau!$I$85,0)+IF(Bau!$K$86=$B33,Bau!$I$86,0)</f>
        <v>0</v>
      </c>
      <c r="AA33" s="1595">
        <f>IF(Bau!$K$88=$B33,Bau!$I$88,0)+IF(Bau!$K$89=$B33,Bau!$I$89,0)+IF(Bau!$K$91=$B33,Bau!$I$91,0)+IF(Bau!$K$92=$B33,Bau!$I$92,0)</f>
        <v>0</v>
      </c>
    </row>
    <row r="34" spans="2:27">
      <c r="B34" s="1615">
        <v>25</v>
      </c>
      <c r="C34" s="1633">
        <f t="shared" si="0"/>
        <v>0</v>
      </c>
      <c r="D34" s="1662"/>
      <c r="E34" s="1634">
        <f t="shared" si="1"/>
        <v>0</v>
      </c>
      <c r="F34" s="1599">
        <f>UWert!C188</f>
        <v>0</v>
      </c>
      <c r="G34" s="1619">
        <f>UWert!G188</f>
        <v>0</v>
      </c>
      <c r="H34" s="1624">
        <f t="shared" si="2"/>
        <v>0</v>
      </c>
      <c r="I34" s="1620">
        <f t="shared" si="3"/>
        <v>0</v>
      </c>
      <c r="J34" s="1643"/>
      <c r="K34" s="1588"/>
      <c r="L34" s="1648">
        <f>IF(Bau!$K$14=$B34,Bau!$I$14,0)+IF(Bau!$K$15=$B34,Bau!$I$15,0)+IF(Bau!$K$16=$B34,Bau!$I$16,0)+IF(Bau!$K$17=$B34,Bau!$I$17,0)+IF(Bau!$K$18=$B34,Bau!$I$18,0)+IF(Bau!$K$20=$B34,Bau!$I$20,0)</f>
        <v>0</v>
      </c>
      <c r="M34" s="1594">
        <f>IF(Bau!$X$14=$B34,Bau!$V$14,0)+IF(Bau!$X$15=$B34,Bau!$V$15,0)+IF(Bau!$X$16=$B34,Bau!$V$16,0)+IF(Bau!$X$17=$B34,Bau!$V$17,0)+IF(Bau!$X$18=$B34,Bau!$V$18,0)+IF(Bau!$X$20=$B34,Bau!$V$20,0)</f>
        <v>0</v>
      </c>
      <c r="N34" s="1594">
        <f>IF(Bau!$K$33=$B34,Bau!$I$33,0)+IF(Bau!$K$34=$B34,Bau!$I$34,0)+IF(Bau!$K$35=$B34,Bau!$I$35,0)+IF(Bau!$K$36=$B34,Bau!$I$36,0)+IF(Bau!$K$37=$B34,Bau!$I$37,0)+IF(Bau!$K$39=$B34,Bau!$I$39,0)</f>
        <v>0</v>
      </c>
      <c r="O34" s="1594">
        <f>IF(Bau!$X$33=$B34,Bau!$V$33,0)+IF(Bau!$X$34=$B34,Bau!$V$34,0)+IF(Bau!$X$35=$B34,Bau!$V$35,0)+IF(Bau!$X$36=$B34,Bau!$V$36,0)+IF(Bau!$X$37=$B34,Bau!$V$37,0)+IF(Bau!$X$39=$B34,Bau!$V$39,0)</f>
        <v>0</v>
      </c>
      <c r="P34" s="1594">
        <f>IF(Fenster!$J$11=$B34,Fenster!$F$11*Fenster!$H$11,0)+IF(Fenster!$J$13=$B34,Fenster!$F$13*Fenster!$H$13,0)+IF(Fenster!$J$15=$B34,Fenster!$F$15*Fenster!$H$15,0)+IF(Fenster!$J$17=$B34,Fenster!$F$17*Fenster!$H$17,0)+IF(Fenster!$J$19=$B34,Fenster!$F$19*Fenster!$H$19,0)+IF(Fenster!$J$21=$B34,Fenster!$F$21*Fenster!$H$21,0)+IF(Fenster!$J$23=$B34,Fenster!$F$23*Fenster!$H$23,0)+IF(Fenster!$J$25=$B34,Fenster!$F$25*Fenster!$H$25,0)</f>
        <v>0</v>
      </c>
      <c r="Q34" s="1594">
        <f>IF(Fenster!$J$34=$B34,Fenster!$F$34*Fenster!$H$34,0)+IF(Fenster!$J$36=$B34,Fenster!$F$36*Fenster!$H$36,0)+IF(Fenster!$J$38=$B34,Fenster!$F$38*Fenster!$H$38,0)+IF(Fenster!$J$40=$B34,Fenster!$F$40*Fenster!$H$40,0)+IF(Fenster!$J$42=$B34,Fenster!$F$42*Fenster!$H$42,0)+IF(Fenster!$J$44=$B34,Fenster!$F$44*Fenster!$H$44,0)+IF(Fenster!$J$46=$B34,Fenster!$F$46*Fenster!$H$46,0)+IF(Fenster!$J$48=$B34,Fenster!$F$48*Fenster!$H$48,0)</f>
        <v>0</v>
      </c>
      <c r="R34" s="1594">
        <f>IF(Fenster!$J$57=$B34,Fenster!$F$57*Fenster!$H$57,0)+IF(Fenster!$J$59=$B34,Fenster!$F$59*Fenster!$H$59,0)+IF(Fenster!$J$61=$B34,Fenster!$F$61*Fenster!$H$61,0)+IF(Fenster!$J$63=$B34,Fenster!$F$63*Fenster!$H$63,0)+IF(Fenster!$J$65=$B34,Fenster!$F$65*Fenster!$H$65,0)+IF(Fenster!$J$67=$B34,Fenster!$F$67*Fenster!$H$67,0)+IF(Fenster!$J$69=$B34,Fenster!$F$69*Fenster!$H$69,0)+IF(Fenster!$J$71=$B34,Fenster!$F$71*Fenster!$H$71,0)</f>
        <v>0</v>
      </c>
      <c r="S34" s="1594">
        <f>IF(Fenster!$J$80=$B34,Fenster!$F$80*Fenster!$H$80,0)+IF(Fenster!$J$82=$B34,Fenster!$F$82*Fenster!$H$82,0)+IF(Fenster!$J$84=$B34,Fenster!$F$84*Fenster!$H$84,0)+IF(Fenster!$J$86=$B34,Fenster!$F$86*Fenster!$H$86,0)+IF(Fenster!$J$88=$B34,Fenster!$F$88*Fenster!$H$88,0)+IF(Fenster!$J$90=$B34,Fenster!$F$90*Fenster!$H$90,0)+IF(Fenster!$J$92=$B34,Fenster!$F$92*Fenster!$H$92,0)+IF(Fenster!$J$94=$B34,Fenster!$F$94*Fenster!$H$94,0)</f>
        <v>0</v>
      </c>
      <c r="T34" s="1594">
        <f>IF(Fenster!$J$103=$B34,Fenster!$F$103*Fenster!$H$103,0)+IF(Fenster!$J$105=$B34,Fenster!$F$105*Fenster!$H$105,0)+IF(Fenster!$J$107=$B34,Fenster!$F$107*Fenster!$H$107,0)+IF(Fenster!$J$109=$B34,Fenster!$F$109*Fenster!$H$109,0)+IF(Fenster!$J$111=$B34,Fenster!$F$111*Fenster!$H$111,0)+IF(Fenster!$J$113=$B34,Fenster!$F$113*Fenster!$H$113,0)+IF(Fenster!$J$115=$B34,Fenster!$F$115*Fenster!$H$115,0)+IF(Fenster!$J$117=$B34,Fenster!$F$117*Fenster!$H$117,0)</f>
        <v>0</v>
      </c>
      <c r="U34" s="1594">
        <f>IF(Bau!$K$23=$B34,Bau!$I$23,0)+IF(Bau!$K$24=$B34,Bau!$I$24,0)+IF(Bau!$X$23=$B34,Bau!$V$23,0)+IF(Bau!$X$24=$B34,Bau!$V$24,0)+IF(Bau!$K$42=$B34,Bau!$I$42,0)+IF(Bau!$K$43=$B34,Bau!$I$43,0)+IF(Bau!$X$42=$B34,Bau!$V$42,0)+IF(Bau!$X$43=$B34,Bau!$V$43,0)+IF(Bau!$K$94=$B34,Bau!$I$94,0)</f>
        <v>0</v>
      </c>
      <c r="V34" s="1594">
        <f>IF(Bau!$X$51=$B34,Bau!$V$51,0)+IF(Bau!$X$52=$B34,Bau!$V$52,0)+IF(Bau!$K$41=$B34,Bau!$I$41,0)+IF(Bau!$K$44=$B34,Bau!$I$44,0)+IF(Bau!$K$45=$B34,Bau!$I$45,0)+IF(Bau!$X$41=$B34,Bau!$V$41,0)+IF(Bau!$X$44=$B34,Bau!$V$44,0)+IF(Bau!$X$45=$B34,Bau!$V$45,0)+IF(Bau!$X$22=$B34,Bau!$V$22,0)+IF(Bau!$X$25=$B34,Bau!$V$25,0)+IF(Bau!$X$26=$B34,Bau!$V$26,0)+IF(Bau!$K$22=$B34,Bau!$I$22,0)+IF(Bau!$K$25=$B34,Bau!$I$25,0)+IF(Bau!$K$26=$B34,Bau!$I$26,0)</f>
        <v>0</v>
      </c>
      <c r="W34" s="1594">
        <f>IF(Bau!$K$64=$B34,Bau!$I$64,0)+IF(Bau!$K$65=$B34,Bau!$I$65,0)</f>
        <v>0</v>
      </c>
      <c r="X34" s="1594">
        <f>IF(Bau!$K$67=$B34,Bau!$I$67,0)+IF(Bau!$K$68=$B34,Bau!$I$68,0)</f>
        <v>0</v>
      </c>
      <c r="Y34" s="1594">
        <f>IF(Bau!$K$70=$B34,Bau!$I$70,0)+IF(Bau!$K$71=$B34,Bau!$I$71,0)+IF(Bau!$K$75=$B34,Bau!$I$75,0)+IF(Bau!$K$76=$B34,Bau!$I$76,0)</f>
        <v>0</v>
      </c>
      <c r="Z34" s="1594">
        <f>IF(Bau!$I$84=$B34,Bau!$I$84,0)+IF(Bau!$K$85=$B34,Bau!$I$85,0)+IF(Bau!$K$86=$B34,Bau!$I$86,0)</f>
        <v>0</v>
      </c>
      <c r="AA34" s="1595">
        <f>IF(Bau!$K$88=$B34,Bau!$I$88,0)+IF(Bau!$K$89=$B34,Bau!$I$89,0)+IF(Bau!$K$91=$B34,Bau!$I$91,0)+IF(Bau!$K$92=$B34,Bau!$I$92,0)</f>
        <v>0</v>
      </c>
    </row>
    <row r="35" spans="2:27">
      <c r="B35" s="1615">
        <v>26</v>
      </c>
      <c r="C35" s="1633">
        <f t="shared" si="0"/>
        <v>0</v>
      </c>
      <c r="D35" s="1662"/>
      <c r="E35" s="1634">
        <f t="shared" si="1"/>
        <v>0</v>
      </c>
      <c r="F35" s="1599">
        <f>UWert!C189</f>
        <v>0</v>
      </c>
      <c r="G35" s="1619">
        <f>UWert!G189</f>
        <v>0</v>
      </c>
      <c r="H35" s="1624">
        <f t="shared" si="2"/>
        <v>0</v>
      </c>
      <c r="I35" s="1620">
        <f t="shared" si="3"/>
        <v>0</v>
      </c>
      <c r="J35" s="1643"/>
      <c r="K35" s="1588"/>
      <c r="L35" s="1648">
        <f>IF(Bau!$K$14=$B35,Bau!$I$14,0)+IF(Bau!$K$15=$B35,Bau!$I$15,0)+IF(Bau!$K$16=$B35,Bau!$I$16,0)+IF(Bau!$K$17=$B35,Bau!$I$17,0)+IF(Bau!$K$18=$B35,Bau!$I$18,0)+IF(Bau!$K$20=$B35,Bau!$I$20,0)</f>
        <v>0</v>
      </c>
      <c r="M35" s="1594">
        <f>IF(Bau!$X$14=$B35,Bau!$V$14,0)+IF(Bau!$X$15=$B35,Bau!$V$15,0)+IF(Bau!$X$16=$B35,Bau!$V$16,0)+IF(Bau!$X$17=$B35,Bau!$V$17,0)+IF(Bau!$X$18=$B35,Bau!$V$18,0)+IF(Bau!$X$20=$B35,Bau!$V$20,0)</f>
        <v>0</v>
      </c>
      <c r="N35" s="1594">
        <f>IF(Bau!$K$33=$B35,Bau!$I$33,0)+IF(Bau!$K$34=$B35,Bau!$I$34,0)+IF(Bau!$K$35=$B35,Bau!$I$35,0)+IF(Bau!$K$36=$B35,Bau!$I$36,0)+IF(Bau!$K$37=$B35,Bau!$I$37,0)+IF(Bau!$K$39=$B35,Bau!$I$39,0)</f>
        <v>0</v>
      </c>
      <c r="O35" s="1594">
        <f>IF(Bau!$X$33=$B35,Bau!$V$33,0)+IF(Bau!$X$34=$B35,Bau!$V$34,0)+IF(Bau!$X$35=$B35,Bau!$V$35,0)+IF(Bau!$X$36=$B35,Bau!$V$36,0)+IF(Bau!$X$37=$B35,Bau!$V$37,0)+IF(Bau!$X$39=$B35,Bau!$V$39,0)</f>
        <v>0</v>
      </c>
      <c r="P35" s="1594">
        <f>IF(Fenster!$J$11=$B35,Fenster!$F$11*Fenster!$H$11,0)+IF(Fenster!$J$13=$B35,Fenster!$F$13*Fenster!$H$13,0)+IF(Fenster!$J$15=$B35,Fenster!$F$15*Fenster!$H$15,0)+IF(Fenster!$J$17=$B35,Fenster!$F$17*Fenster!$H$17,0)+IF(Fenster!$J$19=$B35,Fenster!$F$19*Fenster!$H$19,0)+IF(Fenster!$J$21=$B35,Fenster!$F$21*Fenster!$H$21,0)+IF(Fenster!$J$23=$B35,Fenster!$F$23*Fenster!$H$23,0)+IF(Fenster!$J$25=$B35,Fenster!$F$25*Fenster!$H$25,0)</f>
        <v>0</v>
      </c>
      <c r="Q35" s="1594">
        <f>IF(Fenster!$J$34=$B35,Fenster!$F$34*Fenster!$H$34,0)+IF(Fenster!$J$36=$B35,Fenster!$F$36*Fenster!$H$36,0)+IF(Fenster!$J$38=$B35,Fenster!$F$38*Fenster!$H$38,0)+IF(Fenster!$J$40=$B35,Fenster!$F$40*Fenster!$H$40,0)+IF(Fenster!$J$42=$B35,Fenster!$F$42*Fenster!$H$42,0)+IF(Fenster!$J$44=$B35,Fenster!$F$44*Fenster!$H$44,0)+IF(Fenster!$J$46=$B35,Fenster!$F$46*Fenster!$H$46,0)+IF(Fenster!$J$48=$B35,Fenster!$F$48*Fenster!$H$48,0)</f>
        <v>0</v>
      </c>
      <c r="R35" s="1594">
        <f>IF(Fenster!$J$57=$B35,Fenster!$F$57*Fenster!$H$57,0)+IF(Fenster!$J$59=$B35,Fenster!$F$59*Fenster!$H$59,0)+IF(Fenster!$J$61=$B35,Fenster!$F$61*Fenster!$H$61,0)+IF(Fenster!$J$63=$B35,Fenster!$F$63*Fenster!$H$63,0)+IF(Fenster!$J$65=$B35,Fenster!$F$65*Fenster!$H$65,0)+IF(Fenster!$J$67=$B35,Fenster!$F$67*Fenster!$H$67,0)+IF(Fenster!$J$69=$B35,Fenster!$F$69*Fenster!$H$69,0)+IF(Fenster!$J$71=$B35,Fenster!$F$71*Fenster!$H$71,0)</f>
        <v>0</v>
      </c>
      <c r="S35" s="1594">
        <f>IF(Fenster!$J$80=$B35,Fenster!$F$80*Fenster!$H$80,0)+IF(Fenster!$J$82=$B35,Fenster!$F$82*Fenster!$H$82,0)+IF(Fenster!$J$84=$B35,Fenster!$F$84*Fenster!$H$84,0)+IF(Fenster!$J$86=$B35,Fenster!$F$86*Fenster!$H$86,0)+IF(Fenster!$J$88=$B35,Fenster!$F$88*Fenster!$H$88,0)+IF(Fenster!$J$90=$B35,Fenster!$F$90*Fenster!$H$90,0)+IF(Fenster!$J$92=$B35,Fenster!$F$92*Fenster!$H$92,0)+IF(Fenster!$J$94=$B35,Fenster!$F$94*Fenster!$H$94,0)</f>
        <v>0</v>
      </c>
      <c r="T35" s="1594">
        <f>IF(Fenster!$J$103=$B35,Fenster!$F$103*Fenster!$H$103,0)+IF(Fenster!$J$105=$B35,Fenster!$F$105*Fenster!$H$105,0)+IF(Fenster!$J$107=$B35,Fenster!$F$107*Fenster!$H$107,0)+IF(Fenster!$J$109=$B35,Fenster!$F$109*Fenster!$H$109,0)+IF(Fenster!$J$111=$B35,Fenster!$F$111*Fenster!$H$111,0)+IF(Fenster!$J$113=$B35,Fenster!$F$113*Fenster!$H$113,0)+IF(Fenster!$J$115=$B35,Fenster!$F$115*Fenster!$H$115,0)+IF(Fenster!$J$117=$B35,Fenster!$F$117*Fenster!$H$117,0)</f>
        <v>0</v>
      </c>
      <c r="U35" s="1594">
        <f>IF(Bau!$K$23=$B35,Bau!$I$23,0)+IF(Bau!$K$24=$B35,Bau!$I$24,0)+IF(Bau!$X$23=$B35,Bau!$V$23,0)+IF(Bau!$X$24=$B35,Bau!$V$24,0)+IF(Bau!$K$42=$B35,Bau!$I$42,0)+IF(Bau!$K$43=$B35,Bau!$I$43,0)+IF(Bau!$X$42=$B35,Bau!$V$42,0)+IF(Bau!$X$43=$B35,Bau!$V$43,0)+IF(Bau!$K$94=$B35,Bau!$I$94,0)</f>
        <v>0</v>
      </c>
      <c r="V35" s="1594">
        <f>IF(Bau!$X$51=$B35,Bau!$V$51,0)+IF(Bau!$X$52=$B35,Bau!$V$52,0)+IF(Bau!$K$41=$B35,Bau!$I$41,0)+IF(Bau!$K$44=$B35,Bau!$I$44,0)+IF(Bau!$K$45=$B35,Bau!$I$45,0)+IF(Bau!$X$41=$B35,Bau!$V$41,0)+IF(Bau!$X$44=$B35,Bau!$V$44,0)+IF(Bau!$X$45=$B35,Bau!$V$45,0)+IF(Bau!$X$22=$B35,Bau!$V$22,0)+IF(Bau!$X$25=$B35,Bau!$V$25,0)+IF(Bau!$X$26=$B35,Bau!$V$26,0)+IF(Bau!$K$22=$B35,Bau!$I$22,0)+IF(Bau!$K$25=$B35,Bau!$I$25,0)+IF(Bau!$K$26=$B35,Bau!$I$26,0)</f>
        <v>0</v>
      </c>
      <c r="W35" s="1594">
        <f>IF(Bau!$K$64=$B35,Bau!$I$64,0)+IF(Bau!$K$65=$B35,Bau!$I$65,0)</f>
        <v>0</v>
      </c>
      <c r="X35" s="1594">
        <f>IF(Bau!$K$67=$B35,Bau!$I$67,0)+IF(Bau!$K$68=$B35,Bau!$I$68,0)</f>
        <v>0</v>
      </c>
      <c r="Y35" s="1594">
        <f>IF(Bau!$K$70=$B35,Bau!$I$70,0)+IF(Bau!$K$71=$B35,Bau!$I$71,0)+IF(Bau!$K$75=$B35,Bau!$I$75,0)+IF(Bau!$K$76=$B35,Bau!$I$76,0)</f>
        <v>0</v>
      </c>
      <c r="Z35" s="1594">
        <f>IF(Bau!$I$84=$B35,Bau!$I$84,0)+IF(Bau!$K$85=$B35,Bau!$I$85,0)+IF(Bau!$K$86=$B35,Bau!$I$86,0)</f>
        <v>0</v>
      </c>
      <c r="AA35" s="1595">
        <f>IF(Bau!$K$88=$B35,Bau!$I$88,0)+IF(Bau!$K$89=$B35,Bau!$I$89,0)+IF(Bau!$K$91=$B35,Bau!$I$91,0)+IF(Bau!$K$92=$B35,Bau!$I$92,0)</f>
        <v>0</v>
      </c>
    </row>
    <row r="36" spans="2:27">
      <c r="B36" s="1615">
        <v>27</v>
      </c>
      <c r="C36" s="1633">
        <f t="shared" si="0"/>
        <v>0</v>
      </c>
      <c r="D36" s="1662"/>
      <c r="E36" s="1634">
        <f t="shared" si="1"/>
        <v>0</v>
      </c>
      <c r="F36" s="1599">
        <f>UWert!K185</f>
        <v>0</v>
      </c>
      <c r="G36" s="1619">
        <f>UWert!O185</f>
        <v>0</v>
      </c>
      <c r="H36" s="1624">
        <f t="shared" si="2"/>
        <v>0</v>
      </c>
      <c r="I36" s="1620">
        <f t="shared" si="3"/>
        <v>0</v>
      </c>
      <c r="J36" s="1643"/>
      <c r="K36" s="1588"/>
      <c r="L36" s="1648">
        <f>IF(Bau!$K$14=$B36,Bau!$I$14,0)+IF(Bau!$K$15=$B36,Bau!$I$15,0)+IF(Bau!$K$16=$B36,Bau!$I$16,0)+IF(Bau!$K$17=$B36,Bau!$I$17,0)+IF(Bau!$K$18=$B36,Bau!$I$18,0)+IF(Bau!$K$20=$B36,Bau!$I$20,0)</f>
        <v>0</v>
      </c>
      <c r="M36" s="1594">
        <f>IF(Bau!$X$14=$B36,Bau!$V$14,0)+IF(Bau!$X$15=$B36,Bau!$V$15,0)+IF(Bau!$X$16=$B36,Bau!$V$16,0)+IF(Bau!$X$17=$B36,Bau!$V$17,0)+IF(Bau!$X$18=$B36,Bau!$V$18,0)+IF(Bau!$X$20=$B36,Bau!$V$20,0)</f>
        <v>0</v>
      </c>
      <c r="N36" s="1594">
        <f>IF(Bau!$K$33=$B36,Bau!$I$33,0)+IF(Bau!$K$34=$B36,Bau!$I$34,0)+IF(Bau!$K$35=$B36,Bau!$I$35,0)+IF(Bau!$K$36=$B36,Bau!$I$36,0)+IF(Bau!$K$37=$B36,Bau!$I$37,0)+IF(Bau!$K$39=$B36,Bau!$I$39,0)</f>
        <v>0</v>
      </c>
      <c r="O36" s="1594">
        <f>IF(Bau!$X$33=$B36,Bau!$V$33,0)+IF(Bau!$X$34=$B36,Bau!$V$34,0)+IF(Bau!$X$35=$B36,Bau!$V$35,0)+IF(Bau!$X$36=$B36,Bau!$V$36,0)+IF(Bau!$X$37=$B36,Bau!$V$37,0)+IF(Bau!$X$39=$B36,Bau!$V$39,0)</f>
        <v>0</v>
      </c>
      <c r="P36" s="1594">
        <f>IF(Fenster!$J$11=$B36,Fenster!$F$11*Fenster!$H$11,0)+IF(Fenster!$J$13=$B36,Fenster!$F$13*Fenster!$H$13,0)+IF(Fenster!$J$15=$B36,Fenster!$F$15*Fenster!$H$15,0)+IF(Fenster!$J$17=$B36,Fenster!$F$17*Fenster!$H$17,0)+IF(Fenster!$J$19=$B36,Fenster!$F$19*Fenster!$H$19,0)+IF(Fenster!$J$21=$B36,Fenster!$F$21*Fenster!$H$21,0)+IF(Fenster!$J$23=$B36,Fenster!$F$23*Fenster!$H$23,0)+IF(Fenster!$J$25=$B36,Fenster!$F$25*Fenster!$H$25,0)</f>
        <v>0</v>
      </c>
      <c r="Q36" s="1594">
        <f>IF(Fenster!$J$34=$B36,Fenster!$F$34*Fenster!$H$34,0)+IF(Fenster!$J$36=$B36,Fenster!$F$36*Fenster!$H$36,0)+IF(Fenster!$J$38=$B36,Fenster!$F$38*Fenster!$H$38,0)+IF(Fenster!$J$40=$B36,Fenster!$F$40*Fenster!$H$40,0)+IF(Fenster!$J$42=$B36,Fenster!$F$42*Fenster!$H$42,0)+IF(Fenster!$J$44=$B36,Fenster!$F$44*Fenster!$H$44,0)+IF(Fenster!$J$46=$B36,Fenster!$F$46*Fenster!$H$46,0)+IF(Fenster!$J$48=$B36,Fenster!$F$48*Fenster!$H$48,0)</f>
        <v>0</v>
      </c>
      <c r="R36" s="1594">
        <f>IF(Fenster!$J$57=$B36,Fenster!$F$57*Fenster!$H$57,0)+IF(Fenster!$J$59=$B36,Fenster!$F$59*Fenster!$H$59,0)+IF(Fenster!$J$61=$B36,Fenster!$F$61*Fenster!$H$61,0)+IF(Fenster!$J$63=$B36,Fenster!$F$63*Fenster!$H$63,0)+IF(Fenster!$J$65=$B36,Fenster!$F$65*Fenster!$H$65,0)+IF(Fenster!$J$67=$B36,Fenster!$F$67*Fenster!$H$67,0)+IF(Fenster!$J$69=$B36,Fenster!$F$69*Fenster!$H$69,0)+IF(Fenster!$J$71=$B36,Fenster!$F$71*Fenster!$H$71,0)</f>
        <v>0</v>
      </c>
      <c r="S36" s="1594">
        <f>IF(Fenster!$J$80=$B36,Fenster!$F$80*Fenster!$H$80,0)+IF(Fenster!$J$82=$B36,Fenster!$F$82*Fenster!$H$82,0)+IF(Fenster!$J$84=$B36,Fenster!$F$84*Fenster!$H$84,0)+IF(Fenster!$J$86=$B36,Fenster!$F$86*Fenster!$H$86,0)+IF(Fenster!$J$88=$B36,Fenster!$F$88*Fenster!$H$88,0)+IF(Fenster!$J$90=$B36,Fenster!$F$90*Fenster!$H$90,0)+IF(Fenster!$J$92=$B36,Fenster!$F$92*Fenster!$H$92,0)+IF(Fenster!$J$94=$B36,Fenster!$F$94*Fenster!$H$94,0)</f>
        <v>0</v>
      </c>
      <c r="T36" s="1594">
        <f>IF(Fenster!$J$103=$B36,Fenster!$F$103*Fenster!$H$103,0)+IF(Fenster!$J$105=$B36,Fenster!$F$105*Fenster!$H$105,0)+IF(Fenster!$J$107=$B36,Fenster!$F$107*Fenster!$H$107,0)+IF(Fenster!$J$109=$B36,Fenster!$F$109*Fenster!$H$109,0)+IF(Fenster!$J$111=$B36,Fenster!$F$111*Fenster!$H$111,0)+IF(Fenster!$J$113=$B36,Fenster!$F$113*Fenster!$H$113,0)+IF(Fenster!$J$115=$B36,Fenster!$F$115*Fenster!$H$115,0)+IF(Fenster!$J$117=$B36,Fenster!$F$117*Fenster!$H$117,0)</f>
        <v>0</v>
      </c>
      <c r="U36" s="1594">
        <f>IF(Bau!$K$23=$B36,Bau!$I$23,0)+IF(Bau!$K$24=$B36,Bau!$I$24,0)+IF(Bau!$X$23=$B36,Bau!$V$23,0)+IF(Bau!$X$24=$B36,Bau!$V$24,0)+IF(Bau!$K$42=$B36,Bau!$I$42,0)+IF(Bau!$K$43=$B36,Bau!$I$43,0)+IF(Bau!$X$42=$B36,Bau!$V$42,0)+IF(Bau!$X$43=$B36,Bau!$V$43,0)+IF(Bau!$K$94=$B36,Bau!$I$94,0)</f>
        <v>0</v>
      </c>
      <c r="V36" s="1594">
        <f>IF(Bau!$X$51=$B36,Bau!$V$51,0)+IF(Bau!$X$52=$B36,Bau!$V$52,0)+IF(Bau!$K$41=$B36,Bau!$I$41,0)+IF(Bau!$K$44=$B36,Bau!$I$44,0)+IF(Bau!$K$45=$B36,Bau!$I$45,0)+IF(Bau!$X$41=$B36,Bau!$V$41,0)+IF(Bau!$X$44=$B36,Bau!$V$44,0)+IF(Bau!$X$45=$B36,Bau!$V$45,0)+IF(Bau!$X$22=$B36,Bau!$V$22,0)+IF(Bau!$X$25=$B36,Bau!$V$25,0)+IF(Bau!$X$26=$B36,Bau!$V$26,0)+IF(Bau!$K$22=$B36,Bau!$I$22,0)+IF(Bau!$K$25=$B36,Bau!$I$25,0)+IF(Bau!$K$26=$B36,Bau!$I$26,0)</f>
        <v>0</v>
      </c>
      <c r="W36" s="1594">
        <f>IF(Bau!$K$64=$B36,Bau!$I$64,0)+IF(Bau!$K$65=$B36,Bau!$I$65,0)</f>
        <v>0</v>
      </c>
      <c r="X36" s="1594">
        <f>IF(Bau!$K$67=$B36,Bau!$I$67,0)+IF(Bau!$K$68=$B36,Bau!$I$68,0)</f>
        <v>0</v>
      </c>
      <c r="Y36" s="1594">
        <f>IF(Bau!$K$70=$B36,Bau!$I$70,0)+IF(Bau!$K$71=$B36,Bau!$I$71,0)+IF(Bau!$K$75=$B36,Bau!$I$75,0)+IF(Bau!$K$76=$B36,Bau!$I$76,0)</f>
        <v>0</v>
      </c>
      <c r="Z36" s="1594">
        <f>IF(Bau!$I$84=$B36,Bau!$I$84,0)+IF(Bau!$K$85=$B36,Bau!$I$85,0)+IF(Bau!$K$86=$B36,Bau!$I$86,0)</f>
        <v>0</v>
      </c>
      <c r="AA36" s="1595">
        <f>IF(Bau!$K$88=$B36,Bau!$I$88,0)+IF(Bau!$K$89=$B36,Bau!$I$89,0)+IF(Bau!$K$91=$B36,Bau!$I$91,0)+IF(Bau!$K$92=$B36,Bau!$I$92,0)</f>
        <v>0</v>
      </c>
    </row>
    <row r="37" spans="2:27">
      <c r="B37" s="1615">
        <v>28</v>
      </c>
      <c r="C37" s="1633">
        <f t="shared" si="0"/>
        <v>0</v>
      </c>
      <c r="D37" s="1662"/>
      <c r="E37" s="1634">
        <f t="shared" si="1"/>
        <v>0</v>
      </c>
      <c r="F37" s="1599">
        <f>UWert!K186</f>
        <v>0</v>
      </c>
      <c r="G37" s="1619">
        <f>UWert!O186</f>
        <v>0</v>
      </c>
      <c r="H37" s="1624">
        <f t="shared" si="2"/>
        <v>0</v>
      </c>
      <c r="I37" s="1620">
        <f t="shared" si="3"/>
        <v>0</v>
      </c>
      <c r="J37" s="1643"/>
      <c r="K37" s="1588"/>
      <c r="L37" s="1648">
        <f>IF(Bau!$K$14=$B37,Bau!$I$14,0)+IF(Bau!$K$15=$B37,Bau!$I$15,0)+IF(Bau!$K$16=$B37,Bau!$I$16,0)+IF(Bau!$K$17=$B37,Bau!$I$17,0)+IF(Bau!$K$18=$B37,Bau!$I$18,0)+IF(Bau!$K$20=$B37,Bau!$I$20,0)</f>
        <v>0</v>
      </c>
      <c r="M37" s="1594">
        <f>IF(Bau!$X$14=$B37,Bau!$V$14,0)+IF(Bau!$X$15=$B37,Bau!$V$15,0)+IF(Bau!$X$16=$B37,Bau!$V$16,0)+IF(Bau!$X$17=$B37,Bau!$V$17,0)+IF(Bau!$X$18=$B37,Bau!$V$18,0)+IF(Bau!$X$20=$B37,Bau!$V$20,0)</f>
        <v>0</v>
      </c>
      <c r="N37" s="1594">
        <f>IF(Bau!$K$33=$B37,Bau!$I$33,0)+IF(Bau!$K$34=$B37,Bau!$I$34,0)+IF(Bau!$K$35=$B37,Bau!$I$35,0)+IF(Bau!$K$36=$B37,Bau!$I$36,0)+IF(Bau!$K$37=$B37,Bau!$I$37,0)+IF(Bau!$K$39=$B37,Bau!$I$39,0)</f>
        <v>0</v>
      </c>
      <c r="O37" s="1594">
        <f>IF(Bau!$X$33=$B37,Bau!$V$33,0)+IF(Bau!$X$34=$B37,Bau!$V$34,0)+IF(Bau!$X$35=$B37,Bau!$V$35,0)+IF(Bau!$X$36=$B37,Bau!$V$36,0)+IF(Bau!$X$37=$B37,Bau!$V$37,0)+IF(Bau!$X$39=$B37,Bau!$V$39,0)</f>
        <v>0</v>
      </c>
      <c r="P37" s="1594">
        <f>IF(Fenster!$J$11=$B37,Fenster!$F$11*Fenster!$H$11,0)+IF(Fenster!$J$13=$B37,Fenster!$F$13*Fenster!$H$13,0)+IF(Fenster!$J$15=$B37,Fenster!$F$15*Fenster!$H$15,0)+IF(Fenster!$J$17=$B37,Fenster!$F$17*Fenster!$H$17,0)+IF(Fenster!$J$19=$B37,Fenster!$F$19*Fenster!$H$19,0)+IF(Fenster!$J$21=$B37,Fenster!$F$21*Fenster!$H$21,0)+IF(Fenster!$J$23=$B37,Fenster!$F$23*Fenster!$H$23,0)+IF(Fenster!$J$25=$B37,Fenster!$F$25*Fenster!$H$25,0)</f>
        <v>0</v>
      </c>
      <c r="Q37" s="1594">
        <f>IF(Fenster!$J$34=$B37,Fenster!$F$34*Fenster!$H$34,0)+IF(Fenster!$J$36=$B37,Fenster!$F$36*Fenster!$H$36,0)+IF(Fenster!$J$38=$B37,Fenster!$F$38*Fenster!$H$38,0)+IF(Fenster!$J$40=$B37,Fenster!$F$40*Fenster!$H$40,0)+IF(Fenster!$J$42=$B37,Fenster!$F$42*Fenster!$H$42,0)+IF(Fenster!$J$44=$B37,Fenster!$F$44*Fenster!$H$44,0)+IF(Fenster!$J$46=$B37,Fenster!$F$46*Fenster!$H$46,0)+IF(Fenster!$J$48=$B37,Fenster!$F$48*Fenster!$H$48,0)</f>
        <v>0</v>
      </c>
      <c r="R37" s="1594">
        <f>IF(Fenster!$J$57=$B37,Fenster!$F$57*Fenster!$H$57,0)+IF(Fenster!$J$59=$B37,Fenster!$F$59*Fenster!$H$59,0)+IF(Fenster!$J$61=$B37,Fenster!$F$61*Fenster!$H$61,0)+IF(Fenster!$J$63=$B37,Fenster!$F$63*Fenster!$H$63,0)+IF(Fenster!$J$65=$B37,Fenster!$F$65*Fenster!$H$65,0)+IF(Fenster!$J$67=$B37,Fenster!$F$67*Fenster!$H$67,0)+IF(Fenster!$J$69=$B37,Fenster!$F$69*Fenster!$H$69,0)+IF(Fenster!$J$71=$B37,Fenster!$F$71*Fenster!$H$71,0)</f>
        <v>0</v>
      </c>
      <c r="S37" s="1594">
        <f>IF(Fenster!$J$80=$B37,Fenster!$F$80*Fenster!$H$80,0)+IF(Fenster!$J$82=$B37,Fenster!$F$82*Fenster!$H$82,0)+IF(Fenster!$J$84=$B37,Fenster!$F$84*Fenster!$H$84,0)+IF(Fenster!$J$86=$B37,Fenster!$F$86*Fenster!$H$86,0)+IF(Fenster!$J$88=$B37,Fenster!$F$88*Fenster!$H$88,0)+IF(Fenster!$J$90=$B37,Fenster!$F$90*Fenster!$H$90,0)+IF(Fenster!$J$92=$B37,Fenster!$F$92*Fenster!$H$92,0)+IF(Fenster!$J$94=$B37,Fenster!$F$94*Fenster!$H$94,0)</f>
        <v>0</v>
      </c>
      <c r="T37" s="1594">
        <f>IF(Fenster!$J$103=$B37,Fenster!$F$103*Fenster!$H$103,0)+IF(Fenster!$J$105=$B37,Fenster!$F$105*Fenster!$H$105,0)+IF(Fenster!$J$107=$B37,Fenster!$F$107*Fenster!$H$107,0)+IF(Fenster!$J$109=$B37,Fenster!$F$109*Fenster!$H$109,0)+IF(Fenster!$J$111=$B37,Fenster!$F$111*Fenster!$H$111,0)+IF(Fenster!$J$113=$B37,Fenster!$F$113*Fenster!$H$113,0)+IF(Fenster!$J$115=$B37,Fenster!$F$115*Fenster!$H$115,0)+IF(Fenster!$J$117=$B37,Fenster!$F$117*Fenster!$H$117,0)</f>
        <v>0</v>
      </c>
      <c r="U37" s="1594">
        <f>IF(Bau!$K$23=$B37,Bau!$I$23,0)+IF(Bau!$K$24=$B37,Bau!$I$24,0)+IF(Bau!$X$23=$B37,Bau!$V$23,0)+IF(Bau!$X$24=$B37,Bau!$V$24,0)+IF(Bau!$K$42=$B37,Bau!$I$42,0)+IF(Bau!$K$43=$B37,Bau!$I$43,0)+IF(Bau!$X$42=$B37,Bau!$V$42,0)+IF(Bau!$X$43=$B37,Bau!$V$43,0)+IF(Bau!$K$94=$B37,Bau!$I$94,0)</f>
        <v>0</v>
      </c>
      <c r="V37" s="1594">
        <f>IF(Bau!$X$51=$B37,Bau!$V$51,0)+IF(Bau!$X$52=$B37,Bau!$V$52,0)+IF(Bau!$K$41=$B37,Bau!$I$41,0)+IF(Bau!$K$44=$B37,Bau!$I$44,0)+IF(Bau!$K$45=$B37,Bau!$I$45,0)+IF(Bau!$X$41=$B37,Bau!$V$41,0)+IF(Bau!$X$44=$B37,Bau!$V$44,0)+IF(Bau!$X$45=$B37,Bau!$V$45,0)+IF(Bau!$X$22=$B37,Bau!$V$22,0)+IF(Bau!$X$25=$B37,Bau!$V$25,0)+IF(Bau!$X$26=$B37,Bau!$V$26,0)+IF(Bau!$K$22=$B37,Bau!$I$22,0)+IF(Bau!$K$25=$B37,Bau!$I$25,0)+IF(Bau!$K$26=$B37,Bau!$I$26,0)</f>
        <v>0</v>
      </c>
      <c r="W37" s="1594">
        <f>IF(Bau!$K$64=$B37,Bau!$I$64,0)+IF(Bau!$K$65=$B37,Bau!$I$65,0)</f>
        <v>0</v>
      </c>
      <c r="X37" s="1594">
        <f>IF(Bau!$K$67=$B37,Bau!$I$67,0)+IF(Bau!$K$68=$B37,Bau!$I$68,0)</f>
        <v>0</v>
      </c>
      <c r="Y37" s="1594">
        <f>IF(Bau!$K$70=$B37,Bau!$I$70,0)+IF(Bau!$K$71=$B37,Bau!$I$71,0)+IF(Bau!$K$75=$B37,Bau!$I$75,0)+IF(Bau!$K$76=$B37,Bau!$I$76,0)</f>
        <v>0</v>
      </c>
      <c r="Z37" s="1594">
        <f>IF(Bau!$I$84=$B37,Bau!$I$84,0)+IF(Bau!$K$85=$B37,Bau!$I$85,0)+IF(Bau!$K$86=$B37,Bau!$I$86,0)</f>
        <v>0</v>
      </c>
      <c r="AA37" s="1595">
        <f>IF(Bau!$K$88=$B37,Bau!$I$88,0)+IF(Bau!$K$89=$B37,Bau!$I$89,0)+IF(Bau!$K$91=$B37,Bau!$I$91,0)+IF(Bau!$K$92=$B37,Bau!$I$92,0)</f>
        <v>0</v>
      </c>
    </row>
    <row r="38" spans="2:27">
      <c r="B38" s="1615">
        <v>29</v>
      </c>
      <c r="C38" s="1633">
        <f t="shared" si="0"/>
        <v>0</v>
      </c>
      <c r="D38" s="1662"/>
      <c r="E38" s="1634">
        <f t="shared" si="1"/>
        <v>0</v>
      </c>
      <c r="F38" s="1599">
        <f>UWert!K187</f>
        <v>0</v>
      </c>
      <c r="G38" s="1619">
        <f>UWert!O187</f>
        <v>0</v>
      </c>
      <c r="H38" s="1624">
        <f t="shared" si="2"/>
        <v>0</v>
      </c>
      <c r="I38" s="1620">
        <f t="shared" si="3"/>
        <v>0</v>
      </c>
      <c r="J38" s="1643"/>
      <c r="K38" s="1588"/>
      <c r="L38" s="1648">
        <f>IF(Bau!$K$14=$B38,Bau!$I$14,0)+IF(Bau!$K$15=$B38,Bau!$I$15,0)+IF(Bau!$K$16=$B38,Bau!$I$16,0)+IF(Bau!$K$17=$B38,Bau!$I$17,0)+IF(Bau!$K$18=$B38,Bau!$I$18,0)+IF(Bau!$K$20=$B38,Bau!$I$20,0)</f>
        <v>0</v>
      </c>
      <c r="M38" s="1594">
        <f>IF(Bau!$X$14=$B38,Bau!$V$14,0)+IF(Bau!$X$15=$B38,Bau!$V$15,0)+IF(Bau!$X$16=$B38,Bau!$V$16,0)+IF(Bau!$X$17=$B38,Bau!$V$17,0)+IF(Bau!$X$18=$B38,Bau!$V$18,0)+IF(Bau!$X$20=$B38,Bau!$V$20,0)</f>
        <v>0</v>
      </c>
      <c r="N38" s="1594">
        <f>IF(Bau!$K$33=$B38,Bau!$I$33,0)+IF(Bau!$K$34=$B38,Bau!$I$34,0)+IF(Bau!$K$35=$B38,Bau!$I$35,0)+IF(Bau!$K$36=$B38,Bau!$I$36,0)+IF(Bau!$K$37=$B38,Bau!$I$37,0)+IF(Bau!$K$39=$B38,Bau!$I$39,0)</f>
        <v>0</v>
      </c>
      <c r="O38" s="1594">
        <f>IF(Bau!$X$33=$B38,Bau!$V$33,0)+IF(Bau!$X$34=$B38,Bau!$V$34,0)+IF(Bau!$X$35=$B38,Bau!$V$35,0)+IF(Bau!$X$36=$B38,Bau!$V$36,0)+IF(Bau!$X$37=$B38,Bau!$V$37,0)+IF(Bau!$X$39=$B38,Bau!$V$39,0)</f>
        <v>0</v>
      </c>
      <c r="P38" s="1594">
        <f>IF(Fenster!$J$11=$B38,Fenster!$F$11*Fenster!$H$11,0)+IF(Fenster!$J$13=$B38,Fenster!$F$13*Fenster!$H$13,0)+IF(Fenster!$J$15=$B38,Fenster!$F$15*Fenster!$H$15,0)+IF(Fenster!$J$17=$B38,Fenster!$F$17*Fenster!$H$17,0)+IF(Fenster!$J$19=$B38,Fenster!$F$19*Fenster!$H$19,0)+IF(Fenster!$J$21=$B38,Fenster!$F$21*Fenster!$H$21,0)+IF(Fenster!$J$23=$B38,Fenster!$F$23*Fenster!$H$23,0)+IF(Fenster!$J$25=$B38,Fenster!$F$25*Fenster!$H$25,0)</f>
        <v>0</v>
      </c>
      <c r="Q38" s="1594">
        <f>IF(Fenster!$J$34=$B38,Fenster!$F$34*Fenster!$H$34,0)+IF(Fenster!$J$36=$B38,Fenster!$F$36*Fenster!$H$36,0)+IF(Fenster!$J$38=$B38,Fenster!$F$38*Fenster!$H$38,0)+IF(Fenster!$J$40=$B38,Fenster!$F$40*Fenster!$H$40,0)+IF(Fenster!$J$42=$B38,Fenster!$F$42*Fenster!$H$42,0)+IF(Fenster!$J$44=$B38,Fenster!$F$44*Fenster!$H$44,0)+IF(Fenster!$J$46=$B38,Fenster!$F$46*Fenster!$H$46,0)+IF(Fenster!$J$48=$B38,Fenster!$F$48*Fenster!$H$48,0)</f>
        <v>0</v>
      </c>
      <c r="R38" s="1594">
        <f>IF(Fenster!$J$57=$B38,Fenster!$F$57*Fenster!$H$57,0)+IF(Fenster!$J$59=$B38,Fenster!$F$59*Fenster!$H$59,0)+IF(Fenster!$J$61=$B38,Fenster!$F$61*Fenster!$H$61,0)+IF(Fenster!$J$63=$B38,Fenster!$F$63*Fenster!$H$63,0)+IF(Fenster!$J$65=$B38,Fenster!$F$65*Fenster!$H$65,0)+IF(Fenster!$J$67=$B38,Fenster!$F$67*Fenster!$H$67,0)+IF(Fenster!$J$69=$B38,Fenster!$F$69*Fenster!$H$69,0)+IF(Fenster!$J$71=$B38,Fenster!$F$71*Fenster!$H$71,0)</f>
        <v>0</v>
      </c>
      <c r="S38" s="1594">
        <f>IF(Fenster!$J$80=$B38,Fenster!$F$80*Fenster!$H$80,0)+IF(Fenster!$J$82=$B38,Fenster!$F$82*Fenster!$H$82,0)+IF(Fenster!$J$84=$B38,Fenster!$F$84*Fenster!$H$84,0)+IF(Fenster!$J$86=$B38,Fenster!$F$86*Fenster!$H$86,0)+IF(Fenster!$J$88=$B38,Fenster!$F$88*Fenster!$H$88,0)+IF(Fenster!$J$90=$B38,Fenster!$F$90*Fenster!$H$90,0)+IF(Fenster!$J$92=$B38,Fenster!$F$92*Fenster!$H$92,0)+IF(Fenster!$J$94=$B38,Fenster!$F$94*Fenster!$H$94,0)</f>
        <v>0</v>
      </c>
      <c r="T38" s="1594">
        <f>IF(Fenster!$J$103=$B38,Fenster!$F$103*Fenster!$H$103,0)+IF(Fenster!$J$105=$B38,Fenster!$F$105*Fenster!$H$105,0)+IF(Fenster!$J$107=$B38,Fenster!$F$107*Fenster!$H$107,0)+IF(Fenster!$J$109=$B38,Fenster!$F$109*Fenster!$H$109,0)+IF(Fenster!$J$111=$B38,Fenster!$F$111*Fenster!$H$111,0)+IF(Fenster!$J$113=$B38,Fenster!$F$113*Fenster!$H$113,0)+IF(Fenster!$J$115=$B38,Fenster!$F$115*Fenster!$H$115,0)+IF(Fenster!$J$117=$B38,Fenster!$F$117*Fenster!$H$117,0)</f>
        <v>0</v>
      </c>
      <c r="U38" s="1594">
        <f>IF(Bau!$K$23=$B38,Bau!$I$23,0)+IF(Bau!$K$24=$B38,Bau!$I$24,0)+IF(Bau!$X$23=$B38,Bau!$V$23,0)+IF(Bau!$X$24=$B38,Bau!$V$24,0)+IF(Bau!$K$42=$B38,Bau!$I$42,0)+IF(Bau!$K$43=$B38,Bau!$I$43,0)+IF(Bau!$X$42=$B38,Bau!$V$42,0)+IF(Bau!$X$43=$B38,Bau!$V$43,0)+IF(Bau!$K$94=$B38,Bau!$I$94,0)</f>
        <v>0</v>
      </c>
      <c r="V38" s="1594">
        <f>IF(Bau!$X$51=$B38,Bau!$V$51,0)+IF(Bau!$X$52=$B38,Bau!$V$52,0)+IF(Bau!$K$41=$B38,Bau!$I$41,0)+IF(Bau!$K$44=$B38,Bau!$I$44,0)+IF(Bau!$K$45=$B38,Bau!$I$45,0)+IF(Bau!$X$41=$B38,Bau!$V$41,0)+IF(Bau!$X$44=$B38,Bau!$V$44,0)+IF(Bau!$X$45=$B38,Bau!$V$45,0)+IF(Bau!$X$22=$B38,Bau!$V$22,0)+IF(Bau!$X$25=$B38,Bau!$V$25,0)+IF(Bau!$X$26=$B38,Bau!$V$26,0)+IF(Bau!$K$22=$B38,Bau!$I$22,0)+IF(Bau!$K$25=$B38,Bau!$I$25,0)+IF(Bau!$K$26=$B38,Bau!$I$26,0)</f>
        <v>0</v>
      </c>
      <c r="W38" s="1594">
        <f>IF(Bau!$K$64=$B38,Bau!$I$64,0)+IF(Bau!$K$65=$B38,Bau!$I$65,0)</f>
        <v>0</v>
      </c>
      <c r="X38" s="1594">
        <f>IF(Bau!$K$67=$B38,Bau!$I$67,0)+IF(Bau!$K$68=$B38,Bau!$I$68,0)</f>
        <v>0</v>
      </c>
      <c r="Y38" s="1594">
        <f>IF(Bau!$K$70=$B38,Bau!$I$70,0)+IF(Bau!$K$71=$B38,Bau!$I$71,0)+IF(Bau!$K$75=$B38,Bau!$I$75,0)+IF(Bau!$K$76=$B38,Bau!$I$76,0)</f>
        <v>0</v>
      </c>
      <c r="Z38" s="1594">
        <f>IF(Bau!$I$84=$B38,Bau!$I$84,0)+IF(Bau!$K$85=$B38,Bau!$I$85,0)+IF(Bau!$K$86=$B38,Bau!$I$86,0)</f>
        <v>0</v>
      </c>
      <c r="AA38" s="1595">
        <f>IF(Bau!$K$88=$B38,Bau!$I$88,0)+IF(Bau!$K$89=$B38,Bau!$I$89,0)+IF(Bau!$K$91=$B38,Bau!$I$91,0)+IF(Bau!$K$92=$B38,Bau!$I$92,0)</f>
        <v>0</v>
      </c>
    </row>
    <row r="39" spans="2:27" ht="14.25" customHeight="1">
      <c r="B39" s="1615">
        <v>30</v>
      </c>
      <c r="C39" s="1635">
        <f t="shared" si="0"/>
        <v>0</v>
      </c>
      <c r="D39" s="1662"/>
      <c r="E39" s="1634">
        <f t="shared" si="1"/>
        <v>0</v>
      </c>
      <c r="F39" s="1599">
        <f>UWert!K188</f>
        <v>0</v>
      </c>
      <c r="G39" s="1619">
        <f>UWert!O188</f>
        <v>0</v>
      </c>
      <c r="H39" s="1624">
        <f t="shared" si="2"/>
        <v>0</v>
      </c>
      <c r="I39" s="1620">
        <f t="shared" si="3"/>
        <v>0</v>
      </c>
      <c r="J39" s="1643"/>
      <c r="K39" s="1588"/>
      <c r="L39" s="1648">
        <f>IF(Bau!$K$14=$B39,Bau!$I$14,0)+IF(Bau!$K$15=$B39,Bau!$I$15,0)+IF(Bau!$K$16=$B39,Bau!$I$16,0)+IF(Bau!$K$17=$B39,Bau!$I$17,0)+IF(Bau!$K$18=$B39,Bau!$I$18,0)+IF(Bau!$K$20=$B39,Bau!$I$20,0)</f>
        <v>0</v>
      </c>
      <c r="M39" s="1594">
        <f>IF(Bau!$X$14=$B39,Bau!$V$14,0)+IF(Bau!$X$15=$B39,Bau!$V$15,0)+IF(Bau!$X$16=$B39,Bau!$V$16,0)+IF(Bau!$X$17=$B39,Bau!$V$17,0)+IF(Bau!$X$18=$B39,Bau!$V$18,0)+IF(Bau!$X$20=$B39,Bau!$V$20,0)</f>
        <v>0</v>
      </c>
      <c r="N39" s="1594">
        <f>IF(Bau!$K$33=$B39,Bau!$I$33,0)+IF(Bau!$K$34=$B39,Bau!$I$34,0)+IF(Bau!$K$35=$B39,Bau!$I$35,0)+IF(Bau!$K$36=$B39,Bau!$I$36,0)+IF(Bau!$K$37=$B39,Bau!$I$37,0)+IF(Bau!$K$39=$B39,Bau!$I$39,0)</f>
        <v>0</v>
      </c>
      <c r="O39" s="1594">
        <f>IF(Bau!$X$33=$B39,Bau!$V$33,0)+IF(Bau!$X$34=$B39,Bau!$V$34,0)+IF(Bau!$X$35=$B39,Bau!$V$35,0)+IF(Bau!$X$36=$B39,Bau!$V$36,0)+IF(Bau!$X$37=$B39,Bau!$V$37,0)+IF(Bau!$X$39=$B39,Bau!$V$39,0)</f>
        <v>0</v>
      </c>
      <c r="P39" s="1594">
        <f>IF(Fenster!$J$11=$B39,Fenster!$F$11*Fenster!$H$11,0)+IF(Fenster!$J$13=$B39,Fenster!$F$13*Fenster!$H$13,0)+IF(Fenster!$J$15=$B39,Fenster!$F$15*Fenster!$H$15,0)+IF(Fenster!$J$17=$B39,Fenster!$F$17*Fenster!$H$17,0)+IF(Fenster!$J$19=$B39,Fenster!$F$19*Fenster!$H$19,0)+IF(Fenster!$J$21=$B39,Fenster!$F$21*Fenster!$H$21,0)+IF(Fenster!$J$23=$B39,Fenster!$F$23*Fenster!$H$23,0)+IF(Fenster!$J$25=$B39,Fenster!$F$25*Fenster!$H$25,0)</f>
        <v>0</v>
      </c>
      <c r="Q39" s="1594">
        <f>IF(Fenster!$J$34=$B39,Fenster!$F$34*Fenster!$H$34,0)+IF(Fenster!$J$36=$B39,Fenster!$F$36*Fenster!$H$36,0)+IF(Fenster!$J$38=$B39,Fenster!$F$38*Fenster!$H$38,0)+IF(Fenster!$J$40=$B39,Fenster!$F$40*Fenster!$H$40,0)+IF(Fenster!$J$42=$B39,Fenster!$F$42*Fenster!$H$42,0)+IF(Fenster!$J$44=$B39,Fenster!$F$44*Fenster!$H$44,0)+IF(Fenster!$J$46=$B39,Fenster!$F$46*Fenster!$H$46,0)+IF(Fenster!$J$48=$B39,Fenster!$F$48*Fenster!$H$48,0)</f>
        <v>0</v>
      </c>
      <c r="R39" s="1594">
        <f>IF(Fenster!$J$57=$B39,Fenster!$F$57*Fenster!$H$57,0)+IF(Fenster!$J$59=$B39,Fenster!$F$59*Fenster!$H$59,0)+IF(Fenster!$J$61=$B39,Fenster!$F$61*Fenster!$H$61,0)+IF(Fenster!$J$63=$B39,Fenster!$F$63*Fenster!$H$63,0)+IF(Fenster!$J$65=$B39,Fenster!$F$65*Fenster!$H$65,0)+IF(Fenster!$J$67=$B39,Fenster!$F$67*Fenster!$H$67,0)+IF(Fenster!$J$69=$B39,Fenster!$F$69*Fenster!$H$69,0)+IF(Fenster!$J$71=$B39,Fenster!$F$71*Fenster!$H$71,0)</f>
        <v>0</v>
      </c>
      <c r="S39" s="1594">
        <f>IF(Fenster!$J$80=$B39,Fenster!$F$80*Fenster!$H$80,0)+IF(Fenster!$J$82=$B39,Fenster!$F$82*Fenster!$H$82,0)+IF(Fenster!$J$84=$B39,Fenster!$F$84*Fenster!$H$84,0)+IF(Fenster!$J$86=$B39,Fenster!$F$86*Fenster!$H$86,0)+IF(Fenster!$J$88=$B39,Fenster!$F$88*Fenster!$H$88,0)+IF(Fenster!$J$90=$B39,Fenster!$F$90*Fenster!$H$90,0)+IF(Fenster!$J$92=$B39,Fenster!$F$92*Fenster!$H$92,0)+IF(Fenster!$J$94=$B39,Fenster!$F$94*Fenster!$H$94,0)</f>
        <v>0</v>
      </c>
      <c r="T39" s="1594">
        <f>IF(Fenster!$J$103=$B39,Fenster!$F$103*Fenster!$H$103,0)+IF(Fenster!$J$105=$B39,Fenster!$F$105*Fenster!$H$105,0)+IF(Fenster!$J$107=$B39,Fenster!$F$107*Fenster!$H$107,0)+IF(Fenster!$J$109=$B39,Fenster!$F$109*Fenster!$H$109,0)+IF(Fenster!$J$111=$B39,Fenster!$F$111*Fenster!$H$111,0)+IF(Fenster!$J$113=$B39,Fenster!$F$113*Fenster!$H$113,0)+IF(Fenster!$J$115=$B39,Fenster!$F$115*Fenster!$H$115,0)+IF(Fenster!$J$117=$B39,Fenster!$F$117*Fenster!$H$117,0)</f>
        <v>0</v>
      </c>
      <c r="U39" s="1594">
        <f>IF(Bau!$K$23=$B39,Bau!$I$23,0)+IF(Bau!$K$24=$B39,Bau!$I$24,0)+IF(Bau!$X$23=$B39,Bau!$V$23,0)+IF(Bau!$X$24=$B39,Bau!$V$24,0)+IF(Bau!$K$42=$B39,Bau!$I$42,0)+IF(Bau!$K$43=$B39,Bau!$I$43,0)+IF(Bau!$X$42=$B39,Bau!$V$42,0)+IF(Bau!$X$43=$B39,Bau!$V$43,0)+IF(Bau!$K$94=$B39,Bau!$I$94,0)</f>
        <v>0</v>
      </c>
      <c r="V39" s="1594">
        <f>IF(Bau!$X$51=$B39,Bau!$V$51,0)+IF(Bau!$X$52=$B39,Bau!$V$52,0)+IF(Bau!$K$41=$B39,Bau!$I$41,0)+IF(Bau!$K$44=$B39,Bau!$I$44,0)+IF(Bau!$K$45=$B39,Bau!$I$45,0)+IF(Bau!$X$41=$B39,Bau!$V$41,0)+IF(Bau!$X$44=$B39,Bau!$V$44,0)+IF(Bau!$X$45=$B39,Bau!$V$45,0)+IF(Bau!$X$22=$B39,Bau!$V$22,0)+IF(Bau!$X$25=$B39,Bau!$V$25,0)+IF(Bau!$X$26=$B39,Bau!$V$26,0)+IF(Bau!$K$22=$B39,Bau!$I$22,0)+IF(Bau!$K$25=$B39,Bau!$I$25,0)+IF(Bau!$K$26=$B39,Bau!$I$26,0)</f>
        <v>0</v>
      </c>
      <c r="W39" s="1594">
        <f>IF(Bau!$K$64=$B39,Bau!$I$64,0)+IF(Bau!$K$65=$B39,Bau!$I$65,0)</f>
        <v>0</v>
      </c>
      <c r="X39" s="1594">
        <f>IF(Bau!$K$67=$B39,Bau!$I$67,0)+IF(Bau!$K$68=$B39,Bau!$I$68,0)</f>
        <v>0</v>
      </c>
      <c r="Y39" s="1594">
        <f>IF(Bau!$K$70=$B39,Bau!$I$70,0)+IF(Bau!$K$71=$B39,Bau!$I$71,0)+IF(Bau!$K$75=$B39,Bau!$I$75,0)+IF(Bau!$K$76=$B39,Bau!$I$76,0)</f>
        <v>0</v>
      </c>
      <c r="Z39" s="1594">
        <f>IF(Bau!$I$84=$B39,Bau!$I$84,0)+IF(Bau!$K$85=$B39,Bau!$I$85,0)+IF(Bau!$K$86=$B39,Bau!$I$86,0)</f>
        <v>0</v>
      </c>
      <c r="AA39" s="1595">
        <f>IF(Bau!$K$88=$B39,Bau!$I$88,0)+IF(Bau!$K$89=$B39,Bau!$I$89,0)+IF(Bau!$K$91=$B39,Bau!$I$91,0)+IF(Bau!$K$92=$B39,Bau!$I$92,0)</f>
        <v>0</v>
      </c>
    </row>
    <row r="40" spans="2:27" ht="13.9" customHeight="1">
      <c r="B40" s="1680">
        <v>31</v>
      </c>
      <c r="C40" s="1636">
        <f t="shared" si="0"/>
        <v>0</v>
      </c>
      <c r="D40" s="1663"/>
      <c r="E40" s="1637">
        <f t="shared" si="1"/>
        <v>0</v>
      </c>
      <c r="F40" s="1600">
        <f>UWert!K189</f>
        <v>0</v>
      </c>
      <c r="G40" s="1621">
        <f>UWert!O189</f>
        <v>0</v>
      </c>
      <c r="H40" s="1625">
        <f t="shared" si="2"/>
        <v>0</v>
      </c>
      <c r="I40" s="1622">
        <f t="shared" si="3"/>
        <v>0</v>
      </c>
      <c r="J40" s="1643"/>
      <c r="K40" s="1588"/>
      <c r="L40" s="1649">
        <f>IF(Bau!$K$14=$B40,Bau!$I$14,0)+IF(Bau!$K$15=$B40,Bau!$I$15,0)+IF(Bau!$K$16=$B40,Bau!$I$16,0)+IF(Bau!$K$17=$B40,Bau!$I$17,0)+IF(Bau!$K$18=$B40,Bau!$I$18,0)+IF(Bau!$K$20=$B40,Bau!$I$20,0)</f>
        <v>0</v>
      </c>
      <c r="M40" s="1596">
        <f>IF(Bau!$X$14=$B40,Bau!$V$14,0)+IF(Bau!$X$15=$B40,Bau!$V$15,0)+IF(Bau!$X$16=$B40,Bau!$V$16,0)+IF(Bau!$X$17=$B40,Bau!$V$17,0)+IF(Bau!$X$18=$B40,Bau!$V$18,0)+IF(Bau!$X$20=$B40,Bau!$V$20,0)</f>
        <v>0</v>
      </c>
      <c r="N40" s="1596">
        <f>IF(Bau!$K$33=$B40,Bau!$I$33,0)+IF(Bau!$K$34=$B40,Bau!$I$34,0)+IF(Bau!$K$35=$B40,Bau!$I$35,0)+IF(Bau!$K$36=$B40,Bau!$I$36,0)+IF(Bau!$K$37=$B40,Bau!$I$37,0)+IF(Bau!$K$39=$B40,Bau!$I$39,0)</f>
        <v>0</v>
      </c>
      <c r="O40" s="1596">
        <f>IF(Bau!$X$33=$B40,Bau!$V$33,0)+IF(Bau!$X$34=$B40,Bau!$V$34,0)+IF(Bau!$X$35=$B40,Bau!$V$35,0)+IF(Bau!$X$36=$B40,Bau!$V$36,0)+IF(Bau!$X$37=$B40,Bau!$V$37,0)+IF(Bau!$X$39=$B40,Bau!$V$39,0)</f>
        <v>0</v>
      </c>
      <c r="P40" s="1596">
        <f>IF(Fenster!$J$11=$B40,Fenster!$F$11*Fenster!$H$11,0)+IF(Fenster!$J$13=$B40,Fenster!$F$13*Fenster!$H$13,0)+IF(Fenster!$J$15=$B40,Fenster!$F$15*Fenster!$H$15,0)+IF(Fenster!$J$17=$B40,Fenster!$F$17*Fenster!$H$17,0)+IF(Fenster!$J$19=$B40,Fenster!$F$19*Fenster!$H$19,0)+IF(Fenster!$J$21=$B40,Fenster!$F$21*Fenster!$H$21,0)+IF(Fenster!$J$23=$B40,Fenster!$F$23*Fenster!$H$23,0)+IF(Fenster!$J$25=$B40,Fenster!$F$25*Fenster!$H$25,0)</f>
        <v>0</v>
      </c>
      <c r="Q40" s="1596">
        <f>IF(Fenster!$J$34=$B40,Fenster!$F$34*Fenster!$H$34,0)+IF(Fenster!$J$36=$B40,Fenster!$F$36*Fenster!$H$36,0)+IF(Fenster!$J$38=$B40,Fenster!$F$38*Fenster!$H$38,0)+IF(Fenster!$J$40=$B40,Fenster!$F$40*Fenster!$H$40,0)+IF(Fenster!$J$42=$B40,Fenster!$F$42*Fenster!$H$42,0)+IF(Fenster!$J$44=$B40,Fenster!$F$44*Fenster!$H$44,0)+IF(Fenster!$J$46=$B40,Fenster!$F$46*Fenster!$H$46,0)+IF(Fenster!$J$48=$B40,Fenster!$F$48*Fenster!$H$48,0)</f>
        <v>0</v>
      </c>
      <c r="R40" s="1596">
        <f>IF(Fenster!$J$57=$B40,Fenster!$F$57*Fenster!$H$57,0)+IF(Fenster!$J$59=$B40,Fenster!$F$59*Fenster!$H$59,0)+IF(Fenster!$J$61=$B40,Fenster!$F$61*Fenster!$H$61,0)+IF(Fenster!$J$63=$B40,Fenster!$F$63*Fenster!$H$63,0)+IF(Fenster!$J$65=$B40,Fenster!$F$65*Fenster!$H$65,0)+IF(Fenster!$J$67=$B40,Fenster!$F$67*Fenster!$H$67,0)+IF(Fenster!$J$69=$B40,Fenster!$F$69*Fenster!$H$69,0)+IF(Fenster!$J$71=$B40,Fenster!$F$71*Fenster!$H$71,0)</f>
        <v>0</v>
      </c>
      <c r="S40" s="1596">
        <f>IF(Fenster!$J$80=$B40,Fenster!$F$80*Fenster!$H$80,0)+IF(Fenster!$J$82=$B40,Fenster!$F$82*Fenster!$H$82,0)+IF(Fenster!$J$84=$B40,Fenster!$F$84*Fenster!$H$84,0)+IF(Fenster!$J$86=$B40,Fenster!$F$86*Fenster!$H$86,0)+IF(Fenster!$J$88=$B40,Fenster!$F$88*Fenster!$H$88,0)+IF(Fenster!$J$90=$B40,Fenster!$F$90*Fenster!$H$90,0)+IF(Fenster!$J$92=$B40,Fenster!$F$92*Fenster!$H$92,0)+IF(Fenster!$J$94=$B40,Fenster!$F$94*Fenster!$H$94,0)</f>
        <v>0</v>
      </c>
      <c r="T40" s="1596">
        <f>IF(Fenster!$J$103=$B40,Fenster!$F$103*Fenster!$H$103,0)+IF(Fenster!$J$105=$B40,Fenster!$F$105*Fenster!$H$105,0)+IF(Fenster!$J$107=$B40,Fenster!$F$107*Fenster!$H$107,0)+IF(Fenster!$J$109=$B40,Fenster!$F$109*Fenster!$H$109,0)+IF(Fenster!$J$111=$B40,Fenster!$F$111*Fenster!$H$111,0)+IF(Fenster!$J$113=$B40,Fenster!$F$113*Fenster!$H$113,0)+IF(Fenster!$J$115=$B40,Fenster!$F$115*Fenster!$H$115,0)+IF(Fenster!$J$117=$B40,Fenster!$F$117*Fenster!$H$117,0)</f>
        <v>0</v>
      </c>
      <c r="U40" s="1596">
        <f>IF(Bau!$K$23=$B40,Bau!$I$23,0)+IF(Bau!$K$24=$B40,Bau!$I$24,0)+IF(Bau!$X$23=$B40,Bau!$V$23,0)+IF(Bau!$X$24=$B40,Bau!$V$24,0)+IF(Bau!$K$42=$B40,Bau!$I$42,0)+IF(Bau!$K$43=$B40,Bau!$I$43,0)+IF(Bau!$X$42=$B40,Bau!$V$42,0)+IF(Bau!$X$43=$B40,Bau!$V$43,0)+IF(Bau!$K$94=$B40,Bau!$I$94,0)</f>
        <v>0</v>
      </c>
      <c r="V40" s="1596">
        <f>IF(Bau!$X$51=$B40,Bau!$V$51,0)+IF(Bau!$X$52=$B40,Bau!$V$52,0)+IF(Bau!$K$41=$B40,Bau!$I$41,0)+IF(Bau!$K$44=$B40,Bau!$I$44,0)+IF(Bau!$K$45=$B40,Bau!$I$45,0)+IF(Bau!$X$41=$B40,Bau!$V$41,0)+IF(Bau!$X$44=$B40,Bau!$V$44,0)+IF(Bau!$X$45=$B40,Bau!$V$45,0)+IF(Bau!$X$22=$B40,Bau!$V$22,0)+IF(Bau!$X$25=$B40,Bau!$V$25,0)+IF(Bau!$X$26=$B40,Bau!$V$26,0)+IF(Bau!$K$22=$B40,Bau!$I$22,0)+IF(Bau!$K$25=$B40,Bau!$I$25,0)+IF(Bau!$K$26=$B40,Bau!$I$26,0)</f>
        <v>0</v>
      </c>
      <c r="W40" s="1596">
        <f>IF(Bau!$K$64=$B40,Bau!$I$64,0)+IF(Bau!$K$65=$B40,Bau!$I$65,0)</f>
        <v>0</v>
      </c>
      <c r="X40" s="1596">
        <f>IF(Bau!$K$67=$B40,Bau!$I$67,0)+IF(Bau!$K$68=$B40,Bau!$I$68,0)</f>
        <v>0</v>
      </c>
      <c r="Y40" s="1596">
        <f>IF(Bau!$K$70=$B40,Bau!$I$70,0)+IF(Bau!$K$71=$B40,Bau!$I$71,0)+IF(Bau!$K$75=$B40,Bau!$I$75,0)+IF(Bau!$K$76=$B40,Bau!$I$76,0)</f>
        <v>0</v>
      </c>
      <c r="Z40" s="1596">
        <f>IF(Bau!$I$84=$B40,Bau!$I$84,0)+IF(Bau!$K$85=$B40,Bau!$I$85,0)+IF(Bau!$K$86=$B40,Bau!$I$86,0)</f>
        <v>0</v>
      </c>
      <c r="AA40" s="1597">
        <f>IF(Bau!$K$88=$B40,Bau!$I$88,0)+IF(Bau!$K$89=$B40,Bau!$I$89,0)+IF(Bau!$K$91=$B40,Bau!$I$91,0)+IF(Bau!$K$92=$B40,Bau!$I$92,0)</f>
        <v>0</v>
      </c>
    </row>
    <row r="41" spans="2:27" ht="13.9" customHeight="1">
      <c r="B41" s="1688" t="s">
        <v>1340</v>
      </c>
      <c r="C41" s="1635" t="s">
        <v>928</v>
      </c>
      <c r="D41" s="1662"/>
      <c r="E41" s="1638">
        <f t="shared" ref="E41:E49" si="4">D41</f>
        <v>0</v>
      </c>
      <c r="F41" s="1704"/>
      <c r="G41" s="1667">
        <f>IF(F41="",0,VLOOKUP(F41,$Q$51:$U$57,5,FALSE))</f>
        <v>0</v>
      </c>
      <c r="H41" s="1624">
        <f t="shared" ref="H41:H49" si="5">E41*G41</f>
        <v>0</v>
      </c>
      <c r="I41" s="1620">
        <f t="shared" si="3"/>
        <v>0</v>
      </c>
      <c r="J41" s="1643"/>
      <c r="K41" s="1588"/>
      <c r="L41" s="260"/>
      <c r="M41" s="260"/>
      <c r="N41" s="260"/>
      <c r="O41" s="260"/>
      <c r="P41" s="260"/>
      <c r="Q41" s="260"/>
      <c r="R41" s="260"/>
      <c r="S41" s="260"/>
      <c r="T41" s="260"/>
      <c r="U41" s="260"/>
      <c r="V41" s="260"/>
      <c r="W41" s="260"/>
      <c r="X41" s="260"/>
      <c r="Y41" s="260"/>
      <c r="Z41" s="260"/>
      <c r="AA41" s="260"/>
    </row>
    <row r="42" spans="2:27" s="1587" customFormat="1" ht="15" customHeight="1">
      <c r="B42" s="1689" t="s">
        <v>1340</v>
      </c>
      <c r="C42" s="1635" t="s">
        <v>928</v>
      </c>
      <c r="D42" s="1662"/>
      <c r="E42" s="1639">
        <f t="shared" si="4"/>
        <v>0</v>
      </c>
      <c r="F42" s="1704"/>
      <c r="G42" s="1667">
        <f>IF(F42="",0,VLOOKUP(F42,$Q$51:$U$57,5,FALSE))</f>
        <v>0</v>
      </c>
      <c r="H42" s="1624">
        <f t="shared" si="5"/>
        <v>0</v>
      </c>
      <c r="I42" s="1620">
        <f t="shared" si="3"/>
        <v>0</v>
      </c>
      <c r="J42" s="1643"/>
      <c r="K42" s="1643"/>
      <c r="L42" s="1655" t="s">
        <v>814</v>
      </c>
      <c r="M42" s="1656"/>
      <c r="N42" s="1656"/>
      <c r="O42" s="1656"/>
      <c r="P42" s="1656">
        <v>5.03</v>
      </c>
      <c r="Q42" s="1655" t="s">
        <v>1325</v>
      </c>
      <c r="R42" s="1656"/>
      <c r="S42" s="1656"/>
      <c r="T42" s="1656"/>
      <c r="U42" s="1698">
        <v>7.1</v>
      </c>
      <c r="V42" s="1588"/>
      <c r="W42" s="1588"/>
      <c r="X42" s="1588"/>
      <c r="Y42" s="1588"/>
      <c r="Z42" s="1588"/>
      <c r="AA42" s="1588"/>
    </row>
    <row r="43" spans="2:27" s="1587" customFormat="1" ht="15" customHeight="1">
      <c r="B43" s="1690" t="s">
        <v>1340</v>
      </c>
      <c r="C43" s="1635" t="s">
        <v>928</v>
      </c>
      <c r="D43" s="1663"/>
      <c r="E43" s="1641">
        <f t="shared" si="4"/>
        <v>0</v>
      </c>
      <c r="F43" s="1705"/>
      <c r="G43" s="1621">
        <f>IF(F43="",0,VLOOKUP(F43,$Q$51:$U$57,5,FALSE))</f>
        <v>0</v>
      </c>
      <c r="H43" s="1625">
        <f t="shared" si="5"/>
        <v>0</v>
      </c>
      <c r="I43" s="1622">
        <f t="shared" si="3"/>
        <v>0</v>
      </c>
      <c r="J43" s="1643"/>
      <c r="K43" s="1643"/>
      <c r="L43" s="1616" t="s">
        <v>1277</v>
      </c>
      <c r="M43" s="1654"/>
      <c r="N43" s="1654"/>
      <c r="O43" s="1654"/>
      <c r="P43" s="1654">
        <v>8.39</v>
      </c>
      <c r="Q43" s="1616" t="s">
        <v>1326</v>
      </c>
      <c r="R43" s="1654"/>
      <c r="S43" s="1654"/>
      <c r="T43" s="1654"/>
      <c r="U43" s="1699">
        <v>4.3600000000000003</v>
      </c>
      <c r="V43" s="1588"/>
      <c r="W43" s="1588"/>
      <c r="X43" s="1588"/>
      <c r="Y43" s="1588"/>
      <c r="Z43" s="1588"/>
      <c r="AA43" s="1588"/>
    </row>
    <row r="44" spans="2:27" s="1587" customFormat="1" ht="15" customHeight="1">
      <c r="B44" s="1691" t="s">
        <v>332</v>
      </c>
      <c r="C44" s="1692" t="s">
        <v>1323</v>
      </c>
      <c r="D44" s="1693"/>
      <c r="E44" s="1694">
        <f t="shared" si="4"/>
        <v>0</v>
      </c>
      <c r="F44" s="1706"/>
      <c r="G44" s="1697">
        <f>IF(F44="",0,VLOOKUP(F44,Q58:U61,5,FALSE))</f>
        <v>0</v>
      </c>
      <c r="H44" s="1695">
        <f t="shared" si="5"/>
        <v>0</v>
      </c>
      <c r="I44" s="1696">
        <f t="shared" si="3"/>
        <v>0</v>
      </c>
      <c r="J44" s="1643"/>
      <c r="K44" s="1643"/>
      <c r="L44" s="1616" t="s">
        <v>815</v>
      </c>
      <c r="M44" s="1654"/>
      <c r="N44" s="1654"/>
      <c r="O44" s="1654"/>
      <c r="P44" s="1654">
        <v>16.7</v>
      </c>
      <c r="Q44" s="1616" t="s">
        <v>1327</v>
      </c>
      <c r="R44" s="1654"/>
      <c r="S44" s="1654"/>
      <c r="T44" s="1654"/>
      <c r="U44" s="1699">
        <v>1.97</v>
      </c>
      <c r="V44" s="1588"/>
      <c r="W44" s="1588"/>
      <c r="X44" s="1588"/>
      <c r="Y44" s="1588"/>
      <c r="Z44" s="1588"/>
      <c r="AA44" s="1588"/>
    </row>
    <row r="45" spans="2:27" s="1587" customFormat="1" ht="15" customHeight="1">
      <c r="B45" s="1691" t="s">
        <v>1358</v>
      </c>
      <c r="C45" s="1692" t="s">
        <v>978</v>
      </c>
      <c r="D45" s="1693"/>
      <c r="E45" s="1694">
        <f t="shared" si="4"/>
        <v>0</v>
      </c>
      <c r="F45" s="1706"/>
      <c r="G45" s="1697">
        <f>IF(F45="",0,VLOOKUP(F45,Q62:U78,5,FALSE))</f>
        <v>0</v>
      </c>
      <c r="H45" s="1695">
        <f>E45*G45</f>
        <v>0</v>
      </c>
      <c r="I45" s="1696">
        <f t="shared" si="3"/>
        <v>0</v>
      </c>
      <c r="J45" s="1643"/>
      <c r="K45" s="1643"/>
      <c r="L45" s="1655" t="s">
        <v>822</v>
      </c>
      <c r="M45" s="1656"/>
      <c r="N45" s="1656"/>
      <c r="O45" s="1656"/>
      <c r="P45" s="1656">
        <v>0.44</v>
      </c>
      <c r="Q45" s="1616" t="s">
        <v>1328</v>
      </c>
      <c r="R45" s="1654"/>
      <c r="S45" s="1654"/>
      <c r="T45" s="1654"/>
      <c r="U45" s="1699">
        <v>6.65</v>
      </c>
      <c r="V45" s="1588"/>
      <c r="W45" s="1588"/>
      <c r="X45" s="1588"/>
      <c r="Y45" s="1588"/>
      <c r="Z45" s="1588"/>
      <c r="AA45" s="1588"/>
    </row>
    <row r="46" spans="2:27" s="1587" customFormat="1" ht="15" customHeight="1">
      <c r="B46" s="1691" t="s">
        <v>936</v>
      </c>
      <c r="C46" s="1692" t="s">
        <v>937</v>
      </c>
      <c r="D46" s="1693"/>
      <c r="E46" s="1694">
        <f t="shared" si="4"/>
        <v>0</v>
      </c>
      <c r="F46" s="1706"/>
      <c r="G46" s="1697">
        <f>IF(F46="",0,VLOOKUP(F46,L64:P67,5,FALSE))</f>
        <v>0</v>
      </c>
      <c r="H46" s="1695">
        <f>E46*G46</f>
        <v>0</v>
      </c>
      <c r="I46" s="1696">
        <f t="shared" si="3"/>
        <v>0</v>
      </c>
      <c r="J46" s="1643"/>
      <c r="K46" s="1643"/>
      <c r="L46" s="1616" t="s">
        <v>823</v>
      </c>
      <c r="M46" s="1654"/>
      <c r="N46" s="1654"/>
      <c r="O46" s="1654"/>
      <c r="P46" s="1654">
        <v>1.32</v>
      </c>
      <c r="Q46" s="1616" t="s">
        <v>1329</v>
      </c>
      <c r="R46" s="1654"/>
      <c r="S46" s="1654"/>
      <c r="T46" s="1654"/>
      <c r="U46" s="1699">
        <v>8.44</v>
      </c>
      <c r="V46" s="1588"/>
      <c r="W46" s="1588"/>
      <c r="X46" s="1588"/>
      <c r="Y46" s="1588"/>
      <c r="Z46" s="1588"/>
      <c r="AA46" s="1588"/>
    </row>
    <row r="47" spans="2:27" s="1587" customFormat="1" ht="15" customHeight="1">
      <c r="B47" s="1678"/>
      <c r="C47" s="1686"/>
      <c r="D47" s="1662"/>
      <c r="E47" s="1638">
        <f t="shared" si="4"/>
        <v>0</v>
      </c>
      <c r="F47" s="1682"/>
      <c r="G47" s="1674"/>
      <c r="H47" s="1624">
        <f t="shared" si="5"/>
        <v>0</v>
      </c>
      <c r="I47" s="1620">
        <f t="shared" si="3"/>
        <v>0</v>
      </c>
      <c r="J47" s="1643"/>
      <c r="K47" s="1643"/>
      <c r="L47" s="1659" t="s">
        <v>824</v>
      </c>
      <c r="M47" s="1660"/>
      <c r="N47" s="1660"/>
      <c r="O47" s="1660"/>
      <c r="P47" s="1660">
        <v>2.2000000000000002</v>
      </c>
      <c r="Q47" s="1616" t="s">
        <v>1330</v>
      </c>
      <c r="R47" s="1654"/>
      <c r="S47" s="1654"/>
      <c r="T47" s="1654"/>
      <c r="U47" s="1699">
        <v>9.6999999999999993</v>
      </c>
      <c r="V47" s="1588"/>
      <c r="W47" s="1588"/>
      <c r="X47" s="1588"/>
      <c r="Y47" s="1588"/>
      <c r="Z47" s="1588"/>
      <c r="AA47" s="1588"/>
    </row>
    <row r="48" spans="2:27" s="1587" customFormat="1" ht="15" customHeight="1">
      <c r="B48" s="1678"/>
      <c r="C48" s="1686"/>
      <c r="D48" s="1662"/>
      <c r="E48" s="1639">
        <f t="shared" si="4"/>
        <v>0</v>
      </c>
      <c r="F48" s="1682"/>
      <c r="G48" s="1674"/>
      <c r="H48" s="1624">
        <f t="shared" si="5"/>
        <v>0</v>
      </c>
      <c r="I48" s="1620">
        <f t="shared" si="3"/>
        <v>0</v>
      </c>
      <c r="J48" s="1643"/>
      <c r="K48" s="1643"/>
      <c r="L48" s="1616"/>
      <c r="M48" s="1654"/>
      <c r="N48" s="1654"/>
      <c r="O48" s="1654"/>
      <c r="P48" s="1654"/>
      <c r="Q48" s="1616"/>
      <c r="R48" s="1654"/>
      <c r="S48" s="1654"/>
      <c r="T48" s="1654"/>
      <c r="U48" s="1699"/>
      <c r="V48" s="1588"/>
      <c r="W48" s="1588"/>
      <c r="X48" s="1588"/>
      <c r="Y48" s="1588"/>
      <c r="Z48" s="1588"/>
      <c r="AA48" s="1588"/>
    </row>
    <row r="49" spans="2:43" s="1587" customFormat="1" ht="15" customHeight="1">
      <c r="B49" s="1685"/>
      <c r="C49" s="1635"/>
      <c r="D49" s="1662"/>
      <c r="E49" s="1641">
        <f t="shared" si="4"/>
        <v>0</v>
      </c>
      <c r="F49" s="1687"/>
      <c r="G49" s="1663"/>
      <c r="H49" s="1624">
        <f t="shared" si="5"/>
        <v>0</v>
      </c>
      <c r="I49" s="1620">
        <f t="shared" si="3"/>
        <v>0</v>
      </c>
      <c r="J49" s="1643"/>
      <c r="K49" s="1643"/>
      <c r="L49" s="1655" t="s">
        <v>825</v>
      </c>
      <c r="M49" s="1656"/>
      <c r="N49" s="1656"/>
      <c r="O49" s="1656"/>
      <c r="P49" s="1656">
        <v>3.43</v>
      </c>
      <c r="Q49" s="1655" t="s">
        <v>1331</v>
      </c>
      <c r="R49" s="1656"/>
      <c r="S49" s="1656"/>
      <c r="T49" s="1656"/>
      <c r="U49" s="1698">
        <v>3.42</v>
      </c>
      <c r="V49" s="1588"/>
      <c r="W49" s="1588"/>
      <c r="X49" s="1588"/>
      <c r="Y49" s="1588"/>
      <c r="Z49" s="1588"/>
      <c r="AA49" s="1588"/>
    </row>
    <row r="50" spans="2:43" s="1587" customFormat="1" ht="15" customHeight="1">
      <c r="B50" s="1684"/>
      <c r="C50" s="2540" t="s">
        <v>820</v>
      </c>
      <c r="D50" s="2541"/>
      <c r="E50" s="2541"/>
      <c r="F50" s="1670" t="s">
        <v>819</v>
      </c>
      <c r="G50" s="1671"/>
      <c r="H50" s="1671"/>
      <c r="I50" s="1672"/>
      <c r="J50" s="1643"/>
      <c r="K50" s="1643"/>
      <c r="L50" s="1616" t="s">
        <v>826</v>
      </c>
      <c r="M50" s="1654"/>
      <c r="N50" s="1654"/>
      <c r="O50" s="1654"/>
      <c r="P50" s="1658">
        <v>10.28</v>
      </c>
      <c r="Q50" s="1616" t="s">
        <v>1332</v>
      </c>
      <c r="R50" s="1654"/>
      <c r="S50" s="1654"/>
      <c r="T50" s="1654"/>
      <c r="U50" s="1699">
        <v>8.5399999999999991</v>
      </c>
      <c r="V50" s="1588"/>
      <c r="W50" s="1588"/>
      <c r="X50" s="1588"/>
      <c r="Y50" s="1588"/>
      <c r="Z50" s="1588"/>
      <c r="AA50" s="1588"/>
    </row>
    <row r="51" spans="2:43" s="1587" customFormat="1" ht="15" customHeight="1">
      <c r="B51" s="1615" t="s">
        <v>333</v>
      </c>
      <c r="C51" s="1664" t="s">
        <v>475</v>
      </c>
      <c r="D51" s="1632">
        <f>EBF</f>
        <v>0</v>
      </c>
      <c r="E51" s="1666" t="s">
        <v>469</v>
      </c>
      <c r="F51" s="1707" t="s">
        <v>1277</v>
      </c>
      <c r="G51" s="1667">
        <f>IF(F51="",0,VLOOKUP(F51,L42:P44,5,FALSE))</f>
        <v>8.39</v>
      </c>
      <c r="H51" s="1668">
        <f>D51*G51</f>
        <v>0</v>
      </c>
      <c r="I51" s="1669">
        <f t="shared" ref="I51:I60" si="6">IF($H$63&gt;0,H51/$H$63,)</f>
        <v>0</v>
      </c>
      <c r="J51" s="1643"/>
      <c r="K51" s="1643"/>
      <c r="L51" s="1616" t="s">
        <v>827</v>
      </c>
      <c r="M51" s="1654"/>
      <c r="N51" s="1654"/>
      <c r="O51" s="1654"/>
      <c r="P51" s="1654">
        <v>17.14</v>
      </c>
      <c r="Q51" s="1655" t="s">
        <v>1341</v>
      </c>
      <c r="R51" s="1656"/>
      <c r="S51" s="1656"/>
      <c r="T51" s="1656"/>
      <c r="U51" s="1698">
        <v>11.03</v>
      </c>
      <c r="V51" s="1588"/>
      <c r="W51" s="1588"/>
      <c r="X51" s="1588"/>
      <c r="Y51" s="1588"/>
      <c r="Z51" s="1588"/>
      <c r="AA51" s="1588"/>
    </row>
    <row r="52" spans="2:43" s="1587" customFormat="1" ht="15" customHeight="1">
      <c r="B52" s="1615" t="s">
        <v>333</v>
      </c>
      <c r="C52" s="1673" t="s">
        <v>817</v>
      </c>
      <c r="D52" s="1674"/>
      <c r="E52" s="1675" t="s">
        <v>816</v>
      </c>
      <c r="F52" s="1628" t="s">
        <v>818</v>
      </c>
      <c r="G52" s="1619">
        <v>992.37</v>
      </c>
      <c r="H52" s="1624">
        <f>D52*G52</f>
        <v>0</v>
      </c>
      <c r="I52" s="1620">
        <f t="shared" si="6"/>
        <v>0</v>
      </c>
      <c r="J52" s="1643"/>
      <c r="K52" s="1643"/>
      <c r="L52" s="1655" t="s">
        <v>828</v>
      </c>
      <c r="M52" s="1656"/>
      <c r="N52" s="1656"/>
      <c r="O52" s="1656"/>
      <c r="P52" s="1656">
        <v>280.74</v>
      </c>
      <c r="Q52" s="1616" t="s">
        <v>1342</v>
      </c>
      <c r="R52" s="1654"/>
      <c r="S52" s="1654"/>
      <c r="T52" s="1654"/>
      <c r="U52" s="1699">
        <v>11.7</v>
      </c>
      <c r="V52" s="1588"/>
      <c r="W52" s="1588"/>
      <c r="X52" s="1588"/>
      <c r="Y52" s="1588"/>
      <c r="Z52" s="1588"/>
      <c r="AA52" s="1588"/>
    </row>
    <row r="53" spans="2:43" s="1587" customFormat="1" ht="15" customHeight="1">
      <c r="B53" s="1615" t="s">
        <v>821</v>
      </c>
      <c r="C53" s="1665" t="s">
        <v>485</v>
      </c>
      <c r="D53" s="1634">
        <f>EBF</f>
        <v>0</v>
      </c>
      <c r="E53" s="1666" t="s">
        <v>469</v>
      </c>
      <c r="F53" s="1707" t="s">
        <v>823</v>
      </c>
      <c r="G53" s="1619">
        <f>IF(F53="",0,VLOOKUP(F53,L45:P47,5,FALSE))</f>
        <v>1.32</v>
      </c>
      <c r="H53" s="1624">
        <f>D53*G53</f>
        <v>0</v>
      </c>
      <c r="I53" s="1620">
        <f t="shared" si="6"/>
        <v>0</v>
      </c>
      <c r="J53" s="1643"/>
      <c r="K53" s="1643"/>
      <c r="L53" s="1616" t="s">
        <v>829</v>
      </c>
      <c r="M53" s="1654"/>
      <c r="N53" s="1654"/>
      <c r="O53" s="1654"/>
      <c r="P53" s="1654">
        <v>185.4</v>
      </c>
      <c r="Q53" s="1616" t="s">
        <v>1343</v>
      </c>
      <c r="R53" s="1654"/>
      <c r="S53" s="1654"/>
      <c r="T53" s="1654"/>
      <c r="U53" s="1699">
        <v>14.41</v>
      </c>
      <c r="V53" s="1588"/>
      <c r="W53" s="1588"/>
      <c r="X53" s="1588"/>
      <c r="Y53" s="1588"/>
      <c r="Z53" s="1588"/>
      <c r="AA53" s="1588"/>
    </row>
    <row r="54" spans="2:43" s="1587" customFormat="1" ht="15" customHeight="1">
      <c r="B54" s="1615" t="s">
        <v>821</v>
      </c>
      <c r="C54" s="1665" t="s">
        <v>474</v>
      </c>
      <c r="D54" s="1634">
        <f>EBF</f>
        <v>0</v>
      </c>
      <c r="E54" s="1666" t="s">
        <v>469</v>
      </c>
      <c r="F54" s="1707"/>
      <c r="G54" s="1619">
        <f>IF(F54="",0,VLOOKUP(F54,L49:P51,5,FALSE))</f>
        <v>0</v>
      </c>
      <c r="H54" s="1624">
        <f t="shared" ref="H54:H62" si="7">D54*G54</f>
        <v>0</v>
      </c>
      <c r="I54" s="1620">
        <f t="shared" si="6"/>
        <v>0</v>
      </c>
      <c r="J54" s="1643"/>
      <c r="K54" s="1643"/>
      <c r="L54" s="1616" t="s">
        <v>830</v>
      </c>
      <c r="M54" s="1654"/>
      <c r="N54" s="1654"/>
      <c r="O54" s="1654"/>
      <c r="P54" s="1660">
        <v>144.1</v>
      </c>
      <c r="Q54" s="1616" t="s">
        <v>1346</v>
      </c>
      <c r="R54" s="1654"/>
      <c r="S54" s="1654"/>
      <c r="T54" s="1654"/>
      <c r="U54" s="1699">
        <v>6.85</v>
      </c>
      <c r="V54" s="1588"/>
      <c r="W54" s="1588"/>
      <c r="X54" s="1588"/>
      <c r="Y54" s="1588"/>
      <c r="Z54" s="1588"/>
      <c r="AA54" s="1588"/>
    </row>
    <row r="55" spans="2:43" s="1587" customFormat="1" ht="15" customHeight="1">
      <c r="B55" s="1615" t="s">
        <v>821</v>
      </c>
      <c r="C55" s="1665" t="s">
        <v>831</v>
      </c>
      <c r="D55" s="1674"/>
      <c r="E55" s="1666" t="s">
        <v>473</v>
      </c>
      <c r="F55" s="1707"/>
      <c r="G55" s="1619">
        <f>IF(F55="",0,VLOOKUP(F55,L52:P54,5,FALSE))</f>
        <v>0</v>
      </c>
      <c r="H55" s="1624">
        <f t="shared" si="7"/>
        <v>0</v>
      </c>
      <c r="I55" s="1620">
        <f t="shared" si="6"/>
        <v>0</v>
      </c>
      <c r="J55" s="1643"/>
      <c r="K55" s="1588"/>
      <c r="L55" s="1655" t="s">
        <v>832</v>
      </c>
      <c r="M55" s="1676"/>
      <c r="N55" s="1676"/>
      <c r="O55" s="1676"/>
      <c r="P55" s="1656">
        <v>4.25</v>
      </c>
      <c r="Q55" s="1616" t="s">
        <v>1347</v>
      </c>
      <c r="R55" s="1654"/>
      <c r="S55" s="1654"/>
      <c r="T55" s="1654"/>
      <c r="U55" s="1699">
        <v>5.55</v>
      </c>
      <c r="V55" s="1588"/>
      <c r="W55" s="1588"/>
      <c r="X55" s="1588"/>
      <c r="Y55" s="1588"/>
      <c r="Z55" s="1588"/>
      <c r="AA55" s="1588"/>
    </row>
    <row r="56" spans="2:43" s="1587" customFormat="1" ht="15" customHeight="1">
      <c r="B56" s="1615" t="s">
        <v>1324</v>
      </c>
      <c r="C56" s="1665" t="s">
        <v>470</v>
      </c>
      <c r="D56" s="1634">
        <f>EBF</f>
        <v>0</v>
      </c>
      <c r="E56" s="1666" t="s">
        <v>469</v>
      </c>
      <c r="F56" s="1707" t="s">
        <v>832</v>
      </c>
      <c r="G56" s="1619">
        <f>IF(F56="",0,VLOOKUP(F56,L55:P59,5,FALSE))</f>
        <v>4.25</v>
      </c>
      <c r="H56" s="1624">
        <f t="shared" si="7"/>
        <v>0</v>
      </c>
      <c r="I56" s="1620">
        <f t="shared" si="6"/>
        <v>0</v>
      </c>
      <c r="J56" s="1588"/>
      <c r="K56" s="1588"/>
      <c r="L56" s="1616" t="s">
        <v>833</v>
      </c>
      <c r="M56" s="1654"/>
      <c r="N56" s="1654"/>
      <c r="O56" s="1654"/>
      <c r="P56" s="1654">
        <v>1</v>
      </c>
      <c r="Q56" s="1616" t="s">
        <v>1344</v>
      </c>
      <c r="R56" s="1654"/>
      <c r="S56" s="1654"/>
      <c r="T56" s="1654"/>
      <c r="U56" s="1699">
        <v>14.31</v>
      </c>
      <c r="V56" s="1588"/>
      <c r="W56" s="1588"/>
      <c r="X56" s="1588"/>
      <c r="Y56" s="1588"/>
      <c r="Z56" s="1588"/>
      <c r="AA56" s="1588"/>
    </row>
    <row r="57" spans="2:43" s="1587" customFormat="1" ht="15" customHeight="1">
      <c r="B57" s="1615" t="s">
        <v>334</v>
      </c>
      <c r="C57" s="1665" t="s">
        <v>471</v>
      </c>
      <c r="D57" s="1634">
        <f>EBF</f>
        <v>0</v>
      </c>
      <c r="E57" s="1666" t="s">
        <v>469</v>
      </c>
      <c r="F57" s="1707"/>
      <c r="G57" s="1619">
        <f>IF(F57="",0,VLOOKUP(F57,Q42:U47,5,FALSE))</f>
        <v>0</v>
      </c>
      <c r="H57" s="1624">
        <f t="shared" si="7"/>
        <v>0</v>
      </c>
      <c r="I57" s="1620">
        <f t="shared" si="6"/>
        <v>0</v>
      </c>
      <c r="J57" s="1588"/>
      <c r="K57" s="1588"/>
      <c r="L57" s="1616" t="s">
        <v>834</v>
      </c>
      <c r="M57" s="1654"/>
      <c r="N57" s="1654"/>
      <c r="O57" s="1654"/>
      <c r="P57" s="1654">
        <v>3.03</v>
      </c>
      <c r="Q57" s="1616" t="s">
        <v>1345</v>
      </c>
      <c r="R57" s="1654"/>
      <c r="S57" s="1654"/>
      <c r="T57" s="1654"/>
      <c r="U57" s="1699">
        <v>11.71</v>
      </c>
      <c r="V57" s="1588"/>
      <c r="W57" s="1588"/>
      <c r="X57" s="1588"/>
      <c r="Y57" s="1588"/>
      <c r="Z57" s="1588"/>
      <c r="AA57" s="1588"/>
    </row>
    <row r="58" spans="2:43" s="1587" customFormat="1" ht="15" customHeight="1">
      <c r="B58" s="1615" t="s">
        <v>334</v>
      </c>
      <c r="C58" s="1665" t="s">
        <v>472</v>
      </c>
      <c r="D58" s="1634">
        <f>EBF</f>
        <v>0</v>
      </c>
      <c r="E58" s="1666" t="s">
        <v>469</v>
      </c>
      <c r="F58" s="1707"/>
      <c r="G58" s="1619">
        <f>IF(F58="",0,VLOOKUP(F58,Q49:U50,5,FALSE))</f>
        <v>0</v>
      </c>
      <c r="H58" s="1624">
        <f t="shared" si="7"/>
        <v>0</v>
      </c>
      <c r="I58" s="1620">
        <f t="shared" si="6"/>
        <v>0</v>
      </c>
      <c r="J58" s="1588"/>
      <c r="K58" s="1588"/>
      <c r="L58" s="1616" t="s">
        <v>835</v>
      </c>
      <c r="M58" s="1654"/>
      <c r="N58" s="1654"/>
      <c r="O58" s="1654"/>
      <c r="P58" s="1654">
        <v>4.96</v>
      </c>
      <c r="Q58" s="1655" t="s">
        <v>1348</v>
      </c>
      <c r="R58" s="1656"/>
      <c r="S58" s="1656"/>
      <c r="T58" s="1656"/>
      <c r="U58" s="1698">
        <v>35.229999999999997</v>
      </c>
      <c r="V58" s="1588"/>
      <c r="W58" s="1588"/>
      <c r="X58" s="1588"/>
      <c r="Y58" s="1588"/>
      <c r="Z58" s="1588"/>
      <c r="AA58" s="1588"/>
    </row>
    <row r="59" spans="2:43" s="1587" customFormat="1" ht="15" customHeight="1">
      <c r="B59" s="1615" t="s">
        <v>335</v>
      </c>
      <c r="C59" s="1665" t="s">
        <v>476</v>
      </c>
      <c r="D59" s="1634">
        <f>EBF</f>
        <v>0</v>
      </c>
      <c r="E59" s="1666" t="s">
        <v>469</v>
      </c>
      <c r="F59" s="1707" t="s">
        <v>1333</v>
      </c>
      <c r="G59" s="1619">
        <f>IF(F59="",0,VLOOKUP(F59,L60:P61,5,FALSE))</f>
        <v>3.42</v>
      </c>
      <c r="H59" s="1624">
        <f t="shared" si="7"/>
        <v>0</v>
      </c>
      <c r="I59" s="1620">
        <f t="shared" si="6"/>
        <v>0</v>
      </c>
      <c r="J59" s="1588"/>
      <c r="K59" s="1588"/>
      <c r="L59" s="1659" t="s">
        <v>836</v>
      </c>
      <c r="M59" s="1660"/>
      <c r="N59" s="1660"/>
      <c r="O59" s="1660"/>
      <c r="P59" s="1660">
        <v>6.89</v>
      </c>
      <c r="Q59" s="1616" t="s">
        <v>1349</v>
      </c>
      <c r="R59" s="1654"/>
      <c r="S59" s="1654"/>
      <c r="T59" s="1654"/>
      <c r="U59" s="1699">
        <v>29.71</v>
      </c>
      <c r="V59" s="1588"/>
      <c r="W59" s="1588"/>
      <c r="X59" s="1588"/>
      <c r="Y59" s="1588"/>
      <c r="Z59" s="1588"/>
      <c r="AA59" s="1588"/>
    </row>
    <row r="60" spans="2:43" s="1587" customFormat="1" ht="15" customHeight="1">
      <c r="B60" s="1678"/>
      <c r="C60" s="1677"/>
      <c r="D60" s="1674"/>
      <c r="E60" s="1683"/>
      <c r="F60" s="1682"/>
      <c r="G60" s="1674"/>
      <c r="H60" s="1624">
        <f t="shared" si="7"/>
        <v>0</v>
      </c>
      <c r="I60" s="1620">
        <f t="shared" si="6"/>
        <v>0</v>
      </c>
      <c r="L60" s="1655" t="s">
        <v>1333</v>
      </c>
      <c r="M60" s="1656"/>
      <c r="N60" s="1656"/>
      <c r="O60" s="1656"/>
      <c r="P60" s="1656">
        <v>3.42</v>
      </c>
      <c r="Q60" s="1616" t="s">
        <v>1350</v>
      </c>
      <c r="R60" s="1654"/>
      <c r="S60" s="1654"/>
      <c r="T60" s="1654"/>
      <c r="U60" s="1699">
        <v>24.2</v>
      </c>
      <c r="V60" s="1588"/>
      <c r="W60" s="1588"/>
      <c r="X60" s="1588"/>
      <c r="Y60" s="1588"/>
      <c r="Z60" s="1588"/>
      <c r="AA60" s="1588"/>
    </row>
    <row r="61" spans="2:43" s="1587" customFormat="1" ht="15" customHeight="1">
      <c r="B61" s="1681"/>
      <c r="C61" s="2540" t="s">
        <v>820</v>
      </c>
      <c r="D61" s="2541"/>
      <c r="E61" s="2541"/>
      <c r="F61" s="1670" t="s">
        <v>1337</v>
      </c>
      <c r="G61" s="1671"/>
      <c r="H61" s="1671"/>
      <c r="I61" s="1672"/>
      <c r="J61" s="174"/>
      <c r="K61" s="174"/>
      <c r="L61" s="1616" t="s">
        <v>1334</v>
      </c>
      <c r="M61" s="1654"/>
      <c r="N61" s="1654"/>
      <c r="O61" s="1654"/>
      <c r="P61" s="1654">
        <v>8.5399999999999991</v>
      </c>
      <c r="Q61" s="1616" t="s">
        <v>1351</v>
      </c>
      <c r="R61" s="1654"/>
      <c r="S61" s="1654"/>
      <c r="T61" s="1654"/>
      <c r="U61" s="1699">
        <v>31.28</v>
      </c>
      <c r="V61" s="174"/>
      <c r="W61" s="174"/>
      <c r="X61" s="174"/>
      <c r="Y61" s="174"/>
      <c r="Z61" s="174"/>
      <c r="AA61" s="174"/>
      <c r="AB61" s="174"/>
      <c r="AC61" s="174"/>
      <c r="AD61" s="174"/>
      <c r="AE61" s="174"/>
      <c r="AF61" s="174"/>
      <c r="AG61" s="174"/>
      <c r="AH61" s="174"/>
      <c r="AI61" s="1588"/>
      <c r="AJ61" s="1588"/>
      <c r="AK61" s="1588"/>
      <c r="AL61" s="1588"/>
      <c r="AM61" s="1588"/>
      <c r="AN61" s="1588"/>
      <c r="AO61" s="1588"/>
      <c r="AP61" s="1588"/>
      <c r="AQ61" s="1588"/>
    </row>
    <row r="62" spans="2:43" s="1587" customFormat="1" ht="15" customHeight="1">
      <c r="B62" s="1680" t="s">
        <v>1276</v>
      </c>
      <c r="C62" s="1640" t="s">
        <v>2028</v>
      </c>
      <c r="D62" s="1663"/>
      <c r="E62" s="1642" t="s">
        <v>1338</v>
      </c>
      <c r="F62" s="1707" t="s">
        <v>1335</v>
      </c>
      <c r="G62" s="1619">
        <f>IF(F62="",0,VLOOKUP(F62,L62:P63,5,FALSE))</f>
        <v>2.39</v>
      </c>
      <c r="H62" s="1624">
        <f t="shared" si="7"/>
        <v>0</v>
      </c>
      <c r="I62" s="1620">
        <f>IF($H$63&gt;0,H62/$H$63,)</f>
        <v>0</v>
      </c>
      <c r="J62" s="174"/>
      <c r="K62" s="174"/>
      <c r="L62" s="1655" t="s">
        <v>1335</v>
      </c>
      <c r="M62" s="1656"/>
      <c r="N62" s="1656"/>
      <c r="O62" s="1656"/>
      <c r="P62" s="1657">
        <v>2.39</v>
      </c>
      <c r="Q62" s="1655" t="s">
        <v>1352</v>
      </c>
      <c r="R62" s="1656"/>
      <c r="S62" s="1656"/>
      <c r="T62" s="1656"/>
      <c r="U62" s="1698">
        <v>19.97</v>
      </c>
      <c r="V62" s="174"/>
      <c r="W62" s="174"/>
      <c r="X62" s="174"/>
      <c r="Y62" s="174"/>
      <c r="Z62" s="174"/>
      <c r="AA62" s="174"/>
      <c r="AB62" s="174"/>
      <c r="AC62" s="174"/>
      <c r="AD62" s="174"/>
      <c r="AE62" s="174"/>
      <c r="AF62" s="174"/>
      <c r="AG62" s="174"/>
      <c r="AH62" s="174"/>
      <c r="AI62" s="1588"/>
      <c r="AJ62" s="1588"/>
      <c r="AK62" s="1588"/>
      <c r="AL62" s="1588"/>
      <c r="AM62" s="1588"/>
      <c r="AN62" s="1588"/>
      <c r="AO62" s="1588"/>
      <c r="AP62" s="1588"/>
      <c r="AQ62" s="1588"/>
    </row>
    <row r="63" spans="2:43" s="1587" customFormat="1" ht="15" customHeight="1">
      <c r="F63" s="1611" t="s">
        <v>1274</v>
      </c>
      <c r="G63" s="1612"/>
      <c r="H63" s="1627">
        <f>SUM(H10:H62)</f>
        <v>0</v>
      </c>
      <c r="I63" s="1626">
        <f>SUM(I10:I62)</f>
        <v>0</v>
      </c>
      <c r="J63" s="174"/>
      <c r="K63" s="174"/>
      <c r="L63" s="1616" t="s">
        <v>1336</v>
      </c>
      <c r="M63" s="1654"/>
      <c r="N63" s="1654"/>
      <c r="O63" s="1654"/>
      <c r="P63" s="1658">
        <v>7.18</v>
      </c>
      <c r="Q63" s="1616" t="s">
        <v>1353</v>
      </c>
      <c r="R63" s="1654"/>
      <c r="S63" s="1654"/>
      <c r="T63" s="1654"/>
      <c r="U63" s="1699">
        <v>20.94</v>
      </c>
      <c r="V63" s="174"/>
      <c r="W63" s="174"/>
      <c r="X63" s="174"/>
      <c r="Y63" s="174"/>
      <c r="Z63" s="174"/>
      <c r="AA63" s="174"/>
      <c r="AB63" s="174"/>
      <c r="AC63" s="174"/>
      <c r="AD63" s="174"/>
      <c r="AE63" s="174"/>
      <c r="AF63" s="174"/>
      <c r="AG63" s="174"/>
      <c r="AH63" s="174"/>
      <c r="AI63" s="1588"/>
      <c r="AJ63" s="1588"/>
      <c r="AK63" s="1588"/>
      <c r="AL63" s="1588"/>
      <c r="AM63" s="1588"/>
      <c r="AN63" s="1588"/>
      <c r="AO63" s="1588"/>
      <c r="AP63" s="1588"/>
      <c r="AQ63" s="1588"/>
    </row>
    <row r="64" spans="2:43" s="1587" customFormat="1" ht="6.6" customHeight="1">
      <c r="J64" s="174"/>
      <c r="K64" s="174"/>
      <c r="L64" s="1655" t="s">
        <v>933</v>
      </c>
      <c r="M64" s="1676"/>
      <c r="N64" s="1676"/>
      <c r="O64" s="1676"/>
      <c r="P64" s="1657">
        <v>16.34</v>
      </c>
      <c r="Q64" s="481" t="s">
        <v>1354</v>
      </c>
      <c r="R64" s="199"/>
      <c r="S64" s="199"/>
      <c r="T64" s="199"/>
      <c r="U64" s="1700">
        <v>21.91</v>
      </c>
      <c r="V64" s="174"/>
      <c r="W64" s="174"/>
      <c r="X64" s="174"/>
      <c r="Y64" s="174"/>
      <c r="Z64" s="174"/>
      <c r="AA64" s="174"/>
      <c r="AB64" s="174"/>
      <c r="AC64" s="174"/>
      <c r="AD64" s="174"/>
      <c r="AE64" s="174"/>
      <c r="AF64" s="174"/>
      <c r="AG64" s="174"/>
      <c r="AH64" s="174"/>
      <c r="AI64" s="1588"/>
      <c r="AJ64" s="1588"/>
      <c r="AK64" s="1588"/>
      <c r="AL64" s="1588"/>
      <c r="AM64" s="1588"/>
      <c r="AN64" s="1588"/>
      <c r="AO64" s="1588"/>
      <c r="AP64" s="1588"/>
      <c r="AQ64" s="1588"/>
    </row>
    <row r="65" spans="2:43" s="1587" customFormat="1" ht="15" customHeight="1" thickBot="1">
      <c r="B65" s="2542" t="s">
        <v>1339</v>
      </c>
      <c r="C65" s="2542"/>
      <c r="D65" s="2542"/>
      <c r="E65" s="2543"/>
      <c r="F65" s="2537" t="s">
        <v>1278</v>
      </c>
      <c r="G65" s="2538"/>
      <c r="H65" s="1630">
        <f>IF(EBF&gt;0,H63/EBF,)</f>
        <v>0</v>
      </c>
      <c r="I65" s="1629" t="s">
        <v>1270</v>
      </c>
      <c r="J65" s="174"/>
      <c r="K65" s="174"/>
      <c r="L65" s="1616" t="s">
        <v>934</v>
      </c>
      <c r="M65" s="1654"/>
      <c r="N65" s="1654"/>
      <c r="O65" s="1654"/>
      <c r="P65" s="1658">
        <v>17.66</v>
      </c>
      <c r="Q65" s="481" t="s">
        <v>1355</v>
      </c>
      <c r="R65" s="199"/>
      <c r="S65" s="199"/>
      <c r="T65" s="199"/>
      <c r="U65" s="1700">
        <v>23.85</v>
      </c>
      <c r="V65" s="174"/>
      <c r="W65" s="174"/>
      <c r="X65" s="174"/>
      <c r="Y65" s="174"/>
      <c r="Z65" s="174"/>
      <c r="AA65" s="174"/>
      <c r="AB65" s="174"/>
      <c r="AC65" s="174"/>
      <c r="AD65" s="174"/>
      <c r="AE65" s="174"/>
      <c r="AF65" s="174"/>
      <c r="AG65" s="174"/>
      <c r="AH65" s="174"/>
      <c r="AI65" s="1588"/>
      <c r="AJ65" s="1588"/>
      <c r="AK65" s="1588"/>
      <c r="AL65" s="1588"/>
      <c r="AM65" s="1588"/>
      <c r="AN65" s="1588"/>
      <c r="AO65" s="1588"/>
      <c r="AP65" s="1588"/>
      <c r="AQ65" s="1588"/>
    </row>
    <row r="66" spans="2:43" s="1587" customFormat="1" ht="15" customHeight="1" thickTop="1">
      <c r="G66" s="1588"/>
      <c r="H66" s="1610"/>
      <c r="J66" s="174"/>
      <c r="K66" s="174"/>
      <c r="L66" s="1616" t="s">
        <v>935</v>
      </c>
      <c r="M66" s="1654"/>
      <c r="N66" s="1654"/>
      <c r="O66" s="1654"/>
      <c r="P66" s="1658">
        <v>18.54</v>
      </c>
      <c r="Q66" s="481" t="s">
        <v>1356</v>
      </c>
      <c r="R66" s="1654"/>
      <c r="S66" s="1654"/>
      <c r="T66" s="1654"/>
      <c r="U66" s="1699">
        <v>29.37</v>
      </c>
      <c r="V66" s="174"/>
      <c r="W66" s="174"/>
      <c r="X66" s="174"/>
      <c r="Y66" s="174"/>
      <c r="Z66" s="174"/>
      <c r="AA66" s="174"/>
      <c r="AB66" s="174"/>
      <c r="AC66" s="174"/>
      <c r="AD66" s="174"/>
      <c r="AE66" s="174"/>
      <c r="AF66" s="174"/>
      <c r="AG66" s="174"/>
      <c r="AH66" s="174"/>
      <c r="AI66" s="1588"/>
      <c r="AJ66" s="1588"/>
      <c r="AK66" s="1588"/>
      <c r="AL66" s="1588"/>
      <c r="AM66" s="1588"/>
      <c r="AN66" s="1588"/>
      <c r="AO66" s="1588"/>
      <c r="AP66" s="1588"/>
      <c r="AQ66" s="1588"/>
    </row>
    <row r="67" spans="2:43" s="1587" customFormat="1" ht="15" customHeight="1">
      <c r="B67" s="174"/>
      <c r="C67" s="174"/>
      <c r="D67" s="174"/>
      <c r="E67" s="174"/>
      <c r="F67" s="174"/>
      <c r="G67" s="174"/>
      <c r="H67" s="174"/>
      <c r="I67" s="174"/>
      <c r="J67" s="174"/>
      <c r="K67" s="174"/>
      <c r="L67" s="1659" t="s">
        <v>938</v>
      </c>
      <c r="M67" s="1660"/>
      <c r="N67" s="1660"/>
      <c r="O67" s="1660"/>
      <c r="P67" s="1661">
        <v>20.74</v>
      </c>
      <c r="Q67" s="481" t="s">
        <v>1357</v>
      </c>
      <c r="R67" s="199"/>
      <c r="S67" s="199"/>
      <c r="T67" s="199"/>
      <c r="U67" s="1700">
        <v>30.34</v>
      </c>
      <c r="V67" s="174"/>
      <c r="W67" s="174"/>
      <c r="X67" s="174"/>
      <c r="Y67" s="174"/>
      <c r="Z67" s="174"/>
      <c r="AA67" s="174"/>
      <c r="AB67" s="174"/>
      <c r="AC67" s="174"/>
      <c r="AD67" s="174"/>
      <c r="AE67" s="174"/>
      <c r="AF67" s="174"/>
      <c r="AG67" s="174"/>
      <c r="AH67" s="174"/>
      <c r="AI67" s="1588"/>
      <c r="AJ67" s="1588"/>
      <c r="AK67" s="1588"/>
      <c r="AL67" s="1588"/>
      <c r="AM67" s="1588"/>
      <c r="AN67" s="1588"/>
      <c r="AO67" s="1588"/>
      <c r="AP67" s="1588"/>
      <c r="AQ67" s="1588"/>
    </row>
    <row r="68" spans="2:43" s="1587" customFormat="1" ht="15" customHeight="1">
      <c r="B68" s="174"/>
      <c r="C68" s="174"/>
      <c r="D68" s="174"/>
      <c r="E68" s="174"/>
      <c r="F68" s="174"/>
      <c r="G68" s="174"/>
      <c r="H68" s="174"/>
      <c r="I68" s="174"/>
      <c r="J68" s="174"/>
      <c r="K68" s="174"/>
      <c r="L68" s="174"/>
      <c r="M68" s="174"/>
      <c r="N68" s="174"/>
      <c r="O68" s="174"/>
      <c r="P68" s="174"/>
      <c r="Q68" s="1616" t="s">
        <v>922</v>
      </c>
      <c r="R68" s="199"/>
      <c r="S68" s="199"/>
      <c r="T68" s="199"/>
      <c r="U68" s="1700">
        <v>32.28</v>
      </c>
      <c r="V68" s="174"/>
      <c r="W68" s="174"/>
      <c r="X68" s="174"/>
      <c r="Y68" s="174"/>
      <c r="Z68" s="174"/>
      <c r="AA68" s="174"/>
      <c r="AB68" s="174"/>
      <c r="AC68" s="174"/>
      <c r="AD68" s="174"/>
      <c r="AE68" s="174"/>
      <c r="AF68" s="174"/>
      <c r="AG68" s="174"/>
      <c r="AH68" s="174"/>
      <c r="AI68" s="1588"/>
      <c r="AJ68" s="1588"/>
      <c r="AK68" s="1588"/>
      <c r="AL68" s="1588"/>
      <c r="AM68" s="1588"/>
      <c r="AN68" s="1588"/>
      <c r="AO68" s="1588"/>
      <c r="AP68" s="1588"/>
      <c r="AQ68" s="1588"/>
    </row>
    <row r="69" spans="2:43" s="1587" customFormat="1" ht="15" customHeight="1">
      <c r="B69" s="174"/>
      <c r="C69" s="174"/>
      <c r="D69" s="174"/>
      <c r="E69" s="174"/>
      <c r="F69" s="174"/>
      <c r="G69" s="174"/>
      <c r="H69" s="174"/>
      <c r="I69" s="174"/>
      <c r="J69" s="174"/>
      <c r="K69" s="174"/>
      <c r="L69" s="174"/>
      <c r="M69" s="174"/>
      <c r="N69" s="174"/>
      <c r="O69" s="174"/>
      <c r="P69" s="174"/>
      <c r="Q69" s="1616" t="s">
        <v>1359</v>
      </c>
      <c r="R69" s="199"/>
      <c r="S69" s="199"/>
      <c r="T69" s="199"/>
      <c r="U69" s="1700">
        <v>35.69</v>
      </c>
      <c r="V69" s="174"/>
      <c r="W69" s="174"/>
      <c r="X69" s="174"/>
      <c r="Y69" s="174"/>
      <c r="Z69" s="174"/>
      <c r="AA69" s="174"/>
      <c r="AB69" s="174"/>
      <c r="AC69" s="174"/>
      <c r="AD69" s="174"/>
      <c r="AE69" s="174"/>
      <c r="AF69" s="174"/>
      <c r="AG69" s="174"/>
      <c r="AH69" s="174"/>
      <c r="AI69" s="1588"/>
      <c r="AJ69" s="1588"/>
      <c r="AK69" s="1588"/>
      <c r="AL69" s="1588"/>
      <c r="AM69" s="1588"/>
      <c r="AN69" s="1588"/>
      <c r="AO69" s="1588"/>
      <c r="AP69" s="1588"/>
      <c r="AQ69" s="1588"/>
    </row>
    <row r="70" spans="2:43" s="1587" customFormat="1" ht="15" customHeight="1">
      <c r="B70" s="174"/>
      <c r="C70" s="174"/>
      <c r="D70" s="174"/>
      <c r="E70" s="174"/>
      <c r="F70" s="174"/>
      <c r="G70" s="174"/>
      <c r="H70" s="174"/>
      <c r="I70" s="174"/>
      <c r="J70" s="174"/>
      <c r="K70" s="174"/>
      <c r="L70" s="174"/>
      <c r="M70" s="174"/>
      <c r="N70" s="174"/>
      <c r="O70" s="174"/>
      <c r="P70" s="174"/>
      <c r="Q70" s="1616" t="s">
        <v>923</v>
      </c>
      <c r="R70" s="199"/>
      <c r="S70" s="199"/>
      <c r="T70" s="199"/>
      <c r="U70" s="1700">
        <v>36.659999999999997</v>
      </c>
      <c r="V70" s="174"/>
      <c r="W70" s="174"/>
      <c r="X70" s="174"/>
      <c r="Y70" s="174"/>
      <c r="Z70" s="174"/>
      <c r="AA70" s="174"/>
      <c r="AB70" s="174"/>
      <c r="AC70" s="174"/>
      <c r="AD70" s="174"/>
      <c r="AE70" s="174"/>
      <c r="AF70" s="174"/>
      <c r="AG70" s="174"/>
      <c r="AH70" s="174"/>
      <c r="AI70" s="1588"/>
      <c r="AJ70" s="1588"/>
      <c r="AK70" s="1588"/>
      <c r="AL70" s="1588"/>
      <c r="AM70" s="1588"/>
      <c r="AN70" s="1588"/>
      <c r="AO70" s="1588"/>
      <c r="AP70" s="1588"/>
      <c r="AQ70" s="1588"/>
    </row>
    <row r="71" spans="2:43" s="1587" customFormat="1" ht="15" customHeight="1">
      <c r="B71" s="174"/>
      <c r="C71" s="174"/>
      <c r="D71" s="174"/>
      <c r="E71" s="174"/>
      <c r="F71" s="174"/>
      <c r="G71" s="174"/>
      <c r="H71" s="174"/>
      <c r="I71" s="174"/>
      <c r="J71" s="174"/>
      <c r="K71" s="174"/>
      <c r="L71" s="174"/>
      <c r="M71" s="174"/>
      <c r="N71" s="174"/>
      <c r="O71" s="174"/>
      <c r="P71" s="174"/>
      <c r="Q71" s="1616" t="s">
        <v>924</v>
      </c>
      <c r="R71" s="199"/>
      <c r="S71" s="199"/>
      <c r="T71" s="199"/>
      <c r="U71" s="1700">
        <v>38.6</v>
      </c>
      <c r="V71" s="174"/>
      <c r="W71" s="174"/>
      <c r="X71" s="174"/>
      <c r="Y71" s="174"/>
      <c r="Z71" s="174"/>
      <c r="AA71" s="174"/>
      <c r="AB71" s="174"/>
      <c r="AC71" s="174"/>
      <c r="AD71" s="174"/>
      <c r="AE71" s="174"/>
      <c r="AF71" s="174"/>
      <c r="AG71" s="174"/>
      <c r="AH71" s="174"/>
      <c r="AI71" s="1588"/>
      <c r="AJ71" s="1588"/>
      <c r="AK71" s="1588"/>
      <c r="AL71" s="1588"/>
      <c r="AM71" s="1588"/>
      <c r="AN71" s="1588"/>
      <c r="AO71" s="1588"/>
      <c r="AP71" s="1588"/>
      <c r="AQ71" s="1588"/>
    </row>
    <row r="72" spans="2:43" s="1587" customFormat="1" ht="15" customHeight="1">
      <c r="B72" s="174"/>
      <c r="C72" s="174"/>
      <c r="D72" s="174"/>
      <c r="E72" s="174"/>
      <c r="F72" s="174"/>
      <c r="G72" s="174"/>
      <c r="H72" s="174"/>
      <c r="I72" s="174"/>
      <c r="J72" s="174"/>
      <c r="K72" s="174"/>
      <c r="L72" s="174"/>
      <c r="M72" s="174"/>
      <c r="N72" s="174"/>
      <c r="O72" s="174"/>
      <c r="P72" s="174"/>
      <c r="Q72" s="1616" t="s">
        <v>925</v>
      </c>
      <c r="R72" s="199"/>
      <c r="S72" s="199"/>
      <c r="T72" s="199"/>
      <c r="U72" s="1700">
        <v>39.9</v>
      </c>
      <c r="V72" s="174"/>
      <c r="W72" s="174"/>
      <c r="X72" s="174"/>
      <c r="Y72" s="174"/>
      <c r="Z72" s="174"/>
      <c r="AA72" s="174"/>
      <c r="AB72" s="174"/>
      <c r="AC72" s="174"/>
      <c r="AD72" s="174"/>
      <c r="AE72" s="174"/>
      <c r="AF72" s="174"/>
      <c r="AG72" s="174"/>
      <c r="AH72" s="174"/>
      <c r="AI72" s="1588"/>
      <c r="AJ72" s="1588"/>
      <c r="AK72" s="1588"/>
      <c r="AL72" s="1588"/>
      <c r="AM72" s="1588"/>
      <c r="AN72" s="1588"/>
      <c r="AO72" s="1588"/>
      <c r="AP72" s="1588"/>
      <c r="AQ72" s="1588"/>
    </row>
    <row r="73" spans="2:43" s="1587" customFormat="1" ht="15" customHeight="1">
      <c r="B73" s="174"/>
      <c r="C73" s="174"/>
      <c r="D73" s="174"/>
      <c r="E73" s="174"/>
      <c r="F73" s="174"/>
      <c r="G73" s="174"/>
      <c r="H73" s="174"/>
      <c r="I73" s="174"/>
      <c r="J73" s="174"/>
      <c r="K73" s="174"/>
      <c r="L73" s="174"/>
      <c r="M73" s="174"/>
      <c r="N73" s="174"/>
      <c r="O73" s="174"/>
      <c r="P73" s="174"/>
      <c r="Q73" s="1616" t="s">
        <v>926</v>
      </c>
      <c r="R73" s="199"/>
      <c r="S73" s="199"/>
      <c r="T73" s="199"/>
      <c r="U73" s="1700">
        <v>40.869999999999997</v>
      </c>
      <c r="V73" s="174"/>
      <c r="W73" s="174"/>
      <c r="X73" s="174"/>
      <c r="Y73" s="174"/>
      <c r="Z73" s="174"/>
      <c r="AA73" s="174"/>
      <c r="AB73" s="174"/>
      <c r="AC73" s="174"/>
      <c r="AD73" s="174"/>
      <c r="AE73" s="174"/>
      <c r="AF73" s="174"/>
      <c r="AG73" s="174"/>
      <c r="AH73" s="174"/>
      <c r="AI73" s="1588"/>
      <c r="AJ73" s="1588"/>
      <c r="AK73" s="1588"/>
      <c r="AL73" s="1588"/>
      <c r="AM73" s="1588"/>
      <c r="AN73" s="1588"/>
      <c r="AO73" s="1588"/>
      <c r="AP73" s="1588"/>
      <c r="AQ73" s="1588"/>
    </row>
    <row r="74" spans="2:43" s="1587" customFormat="1" ht="15" customHeight="1">
      <c r="B74" s="174"/>
      <c r="C74" s="174"/>
      <c r="D74" s="174"/>
      <c r="E74" s="174"/>
      <c r="F74" s="174"/>
      <c r="G74" s="174"/>
      <c r="H74" s="174"/>
      <c r="I74" s="174"/>
      <c r="J74" s="174"/>
      <c r="K74" s="174"/>
      <c r="L74" s="174"/>
      <c r="M74" s="174"/>
      <c r="N74" s="174"/>
      <c r="O74" s="174"/>
      <c r="P74" s="174"/>
      <c r="Q74" s="1616" t="s">
        <v>927</v>
      </c>
      <c r="R74" s="199"/>
      <c r="S74" s="199"/>
      <c r="T74" s="199"/>
      <c r="U74" s="1700">
        <v>42.81</v>
      </c>
      <c r="V74" s="174"/>
      <c r="W74" s="174"/>
      <c r="X74" s="174"/>
      <c r="Y74" s="174"/>
      <c r="Z74" s="174"/>
      <c r="AA74" s="174"/>
      <c r="AB74" s="174"/>
      <c r="AC74" s="174"/>
      <c r="AD74" s="174"/>
      <c r="AE74" s="174"/>
      <c r="AF74" s="174"/>
      <c r="AG74" s="174"/>
      <c r="AH74" s="174"/>
      <c r="AI74" s="1588"/>
      <c r="AJ74" s="1588"/>
      <c r="AK74" s="1588"/>
      <c r="AL74" s="1588"/>
      <c r="AM74" s="1588"/>
      <c r="AN74" s="1588"/>
      <c r="AO74" s="1588"/>
      <c r="AP74" s="1588"/>
      <c r="AQ74" s="1588"/>
    </row>
    <row r="75" spans="2:43" s="1587" customFormat="1" ht="15" customHeight="1">
      <c r="B75" s="174"/>
      <c r="C75" s="174"/>
      <c r="D75" s="174"/>
      <c r="E75" s="174"/>
      <c r="F75" s="174"/>
      <c r="G75" s="174"/>
      <c r="H75" s="174"/>
      <c r="I75" s="174"/>
      <c r="J75" s="174"/>
      <c r="K75" s="174"/>
      <c r="L75" s="174"/>
      <c r="M75" s="174"/>
      <c r="N75" s="174"/>
      <c r="O75" s="174"/>
      <c r="P75" s="174"/>
      <c r="Q75" s="1616" t="s">
        <v>929</v>
      </c>
      <c r="R75" s="199"/>
      <c r="S75" s="199"/>
      <c r="T75" s="199"/>
      <c r="U75" s="1700">
        <v>41.61</v>
      </c>
      <c r="V75" s="174"/>
      <c r="W75" s="174"/>
      <c r="X75" s="174"/>
      <c r="Y75" s="174"/>
      <c r="Z75" s="174"/>
      <c r="AA75" s="174"/>
      <c r="AB75" s="174"/>
      <c r="AC75" s="174"/>
      <c r="AD75" s="174"/>
      <c r="AE75" s="174"/>
      <c r="AF75" s="174"/>
      <c r="AG75" s="174"/>
      <c r="AH75" s="174"/>
      <c r="AI75" s="1588"/>
      <c r="AJ75" s="1588"/>
      <c r="AK75" s="1588"/>
      <c r="AL75" s="1588"/>
      <c r="AM75" s="1588"/>
      <c r="AN75" s="1588"/>
      <c r="AO75" s="1588"/>
      <c r="AP75" s="1588"/>
      <c r="AQ75" s="1588"/>
    </row>
    <row r="76" spans="2:43" s="1587" customFormat="1" ht="15" customHeight="1">
      <c r="B76" s="174"/>
      <c r="C76" s="174"/>
      <c r="D76" s="174"/>
      <c r="E76" s="174"/>
      <c r="F76" s="174"/>
      <c r="G76" s="174"/>
      <c r="H76" s="174"/>
      <c r="I76" s="174"/>
      <c r="J76" s="174"/>
      <c r="K76" s="174"/>
      <c r="L76" s="174"/>
      <c r="M76" s="174"/>
      <c r="N76" s="174"/>
      <c r="O76" s="174"/>
      <c r="P76" s="174"/>
      <c r="Q76" s="1616" t="s">
        <v>930</v>
      </c>
      <c r="R76" s="199"/>
      <c r="S76" s="199"/>
      <c r="T76" s="199"/>
      <c r="U76" s="1700">
        <v>43.86</v>
      </c>
      <c r="V76" s="174"/>
      <c r="W76" s="174"/>
      <c r="X76" s="174"/>
      <c r="Y76" s="174"/>
      <c r="Z76" s="174"/>
      <c r="AA76" s="174"/>
      <c r="AB76" s="174"/>
      <c r="AC76" s="174"/>
      <c r="AD76" s="174"/>
      <c r="AE76" s="174"/>
      <c r="AF76" s="174"/>
      <c r="AG76" s="174"/>
      <c r="AH76" s="174"/>
      <c r="AI76" s="1588"/>
      <c r="AJ76" s="1588"/>
      <c r="AK76" s="1588"/>
      <c r="AL76" s="1588"/>
      <c r="AM76" s="1588"/>
      <c r="AN76" s="1588"/>
      <c r="AO76" s="1588"/>
      <c r="AP76" s="1588"/>
      <c r="AQ76" s="1588"/>
    </row>
    <row r="77" spans="2:43" s="1587" customFormat="1" ht="15" customHeight="1">
      <c r="B77" s="174"/>
      <c r="C77" s="174"/>
      <c r="D77" s="174"/>
      <c r="E77" s="174"/>
      <c r="F77" s="174"/>
      <c r="G77" s="174"/>
      <c r="H77" s="174"/>
      <c r="I77" s="174"/>
      <c r="J77" s="174"/>
      <c r="K77" s="174"/>
      <c r="L77" s="174"/>
      <c r="M77" s="174"/>
      <c r="N77" s="174"/>
      <c r="O77" s="174"/>
      <c r="P77" s="174"/>
      <c r="Q77" s="1616" t="s">
        <v>931</v>
      </c>
      <c r="R77" s="199"/>
      <c r="S77" s="199"/>
      <c r="T77" s="199"/>
      <c r="U77" s="1700">
        <v>25.69</v>
      </c>
      <c r="V77" s="174"/>
      <c r="W77" s="174"/>
      <c r="X77" s="174"/>
      <c r="Y77" s="174"/>
      <c r="Z77" s="174"/>
      <c r="AA77" s="174"/>
      <c r="AB77" s="174"/>
      <c r="AC77" s="174"/>
      <c r="AD77" s="174"/>
      <c r="AE77" s="174"/>
      <c r="AF77" s="174"/>
      <c r="AG77" s="174"/>
      <c r="AH77" s="174"/>
      <c r="AI77" s="1588"/>
      <c r="AJ77" s="1588"/>
      <c r="AK77" s="1588"/>
      <c r="AL77" s="1588"/>
      <c r="AM77" s="1588"/>
      <c r="AN77" s="1588"/>
      <c r="AO77" s="1588"/>
      <c r="AP77" s="1588"/>
      <c r="AQ77" s="1588"/>
    </row>
    <row r="78" spans="2:43" s="1587" customFormat="1" ht="15" customHeight="1">
      <c r="B78" s="174"/>
      <c r="C78" s="174"/>
      <c r="D78" s="174"/>
      <c r="E78" s="174"/>
      <c r="F78" s="174"/>
      <c r="G78" s="174"/>
      <c r="H78" s="174"/>
      <c r="I78" s="174"/>
      <c r="J78" s="174"/>
      <c r="K78" s="174"/>
      <c r="L78" s="174"/>
      <c r="M78" s="174"/>
      <c r="N78" s="174"/>
      <c r="O78" s="174"/>
      <c r="P78" s="174"/>
      <c r="Q78" s="1659" t="s">
        <v>932</v>
      </c>
      <c r="R78" s="196"/>
      <c r="S78" s="196"/>
      <c r="T78" s="196"/>
      <c r="U78" s="1701">
        <v>27.94</v>
      </c>
      <c r="V78" s="174"/>
      <c r="W78" s="174"/>
      <c r="X78" s="174"/>
      <c r="Y78" s="174"/>
      <c r="Z78" s="174"/>
      <c r="AA78" s="174"/>
      <c r="AB78" s="174"/>
      <c r="AC78" s="174"/>
      <c r="AD78" s="174"/>
      <c r="AE78" s="174"/>
      <c r="AF78" s="174"/>
      <c r="AG78" s="174"/>
      <c r="AH78" s="174"/>
      <c r="AI78" s="1588"/>
      <c r="AJ78" s="1588"/>
      <c r="AK78" s="1588"/>
      <c r="AL78" s="1588"/>
      <c r="AM78" s="1588"/>
      <c r="AN78" s="1588"/>
      <c r="AO78" s="1588"/>
      <c r="AP78" s="1588"/>
      <c r="AQ78" s="1588"/>
    </row>
    <row r="79" spans="2:43" s="1587" customFormat="1" ht="15"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588"/>
      <c r="AJ79" s="1588"/>
      <c r="AK79" s="1588"/>
      <c r="AL79" s="1588"/>
      <c r="AM79" s="1588"/>
      <c r="AN79" s="1588"/>
      <c r="AO79" s="1588"/>
      <c r="AP79" s="1588"/>
      <c r="AQ79" s="1588"/>
    </row>
    <row r="80" spans="2:43" s="1587" customFormat="1" ht="15"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588"/>
      <c r="AJ80" s="1588"/>
      <c r="AK80" s="1588"/>
      <c r="AL80" s="1588"/>
      <c r="AM80" s="1588"/>
      <c r="AN80" s="1588"/>
      <c r="AO80" s="1588"/>
      <c r="AP80" s="1588"/>
      <c r="AQ80" s="1588"/>
    </row>
    <row r="81" spans="2:43" s="1587" customFormat="1" ht="15" customHeight="1">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588"/>
      <c r="AJ81" s="1588"/>
      <c r="AK81" s="1588"/>
      <c r="AL81" s="1588"/>
      <c r="AM81" s="1588"/>
      <c r="AN81" s="1588"/>
      <c r="AO81" s="1588"/>
      <c r="AP81" s="1588"/>
      <c r="AQ81" s="1588"/>
    </row>
    <row r="82" spans="2:43" s="1587" customFormat="1" ht="15" customHeight="1">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588"/>
      <c r="AJ82" s="1588"/>
      <c r="AK82" s="1588"/>
      <c r="AL82" s="1588"/>
      <c r="AM82" s="1588"/>
      <c r="AN82" s="1588"/>
      <c r="AO82" s="1588"/>
      <c r="AP82" s="1588"/>
      <c r="AQ82" s="1588"/>
    </row>
    <row r="83" spans="2:43" s="1587" customFormat="1" ht="15" customHeight="1">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588"/>
      <c r="AJ83" s="1588"/>
      <c r="AK83" s="1588"/>
      <c r="AL83" s="1588"/>
      <c r="AM83" s="1588"/>
      <c r="AN83" s="1588"/>
      <c r="AO83" s="1588"/>
      <c r="AP83" s="1588"/>
      <c r="AQ83" s="1588"/>
    </row>
    <row r="84" spans="2:43" s="1587" customFormat="1" ht="15" customHeight="1">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588"/>
      <c r="AJ84" s="1588"/>
      <c r="AK84" s="1588"/>
      <c r="AL84" s="1588"/>
      <c r="AM84" s="1588"/>
      <c r="AN84" s="1588"/>
      <c r="AO84" s="1588"/>
      <c r="AP84" s="1588"/>
      <c r="AQ84" s="1588"/>
    </row>
    <row r="85" spans="2:43" s="1587" customFormat="1" ht="15" customHeight="1">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588"/>
      <c r="AJ85" s="1588"/>
      <c r="AK85" s="1588"/>
      <c r="AL85" s="1588"/>
      <c r="AM85" s="1588"/>
      <c r="AN85" s="1588"/>
      <c r="AO85" s="1588"/>
      <c r="AP85" s="1588"/>
      <c r="AQ85" s="1588"/>
    </row>
    <row r="86" spans="2:43" s="1587" customFormat="1" ht="15" customHeight="1">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588"/>
      <c r="AJ86" s="1588"/>
      <c r="AK86" s="1588"/>
      <c r="AL86" s="1588"/>
      <c r="AM86" s="1588"/>
      <c r="AN86" s="1588"/>
      <c r="AO86" s="1588"/>
      <c r="AP86" s="1588"/>
      <c r="AQ86" s="1588"/>
    </row>
    <row r="87" spans="2:43" s="1587" customFormat="1" ht="15" customHeight="1">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588"/>
      <c r="AJ87" s="1588"/>
      <c r="AK87" s="1588"/>
      <c r="AL87" s="1588"/>
      <c r="AM87" s="1588"/>
      <c r="AN87" s="1588"/>
      <c r="AO87" s="1588"/>
      <c r="AP87" s="1588"/>
      <c r="AQ87" s="1588"/>
    </row>
    <row r="88" spans="2:43">
      <c r="T88" s="174"/>
      <c r="U88" s="174"/>
      <c r="V88" s="174"/>
      <c r="W88" s="174"/>
      <c r="Y88" s="174"/>
      <c r="Z88" s="174"/>
      <c r="AA88" s="174"/>
      <c r="AB88" s="174"/>
      <c r="AC88" s="174"/>
      <c r="AD88" s="174"/>
      <c r="AE88" s="174"/>
      <c r="AF88" s="174"/>
      <c r="AG88" s="174"/>
      <c r="AH88" s="174"/>
    </row>
    <row r="89" spans="2:43">
      <c r="T89" s="174"/>
      <c r="U89" s="174"/>
      <c r="V89" s="174"/>
      <c r="W89" s="174"/>
      <c r="Y89" s="174"/>
      <c r="Z89" s="174"/>
      <c r="AA89" s="174"/>
      <c r="AB89" s="174"/>
      <c r="AC89" s="174"/>
      <c r="AD89" s="174"/>
      <c r="AE89" s="174"/>
      <c r="AF89" s="174"/>
      <c r="AG89" s="174"/>
      <c r="AH89" s="174"/>
    </row>
    <row r="90" spans="2:43">
      <c r="T90" s="174"/>
      <c r="U90" s="174"/>
      <c r="V90" s="174"/>
      <c r="W90" s="174"/>
      <c r="Y90" s="174"/>
      <c r="Z90" s="174"/>
      <c r="AA90" s="174"/>
      <c r="AB90" s="174"/>
      <c r="AC90" s="174"/>
      <c r="AD90" s="174"/>
      <c r="AE90" s="174"/>
      <c r="AF90" s="174"/>
      <c r="AG90" s="174"/>
      <c r="AH90" s="174"/>
    </row>
    <row r="91" spans="2:43">
      <c r="T91" s="174"/>
      <c r="U91" s="174"/>
      <c r="V91" s="174"/>
      <c r="W91" s="174"/>
      <c r="Y91" s="174"/>
      <c r="Z91" s="174"/>
      <c r="AA91" s="174"/>
      <c r="AB91" s="174"/>
      <c r="AC91" s="174"/>
      <c r="AD91" s="174"/>
      <c r="AE91" s="174"/>
      <c r="AF91" s="174"/>
      <c r="AG91" s="174"/>
      <c r="AH91" s="174"/>
    </row>
    <row r="92" spans="2:43">
      <c r="T92" s="174"/>
      <c r="U92" s="174"/>
      <c r="V92" s="174"/>
      <c r="W92" s="174"/>
      <c r="Y92" s="174"/>
      <c r="Z92" s="174"/>
      <c r="AA92" s="174"/>
      <c r="AB92" s="174"/>
      <c r="AC92" s="174"/>
      <c r="AD92" s="174"/>
      <c r="AE92" s="174"/>
      <c r="AF92" s="174"/>
      <c r="AG92" s="174"/>
      <c r="AH92" s="174"/>
    </row>
    <row r="93" spans="2:43">
      <c r="T93" s="174"/>
      <c r="U93" s="174"/>
      <c r="V93" s="174"/>
      <c r="W93" s="174"/>
      <c r="Y93" s="174"/>
      <c r="Z93" s="174"/>
      <c r="AA93" s="174"/>
      <c r="AB93" s="174"/>
      <c r="AC93" s="174"/>
      <c r="AD93" s="174"/>
      <c r="AE93" s="174"/>
      <c r="AF93" s="174"/>
      <c r="AG93" s="174"/>
      <c r="AH93" s="174"/>
    </row>
    <row r="94" spans="2:43">
      <c r="T94" s="174"/>
      <c r="U94" s="174"/>
      <c r="V94" s="174"/>
      <c r="W94" s="174"/>
      <c r="Y94" s="174"/>
      <c r="Z94" s="174"/>
      <c r="AA94" s="174"/>
      <c r="AB94" s="174"/>
      <c r="AC94" s="174"/>
      <c r="AD94" s="174"/>
      <c r="AE94" s="174"/>
      <c r="AF94" s="174"/>
      <c r="AG94" s="174"/>
      <c r="AH94" s="174"/>
    </row>
    <row r="95" spans="2:43">
      <c r="T95" s="174"/>
      <c r="U95" s="174"/>
      <c r="V95" s="174"/>
      <c r="W95" s="174"/>
      <c r="Y95" s="174"/>
      <c r="Z95" s="174"/>
      <c r="AA95" s="174"/>
      <c r="AB95" s="174"/>
      <c r="AC95" s="174"/>
      <c r="AD95" s="174"/>
      <c r="AE95" s="174"/>
      <c r="AF95" s="174"/>
      <c r="AG95" s="174"/>
      <c r="AH95" s="174"/>
    </row>
    <row r="96" spans="2:43" ht="13.9" customHeight="1">
      <c r="T96" s="174"/>
      <c r="U96" s="174"/>
      <c r="V96" s="174"/>
      <c r="W96" s="174"/>
      <c r="Y96" s="174"/>
      <c r="Z96" s="174"/>
      <c r="AA96" s="174"/>
      <c r="AB96" s="174"/>
      <c r="AC96" s="174"/>
      <c r="AD96" s="174"/>
      <c r="AE96" s="174"/>
      <c r="AF96" s="174"/>
      <c r="AG96" s="174"/>
      <c r="AH96" s="174"/>
    </row>
    <row r="97" spans="20:34">
      <c r="T97" s="174"/>
      <c r="U97" s="174"/>
      <c r="V97" s="174"/>
      <c r="W97" s="174"/>
      <c r="Y97" s="174"/>
      <c r="Z97" s="174"/>
      <c r="AA97" s="174"/>
      <c r="AB97" s="174"/>
      <c r="AC97" s="174"/>
      <c r="AD97" s="174"/>
      <c r="AE97" s="174"/>
      <c r="AF97" s="174"/>
      <c r="AG97" s="174"/>
      <c r="AH97" s="174"/>
    </row>
    <row r="98" spans="20:34">
      <c r="T98" s="174"/>
      <c r="U98" s="174"/>
      <c r="V98" s="174"/>
      <c r="W98" s="174"/>
      <c r="Y98" s="174"/>
      <c r="Z98" s="174"/>
      <c r="AA98" s="174"/>
      <c r="AB98" s="174"/>
      <c r="AC98" s="174"/>
      <c r="AD98" s="174"/>
      <c r="AE98" s="174"/>
      <c r="AF98" s="174"/>
      <c r="AG98" s="174"/>
      <c r="AH98" s="174"/>
    </row>
    <row r="99" spans="20:34">
      <c r="T99" s="174"/>
      <c r="U99" s="174"/>
      <c r="V99" s="174"/>
      <c r="W99" s="174"/>
      <c r="Y99" s="174"/>
      <c r="Z99" s="174"/>
      <c r="AA99" s="174"/>
      <c r="AB99" s="174"/>
      <c r="AC99" s="174"/>
      <c r="AD99" s="174"/>
      <c r="AE99" s="174"/>
      <c r="AF99" s="174"/>
      <c r="AG99" s="174"/>
      <c r="AH99" s="174"/>
    </row>
    <row r="100" spans="20:34">
      <c r="T100" s="174"/>
      <c r="U100" s="174"/>
      <c r="V100" s="174"/>
      <c r="W100" s="174"/>
      <c r="Y100" s="174"/>
      <c r="Z100" s="174"/>
      <c r="AA100" s="174"/>
      <c r="AB100" s="174"/>
      <c r="AC100" s="174"/>
      <c r="AD100" s="174"/>
      <c r="AE100" s="174"/>
      <c r="AF100" s="174"/>
      <c r="AG100" s="174"/>
      <c r="AH100" s="174"/>
    </row>
    <row r="101" spans="20:34">
      <c r="T101" s="174"/>
      <c r="U101" s="174"/>
      <c r="V101" s="174"/>
      <c r="W101" s="174"/>
      <c r="Y101" s="174"/>
      <c r="Z101" s="174"/>
      <c r="AA101" s="174"/>
      <c r="AB101" s="174"/>
      <c r="AC101" s="174"/>
      <c r="AD101" s="174"/>
      <c r="AE101" s="174"/>
      <c r="AF101" s="174"/>
      <c r="AG101" s="174"/>
      <c r="AH101" s="174"/>
    </row>
    <row r="102" spans="20:34">
      <c r="T102" s="174"/>
      <c r="U102" s="174"/>
      <c r="V102" s="174"/>
      <c r="W102" s="174"/>
      <c r="Y102" s="174"/>
      <c r="Z102" s="174"/>
      <c r="AA102" s="174"/>
      <c r="AB102" s="174"/>
      <c r="AC102" s="174"/>
      <c r="AD102" s="174"/>
      <c r="AE102" s="174"/>
      <c r="AF102" s="174"/>
      <c r="AG102" s="174"/>
      <c r="AH102" s="174"/>
    </row>
    <row r="103" spans="20:34">
      <c r="T103" s="174"/>
      <c r="U103" s="174"/>
      <c r="V103" s="174"/>
      <c r="W103" s="174"/>
      <c r="Y103" s="174"/>
      <c r="Z103" s="174"/>
      <c r="AA103" s="174"/>
      <c r="AB103" s="174"/>
      <c r="AC103" s="174"/>
      <c r="AD103" s="174"/>
      <c r="AE103" s="174"/>
      <c r="AF103" s="174"/>
      <c r="AG103" s="174"/>
      <c r="AH103" s="174"/>
    </row>
    <row r="104" spans="20:34">
      <c r="T104" s="174"/>
      <c r="U104" s="174"/>
      <c r="V104" s="174"/>
      <c r="W104" s="174"/>
      <c r="Y104" s="174"/>
      <c r="Z104" s="174"/>
      <c r="AA104" s="174"/>
      <c r="AB104" s="174"/>
      <c r="AC104" s="174"/>
      <c r="AD104" s="174"/>
      <c r="AE104" s="174"/>
      <c r="AF104" s="174"/>
      <c r="AG104" s="174"/>
      <c r="AH104" s="174"/>
    </row>
    <row r="105" spans="20:34">
      <c r="T105" s="174"/>
      <c r="U105" s="174"/>
      <c r="V105" s="174"/>
      <c r="W105" s="174"/>
      <c r="Y105" s="174"/>
      <c r="Z105" s="174"/>
      <c r="AA105" s="174"/>
      <c r="AB105" s="174"/>
      <c r="AC105" s="174"/>
      <c r="AD105" s="174"/>
      <c r="AE105" s="174"/>
      <c r="AF105" s="174"/>
      <c r="AG105" s="174"/>
      <c r="AH105" s="174"/>
    </row>
    <row r="106" spans="20:34">
      <c r="T106" s="174"/>
      <c r="U106" s="174"/>
      <c r="V106" s="174"/>
      <c r="W106" s="174"/>
      <c r="Y106" s="174"/>
      <c r="Z106" s="174"/>
      <c r="AA106" s="174"/>
      <c r="AB106" s="174"/>
      <c r="AC106" s="174"/>
      <c r="AD106" s="174"/>
      <c r="AE106" s="174"/>
      <c r="AF106" s="174"/>
      <c r="AG106" s="174"/>
      <c r="AH106" s="174"/>
    </row>
    <row r="107" spans="20:34">
      <c r="T107" s="174"/>
      <c r="U107" s="174"/>
      <c r="V107" s="174"/>
      <c r="W107" s="174"/>
      <c r="Y107" s="174"/>
      <c r="Z107" s="174"/>
      <c r="AA107" s="174"/>
      <c r="AB107" s="174"/>
      <c r="AC107" s="174"/>
      <c r="AD107" s="174"/>
      <c r="AE107" s="174"/>
      <c r="AF107" s="174"/>
      <c r="AG107" s="174"/>
      <c r="AH107" s="174"/>
    </row>
    <row r="108" spans="20:34">
      <c r="T108" s="174"/>
      <c r="U108" s="174"/>
      <c r="V108" s="174"/>
      <c r="W108" s="174"/>
      <c r="Y108" s="174"/>
      <c r="Z108" s="174"/>
      <c r="AA108" s="174"/>
      <c r="AB108" s="174"/>
      <c r="AC108" s="174"/>
      <c r="AD108" s="174"/>
      <c r="AE108" s="174"/>
      <c r="AF108" s="174"/>
      <c r="AG108" s="174"/>
      <c r="AH108" s="174"/>
    </row>
    <row r="109" spans="20:34">
      <c r="T109" s="174"/>
      <c r="U109" s="174"/>
      <c r="V109" s="174"/>
      <c r="W109" s="174"/>
      <c r="Y109" s="174"/>
      <c r="Z109" s="174"/>
      <c r="AA109" s="174"/>
      <c r="AB109" s="174"/>
      <c r="AC109" s="174"/>
      <c r="AD109" s="174"/>
      <c r="AE109" s="174"/>
      <c r="AF109" s="174"/>
      <c r="AG109" s="174"/>
      <c r="AH109" s="174"/>
    </row>
    <row r="110" spans="20:34">
      <c r="T110" s="174"/>
      <c r="U110" s="174"/>
      <c r="V110" s="174"/>
      <c r="W110" s="174"/>
      <c r="Y110" s="174"/>
      <c r="Z110" s="174"/>
      <c r="AA110" s="174"/>
      <c r="AB110" s="174"/>
      <c r="AC110" s="174"/>
      <c r="AD110" s="174"/>
      <c r="AE110" s="174"/>
      <c r="AF110" s="174"/>
      <c r="AG110" s="174"/>
      <c r="AH110" s="174"/>
    </row>
    <row r="111" spans="20:34">
      <c r="T111" s="174"/>
      <c r="U111" s="174"/>
      <c r="V111" s="174"/>
      <c r="W111" s="174"/>
      <c r="Y111" s="174"/>
      <c r="Z111" s="174"/>
      <c r="AA111" s="174"/>
      <c r="AB111" s="174"/>
      <c r="AC111" s="174"/>
      <c r="AD111" s="174"/>
      <c r="AE111" s="174"/>
      <c r="AF111" s="174"/>
      <c r="AG111" s="174"/>
      <c r="AH111" s="174"/>
    </row>
    <row r="112" spans="20:34">
      <c r="T112" s="174"/>
      <c r="U112" s="174"/>
      <c r="V112" s="174"/>
      <c r="W112" s="174"/>
      <c r="Y112" s="174"/>
      <c r="Z112" s="174"/>
      <c r="AA112" s="174"/>
      <c r="AB112" s="174"/>
      <c r="AC112" s="174"/>
      <c r="AD112" s="174"/>
      <c r="AE112" s="174"/>
      <c r="AF112" s="174"/>
      <c r="AG112" s="174"/>
      <c r="AH112" s="174"/>
    </row>
    <row r="113" spans="20:34">
      <c r="T113" s="174"/>
      <c r="U113" s="174"/>
      <c r="V113" s="174"/>
      <c r="W113" s="174"/>
      <c r="Y113" s="174"/>
      <c r="Z113" s="174"/>
      <c r="AA113" s="174"/>
      <c r="AB113" s="174"/>
      <c r="AC113" s="174"/>
      <c r="AD113" s="174"/>
      <c r="AE113" s="174"/>
      <c r="AF113" s="174"/>
      <c r="AG113" s="174"/>
      <c r="AH113" s="174"/>
    </row>
    <row r="114" spans="20:34">
      <c r="T114" s="174"/>
      <c r="U114" s="174"/>
      <c r="V114" s="174"/>
      <c r="W114" s="174"/>
      <c r="Y114" s="174"/>
      <c r="Z114" s="174"/>
      <c r="AA114" s="174"/>
      <c r="AB114" s="174"/>
      <c r="AC114" s="174"/>
      <c r="AD114" s="174"/>
      <c r="AE114" s="174"/>
      <c r="AF114" s="174"/>
      <c r="AG114" s="174"/>
      <c r="AH114" s="174"/>
    </row>
    <row r="115" spans="20:34">
      <c r="T115" s="174"/>
      <c r="U115" s="174"/>
      <c r="V115" s="174"/>
      <c r="W115" s="174"/>
      <c r="Y115" s="174"/>
      <c r="Z115" s="174"/>
      <c r="AA115" s="174"/>
      <c r="AB115" s="174"/>
      <c r="AC115" s="174"/>
      <c r="AD115" s="174"/>
      <c r="AE115" s="174"/>
      <c r="AF115" s="174"/>
      <c r="AG115" s="174"/>
      <c r="AH115" s="174"/>
    </row>
    <row r="116" spans="20:34">
      <c r="T116" s="174"/>
      <c r="U116" s="174"/>
      <c r="V116" s="174"/>
      <c r="W116" s="174"/>
      <c r="Y116" s="174"/>
      <c r="Z116" s="174"/>
      <c r="AA116" s="174"/>
      <c r="AB116" s="174"/>
      <c r="AC116" s="174"/>
      <c r="AD116" s="174"/>
      <c r="AE116" s="174"/>
      <c r="AF116" s="174"/>
      <c r="AG116" s="174"/>
      <c r="AH116" s="174"/>
    </row>
    <row r="117" spans="20:34">
      <c r="T117" s="174"/>
      <c r="U117" s="174"/>
      <c r="V117" s="174"/>
      <c r="W117" s="174"/>
      <c r="Y117" s="174"/>
      <c r="Z117" s="174"/>
      <c r="AA117" s="174"/>
      <c r="AB117" s="174"/>
      <c r="AC117" s="174"/>
      <c r="AD117" s="174"/>
      <c r="AE117" s="174"/>
      <c r="AF117" s="174"/>
      <c r="AG117" s="174"/>
      <c r="AH117" s="174"/>
    </row>
    <row r="118" spans="20:34">
      <c r="T118" s="174"/>
      <c r="U118" s="174"/>
      <c r="V118" s="174"/>
      <c r="W118" s="174"/>
      <c r="Y118" s="174"/>
      <c r="Z118" s="174"/>
      <c r="AA118" s="174"/>
      <c r="AB118" s="174"/>
      <c r="AC118" s="174"/>
      <c r="AD118" s="174"/>
      <c r="AE118" s="174"/>
      <c r="AF118" s="174"/>
      <c r="AG118" s="174"/>
      <c r="AH118" s="174"/>
    </row>
    <row r="119" spans="20:34">
      <c r="T119" s="174"/>
      <c r="U119" s="174"/>
      <c r="V119" s="174"/>
      <c r="W119" s="174"/>
      <c r="Y119" s="174"/>
      <c r="Z119" s="174"/>
      <c r="AA119" s="174"/>
      <c r="AB119" s="174"/>
      <c r="AC119" s="174"/>
      <c r="AD119" s="174"/>
      <c r="AE119" s="174"/>
      <c r="AF119" s="174"/>
      <c r="AG119" s="174"/>
      <c r="AH119" s="174"/>
    </row>
    <row r="120" spans="20:34">
      <c r="T120" s="174"/>
      <c r="U120" s="174"/>
      <c r="V120" s="174"/>
      <c r="W120" s="174"/>
      <c r="Y120" s="174"/>
      <c r="Z120" s="174"/>
      <c r="AA120" s="174"/>
      <c r="AB120" s="174"/>
      <c r="AC120" s="174"/>
      <c r="AD120" s="174"/>
      <c r="AE120" s="174"/>
      <c r="AF120" s="174"/>
      <c r="AG120" s="174"/>
      <c r="AH120" s="174"/>
    </row>
    <row r="121" spans="20:34">
      <c r="T121" s="174"/>
      <c r="U121" s="174"/>
      <c r="V121" s="174"/>
      <c r="W121" s="174"/>
      <c r="Y121" s="174"/>
      <c r="Z121" s="174"/>
      <c r="AA121" s="174"/>
      <c r="AB121" s="174"/>
      <c r="AC121" s="174"/>
      <c r="AD121" s="174"/>
      <c r="AE121" s="174"/>
      <c r="AF121" s="174"/>
      <c r="AG121" s="174"/>
      <c r="AH121" s="174"/>
    </row>
    <row r="122" spans="20:34">
      <c r="T122" s="174"/>
      <c r="U122" s="174"/>
      <c r="V122" s="174"/>
      <c r="W122" s="174"/>
      <c r="Y122" s="174"/>
      <c r="Z122" s="174"/>
      <c r="AA122" s="174"/>
      <c r="AB122" s="174"/>
      <c r="AC122" s="174"/>
      <c r="AD122" s="174"/>
      <c r="AE122" s="174"/>
      <c r="AF122" s="174"/>
      <c r="AG122" s="174"/>
      <c r="AH122" s="174"/>
    </row>
    <row r="123" spans="20:34">
      <c r="T123" s="174"/>
      <c r="U123" s="174"/>
      <c r="V123" s="174"/>
      <c r="W123" s="174"/>
      <c r="Y123" s="174"/>
      <c r="Z123" s="174"/>
      <c r="AA123" s="174"/>
      <c r="AB123" s="174"/>
      <c r="AC123" s="174"/>
      <c r="AD123" s="174"/>
      <c r="AE123" s="174"/>
      <c r="AF123" s="174"/>
      <c r="AG123" s="174"/>
      <c r="AH123" s="174"/>
    </row>
    <row r="124" spans="20:34">
      <c r="T124" s="174"/>
      <c r="U124" s="174"/>
      <c r="V124" s="174"/>
      <c r="W124" s="174"/>
      <c r="Y124" s="174"/>
      <c r="Z124" s="174"/>
      <c r="AA124" s="174"/>
      <c r="AB124" s="174"/>
      <c r="AC124" s="174"/>
      <c r="AD124" s="174"/>
      <c r="AE124" s="174"/>
      <c r="AF124" s="174"/>
      <c r="AG124" s="174"/>
      <c r="AH124" s="174"/>
    </row>
    <row r="125" spans="20:34">
      <c r="T125" s="174"/>
      <c r="U125" s="174"/>
      <c r="V125" s="174"/>
      <c r="W125" s="174"/>
      <c r="Y125" s="174"/>
      <c r="Z125" s="174"/>
      <c r="AA125" s="174"/>
      <c r="AB125" s="174"/>
      <c r="AC125" s="174"/>
      <c r="AD125" s="174"/>
      <c r="AE125" s="174"/>
      <c r="AF125" s="174"/>
      <c r="AG125" s="174"/>
      <c r="AH125" s="174"/>
    </row>
    <row r="126" spans="20:34">
      <c r="T126" s="174"/>
      <c r="U126" s="174"/>
      <c r="V126" s="174"/>
      <c r="W126" s="174"/>
      <c r="Y126" s="174"/>
      <c r="Z126" s="174"/>
      <c r="AA126" s="174"/>
      <c r="AB126" s="174"/>
      <c r="AC126" s="174"/>
      <c r="AD126" s="174"/>
      <c r="AE126" s="174"/>
      <c r="AF126" s="174"/>
      <c r="AG126" s="174"/>
      <c r="AH126" s="174"/>
    </row>
    <row r="127" spans="20:34">
      <c r="T127" s="174"/>
      <c r="U127" s="174"/>
      <c r="V127" s="174"/>
      <c r="W127" s="174"/>
      <c r="Y127" s="174"/>
      <c r="Z127" s="174"/>
      <c r="AA127" s="174"/>
      <c r="AB127" s="174"/>
      <c r="AC127" s="174"/>
      <c r="AD127" s="174"/>
      <c r="AE127" s="174"/>
      <c r="AF127" s="174"/>
      <c r="AG127" s="174"/>
      <c r="AH127" s="174"/>
    </row>
    <row r="128" spans="20:34">
      <c r="T128" s="174"/>
      <c r="U128" s="174"/>
      <c r="V128" s="174"/>
      <c r="W128" s="174"/>
      <c r="Y128" s="174"/>
      <c r="Z128" s="174"/>
      <c r="AA128" s="174"/>
      <c r="AB128" s="174"/>
      <c r="AC128" s="174"/>
      <c r="AD128" s="174"/>
      <c r="AE128" s="174"/>
      <c r="AF128" s="174"/>
      <c r="AG128" s="174"/>
      <c r="AH128" s="174"/>
    </row>
    <row r="129" spans="10:34">
      <c r="T129" s="174"/>
      <c r="U129" s="174"/>
      <c r="V129" s="174"/>
      <c r="W129" s="174"/>
      <c r="Y129" s="174"/>
      <c r="Z129" s="174"/>
      <c r="AA129" s="174"/>
      <c r="AB129" s="174"/>
      <c r="AC129" s="174"/>
      <c r="AD129" s="174"/>
      <c r="AE129" s="174"/>
      <c r="AF129" s="174"/>
      <c r="AG129" s="174"/>
      <c r="AH129" s="174"/>
    </row>
    <row r="130" spans="10:34">
      <c r="T130" s="174"/>
      <c r="U130" s="174"/>
      <c r="V130" s="174"/>
      <c r="W130" s="174"/>
      <c r="Y130" s="174"/>
      <c r="Z130" s="174"/>
      <c r="AA130" s="174"/>
      <c r="AB130" s="174"/>
      <c r="AC130" s="174"/>
      <c r="AD130" s="174"/>
      <c r="AE130" s="174"/>
      <c r="AF130" s="174"/>
      <c r="AG130" s="174"/>
      <c r="AH130" s="174"/>
    </row>
    <row r="131" spans="10:34">
      <c r="T131" s="174"/>
      <c r="U131" s="174"/>
      <c r="V131" s="174"/>
      <c r="W131" s="174"/>
      <c r="Y131" s="174"/>
      <c r="Z131" s="174"/>
      <c r="AA131" s="174"/>
      <c r="AB131" s="174"/>
      <c r="AC131" s="174"/>
      <c r="AD131" s="174"/>
      <c r="AE131" s="174"/>
      <c r="AF131" s="174"/>
      <c r="AG131" s="174"/>
      <c r="AH131" s="174"/>
    </row>
    <row r="132" spans="10:34">
      <c r="T132" s="174"/>
      <c r="U132" s="174"/>
      <c r="V132" s="174"/>
      <c r="W132" s="174"/>
      <c r="Y132" s="174"/>
      <c r="Z132" s="174"/>
      <c r="AA132" s="174"/>
      <c r="AB132" s="174"/>
      <c r="AC132" s="174"/>
      <c r="AD132" s="174"/>
      <c r="AE132" s="174"/>
      <c r="AF132" s="174"/>
      <c r="AG132" s="174"/>
      <c r="AH132" s="174"/>
    </row>
    <row r="133" spans="10:34">
      <c r="T133" s="174"/>
      <c r="U133" s="174"/>
      <c r="V133" s="174"/>
      <c r="W133" s="174"/>
      <c r="Y133" s="174"/>
      <c r="Z133" s="174"/>
      <c r="AA133" s="174"/>
      <c r="AB133" s="174"/>
      <c r="AC133" s="174"/>
      <c r="AD133" s="174"/>
      <c r="AE133" s="174"/>
      <c r="AF133" s="174"/>
      <c r="AG133" s="174"/>
      <c r="AH133" s="174"/>
    </row>
    <row r="134" spans="10:34">
      <c r="T134" s="174"/>
      <c r="U134" s="174"/>
      <c r="V134" s="174"/>
      <c r="W134" s="174"/>
      <c r="Y134" s="174"/>
      <c r="Z134" s="174"/>
      <c r="AA134" s="174"/>
      <c r="AB134" s="174"/>
      <c r="AC134" s="174"/>
      <c r="AD134" s="174"/>
      <c r="AE134" s="174"/>
      <c r="AF134" s="174"/>
      <c r="AG134" s="174"/>
      <c r="AH134" s="174"/>
    </row>
    <row r="135" spans="10:34">
      <c r="T135" s="174"/>
      <c r="U135" s="174"/>
      <c r="V135" s="174"/>
      <c r="W135" s="174"/>
      <c r="Y135" s="174"/>
      <c r="Z135" s="174"/>
      <c r="AA135" s="174"/>
      <c r="AB135" s="174"/>
      <c r="AC135" s="174"/>
      <c r="AD135" s="174"/>
      <c r="AE135" s="174"/>
      <c r="AF135" s="174"/>
      <c r="AG135" s="174"/>
      <c r="AH135" s="174"/>
    </row>
    <row r="136" spans="10:34">
      <c r="T136" s="174"/>
      <c r="U136" s="174"/>
      <c r="V136" s="174"/>
      <c r="W136" s="174"/>
      <c r="Y136" s="174"/>
      <c r="Z136" s="174"/>
      <c r="AA136" s="174"/>
      <c r="AB136" s="174"/>
      <c r="AC136" s="174"/>
      <c r="AD136" s="174"/>
      <c r="AE136" s="174"/>
      <c r="AF136" s="174"/>
      <c r="AG136" s="174"/>
      <c r="AH136" s="174"/>
    </row>
    <row r="137" spans="10:34">
      <c r="T137" s="174"/>
      <c r="U137" s="174"/>
      <c r="V137" s="174"/>
      <c r="W137" s="174"/>
      <c r="Y137" s="174"/>
      <c r="Z137" s="174"/>
      <c r="AA137" s="174"/>
      <c r="AB137" s="174"/>
      <c r="AC137" s="174"/>
      <c r="AD137" s="174"/>
      <c r="AE137" s="174"/>
      <c r="AF137" s="174"/>
      <c r="AG137" s="174"/>
      <c r="AH137" s="174"/>
    </row>
    <row r="138" spans="10:34">
      <c r="T138" s="174"/>
      <c r="U138" s="174"/>
      <c r="V138" s="174"/>
      <c r="W138" s="174"/>
      <c r="Y138" s="174"/>
      <c r="Z138" s="174"/>
      <c r="AA138" s="174"/>
      <c r="AB138" s="174"/>
      <c r="AC138" s="174"/>
      <c r="AD138" s="174"/>
      <c r="AE138" s="174"/>
      <c r="AF138" s="174"/>
      <c r="AG138" s="174"/>
      <c r="AH138" s="174"/>
    </row>
    <row r="139" spans="10:34">
      <c r="T139" s="174"/>
      <c r="U139" s="174"/>
      <c r="V139" s="174"/>
      <c r="W139" s="174"/>
      <c r="Y139" s="174"/>
      <c r="Z139" s="174"/>
      <c r="AA139" s="174"/>
      <c r="AB139" s="174"/>
      <c r="AC139" s="174"/>
      <c r="AD139" s="174"/>
      <c r="AE139" s="174"/>
      <c r="AF139" s="174"/>
      <c r="AG139" s="174"/>
      <c r="AH139" s="174"/>
    </row>
    <row r="140" spans="10:34">
      <c r="J140" s="27"/>
      <c r="K140" s="27"/>
      <c r="L140" s="27"/>
      <c r="M140" s="27"/>
      <c r="N140" s="27"/>
      <c r="O140" s="27"/>
      <c r="P140" s="27"/>
      <c r="Q140" s="27"/>
      <c r="R140" s="27"/>
      <c r="S140" s="27"/>
    </row>
    <row r="141" spans="10:34">
      <c r="J141" s="27"/>
      <c r="K141" s="27"/>
      <c r="L141" s="27"/>
      <c r="M141" s="27"/>
      <c r="N141" s="27"/>
      <c r="O141" s="27"/>
      <c r="P141" s="27"/>
      <c r="Q141" s="27"/>
      <c r="R141" s="27"/>
      <c r="S141" s="27"/>
    </row>
    <row r="142" spans="10:34">
      <c r="J142" s="27"/>
      <c r="K142" s="27"/>
      <c r="L142" s="27"/>
      <c r="M142" s="27"/>
      <c r="N142" s="27"/>
      <c r="O142" s="27"/>
      <c r="P142" s="27"/>
      <c r="Q142" s="27"/>
      <c r="R142" s="27"/>
      <c r="S142" s="27"/>
    </row>
    <row r="143" spans="10:34">
      <c r="J143" s="27"/>
      <c r="K143" s="27"/>
      <c r="L143" s="27"/>
      <c r="M143" s="27"/>
      <c r="N143" s="27"/>
      <c r="O143" s="27"/>
      <c r="P143" s="27"/>
      <c r="Q143" s="27"/>
      <c r="R143" s="27"/>
      <c r="S143" s="27"/>
    </row>
    <row r="146" spans="2:9">
      <c r="B146" s="27"/>
      <c r="C146" s="27"/>
      <c r="D146" s="27"/>
      <c r="E146" s="27"/>
      <c r="F146" s="27"/>
      <c r="G146" s="27"/>
      <c r="H146" s="27"/>
      <c r="I146" s="27"/>
    </row>
    <row r="147" spans="2:9">
      <c r="B147" s="27"/>
      <c r="C147" s="27"/>
      <c r="D147" s="27"/>
      <c r="E147" s="27"/>
      <c r="F147" s="27"/>
      <c r="G147" s="27"/>
      <c r="H147" s="27"/>
      <c r="I147" s="27"/>
    </row>
    <row r="148" spans="2:9">
      <c r="B148" s="27"/>
      <c r="C148" s="27"/>
      <c r="D148" s="27"/>
      <c r="E148" s="27"/>
      <c r="F148" s="27"/>
      <c r="G148" s="27"/>
      <c r="H148" s="27"/>
      <c r="I148" s="27"/>
    </row>
    <row r="149" spans="2:9">
      <c r="B149" s="27"/>
      <c r="C149" s="27"/>
      <c r="D149" s="27"/>
      <c r="E149" s="27"/>
      <c r="F149" s="27"/>
      <c r="G149" s="27"/>
      <c r="H149" s="27"/>
      <c r="I149" s="27"/>
    </row>
  </sheetData>
  <sheetProtection password="C9AE" sheet="1" objects="1" scenarios="1"/>
  <mergeCells count="5">
    <mergeCell ref="F65:G65"/>
    <mergeCell ref="D2:E2"/>
    <mergeCell ref="C50:E50"/>
    <mergeCell ref="C61:E61"/>
    <mergeCell ref="B65:E65"/>
  </mergeCells>
  <phoneticPr fontId="0" type="noConversion"/>
  <conditionalFormatting sqref="F51 D52 D55 F53:F60 G60 B60:E60 D62 F62 F47:G49 B47:B49 F41:F46 D10:D49">
    <cfRule type="cellIs" dxfId="41" priority="1" stopIfTrue="1" operator="equal">
      <formula>""</formula>
    </cfRule>
  </conditionalFormatting>
  <dataValidations count="14">
    <dataValidation type="list" allowBlank="1" showInputMessage="1" showErrorMessage="1" sqref="F51">
      <formula1>$L$42:$L$44</formula1>
    </dataValidation>
    <dataValidation type="list" allowBlank="1" showInputMessage="1" showErrorMessage="1" sqref="F53">
      <formula1>$L$45:$L$47</formula1>
    </dataValidation>
    <dataValidation type="list" allowBlank="1" showInputMessage="1" showErrorMessage="1" sqref="F54">
      <formula1>$L$49:$L$51</formula1>
    </dataValidation>
    <dataValidation type="list" allowBlank="1" showInputMessage="1" showErrorMessage="1" sqref="F55">
      <formula1>$L$52:$L$54</formula1>
    </dataValidation>
    <dataValidation type="list" allowBlank="1" showInputMessage="1" showErrorMessage="1" sqref="F56">
      <formula1>$L$55:$L$59</formula1>
    </dataValidation>
    <dataValidation type="list" allowBlank="1" showInputMessage="1" showErrorMessage="1" sqref="F57">
      <formula1>$Q$42:$Q$47</formula1>
    </dataValidation>
    <dataValidation type="list" allowBlank="1" showInputMessage="1" showErrorMessage="1" sqref="F58">
      <formula1>$Q$49:$Q$50</formula1>
    </dataValidation>
    <dataValidation type="list" allowBlank="1" showInputMessage="1" showErrorMessage="1" sqref="F59">
      <formula1>$L$60:$L$61</formula1>
    </dataValidation>
    <dataValidation type="list" allowBlank="1" showInputMessage="1" showErrorMessage="1" sqref="F62">
      <formula1>$L$62:$L$63</formula1>
    </dataValidation>
    <dataValidation type="list" allowBlank="1" showInputMessage="1" showErrorMessage="1" sqref="F41:F43">
      <formula1>$Q$51:$Q$57</formula1>
    </dataValidation>
    <dataValidation type="list" allowBlank="1" showInputMessage="1" showErrorMessage="1" sqref="F44">
      <formula1>$Q$58:$Q$61</formula1>
    </dataValidation>
    <dataValidation type="list" allowBlank="1" showInputMessage="1" showErrorMessage="1" sqref="F45">
      <formula1>$Q$62:$Q$78</formula1>
    </dataValidation>
    <dataValidation type="list" allowBlank="1" showInputMessage="1" showErrorMessage="1" sqref="F46">
      <formula1>$L$64:$L$67</formula1>
    </dataValidation>
    <dataValidation type="list" allowBlank="1" showInputMessage="1" showErrorMessage="1" sqref="J3">
      <formula1>$L$2:$L$3</formula1>
    </dataValidation>
  </dataValidations>
  <pageMargins left="0.55000000000000004" right="0.23" top="0.32" bottom="0.35" header="0.39" footer="0.23"/>
  <pageSetup paperSize="9" scale="94" orientation="portrait" horizontalDpi="1200" verticalDpi="1200" r:id="rId1"/>
  <headerFooter alignWithMargins="0">
    <oddFooter>&amp;L&amp;"Arial,Kursiv"&amp;6Huber Energietechnik AG, Zürich&amp;C&amp;6&amp;F&amp;R&amp;"Arial,Kursiv"&amp;6ENTECH 380/1, Ver. 5.4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H1344"/>
  <sheetViews>
    <sheetView showZeros="0" zoomScaleNormal="100" workbookViewId="0">
      <selection activeCell="C28" sqref="C28:F28"/>
    </sheetView>
  </sheetViews>
  <sheetFormatPr baseColWidth="10" defaultColWidth="11.5703125" defaultRowHeight="12.75"/>
  <cols>
    <col min="1" max="1" width="1.28515625" style="27" customWidth="1"/>
    <col min="2" max="2" width="4.5703125" style="71" customWidth="1"/>
    <col min="3" max="3" width="11.42578125" style="69" customWidth="1"/>
    <col min="4" max="4" width="21.7109375" style="27" customWidth="1"/>
    <col min="5" max="5" width="11.42578125" style="70" customWidth="1"/>
    <col min="6" max="7" width="7.7109375" style="66" customWidth="1"/>
    <col min="8" max="12" width="6.7109375" style="66" customWidth="1"/>
    <col min="13" max="14" width="7.7109375" style="66" customWidth="1"/>
    <col min="15" max="15" width="12.42578125" style="27" customWidth="1"/>
    <col min="16" max="16" width="8.28515625" style="474" customWidth="1"/>
    <col min="17" max="17" width="8.28515625" style="27" customWidth="1"/>
    <col min="18" max="18" width="11.28515625" style="27" customWidth="1"/>
    <col min="19" max="26" width="9.7109375" style="27" customWidth="1"/>
    <col min="27" max="34" width="11.5703125" style="27" customWidth="1"/>
    <col min="35" max="16384" width="11.5703125" style="27"/>
  </cols>
  <sheetData>
    <row r="1" spans="2:23">
      <c r="B1" s="27" t="str">
        <f>Projekt!B1</f>
        <v>Programme Entech 380/1, Ver. 6.1, BFE/EnFK-Zert.-Nr. 1639, SIA 380/1 (Edition 2016)</v>
      </c>
      <c r="C1" s="27"/>
      <c r="D1" s="28"/>
      <c r="G1" s="27"/>
      <c r="H1" s="48">
        <f>Projekt!E5</f>
        <v>0</v>
      </c>
      <c r="I1" s="37"/>
      <c r="K1" s="27"/>
      <c r="M1" s="2548">
        <f ca="1">NOW()</f>
        <v>43566.628989236109</v>
      </c>
      <c r="N1" s="2548"/>
      <c r="O1" s="2548"/>
      <c r="W1" s="45"/>
    </row>
    <row r="2" spans="2:23" ht="30">
      <c r="B2" s="135" t="str">
        <f>Uebersetzung!D506</f>
        <v>Catalogue des éléments</v>
      </c>
      <c r="M2" s="185" t="str">
        <f>"Qh= "&amp;ROUND(Qh,0)&amp;" MJ/m2"</f>
        <v>Qh= 0 MJ/m2</v>
      </c>
    </row>
    <row r="4" spans="2:23" ht="20.25">
      <c r="B4" s="136" t="str">
        <f>Uebersetzung!D507</f>
        <v>Fenêtres</v>
      </c>
      <c r="K4" s="356" t="str">
        <f>Uebersetzung!D654</f>
        <v>Châssis 20% de la fenêtre</v>
      </c>
    </row>
    <row r="5" spans="2:23">
      <c r="B5" s="69"/>
      <c r="G5" s="1938" t="str">
        <f>Uebersetzung!D655</f>
        <v>Remplissage</v>
      </c>
      <c r="H5" s="138" t="str">
        <f>Uebersetzung!D656</f>
        <v>Valeur U</v>
      </c>
      <c r="I5" s="137"/>
      <c r="J5" s="137"/>
      <c r="K5" s="1486" t="s">
        <v>2044</v>
      </c>
      <c r="L5" s="1486" t="s">
        <v>2045</v>
      </c>
      <c r="M5" s="1486" t="s">
        <v>2046</v>
      </c>
      <c r="N5" s="1486" t="s">
        <v>2047</v>
      </c>
      <c r="O5" s="1486" t="s">
        <v>2048</v>
      </c>
    </row>
    <row r="6" spans="2:23">
      <c r="B6" s="71" t="str">
        <f>Uebersetzung!D508</f>
        <v>Vitrtification</v>
      </c>
      <c r="H6" s="137"/>
      <c r="I6" s="137"/>
      <c r="J6" s="137"/>
      <c r="K6" s="137"/>
      <c r="M6" s="137"/>
      <c r="N6" s="137"/>
      <c r="O6" s="1937" t="s">
        <v>975</v>
      </c>
    </row>
    <row r="7" spans="2:23" ht="13.5">
      <c r="C7" s="71"/>
      <c r="D7" s="52"/>
      <c r="E7" s="125"/>
      <c r="F7" s="137"/>
      <c r="G7" s="137"/>
      <c r="H7" s="66" t="s">
        <v>249</v>
      </c>
      <c r="I7" s="68"/>
      <c r="O7" s="66" t="s">
        <v>249</v>
      </c>
    </row>
    <row r="8" spans="2:23">
      <c r="B8" s="66">
        <v>1</v>
      </c>
      <c r="C8" s="69" t="str">
        <f>Uebersetzung!D487</f>
        <v>WF</v>
      </c>
      <c r="D8" s="69"/>
      <c r="G8" s="66" t="s">
        <v>987</v>
      </c>
      <c r="H8" s="67">
        <v>2.7</v>
      </c>
      <c r="I8" s="68">
        <v>0.75</v>
      </c>
      <c r="K8" s="67">
        <v>2.9</v>
      </c>
      <c r="L8" s="66">
        <v>2.9</v>
      </c>
      <c r="M8" s="67">
        <v>3</v>
      </c>
      <c r="N8" s="67">
        <v>3.1</v>
      </c>
      <c r="O8" s="1490" t="s">
        <v>2325</v>
      </c>
    </row>
    <row r="9" spans="2:23">
      <c r="B9" s="66">
        <v>2</v>
      </c>
      <c r="C9" s="69" t="str">
        <f>Uebersetzung!D488</f>
        <v>DF</v>
      </c>
      <c r="D9" s="69"/>
      <c r="G9" s="66" t="s">
        <v>987</v>
      </c>
      <c r="H9" s="67">
        <v>2.7</v>
      </c>
      <c r="I9" s="68">
        <v>0.75</v>
      </c>
      <c r="J9" s="66">
        <v>0</v>
      </c>
      <c r="K9" s="67">
        <v>2.5</v>
      </c>
      <c r="L9" s="67">
        <v>2.5</v>
      </c>
      <c r="M9" s="67">
        <v>2.6</v>
      </c>
      <c r="N9" s="67">
        <v>2.7</v>
      </c>
      <c r="O9" s="1490" t="s">
        <v>2325</v>
      </c>
    </row>
    <row r="10" spans="2:23">
      <c r="B10" s="66">
        <v>3</v>
      </c>
      <c r="C10" s="69" t="str">
        <f>Uebersetzung!D489</f>
        <v>2-IV, fente pour l'air</v>
      </c>
      <c r="D10" s="69"/>
      <c r="G10" s="66" t="s">
        <v>987</v>
      </c>
      <c r="H10" s="67">
        <v>2.9</v>
      </c>
      <c r="I10" s="68">
        <v>0.75</v>
      </c>
      <c r="J10" s="66">
        <v>0.05</v>
      </c>
      <c r="K10" s="67">
        <v>2.7</v>
      </c>
      <c r="L10" s="67">
        <v>2.7</v>
      </c>
      <c r="M10" s="67">
        <v>2.8</v>
      </c>
      <c r="N10" s="67">
        <v>3</v>
      </c>
      <c r="O10" s="1490" t="s">
        <v>2325</v>
      </c>
    </row>
    <row r="11" spans="2:23">
      <c r="B11" s="66">
        <v>4</v>
      </c>
      <c r="C11" s="69" t="str">
        <f>Uebersetzung!D490</f>
        <v>2-IV, argon</v>
      </c>
      <c r="D11" s="69"/>
      <c r="G11" s="66" t="s">
        <v>989</v>
      </c>
      <c r="H11" s="67">
        <v>2.7</v>
      </c>
      <c r="I11" s="68">
        <v>0.75</v>
      </c>
      <c r="J11" s="66">
        <v>0.05</v>
      </c>
      <c r="K11" s="67">
        <v>2.6</v>
      </c>
      <c r="L11" s="67">
        <v>2.6</v>
      </c>
      <c r="M11" s="67">
        <v>2.7</v>
      </c>
      <c r="N11" s="67">
        <v>2.8</v>
      </c>
      <c r="O11" s="67">
        <v>3</v>
      </c>
    </row>
    <row r="12" spans="2:23">
      <c r="B12" s="66">
        <v>5</v>
      </c>
      <c r="C12" s="69" t="str">
        <f>Uebersetzung!D491</f>
        <v>3-IV, fente pour l'air</v>
      </c>
      <c r="D12" s="69"/>
      <c r="G12" s="66" t="s">
        <v>987</v>
      </c>
      <c r="H12" s="67">
        <v>2</v>
      </c>
      <c r="I12" s="68">
        <v>0.7</v>
      </c>
      <c r="J12" s="66">
        <v>0.04</v>
      </c>
      <c r="K12" s="67">
        <v>2</v>
      </c>
      <c r="L12" s="67">
        <v>2</v>
      </c>
      <c r="M12" s="67">
        <v>2.1</v>
      </c>
      <c r="N12" s="67">
        <v>2.2999999999999998</v>
      </c>
      <c r="O12" s="67">
        <v>2.5</v>
      </c>
    </row>
    <row r="13" spans="2:23">
      <c r="B13" s="66">
        <v>6</v>
      </c>
      <c r="C13" s="69" t="str">
        <f>Uebersetzung!D492</f>
        <v>3-IV, argon</v>
      </c>
      <c r="D13" s="69"/>
      <c r="G13" s="66" t="s">
        <v>989</v>
      </c>
      <c r="H13" s="67">
        <v>1.9</v>
      </c>
      <c r="I13" s="68">
        <v>0.7</v>
      </c>
      <c r="J13" s="66">
        <v>0.04</v>
      </c>
      <c r="K13" s="67">
        <v>1.9</v>
      </c>
      <c r="L13" s="67">
        <v>1.9</v>
      </c>
      <c r="M13" s="67">
        <v>2</v>
      </c>
      <c r="N13" s="67">
        <v>2.2000000000000002</v>
      </c>
      <c r="O13" s="67">
        <v>2.4</v>
      </c>
    </row>
    <row r="14" spans="2:23">
      <c r="B14" s="66">
        <v>7</v>
      </c>
      <c r="C14" s="69" t="str">
        <f>Uebersetzung!D493</f>
        <v>2-IV-IR, valeur U (verre) 1.8 W/m2K</v>
      </c>
      <c r="D14" s="69"/>
      <c r="H14" s="67">
        <v>1.8</v>
      </c>
      <c r="I14" s="68">
        <v>0.55000000000000004</v>
      </c>
      <c r="J14" s="66">
        <v>0.06</v>
      </c>
      <c r="K14" s="67">
        <v>1.9</v>
      </c>
      <c r="L14" s="67">
        <v>1.9</v>
      </c>
      <c r="M14" s="67">
        <v>2</v>
      </c>
      <c r="N14" s="67">
        <v>2.2000000000000002</v>
      </c>
      <c r="O14" s="67">
        <v>2.4</v>
      </c>
    </row>
    <row r="15" spans="2:23">
      <c r="B15" s="66">
        <v>8</v>
      </c>
      <c r="C15" s="69" t="str">
        <f>Uebersetzung!D494</f>
        <v>2-IV-IR, valeur U (verre) 1.7 W/m2K</v>
      </c>
      <c r="D15" s="69"/>
      <c r="H15" s="67">
        <v>1.7</v>
      </c>
      <c r="I15" s="68">
        <v>0.55000000000000004</v>
      </c>
      <c r="J15" s="66">
        <v>0.06</v>
      </c>
      <c r="K15" s="67">
        <v>1.8</v>
      </c>
      <c r="L15" s="67">
        <v>1.825</v>
      </c>
      <c r="M15" s="67">
        <v>1.925</v>
      </c>
      <c r="N15" s="67">
        <v>2.1</v>
      </c>
      <c r="O15" s="67">
        <v>2.2999999999999998</v>
      </c>
    </row>
    <row r="16" spans="2:23">
      <c r="B16" s="66">
        <v>9</v>
      </c>
      <c r="C16" s="69" t="str">
        <f>Uebersetzung!D495</f>
        <v>2-IV-IR, valeur U (verre) 1.6 W/m2K</v>
      </c>
      <c r="D16" s="69"/>
      <c r="H16" s="67">
        <v>1.6</v>
      </c>
      <c r="I16" s="68">
        <v>0.55000000000000004</v>
      </c>
      <c r="J16" s="66">
        <v>0.06</v>
      </c>
      <c r="K16" s="67">
        <v>1.7</v>
      </c>
      <c r="L16" s="67">
        <v>1.7749999999999999</v>
      </c>
      <c r="M16" s="67">
        <v>1.875</v>
      </c>
      <c r="N16" s="67">
        <v>2</v>
      </c>
      <c r="O16" s="67">
        <v>2.2000000000000002</v>
      </c>
    </row>
    <row r="17" spans="2:17">
      <c r="B17" s="66">
        <v>10</v>
      </c>
      <c r="C17" s="69" t="str">
        <f>Uebersetzung!D496</f>
        <v>2-IV-IR, valeur U (verre) 1.5 W/m2K</v>
      </c>
      <c r="D17" s="69"/>
      <c r="H17" s="67">
        <v>1.5</v>
      </c>
      <c r="I17" s="68">
        <v>0.55000000000000004</v>
      </c>
      <c r="J17" s="66">
        <v>0.06</v>
      </c>
      <c r="K17" s="67">
        <v>1.6</v>
      </c>
      <c r="L17" s="67">
        <v>1.7</v>
      </c>
      <c r="M17" s="67">
        <v>1.8</v>
      </c>
      <c r="N17" s="67">
        <v>1.9</v>
      </c>
      <c r="O17" s="67">
        <v>2.1</v>
      </c>
    </row>
    <row r="18" spans="2:17">
      <c r="B18" s="66">
        <v>11</v>
      </c>
      <c r="C18" s="69" t="str">
        <f>Uebersetzung!D497</f>
        <v>2-IV-IR, valeur U (verre) 1.4 W/m2K</v>
      </c>
      <c r="D18" s="69"/>
      <c r="H18" s="67">
        <v>1.4</v>
      </c>
      <c r="I18" s="68">
        <v>0.55000000000000004</v>
      </c>
      <c r="J18" s="66">
        <v>0.05</v>
      </c>
      <c r="K18" s="67">
        <v>1.55</v>
      </c>
      <c r="L18" s="67">
        <v>1.65</v>
      </c>
      <c r="M18" s="67">
        <v>1.7</v>
      </c>
      <c r="N18" s="67">
        <v>1.9</v>
      </c>
      <c r="O18" s="67">
        <v>2.0499999999999998</v>
      </c>
    </row>
    <row r="19" spans="2:17">
      <c r="B19" s="66">
        <v>12</v>
      </c>
      <c r="C19" s="69" t="str">
        <f>Uebersetzung!D498</f>
        <v>2-IV-IR, valeur U (verre) 1.3 W/m2K</v>
      </c>
      <c r="D19" s="69"/>
      <c r="H19" s="67">
        <v>1.3</v>
      </c>
      <c r="I19" s="68">
        <v>0.55000000000000004</v>
      </c>
      <c r="J19" s="66">
        <v>0.05</v>
      </c>
      <c r="K19" s="67">
        <v>1.5</v>
      </c>
      <c r="L19" s="67">
        <v>1.6</v>
      </c>
      <c r="M19" s="67">
        <v>1.6</v>
      </c>
      <c r="N19" s="67">
        <v>1.9</v>
      </c>
      <c r="O19" s="67">
        <v>2</v>
      </c>
    </row>
    <row r="20" spans="2:17">
      <c r="B20" s="66">
        <v>13</v>
      </c>
      <c r="C20" s="69" t="str">
        <f>Uebersetzung!D499</f>
        <v>2-IV-IR, valeur U (verre) 1.2 W/m2K</v>
      </c>
      <c r="D20" s="69"/>
      <c r="H20" s="67">
        <v>1.2</v>
      </c>
      <c r="I20" s="68">
        <v>0.55000000000000004</v>
      </c>
      <c r="J20" s="66">
        <v>0.05</v>
      </c>
      <c r="K20" s="67">
        <v>1.4</v>
      </c>
      <c r="L20" s="67">
        <v>1.5</v>
      </c>
      <c r="M20" s="67">
        <v>1.6</v>
      </c>
      <c r="N20" s="67">
        <v>1.8</v>
      </c>
      <c r="O20" s="67">
        <v>2</v>
      </c>
    </row>
    <row r="21" spans="2:17">
      <c r="B21" s="66">
        <v>14</v>
      </c>
      <c r="C21" s="69" t="str">
        <f>Uebersetzung!D500</f>
        <v>2-IV-IR, valeur U (verre) 1.1 W/m2K</v>
      </c>
      <c r="D21" s="69"/>
      <c r="H21" s="67">
        <v>1.1000000000000001</v>
      </c>
      <c r="I21" s="68">
        <v>0.55000000000000004</v>
      </c>
      <c r="J21" s="66">
        <v>0.05</v>
      </c>
      <c r="K21" s="67">
        <v>1.3</v>
      </c>
      <c r="L21" s="67">
        <v>1.4</v>
      </c>
      <c r="M21" s="67">
        <v>1.5</v>
      </c>
      <c r="N21" s="67">
        <v>1.7</v>
      </c>
      <c r="O21" s="67">
        <v>1.9</v>
      </c>
    </row>
    <row r="22" spans="2:17">
      <c r="B22" s="66">
        <v>15</v>
      </c>
      <c r="C22" s="69" t="str">
        <f>Uebersetzung!D501</f>
        <v>3-IV-IR-IR, valeur U (verre) 1.2 W/m2K</v>
      </c>
      <c r="D22" s="69"/>
      <c r="H22" s="67">
        <v>1.2</v>
      </c>
      <c r="I22" s="68">
        <v>0.45</v>
      </c>
      <c r="J22" s="66">
        <v>0.06</v>
      </c>
      <c r="K22" s="67">
        <v>1.4</v>
      </c>
      <c r="L22" s="67">
        <v>1.5</v>
      </c>
      <c r="M22" s="67">
        <v>1.6</v>
      </c>
      <c r="N22" s="67">
        <v>1.7</v>
      </c>
      <c r="O22" s="67">
        <v>1.9</v>
      </c>
    </row>
    <row r="23" spans="2:17">
      <c r="B23" s="66">
        <v>16</v>
      </c>
      <c r="C23" s="69" t="str">
        <f>Uebersetzung!D502</f>
        <v>3-IV-IR-IR, valeur U (verre) 1.1 W/m2K</v>
      </c>
      <c r="D23" s="69"/>
      <c r="H23" s="67">
        <v>1.1000000000000001</v>
      </c>
      <c r="I23" s="68">
        <v>0.45</v>
      </c>
      <c r="J23" s="66">
        <v>0.06</v>
      </c>
      <c r="K23" s="67">
        <v>1.3</v>
      </c>
      <c r="L23" s="67">
        <v>1.4</v>
      </c>
      <c r="M23" s="67">
        <v>1.5</v>
      </c>
      <c r="N23" s="67">
        <v>1.6</v>
      </c>
      <c r="O23" s="67">
        <v>1.8</v>
      </c>
    </row>
    <row r="24" spans="2:17">
      <c r="B24" s="66">
        <v>17</v>
      </c>
      <c r="C24" s="69" t="str">
        <f>Uebersetzung!D503</f>
        <v>3-IV-IR-IR, valeur U (verre) 0.9 W/m2K</v>
      </c>
      <c r="D24" s="69"/>
      <c r="H24" s="67">
        <v>0.9</v>
      </c>
      <c r="I24" s="68">
        <v>0.45</v>
      </c>
      <c r="J24" s="66">
        <v>0.06</v>
      </c>
      <c r="K24" s="67">
        <v>1.2</v>
      </c>
      <c r="L24" s="67">
        <v>1.3</v>
      </c>
      <c r="M24" s="67">
        <v>1.3</v>
      </c>
      <c r="N24" s="67">
        <v>1.5</v>
      </c>
      <c r="O24" s="67">
        <v>1.7</v>
      </c>
    </row>
    <row r="25" spans="2:17">
      <c r="B25" s="66">
        <v>18</v>
      </c>
      <c r="C25" s="69" t="str">
        <f>Uebersetzung!D504</f>
        <v>3-IV-IR-IR, valeur U (verre) 0.8 W/m2K</v>
      </c>
      <c r="D25" s="69"/>
      <c r="H25" s="67">
        <v>0.8</v>
      </c>
      <c r="I25" s="68">
        <v>0.45</v>
      </c>
      <c r="J25" s="66">
        <v>0.06</v>
      </c>
      <c r="K25" s="67">
        <v>1.1000000000000001</v>
      </c>
      <c r="L25" s="67">
        <v>1.2</v>
      </c>
      <c r="M25" s="67">
        <v>1.2</v>
      </c>
      <c r="N25" s="67">
        <v>1.4</v>
      </c>
      <c r="O25" s="67">
        <v>1.6</v>
      </c>
    </row>
    <row r="26" spans="2:17">
      <c r="B26" s="66">
        <v>19</v>
      </c>
      <c r="C26" s="69" t="str">
        <f>Uebersetzung!D505</f>
        <v>3-IV-IR-IR, valeur U (verre) 0.5 W/m2K</v>
      </c>
      <c r="D26" s="69"/>
      <c r="H26" s="67">
        <v>0.5</v>
      </c>
      <c r="I26" s="68">
        <v>0.45</v>
      </c>
      <c r="J26" s="66">
        <v>0.06</v>
      </c>
      <c r="K26" s="67">
        <v>0.8</v>
      </c>
      <c r="L26" s="67">
        <v>0.9</v>
      </c>
      <c r="M26" s="67">
        <v>1</v>
      </c>
      <c r="N26" s="67">
        <v>1.2</v>
      </c>
      <c r="O26" s="67">
        <v>1.3</v>
      </c>
    </row>
    <row r="27" spans="2:17">
      <c r="B27" s="138" t="str">
        <f>Uebersetzung!D509</f>
        <v>Fenêtres spécials:</v>
      </c>
      <c r="D27" s="69"/>
      <c r="G27" s="73"/>
      <c r="H27" s="139" t="str">
        <f>Uebersetzung!D448</f>
        <v>Valeur U total:</v>
      </c>
      <c r="I27" s="68" t="str">
        <f>Uebersetzung!D450</f>
        <v>Valeur g</v>
      </c>
      <c r="L27" s="71" t="str">
        <f>Uebersetzung!D510</f>
        <v>Châssis</v>
      </c>
      <c r="M27" s="69"/>
      <c r="N27" s="70"/>
      <c r="O27" s="66"/>
      <c r="P27" s="472"/>
      <c r="Q27" s="67"/>
    </row>
    <row r="28" spans="2:17">
      <c r="B28" s="66"/>
      <c r="C28" s="2544"/>
      <c r="D28" s="2544"/>
      <c r="E28" s="2544"/>
      <c r="F28" s="2544"/>
      <c r="G28" s="73"/>
      <c r="H28" s="354"/>
      <c r="I28" s="433"/>
      <c r="L28" s="71"/>
      <c r="M28" s="71"/>
      <c r="N28" s="71"/>
      <c r="O28" s="71"/>
      <c r="P28" s="525"/>
      <c r="Q28" s="71"/>
    </row>
    <row r="29" spans="2:17" ht="13.5">
      <c r="B29" s="66"/>
      <c r="C29" s="2544"/>
      <c r="D29" s="2544"/>
      <c r="E29" s="2544"/>
      <c r="F29" s="2544"/>
      <c r="G29" s="73"/>
      <c r="H29" s="354"/>
      <c r="I29" s="433"/>
      <c r="L29" s="69" t="str">
        <f>Uebersetzung!D511</f>
        <v>Catégorie I,  Châssis spécial, valeur U 1.0 W/m2K</v>
      </c>
      <c r="M29" s="140"/>
      <c r="N29" s="27"/>
      <c r="O29" s="66"/>
      <c r="P29" s="635">
        <v>1</v>
      </c>
      <c r="Q29" s="225" t="s">
        <v>249</v>
      </c>
    </row>
    <row r="30" spans="2:17" ht="13.5">
      <c r="B30" s="66"/>
      <c r="C30" s="2544"/>
      <c r="D30" s="2544"/>
      <c r="E30" s="2544"/>
      <c r="F30" s="2544"/>
      <c r="G30" s="73"/>
      <c r="H30" s="354"/>
      <c r="I30" s="433"/>
      <c r="L30" s="69" t="str">
        <f>Uebersetzung!D512</f>
        <v>Catégorie II,  Châssis spécial, valeur U 1.4 W/m2K</v>
      </c>
      <c r="M30" s="140"/>
      <c r="N30" s="27"/>
      <c r="O30" s="66"/>
      <c r="P30" s="635">
        <v>1.4</v>
      </c>
      <c r="Q30" s="225" t="s">
        <v>249</v>
      </c>
    </row>
    <row r="31" spans="2:17" ht="13.5">
      <c r="B31" s="66"/>
      <c r="C31" s="2544"/>
      <c r="D31" s="2544"/>
      <c r="E31" s="2544"/>
      <c r="F31" s="2544"/>
      <c r="G31" s="73"/>
      <c r="H31" s="354"/>
      <c r="I31" s="433"/>
      <c r="L31" s="69" t="str">
        <f>Uebersetzung!D513</f>
        <v>Catégorie III,  Châssis bois-métal, valeur U 1.8 W/m2K</v>
      </c>
      <c r="M31" s="140"/>
      <c r="N31" s="27"/>
      <c r="O31" s="66"/>
      <c r="P31" s="635">
        <v>1.8</v>
      </c>
      <c r="Q31" s="225" t="s">
        <v>249</v>
      </c>
    </row>
    <row r="32" spans="2:17" ht="13.5">
      <c r="B32" s="66"/>
      <c r="C32" s="2544"/>
      <c r="D32" s="2544"/>
      <c r="E32" s="2544"/>
      <c r="F32" s="2544"/>
      <c r="G32" s="73"/>
      <c r="H32" s="354"/>
      <c r="I32" s="433"/>
      <c r="L32" s="69" t="str">
        <f>Uebersetzung!D514</f>
        <v>Catégorie IV,  Châssis plastique, valeur U 2.2 W/m2K</v>
      </c>
      <c r="M32" s="140"/>
      <c r="N32" s="27"/>
      <c r="O32" s="66"/>
      <c r="P32" s="635">
        <v>2.2000000000000002</v>
      </c>
      <c r="Q32" s="225" t="s">
        <v>249</v>
      </c>
    </row>
    <row r="33" spans="2:17" ht="13.5">
      <c r="B33" s="66"/>
      <c r="C33" s="2544"/>
      <c r="D33" s="2544"/>
      <c r="E33" s="2544"/>
      <c r="F33" s="2544"/>
      <c r="G33" s="73"/>
      <c r="H33" s="354"/>
      <c r="I33" s="433"/>
      <c r="L33" s="69" t="str">
        <f>Uebersetzung!D515</f>
        <v>Catégorie V,  Profiles collés isolés, valeur U 2.8 W/m2K</v>
      </c>
      <c r="M33" s="140"/>
      <c r="N33" s="27"/>
      <c r="O33" s="66"/>
      <c r="P33" s="635">
        <v>2.8</v>
      </c>
      <c r="Q33" s="225" t="s">
        <v>249</v>
      </c>
    </row>
    <row r="34" spans="2:17">
      <c r="D34" s="69"/>
      <c r="H34" s="67"/>
      <c r="I34" s="68"/>
    </row>
    <row r="35" spans="2:17" ht="20.25">
      <c r="B35" s="136" t="str">
        <f>Uebersetzung!D517</f>
        <v>Portes</v>
      </c>
      <c r="D35" s="69"/>
      <c r="H35" s="67"/>
      <c r="I35" s="73"/>
      <c r="N35" s="27"/>
    </row>
    <row r="36" spans="2:17">
      <c r="D36" s="69"/>
      <c r="H36" s="67"/>
      <c r="I36" s="73"/>
      <c r="N36" s="27"/>
    </row>
    <row r="37" spans="2:17" ht="13.5">
      <c r="B37" s="71" t="s">
        <v>994</v>
      </c>
      <c r="C37" s="69" t="str">
        <f>Uebersetzung!D518</f>
        <v>Plaque d'aggloméré 22mm, Isolation thermique 30mm, Täferaufdop. 21 mm</v>
      </c>
      <c r="D37" s="69"/>
      <c r="H37" s="67">
        <v>1.1000000000000001</v>
      </c>
      <c r="I37" s="225" t="s">
        <v>249</v>
      </c>
      <c r="N37" s="27"/>
    </row>
    <row r="38" spans="2:17" ht="13.5">
      <c r="B38" s="71" t="s">
        <v>996</v>
      </c>
      <c r="C38" s="69" t="str">
        <f>Uebersetzung!D519</f>
        <v>Plaque d'aggloméré 22 mm, Isolation thermique 10 mm, Täferaufdop. 21 mm</v>
      </c>
      <c r="D38" s="69"/>
      <c r="H38" s="67">
        <v>1.6</v>
      </c>
      <c r="I38" s="225" t="s">
        <v>249</v>
      </c>
      <c r="N38" s="27"/>
    </row>
    <row r="39" spans="2:17" ht="13.5">
      <c r="B39" s="71" t="s">
        <v>1748</v>
      </c>
      <c r="C39" s="69" t="str">
        <f>Uebersetzung!D520</f>
        <v>Epicéa massive, collé 40 mm</v>
      </c>
      <c r="D39" s="69"/>
      <c r="H39" s="67">
        <v>2.2000000000000002</v>
      </c>
      <c r="I39" s="225" t="s">
        <v>249</v>
      </c>
      <c r="N39" s="27"/>
    </row>
    <row r="40" spans="2:17" ht="13.5">
      <c r="B40" s="71" t="s">
        <v>1750</v>
      </c>
      <c r="C40" s="69" t="str">
        <f>Uebersetzung!D521</f>
        <v>Chêne massive, collé 40 mm</v>
      </c>
      <c r="D40" s="69"/>
      <c r="H40" s="67">
        <v>2.8</v>
      </c>
      <c r="I40" s="225" t="s">
        <v>249</v>
      </c>
      <c r="N40" s="27"/>
    </row>
    <row r="41" spans="2:17" ht="13.5">
      <c r="B41" s="71" t="s">
        <v>1084</v>
      </c>
      <c r="C41" s="69" t="str">
        <f>Uebersetzung!D522</f>
        <v>Plaque d'aggloméré 40 mm, avec couche d'aluminium 2 faces</v>
      </c>
      <c r="D41" s="69"/>
      <c r="H41" s="67">
        <v>2.5</v>
      </c>
      <c r="I41" s="225" t="s">
        <v>249</v>
      </c>
      <c r="N41" s="27"/>
    </row>
    <row r="42" spans="2:17" ht="13.5">
      <c r="B42" s="71" t="s">
        <v>1086</v>
      </c>
      <c r="C42" s="69" t="str">
        <f>Uebersetzung!D523</f>
        <v>Tôle d'aluminium 2 faces, isolation thermique 20 mm</v>
      </c>
      <c r="D42" s="69"/>
      <c r="H42" s="67">
        <v>2.1</v>
      </c>
      <c r="I42" s="225" t="s">
        <v>249</v>
      </c>
      <c r="N42" s="27"/>
    </row>
    <row r="43" spans="2:17" ht="13.5">
      <c r="B43" s="71" t="s">
        <v>1088</v>
      </c>
      <c r="C43" s="69" t="str">
        <f>Uebersetzung!D524</f>
        <v>Tôle d'aluminium 2 faces, isolation thermique 40 mm</v>
      </c>
      <c r="D43" s="69"/>
      <c r="H43" s="67">
        <v>1.3</v>
      </c>
      <c r="I43" s="225" t="s">
        <v>249</v>
      </c>
      <c r="N43" s="27"/>
    </row>
    <row r="44" spans="2:17" ht="13.5">
      <c r="B44" s="71" t="s">
        <v>766</v>
      </c>
      <c r="C44" s="69" t="str">
        <f>Uebersetzung!D525</f>
        <v>Feuille de placage, plaque d'aggloméré 40mm, aluminium 2 faces</v>
      </c>
      <c r="D44" s="66"/>
      <c r="E44" s="66"/>
      <c r="H44" s="66">
        <v>1.6</v>
      </c>
      <c r="I44" s="225" t="s">
        <v>249</v>
      </c>
      <c r="N44" s="27"/>
    </row>
    <row r="45" spans="2:17" ht="13.5">
      <c r="B45" s="71" t="s">
        <v>768</v>
      </c>
      <c r="C45" s="69" t="str">
        <f>Uebersetzung!D526</f>
        <v>Feuille de placage, plaque d'aggloméré 16mm, isolation th. 18mm, alu 2 faces</v>
      </c>
      <c r="D45" s="66"/>
      <c r="E45" s="66"/>
      <c r="H45" s="66">
        <v>1.1000000000000001</v>
      </c>
      <c r="I45" s="225" t="s">
        <v>249</v>
      </c>
      <c r="N45" s="27"/>
    </row>
    <row r="46" spans="2:17" ht="13.5">
      <c r="B46" s="71" t="s">
        <v>770</v>
      </c>
      <c r="C46" s="69" t="str">
        <f>Uebersetzung!D527</f>
        <v>Porte intérieure appuyée, 36mm  avec remplissage de bois</v>
      </c>
      <c r="D46" s="66"/>
      <c r="E46" s="66"/>
      <c r="H46" s="66">
        <v>2.9</v>
      </c>
      <c r="I46" s="225" t="s">
        <v>249</v>
      </c>
      <c r="N46" s="27"/>
    </row>
    <row r="47" spans="2:17" ht="13.5">
      <c r="B47" s="71" t="s">
        <v>772</v>
      </c>
      <c r="C47" s="69" t="str">
        <f>Uebersetzung!D528</f>
        <v>Porte creuse intérieure 40mm</v>
      </c>
      <c r="D47" s="66"/>
      <c r="E47" s="66"/>
      <c r="H47" s="66">
        <v>2</v>
      </c>
      <c r="I47" s="225" t="s">
        <v>249</v>
      </c>
      <c r="N47" s="27"/>
    </row>
    <row r="48" spans="2:17" ht="13.5">
      <c r="B48" s="71" t="s">
        <v>774</v>
      </c>
      <c r="C48" s="69" t="str">
        <f>Uebersetzung!D529</f>
        <v>Porte pleine intérieure 40mm</v>
      </c>
      <c r="D48" s="66"/>
      <c r="E48" s="66"/>
      <c r="H48" s="66">
        <v>2.2000000000000002</v>
      </c>
      <c r="I48" s="225" t="s">
        <v>249</v>
      </c>
      <c r="N48" s="27"/>
    </row>
    <row r="49" spans="1:34" ht="13.5">
      <c r="B49" s="71" t="s">
        <v>764</v>
      </c>
      <c r="C49" s="2544"/>
      <c r="D49" s="2544"/>
      <c r="E49" s="2544"/>
      <c r="F49" s="2544"/>
      <c r="H49" s="353"/>
      <c r="I49" s="225" t="s">
        <v>249</v>
      </c>
      <c r="N49" s="27"/>
    </row>
    <row r="50" spans="1:34" ht="13.5">
      <c r="B50" s="71" t="s">
        <v>25</v>
      </c>
      <c r="C50" s="2544"/>
      <c r="D50" s="2544"/>
      <c r="E50" s="2544"/>
      <c r="F50" s="2544"/>
      <c r="H50" s="353"/>
      <c r="I50" s="225" t="s">
        <v>249</v>
      </c>
      <c r="N50" s="27"/>
    </row>
    <row r="53" spans="1:34" ht="20.25">
      <c r="B53" s="136" t="str">
        <f>Uebersetzung!D530</f>
        <v>Eléments</v>
      </c>
      <c r="K53" s="627" t="str">
        <f>Uebersetzung!D531</f>
        <v>Ponts thermiques</v>
      </c>
    </row>
    <row r="55" spans="1:34">
      <c r="A55" s="66"/>
      <c r="B55" s="356"/>
      <c r="C55" s="66"/>
      <c r="D55" s="66"/>
      <c r="E55" s="66"/>
      <c r="G55" s="473" t="s">
        <v>1004</v>
      </c>
      <c r="H55" s="473" t="s">
        <v>1005</v>
      </c>
      <c r="I55" s="473" t="s">
        <v>808</v>
      </c>
      <c r="J55" s="27"/>
    </row>
    <row r="56" spans="1:34" ht="13.5">
      <c r="A56" s="66"/>
      <c r="B56" s="138" t="s">
        <v>663</v>
      </c>
      <c r="C56" s="74"/>
      <c r="D56" s="66"/>
      <c r="E56" s="66"/>
      <c r="F56" s="27"/>
      <c r="G56" s="66" t="s">
        <v>248</v>
      </c>
      <c r="H56" s="66" t="s">
        <v>1190</v>
      </c>
      <c r="I56" s="473" t="s">
        <v>2325</v>
      </c>
      <c r="J56" s="27"/>
      <c r="K56" s="161"/>
      <c r="L56" s="385"/>
      <c r="M56" s="153"/>
      <c r="N56" s="385" t="str">
        <f>Uebersetzung!D532</f>
        <v>Toit / mur extérieur:</v>
      </c>
      <c r="O56" s="153"/>
      <c r="P56" s="418"/>
      <c r="Q56" s="2546" t="s">
        <v>757</v>
      </c>
      <c r="R56" s="2549"/>
      <c r="S56" s="118"/>
      <c r="T56" s="30"/>
      <c r="U56" s="30"/>
      <c r="V56" s="30"/>
      <c r="W56" s="30"/>
      <c r="X56" s="30"/>
      <c r="Y56" s="30"/>
    </row>
    <row r="57" spans="1:34">
      <c r="A57" s="66"/>
      <c r="B57" s="138"/>
      <c r="C57" s="27"/>
      <c r="D57" s="66"/>
      <c r="E57" s="66"/>
      <c r="F57" s="27"/>
      <c r="H57" s="66">
        <v>0</v>
      </c>
      <c r="I57" s="474"/>
      <c r="J57" s="27"/>
      <c r="K57" s="154" t="str">
        <f>Uebersetzung!D533</f>
        <v>Béton, dalle continue, façade/toiture 0.15 W/m2K</v>
      </c>
      <c r="L57" s="64"/>
      <c r="M57" s="64"/>
      <c r="N57" s="64"/>
      <c r="O57" s="64"/>
      <c r="P57" s="171"/>
      <c r="Q57" s="56">
        <v>0.56000000000000005</v>
      </c>
      <c r="R57" s="344" t="s">
        <v>1190</v>
      </c>
      <c r="S57" s="118"/>
      <c r="T57" s="30"/>
      <c r="U57" s="30"/>
      <c r="V57" s="30"/>
      <c r="W57" s="30"/>
      <c r="X57" s="30"/>
      <c r="Y57" s="30"/>
    </row>
    <row r="58" spans="1:34">
      <c r="A58" s="66"/>
      <c r="B58" s="2544"/>
      <c r="C58" s="2544"/>
      <c r="D58" s="2544"/>
      <c r="E58" s="2544"/>
      <c r="F58" s="2544"/>
      <c r="G58" s="362"/>
      <c r="H58" s="362"/>
      <c r="I58" s="499"/>
      <c r="J58" s="27"/>
      <c r="K58" s="154" t="str">
        <f>Uebersetzung!D534</f>
        <v>Béton, dalle continue, façade/toiture 0.25 W/m2K</v>
      </c>
      <c r="L58" s="64"/>
      <c r="M58" s="64"/>
      <c r="N58" s="64"/>
      <c r="O58" s="64"/>
      <c r="P58" s="171"/>
      <c r="Q58" s="56">
        <v>0.63</v>
      </c>
      <c r="R58" s="344" t="s">
        <v>1190</v>
      </c>
      <c r="S58" s="118"/>
      <c r="T58" s="30"/>
      <c r="U58" s="30"/>
      <c r="V58" s="30"/>
      <c r="W58" s="30"/>
      <c r="X58" s="30"/>
      <c r="Y58" s="30"/>
    </row>
    <row r="59" spans="1:34">
      <c r="A59" s="66"/>
      <c r="B59" s="2544"/>
      <c r="C59" s="2544"/>
      <c r="D59" s="2544"/>
      <c r="E59" s="2544"/>
      <c r="F59" s="2544"/>
      <c r="G59" s="362"/>
      <c r="H59" s="362"/>
      <c r="I59" s="499"/>
      <c r="J59" s="27"/>
      <c r="K59" s="154" t="str">
        <f>Uebersetzung!D535</f>
        <v>Béton, dalle continue, façade/toiture 0.35 W/m2K</v>
      </c>
      <c r="L59" s="64"/>
      <c r="M59" s="64"/>
      <c r="N59" s="64"/>
      <c r="O59" s="64"/>
      <c r="P59" s="171"/>
      <c r="Q59" s="56">
        <v>0.63</v>
      </c>
      <c r="R59" s="344" t="s">
        <v>1190</v>
      </c>
      <c r="S59" s="118"/>
      <c r="T59" s="30"/>
      <c r="U59" s="30"/>
      <c r="V59" s="30"/>
      <c r="W59" s="30"/>
      <c r="X59" s="30"/>
      <c r="Y59" s="30"/>
    </row>
    <row r="60" spans="1:34">
      <c r="A60" s="66"/>
      <c r="B60" s="2544"/>
      <c r="C60" s="2544"/>
      <c r="D60" s="2544"/>
      <c r="E60" s="2544"/>
      <c r="F60" s="2544"/>
      <c r="G60" s="362"/>
      <c r="H60" s="362"/>
      <c r="I60" s="499"/>
      <c r="J60" s="27"/>
      <c r="K60" s="154" t="str">
        <f>Uebersetzung!D536</f>
        <v>Béton, isolation sous bord de dalle, façade/toit. 0.15 W/m2K</v>
      </c>
      <c r="L60" s="64"/>
      <c r="M60" s="64"/>
      <c r="N60" s="64"/>
      <c r="O60" s="64"/>
      <c r="P60" s="171"/>
      <c r="Q60" s="56">
        <v>0.36</v>
      </c>
      <c r="R60" s="344" t="s">
        <v>1190</v>
      </c>
      <c r="S60" s="118"/>
      <c r="T60" s="30"/>
      <c r="U60" s="30"/>
      <c r="V60" s="30"/>
      <c r="W60" s="30"/>
      <c r="X60" s="30"/>
      <c r="Y60" s="30"/>
    </row>
    <row r="61" spans="1:34">
      <c r="A61" s="66"/>
      <c r="B61" s="2544"/>
      <c r="C61" s="2544"/>
      <c r="D61" s="2544"/>
      <c r="E61" s="2544"/>
      <c r="F61" s="2544"/>
      <c r="G61" s="362"/>
      <c r="H61" s="362"/>
      <c r="I61" s="499"/>
      <c r="J61" s="27"/>
      <c r="K61" s="154" t="str">
        <f>Uebersetzung!D537</f>
        <v>Béton, isolation sous bord de dalle, façade/toit. 0.25 W/m2K</v>
      </c>
      <c r="L61" s="64"/>
      <c r="M61" s="64"/>
      <c r="N61" s="64"/>
      <c r="O61" s="64"/>
      <c r="P61" s="63"/>
      <c r="Q61" s="56">
        <v>0.34</v>
      </c>
      <c r="R61" s="344" t="s">
        <v>1190</v>
      </c>
      <c r="S61" s="118"/>
      <c r="T61" s="30"/>
      <c r="U61" s="30"/>
      <c r="V61" s="30"/>
      <c r="W61" s="30"/>
      <c r="X61" s="30"/>
      <c r="Y61" s="30"/>
    </row>
    <row r="62" spans="1:34">
      <c r="A62" s="66"/>
      <c r="B62" s="2544"/>
      <c r="C62" s="2544"/>
      <c r="D62" s="2544"/>
      <c r="E62" s="2544"/>
      <c r="F62" s="2544"/>
      <c r="G62" s="362"/>
      <c r="H62" s="362"/>
      <c r="I62" s="499"/>
      <c r="J62" s="27"/>
      <c r="K62" s="154" t="str">
        <f>Uebersetzung!D538</f>
        <v>Béton, isolation sous bord de dalle, façade/toit. 0.35 W/m2K</v>
      </c>
      <c r="L62" s="631"/>
      <c r="M62" s="631"/>
      <c r="N62" s="631"/>
      <c r="O62" s="631"/>
      <c r="P62" s="291"/>
      <c r="Q62" s="56">
        <v>0.28999999999999998</v>
      </c>
      <c r="R62" s="344" t="s">
        <v>1190</v>
      </c>
      <c r="S62" s="118"/>
      <c r="T62" s="30"/>
      <c r="U62" s="30"/>
      <c r="V62" s="30"/>
      <c r="W62" s="30"/>
      <c r="X62" s="30"/>
      <c r="Y62" s="30"/>
    </row>
    <row r="63" spans="1:34">
      <c r="A63" s="66"/>
      <c r="B63" s="497" t="str">
        <f>IF(Uebersetzung!$A$1=1,Bauteile!S63,Bauteile!AA63)</f>
        <v>Acier</v>
      </c>
      <c r="C63" s="497"/>
      <c r="D63" s="497"/>
      <c r="E63" s="497"/>
      <c r="F63" s="497"/>
      <c r="G63" s="498">
        <f>IF(Uebersetzung!$A$1=1,Bauteile!X63,Bauteile!AF63)</f>
        <v>7800</v>
      </c>
      <c r="H63" s="498">
        <f>IF(Uebersetzung!$A$1=1,Bauteile!Y63,Bauteile!AG63)</f>
        <v>50</v>
      </c>
      <c r="I63" s="498">
        <f>IF(Uebersetzung!$A$1=1,Bauteile!Z63,Bauteile!AH63)</f>
        <v>500000</v>
      </c>
      <c r="J63" s="27"/>
      <c r="K63" s="154" t="str">
        <f>Uebersetzung!D539</f>
        <v>façade en brique, dalle continue, façade/toit. 0.15 W/m2K</v>
      </c>
      <c r="L63" s="64"/>
      <c r="M63" s="64"/>
      <c r="N63" s="64"/>
      <c r="O63" s="64"/>
      <c r="P63" s="63"/>
      <c r="Q63" s="56">
        <v>0.47</v>
      </c>
      <c r="R63" s="344" t="s">
        <v>1190</v>
      </c>
      <c r="S63" s="1528" t="s">
        <v>1925</v>
      </c>
      <c r="T63" s="497"/>
      <c r="U63" s="497"/>
      <c r="V63" s="497"/>
      <c r="W63" s="497"/>
      <c r="X63" s="498">
        <v>1400</v>
      </c>
      <c r="Y63" s="498">
        <v>0.7</v>
      </c>
      <c r="Z63" s="1471">
        <v>10</v>
      </c>
      <c r="AA63" s="1878" t="s">
        <v>3651</v>
      </c>
      <c r="AB63" s="30"/>
      <c r="AC63" s="30"/>
      <c r="AD63" s="421"/>
      <c r="AE63" s="30"/>
      <c r="AF63" s="422">
        <v>7800</v>
      </c>
      <c r="AG63" s="422">
        <v>50</v>
      </c>
      <c r="AH63" s="1881">
        <v>500000</v>
      </c>
    </row>
    <row r="64" spans="1:34">
      <c r="A64" s="66"/>
      <c r="B64" s="497" t="str">
        <f>IF(Uebersetzung!$A$1=1,Bauteile!S64,Bauteile!AA64)</f>
        <v>Acier inoxydable</v>
      </c>
      <c r="C64" s="497"/>
      <c r="D64" s="497"/>
      <c r="E64" s="497"/>
      <c r="F64" s="497"/>
      <c r="G64" s="498">
        <f>IF(Uebersetzung!$A$1=1,Bauteile!X64,Bauteile!AF64)</f>
        <v>7900</v>
      </c>
      <c r="H64" s="498">
        <f>IF(Uebersetzung!$A$1=1,Bauteile!Y64,Bauteile!AG64)</f>
        <v>17</v>
      </c>
      <c r="I64" s="498">
        <f>IF(Uebersetzung!$A$1=1,Bauteile!Z64,Bauteile!AH64)</f>
        <v>500000</v>
      </c>
      <c r="J64" s="27"/>
      <c r="K64" s="154" t="str">
        <f>Uebersetzung!D540</f>
        <v>façade en brique, dalle continue, façade/toit. 0.25 W/m2K</v>
      </c>
      <c r="L64" s="64"/>
      <c r="M64" s="64"/>
      <c r="N64" s="64"/>
      <c r="O64" s="64"/>
      <c r="P64" s="63"/>
      <c r="Q64" s="56">
        <v>0.5</v>
      </c>
      <c r="R64" s="344" t="s">
        <v>1190</v>
      </c>
      <c r="S64" s="1878" t="s">
        <v>664</v>
      </c>
      <c r="T64" s="30"/>
      <c r="U64" s="30"/>
      <c r="V64" s="545"/>
      <c r="W64" s="30"/>
      <c r="X64" s="546">
        <v>2700</v>
      </c>
      <c r="Y64" s="546">
        <v>200</v>
      </c>
      <c r="Z64" s="1472">
        <v>500000</v>
      </c>
      <c r="AA64" s="1878" t="s">
        <v>3652</v>
      </c>
      <c r="AB64" s="30"/>
      <c r="AC64" s="30"/>
      <c r="AD64" s="421"/>
      <c r="AE64" s="30"/>
      <c r="AF64" s="422">
        <v>7900</v>
      </c>
      <c r="AG64" s="422">
        <v>17</v>
      </c>
      <c r="AH64" s="1881">
        <v>500000</v>
      </c>
    </row>
    <row r="65" spans="1:34">
      <c r="A65" s="66"/>
      <c r="B65" s="497" t="str">
        <f>IF(Uebersetzung!$A$1=1,Bauteile!S65,Bauteile!AA65)</f>
        <v>Agglomérés creux bois-ciment</v>
      </c>
      <c r="C65" s="497"/>
      <c r="D65" s="497"/>
      <c r="E65" s="497"/>
      <c r="F65" s="497"/>
      <c r="G65" s="498">
        <f>IF(Uebersetzung!$A$1=1,Bauteile!X65,Bauteile!AF65)</f>
        <v>600</v>
      </c>
      <c r="H65" s="498">
        <f>IF(Uebersetzung!$A$1=1,Bauteile!Y65,Bauteile!AG65)</f>
        <v>0.12</v>
      </c>
      <c r="I65" s="498">
        <f>IF(Uebersetzung!$A$1=1,Bauteile!Z65,Bauteile!AH65)</f>
        <v>25</v>
      </c>
      <c r="J65" s="27"/>
      <c r="K65" s="154" t="str">
        <f>Uebersetzung!D541</f>
        <v>façade en brique, dalle continue, façade/toit. 0.35 W/m2K</v>
      </c>
      <c r="L65" s="64"/>
      <c r="M65" s="64"/>
      <c r="N65" s="64"/>
      <c r="O65" s="64"/>
      <c r="P65" s="63"/>
      <c r="Q65" s="56">
        <v>0.48</v>
      </c>
      <c r="R65" s="344" t="s">
        <v>1190</v>
      </c>
      <c r="S65" s="1878" t="s">
        <v>1851</v>
      </c>
      <c r="T65" s="30"/>
      <c r="U65" s="30"/>
      <c r="V65" s="545"/>
      <c r="W65" s="30"/>
      <c r="X65" s="546">
        <v>2800</v>
      </c>
      <c r="Y65" s="546">
        <v>160</v>
      </c>
      <c r="Z65" s="1472">
        <v>500000</v>
      </c>
      <c r="AA65" s="1878" t="s">
        <v>3653</v>
      </c>
      <c r="AB65" s="30"/>
      <c r="AC65" s="30"/>
      <c r="AD65" s="421"/>
      <c r="AE65" s="30"/>
      <c r="AF65" s="422">
        <v>600</v>
      </c>
      <c r="AG65" s="422">
        <v>0.12</v>
      </c>
      <c r="AH65" s="1881">
        <v>25</v>
      </c>
    </row>
    <row r="66" spans="1:34">
      <c r="A66" s="66"/>
      <c r="B66" s="497" t="str">
        <f>IF(Uebersetzung!$A$1=1,Bauteile!S66,Bauteile!AA66)</f>
        <v>Agglomérés creux en ciment</v>
      </c>
      <c r="C66" s="497"/>
      <c r="D66" s="497"/>
      <c r="E66" s="497"/>
      <c r="F66" s="497"/>
      <c r="G66" s="498">
        <f>IF(Uebersetzung!$A$1=1,Bauteile!X66,Bauteile!AF66)</f>
        <v>1200</v>
      </c>
      <c r="H66" s="498">
        <f>IF(Uebersetzung!$A$1=1,Bauteile!Y66,Bauteile!AG66)</f>
        <v>0.7</v>
      </c>
      <c r="I66" s="498">
        <f>IF(Uebersetzung!$A$1=1,Bauteile!Z66,Bauteile!AH66)</f>
        <v>13</v>
      </c>
      <c r="J66" s="27"/>
      <c r="K66" s="2552"/>
      <c r="L66" s="2553"/>
      <c r="M66" s="2553"/>
      <c r="N66" s="2553"/>
      <c r="O66" s="2553"/>
      <c r="P66" s="63"/>
      <c r="Q66" s="632"/>
      <c r="R66" s="344" t="s">
        <v>1190</v>
      </c>
      <c r="S66" s="1878" t="s">
        <v>89</v>
      </c>
      <c r="T66" s="30"/>
      <c r="U66" s="30"/>
      <c r="V66" s="545"/>
      <c r="W66" s="30"/>
      <c r="X66" s="546">
        <v>2000</v>
      </c>
      <c r="Y66" s="546">
        <v>50</v>
      </c>
      <c r="Z66" s="1472">
        <v>500000</v>
      </c>
      <c r="AA66" s="1878" t="s">
        <v>3654</v>
      </c>
      <c r="AB66" s="30"/>
      <c r="AC66" s="30"/>
      <c r="AD66" s="421"/>
      <c r="AE66" s="30"/>
      <c r="AF66" s="422">
        <v>1200</v>
      </c>
      <c r="AG66" s="422">
        <v>0.7</v>
      </c>
      <c r="AH66" s="1881">
        <v>13</v>
      </c>
    </row>
    <row r="67" spans="1:34">
      <c r="A67" s="66"/>
      <c r="B67" s="497" t="str">
        <f>IF(Uebersetzung!$A$1=1,Bauteile!S67,Bauteile!AA67)</f>
        <v>Agglomérés pleins en ciment</v>
      </c>
      <c r="C67" s="497"/>
      <c r="D67" s="497"/>
      <c r="E67" s="497"/>
      <c r="F67" s="497"/>
      <c r="G67" s="498">
        <f>IF(Uebersetzung!$A$1=1,Bauteile!X67,Bauteile!AF67)</f>
        <v>2000</v>
      </c>
      <c r="H67" s="498">
        <f>IF(Uebersetzung!$A$1=1,Bauteile!Y67,Bauteile!AG67)</f>
        <v>1.1000000000000001</v>
      </c>
      <c r="I67" s="498">
        <f>IF(Uebersetzung!$A$1=1,Bauteile!Z67,Bauteile!AH67)</f>
        <v>13</v>
      </c>
      <c r="J67" s="27"/>
      <c r="K67" s="2552"/>
      <c r="L67" s="2553"/>
      <c r="M67" s="2553"/>
      <c r="N67" s="2553"/>
      <c r="O67" s="2553"/>
      <c r="P67" s="63"/>
      <c r="Q67" s="632"/>
      <c r="R67" s="344" t="s">
        <v>1190</v>
      </c>
      <c r="S67" s="1878" t="s">
        <v>1852</v>
      </c>
      <c r="T67" s="30"/>
      <c r="U67" s="30"/>
      <c r="V67" s="545"/>
      <c r="W67" s="30"/>
      <c r="X67" s="546">
        <v>2100</v>
      </c>
      <c r="Y67" s="546">
        <v>0.7</v>
      </c>
      <c r="Z67" s="1472">
        <v>50000</v>
      </c>
      <c r="AA67" s="1878" t="s">
        <v>3655</v>
      </c>
      <c r="AB67" s="30"/>
      <c r="AC67" s="30"/>
      <c r="AD67" s="421"/>
      <c r="AE67" s="30"/>
      <c r="AF67" s="422">
        <v>2000</v>
      </c>
      <c r="AG67" s="422">
        <v>1.1000000000000001</v>
      </c>
      <c r="AH67" s="1881">
        <v>13</v>
      </c>
    </row>
    <row r="68" spans="1:34">
      <c r="A68" s="66"/>
      <c r="B68" s="497" t="str">
        <f>IF(Uebersetzung!$A$1=1,Bauteile!S68,Bauteile!AA68)</f>
        <v>Aluminium</v>
      </c>
      <c r="C68" s="497"/>
      <c r="D68" s="497"/>
      <c r="E68" s="497"/>
      <c r="F68" s="497"/>
      <c r="G68" s="498">
        <f>IF(Uebersetzung!$A$1=1,Bauteile!X68,Bauteile!AF68)</f>
        <v>2700</v>
      </c>
      <c r="H68" s="498">
        <f>IF(Uebersetzung!$A$1=1,Bauteile!Y68,Bauteile!AG68)</f>
        <v>200</v>
      </c>
      <c r="I68" s="498">
        <f>IF(Uebersetzung!$A$1=1,Bauteile!Z68,Bauteile!AH68)</f>
        <v>500000</v>
      </c>
      <c r="J68" s="27"/>
      <c r="K68" s="2554"/>
      <c r="L68" s="2555"/>
      <c r="M68" s="2555"/>
      <c r="N68" s="2555"/>
      <c r="O68" s="2555"/>
      <c r="P68" s="63"/>
      <c r="Q68" s="633"/>
      <c r="R68" s="344" t="s">
        <v>1190</v>
      </c>
      <c r="S68" s="1878" t="s">
        <v>143</v>
      </c>
      <c r="T68" s="30"/>
      <c r="U68" s="30"/>
      <c r="V68" s="545"/>
      <c r="W68" s="30"/>
      <c r="X68" s="546">
        <v>1350</v>
      </c>
      <c r="Y68" s="546">
        <v>0.8</v>
      </c>
      <c r="Z68" s="1472">
        <v>10</v>
      </c>
      <c r="AA68" s="1878" t="s">
        <v>664</v>
      </c>
      <c r="AB68" s="30"/>
      <c r="AC68" s="30"/>
      <c r="AD68" s="421"/>
      <c r="AE68" s="30"/>
      <c r="AF68" s="422">
        <v>2700</v>
      </c>
      <c r="AG68" s="422">
        <v>200</v>
      </c>
      <c r="AH68" s="1881">
        <v>500000</v>
      </c>
    </row>
    <row r="69" spans="1:34">
      <c r="A69" s="66"/>
      <c r="B69" s="497" t="str">
        <f>IF(Uebersetzung!$A$1=1,Bauteile!S69,Bauteile!AA69)</f>
        <v>Alliages d'aluminium</v>
      </c>
      <c r="C69" s="497"/>
      <c r="D69" s="497"/>
      <c r="E69" s="497"/>
      <c r="F69" s="497"/>
      <c r="G69" s="498">
        <f>IF(Uebersetzung!$A$1=1,Bauteile!X69,Bauteile!AF69)</f>
        <v>2800</v>
      </c>
      <c r="H69" s="498">
        <f>IF(Uebersetzung!$A$1=1,Bauteile!Y69,Bauteile!AG69)</f>
        <v>160</v>
      </c>
      <c r="I69" s="498">
        <f>IF(Uebersetzung!$A$1=1,Bauteile!Z69,Bauteile!AH69)</f>
        <v>500000</v>
      </c>
      <c r="K69" s="2554"/>
      <c r="L69" s="2555"/>
      <c r="M69" s="2555"/>
      <c r="N69" s="2555"/>
      <c r="O69" s="2555"/>
      <c r="P69" s="63"/>
      <c r="Q69" s="633"/>
      <c r="R69" s="344" t="s">
        <v>1190</v>
      </c>
      <c r="S69" s="1878" t="s">
        <v>1921</v>
      </c>
      <c r="T69" s="30"/>
      <c r="U69" s="30"/>
      <c r="V69" s="545"/>
      <c r="W69" s="30"/>
      <c r="X69" s="546">
        <v>1800</v>
      </c>
      <c r="Y69" s="546">
        <v>0.87</v>
      </c>
      <c r="Z69" s="1472">
        <v>25</v>
      </c>
      <c r="AA69" s="1878" t="s">
        <v>3656</v>
      </c>
      <c r="AB69" s="30"/>
      <c r="AC69" s="30"/>
      <c r="AD69" s="421"/>
      <c r="AE69" s="30"/>
      <c r="AF69" s="422">
        <v>2800</v>
      </c>
      <c r="AG69" s="422">
        <v>160</v>
      </c>
      <c r="AH69" s="1881">
        <v>500000</v>
      </c>
    </row>
    <row r="70" spans="1:34">
      <c r="A70" s="66"/>
      <c r="B70" s="497" t="str">
        <f>IF(Uebersetzung!$A$1=1,Bauteile!S70,Bauteile!AA70)</f>
        <v>Argile expansée, lambda 0.11</v>
      </c>
      <c r="C70" s="497"/>
      <c r="D70" s="497"/>
      <c r="E70" s="497"/>
      <c r="F70" s="497"/>
      <c r="G70" s="498">
        <f>IF(Uebersetzung!$A$1=1,Bauteile!X70,Bauteile!AF70)</f>
        <v>400</v>
      </c>
      <c r="H70" s="498">
        <f>IF(Uebersetzung!$A$1=1,Bauteile!Y70,Bauteile!AG70)</f>
        <v>0.11</v>
      </c>
      <c r="I70" s="498">
        <f>IF(Uebersetzung!$A$1=1,Bauteile!Z70,Bauteile!AH70)</f>
        <v>5</v>
      </c>
      <c r="K70" s="2550"/>
      <c r="L70" s="2551"/>
      <c r="M70" s="2551"/>
      <c r="N70" s="2551"/>
      <c r="O70" s="2551"/>
      <c r="P70" s="59"/>
      <c r="Q70" s="634"/>
      <c r="R70" s="412" t="s">
        <v>1190</v>
      </c>
      <c r="S70" s="1889" t="s">
        <v>5634</v>
      </c>
      <c r="T70" s="422"/>
      <c r="U70" s="422"/>
      <c r="V70" s="422"/>
      <c r="W70" s="422"/>
      <c r="X70" s="422">
        <v>500</v>
      </c>
      <c r="Y70" s="422">
        <v>0.02</v>
      </c>
      <c r="Z70" s="1886">
        <v>2</v>
      </c>
      <c r="AA70" s="1878" t="s">
        <v>3657</v>
      </c>
      <c r="AB70" s="30"/>
      <c r="AC70" s="30"/>
      <c r="AD70" s="421"/>
      <c r="AE70" s="30"/>
      <c r="AF70" s="422">
        <v>400</v>
      </c>
      <c r="AG70" s="422">
        <v>0.11</v>
      </c>
      <c r="AH70" s="1881">
        <v>5</v>
      </c>
    </row>
    <row r="71" spans="1:34">
      <c r="A71" s="66"/>
      <c r="B71" s="497" t="str">
        <f>IF(Uebersetzung!$A$1=1,Bauteile!S71,Bauteile!AA71)</f>
        <v>Argile expansée, lambda 0.13</v>
      </c>
      <c r="C71" s="497"/>
      <c r="D71" s="497"/>
      <c r="E71" s="497"/>
      <c r="F71" s="497"/>
      <c r="G71" s="498">
        <f>IF(Uebersetzung!$A$1=1,Bauteile!X71,Bauteile!AF71)</f>
        <v>500</v>
      </c>
      <c r="H71" s="498">
        <f>IF(Uebersetzung!$A$1=1,Bauteile!Y71,Bauteile!AG71)</f>
        <v>0.13</v>
      </c>
      <c r="I71" s="498">
        <f>IF(Uebersetzung!$A$1=1,Bauteile!Z71,Bauteile!AH71)</f>
        <v>5</v>
      </c>
      <c r="K71" s="27"/>
      <c r="L71" s="27"/>
      <c r="M71" s="27"/>
      <c r="N71" s="27"/>
      <c r="P71" s="27"/>
      <c r="S71" s="1878" t="s">
        <v>665</v>
      </c>
      <c r="T71" s="30"/>
      <c r="U71" s="30"/>
      <c r="V71" s="545"/>
      <c r="W71" s="30"/>
      <c r="X71" s="546">
        <v>1100</v>
      </c>
      <c r="Y71" s="546">
        <v>0.35</v>
      </c>
      <c r="Z71" s="1474">
        <v>5</v>
      </c>
      <c r="AA71" s="1878" t="s">
        <v>3658</v>
      </c>
      <c r="AB71" s="30"/>
      <c r="AC71" s="30"/>
      <c r="AD71" s="421"/>
      <c r="AE71" s="30"/>
      <c r="AF71" s="422">
        <v>500</v>
      </c>
      <c r="AG71" s="422">
        <v>0.13</v>
      </c>
      <c r="AH71" s="1881">
        <v>5</v>
      </c>
    </row>
    <row r="72" spans="1:34">
      <c r="A72" s="66"/>
      <c r="B72" s="497" t="str">
        <f>IF(Uebersetzung!$A$1=1,Bauteile!S72,Bauteile!AA72)</f>
        <v>Argile expansée, lambda 0.15</v>
      </c>
      <c r="C72" s="497"/>
      <c r="D72" s="497"/>
      <c r="E72" s="497"/>
      <c r="F72" s="497"/>
      <c r="G72" s="498">
        <f>IF(Uebersetzung!$A$1=1,Bauteile!X72,Bauteile!AF72)</f>
        <v>600</v>
      </c>
      <c r="H72" s="498">
        <f>IF(Uebersetzung!$A$1=1,Bauteile!Y72,Bauteile!AG72)</f>
        <v>0.15</v>
      </c>
      <c r="I72" s="498">
        <f>IF(Uebersetzung!$A$1=1,Bauteile!Z72,Bauteile!AH72)</f>
        <v>5</v>
      </c>
      <c r="K72" s="384"/>
      <c r="L72" s="385"/>
      <c r="M72" s="153"/>
      <c r="N72" s="385" t="str">
        <f>Uebersetzung!D542</f>
        <v>Pied de façade</v>
      </c>
      <c r="O72" s="153"/>
      <c r="P72" s="418"/>
      <c r="Q72" s="2546" t="s">
        <v>757</v>
      </c>
      <c r="R72" s="2547"/>
      <c r="S72" s="1878" t="s">
        <v>29</v>
      </c>
      <c r="T72" s="30"/>
      <c r="U72" s="30"/>
      <c r="V72" s="545"/>
      <c r="W72" s="30"/>
      <c r="X72" s="546">
        <v>2800</v>
      </c>
      <c r="Y72" s="546">
        <v>3.5</v>
      </c>
      <c r="Z72" s="1472">
        <v>10000</v>
      </c>
      <c r="AA72" s="1878" t="s">
        <v>3659</v>
      </c>
      <c r="AB72" s="30"/>
      <c r="AC72" s="30"/>
      <c r="AD72" s="421"/>
      <c r="AE72" s="30"/>
      <c r="AF72" s="422">
        <v>600</v>
      </c>
      <c r="AG72" s="422">
        <v>0.15</v>
      </c>
      <c r="AH72" s="1881">
        <v>5</v>
      </c>
    </row>
    <row r="73" spans="1:34">
      <c r="A73" s="66"/>
      <c r="B73" s="497" t="str">
        <f>IF(Uebersetzung!$A$1=1,Bauteile!S73,Bauteile!AA73)</f>
        <v xml:space="preserve">Asphalte </v>
      </c>
      <c r="C73" s="497"/>
      <c r="D73" s="497"/>
      <c r="E73" s="497"/>
      <c r="F73" s="497"/>
      <c r="G73" s="498">
        <f>IF(Uebersetzung!$A$1=1,Bauteile!X73,Bauteile!AF73)</f>
        <v>2100</v>
      </c>
      <c r="H73" s="498">
        <f>IF(Uebersetzung!$A$1=1,Bauteile!Y73,Bauteile!AG73)</f>
        <v>7</v>
      </c>
      <c r="I73" s="498">
        <f>IF(Uebersetzung!$A$1=1,Bauteile!Z73,Bauteile!AH73)</f>
        <v>50000</v>
      </c>
      <c r="K73" s="154" t="str">
        <f>Uebersetzung!D543</f>
        <v>Sous-sol non chauffé, façade en brique 0.2 W/m2K</v>
      </c>
      <c r="L73" s="64"/>
      <c r="M73" s="64"/>
      <c r="N73" s="64"/>
      <c r="O73" s="64"/>
      <c r="P73" s="63"/>
      <c r="Q73" s="56">
        <v>0.18</v>
      </c>
      <c r="R73" s="344" t="s">
        <v>1190</v>
      </c>
      <c r="S73" s="1880" t="s">
        <v>1724</v>
      </c>
      <c r="T73" s="1877"/>
      <c r="U73" s="1877"/>
      <c r="V73" s="545"/>
      <c r="W73" s="1877"/>
      <c r="X73" s="546">
        <v>200</v>
      </c>
      <c r="Y73" s="63">
        <v>5.5E-2</v>
      </c>
      <c r="Z73" s="1475">
        <v>1.5</v>
      </c>
      <c r="AA73" s="1878" t="s">
        <v>3660</v>
      </c>
      <c r="AB73" s="30"/>
      <c r="AC73" s="30"/>
      <c r="AD73" s="421"/>
      <c r="AE73" s="30"/>
      <c r="AF73" s="422">
        <v>2100</v>
      </c>
      <c r="AG73" s="422">
        <v>7</v>
      </c>
      <c r="AH73" s="1881">
        <v>50000</v>
      </c>
    </row>
    <row r="74" spans="1:34">
      <c r="A74" s="66"/>
      <c r="B74" s="497" t="str">
        <f>IF(Uebersetzung!$A$1=1,Bauteile!S74,Bauteile!AA74)</f>
        <v>Asphalte coulé</v>
      </c>
      <c r="C74" s="497"/>
      <c r="D74" s="497"/>
      <c r="E74" s="497"/>
      <c r="F74" s="497"/>
      <c r="G74" s="498">
        <f>IF(Uebersetzung!$A$1=1,Bauteile!X74,Bauteile!AF74)</f>
        <v>2150</v>
      </c>
      <c r="H74" s="498">
        <f>IF(Uebersetzung!$A$1=1,Bauteile!Y74,Bauteile!AG74)</f>
        <v>0.69</v>
      </c>
      <c r="I74" s="498">
        <f>IF(Uebersetzung!$A$1=1,Bauteile!Z74,Bauteile!AH74)</f>
        <v>20000</v>
      </c>
      <c r="K74" s="154" t="str">
        <f>Uebersetzung!D544</f>
        <v>Sous-sol non chauffé, façade en brique 0.3 W/m2K</v>
      </c>
      <c r="L74" s="64"/>
      <c r="M74" s="63"/>
      <c r="N74" s="63"/>
      <c r="O74" s="63"/>
      <c r="P74" s="63"/>
      <c r="Q74" s="56">
        <v>0.08</v>
      </c>
      <c r="R74" s="344" t="s">
        <v>1190</v>
      </c>
      <c r="S74" s="1878" t="s">
        <v>30</v>
      </c>
      <c r="T74" s="30"/>
      <c r="U74" s="30"/>
      <c r="V74" s="545"/>
      <c r="W74" s="30"/>
      <c r="X74" s="546">
        <v>1800</v>
      </c>
      <c r="Y74" s="546">
        <v>0.45</v>
      </c>
      <c r="Z74" s="1474">
        <v>5</v>
      </c>
      <c r="AA74" s="1878" t="s">
        <v>3661</v>
      </c>
      <c r="AB74" s="30"/>
      <c r="AC74" s="30"/>
      <c r="AD74" s="421"/>
      <c r="AE74" s="30"/>
      <c r="AF74" s="422">
        <v>2150</v>
      </c>
      <c r="AG74" s="422">
        <v>0.69</v>
      </c>
      <c r="AH74" s="1881">
        <v>20000</v>
      </c>
    </row>
    <row r="75" spans="1:34">
      <c r="A75" s="66"/>
      <c r="B75" s="497" t="str">
        <f>IF(Uebersetzung!$A$1=1,Bauteile!S75,Bauteile!AA75)</f>
        <v>Aussenabrieb</v>
      </c>
      <c r="C75" s="497"/>
      <c r="D75" s="497"/>
      <c r="E75" s="497"/>
      <c r="F75" s="497"/>
      <c r="G75" s="498">
        <f>IF(Uebersetzung!$A$1=1,Bauteile!X75,Bauteile!AF75)</f>
        <v>1350</v>
      </c>
      <c r="H75" s="498">
        <f>IF(Uebersetzung!$A$1=1,Bauteile!Y75,Bauteile!AG75)</f>
        <v>0.8</v>
      </c>
      <c r="I75" s="498">
        <f>IF(Uebersetzung!$A$1=1,Bauteile!Z75,Bauteile!AH75)</f>
        <v>10</v>
      </c>
      <c r="K75" s="154" t="str">
        <f>Uebersetzung!D545</f>
        <v>Sous-sol non chauffé, façade en béton, 0.2 W/m2K</v>
      </c>
      <c r="L75" s="64"/>
      <c r="M75" s="63"/>
      <c r="N75" s="63"/>
      <c r="O75" s="63"/>
      <c r="P75" s="63"/>
      <c r="Q75" s="56">
        <v>0.48</v>
      </c>
      <c r="R75" s="344" t="s">
        <v>1190</v>
      </c>
      <c r="S75" s="1878" t="s">
        <v>1239</v>
      </c>
      <c r="T75" s="30"/>
      <c r="U75" s="30"/>
      <c r="V75" s="545"/>
      <c r="W75" s="30"/>
      <c r="X75" s="546">
        <v>2300</v>
      </c>
      <c r="Y75" s="546">
        <v>2.2999999999999998</v>
      </c>
      <c r="Z75" s="1472">
        <v>130</v>
      </c>
      <c r="AA75" s="1878" t="s">
        <v>143</v>
      </c>
      <c r="AB75" s="30"/>
      <c r="AC75" s="30"/>
      <c r="AD75" s="421"/>
      <c r="AE75" s="30"/>
      <c r="AF75" s="422">
        <v>1350</v>
      </c>
      <c r="AG75" s="422">
        <v>0.8</v>
      </c>
      <c r="AH75" s="1886">
        <v>10</v>
      </c>
    </row>
    <row r="76" spans="1:34">
      <c r="A76" s="66"/>
      <c r="B76" s="497" t="str">
        <f>IF(Uebersetzung!$A$1=1,Bauteile!S76,Bauteile!AA76)</f>
        <v>Aerogel (N)</v>
      </c>
      <c r="C76" s="497"/>
      <c r="D76" s="497"/>
      <c r="E76" s="497"/>
      <c r="F76" s="497"/>
      <c r="G76" s="498">
        <f>IF(Uebersetzung!$A$1=1,Bauteile!X76,Bauteile!AF76)</f>
        <v>500</v>
      </c>
      <c r="H76" s="498">
        <f>IF(Uebersetzung!$A$1=1,Bauteile!Y76,Bauteile!AG76)</f>
        <v>0.02</v>
      </c>
      <c r="I76" s="498">
        <f>IF(Uebersetzung!$A$1=1,Bauteile!Z76,Bauteile!AH76)</f>
        <v>2</v>
      </c>
      <c r="K76" s="154" t="str">
        <f>Uebersetzung!D546</f>
        <v>Sous-sol non chauffé, façade en béton, 0.3 W/m2K</v>
      </c>
      <c r="L76" s="64"/>
      <c r="M76" s="63"/>
      <c r="N76" s="63"/>
      <c r="O76" s="63"/>
      <c r="P76" s="63"/>
      <c r="Q76" s="56">
        <v>0.38</v>
      </c>
      <c r="R76" s="344" t="s">
        <v>1190</v>
      </c>
      <c r="S76" s="1878" t="s">
        <v>209</v>
      </c>
      <c r="T76" s="30"/>
      <c r="U76" s="30"/>
      <c r="V76" s="545"/>
      <c r="W76" s="30"/>
      <c r="X76" s="546">
        <v>2400</v>
      </c>
      <c r="Y76" s="546">
        <v>2.5</v>
      </c>
      <c r="Z76" s="1472">
        <v>130</v>
      </c>
      <c r="AA76" s="1889" t="s">
        <v>5634</v>
      </c>
      <c r="AB76" s="422"/>
      <c r="AC76" s="422"/>
      <c r="AD76" s="422"/>
      <c r="AE76" s="422"/>
      <c r="AF76" s="422">
        <v>500</v>
      </c>
      <c r="AG76" s="422">
        <v>0.02</v>
      </c>
      <c r="AH76" s="1886">
        <v>2</v>
      </c>
    </row>
    <row r="77" spans="1:34">
      <c r="A77" s="66"/>
      <c r="B77" s="497" t="str">
        <f>IF(Uebersetzung!$A$1=1,Bauteile!S77,Bauteile!AA77)</f>
        <v>Barrière de vapeur feuille de PVC</v>
      </c>
      <c r="C77" s="497"/>
      <c r="D77" s="497"/>
      <c r="E77" s="497"/>
      <c r="F77" s="497"/>
      <c r="G77" s="498">
        <f>IF(Uebersetzung!$A$1=1,Bauteile!X77,Bauteile!AF77)</f>
        <v>1400</v>
      </c>
      <c r="H77" s="498">
        <f>IF(Uebersetzung!$A$1=1,Bauteile!Y77,Bauteile!AG77)</f>
        <v>0.22</v>
      </c>
      <c r="I77" s="498">
        <f>IF(Uebersetzung!$A$1=1,Bauteile!Z77,Bauteile!AH77)</f>
        <v>30000</v>
      </c>
      <c r="J77" s="27"/>
      <c r="K77" s="154" t="str">
        <f>Uebersetzung!D547</f>
        <v>Sous-sol non chauffé, brique, isol. 50cm sous nu inf.dalle</v>
      </c>
      <c r="L77" s="64"/>
      <c r="M77" s="63"/>
      <c r="N77" s="63"/>
      <c r="O77" s="63"/>
      <c r="P77" s="63"/>
      <c r="Q77" s="56">
        <v>7.0000000000000007E-2</v>
      </c>
      <c r="R77" s="344" t="s">
        <v>1190</v>
      </c>
      <c r="S77" s="1878" t="s">
        <v>1853</v>
      </c>
      <c r="T77" s="30"/>
      <c r="U77" s="30"/>
      <c r="V77" s="545"/>
      <c r="W77" s="30"/>
      <c r="X77" s="546">
        <v>1800</v>
      </c>
      <c r="Y77" s="546">
        <v>1.1499999999999999</v>
      </c>
      <c r="Z77" s="1472">
        <v>100</v>
      </c>
      <c r="AA77" s="1889" t="s">
        <v>3662</v>
      </c>
      <c r="AB77" s="422"/>
      <c r="AC77" s="422"/>
      <c r="AD77" s="422"/>
      <c r="AE77" s="422"/>
      <c r="AF77" s="422">
        <v>1400</v>
      </c>
      <c r="AG77" s="63">
        <v>0.22</v>
      </c>
      <c r="AH77" s="1881">
        <v>30000</v>
      </c>
    </row>
    <row r="78" spans="1:34">
      <c r="A78" s="66"/>
      <c r="B78" s="497" t="str">
        <f>IF(Uebersetzung!$A$1=1,Bauteile!S78,Bauteile!AA78)</f>
        <v>Basalte</v>
      </c>
      <c r="C78" s="497"/>
      <c r="D78" s="497"/>
      <c r="E78" s="497"/>
      <c r="F78" s="497"/>
      <c r="G78" s="498">
        <f>IF(Uebersetzung!$A$1=1,Bauteile!X78,Bauteile!AF78)</f>
        <v>2800</v>
      </c>
      <c r="H78" s="498">
        <f>IF(Uebersetzung!$A$1=1,Bauteile!Y78,Bauteile!AG78)</f>
        <v>3.5</v>
      </c>
      <c r="I78" s="498">
        <f>IF(Uebersetzung!$A$1=1,Bauteile!Z78,Bauteile!AH78)</f>
        <v>10000</v>
      </c>
      <c r="J78" s="27"/>
      <c r="K78" s="154" t="str">
        <f>Uebersetzung!D548</f>
        <v>Sous-sol non chauffé, béton, isol. 50cm sous nu inf.dalle</v>
      </c>
      <c r="L78" s="64"/>
      <c r="M78" s="63"/>
      <c r="N78" s="63"/>
      <c r="O78" s="63"/>
      <c r="P78" s="63"/>
      <c r="Q78" s="56">
        <v>0.37</v>
      </c>
      <c r="R78" s="344" t="s">
        <v>1190</v>
      </c>
      <c r="S78" s="1878" t="s">
        <v>1854</v>
      </c>
      <c r="T78" s="30"/>
      <c r="U78" s="30"/>
      <c r="V78" s="545"/>
      <c r="W78" s="30"/>
      <c r="X78" s="546">
        <v>2000</v>
      </c>
      <c r="Y78" s="546">
        <v>1.35</v>
      </c>
      <c r="Z78" s="1472">
        <v>100</v>
      </c>
      <c r="AA78" s="1878" t="s">
        <v>3663</v>
      </c>
      <c r="AB78" s="30"/>
      <c r="AC78" s="30"/>
      <c r="AD78" s="421"/>
      <c r="AE78" s="30"/>
      <c r="AF78" s="422">
        <v>2800</v>
      </c>
      <c r="AG78" s="422">
        <v>3.5</v>
      </c>
      <c r="AH78" s="1881">
        <v>10000</v>
      </c>
    </row>
    <row r="79" spans="1:34">
      <c r="A79" s="66"/>
      <c r="B79" s="497" t="str">
        <f>IF(Uebersetzung!$A$1=1,Bauteile!S79,Bauteile!AA79)</f>
        <v>Béton armé (1% d'acier)</v>
      </c>
      <c r="C79" s="497"/>
      <c r="D79" s="497"/>
      <c r="E79" s="497"/>
      <c r="F79" s="497"/>
      <c r="G79" s="498">
        <f>IF(Uebersetzung!$A$1=1,Bauteile!X79,Bauteile!AF79)</f>
        <v>2300</v>
      </c>
      <c r="H79" s="498">
        <f>IF(Uebersetzung!$A$1=1,Bauteile!Y79,Bauteile!AG79)</f>
        <v>2.2999999999999998</v>
      </c>
      <c r="I79" s="498">
        <f>IF(Uebersetzung!$A$1=1,Bauteile!Z79,Bauteile!AH79)</f>
        <v>130</v>
      </c>
      <c r="J79" s="27"/>
      <c r="K79" s="154" t="str">
        <f>Uebersetzung!D549</f>
        <v>Sous-sol chauffé, façade en brique, chauffage par sol</v>
      </c>
      <c r="L79" s="64"/>
      <c r="M79" s="63"/>
      <c r="N79" s="63"/>
      <c r="O79" s="63"/>
      <c r="P79" s="63"/>
      <c r="Q79" s="56">
        <v>0.84</v>
      </c>
      <c r="R79" s="344" t="s">
        <v>1190</v>
      </c>
      <c r="S79" s="1878" t="s">
        <v>1855</v>
      </c>
      <c r="T79" s="30"/>
      <c r="U79" s="30"/>
      <c r="V79" s="545"/>
      <c r="W79" s="30"/>
      <c r="X79" s="546">
        <v>2200</v>
      </c>
      <c r="Y79" s="546">
        <v>1.65</v>
      </c>
      <c r="Z79" s="1472">
        <v>120</v>
      </c>
      <c r="AA79" s="1878" t="s">
        <v>3664</v>
      </c>
      <c r="AB79" s="30"/>
      <c r="AC79" s="30"/>
      <c r="AD79" s="421"/>
      <c r="AE79" s="30"/>
      <c r="AF79" s="422">
        <v>2300</v>
      </c>
      <c r="AG79" s="422">
        <v>2.2999999999999998</v>
      </c>
      <c r="AH79" s="1886">
        <v>130</v>
      </c>
    </row>
    <row r="80" spans="1:34">
      <c r="A80" s="66"/>
      <c r="B80" s="497" t="str">
        <f>IF(Uebersetzung!$A$1=1,Bauteile!S80,Bauteile!AA80)</f>
        <v>Béton armé (2% d'acier)</v>
      </c>
      <c r="C80" s="497"/>
      <c r="D80" s="497"/>
      <c r="E80" s="497"/>
      <c r="F80" s="497"/>
      <c r="G80" s="498">
        <f>IF(Uebersetzung!$A$1=1,Bauteile!X80,Bauteile!AF80)</f>
        <v>2400</v>
      </c>
      <c r="H80" s="498">
        <f>IF(Uebersetzung!$A$1=1,Bauteile!Y80,Bauteile!AG80)</f>
        <v>2.5</v>
      </c>
      <c r="I80" s="498">
        <f>IF(Uebersetzung!$A$1=1,Bauteile!Z80,Bauteile!AH80)</f>
        <v>130</v>
      </c>
      <c r="J80" s="27"/>
      <c r="K80" s="154" t="str">
        <f>Uebersetzung!D550</f>
        <v>Sous-sol chauffé, Betonwand, chauffage par le sol</v>
      </c>
      <c r="L80" s="64"/>
      <c r="M80" s="63"/>
      <c r="N80" s="63"/>
      <c r="O80" s="63"/>
      <c r="P80" s="63"/>
      <c r="Q80" s="56">
        <v>1</v>
      </c>
      <c r="R80" s="344" t="s">
        <v>1190</v>
      </c>
      <c r="S80" s="1878" t="s">
        <v>1856</v>
      </c>
      <c r="T80" s="30"/>
      <c r="U80" s="30"/>
      <c r="V80" s="545"/>
      <c r="W80" s="30"/>
      <c r="X80" s="546">
        <v>2400</v>
      </c>
      <c r="Y80" s="546">
        <v>2</v>
      </c>
      <c r="Z80" s="1472">
        <v>130</v>
      </c>
      <c r="AA80" s="1878" t="s">
        <v>3665</v>
      </c>
      <c r="AB80" s="30"/>
      <c r="AC80" s="30"/>
      <c r="AD80" s="421"/>
      <c r="AE80" s="30"/>
      <c r="AF80" s="422">
        <v>2400</v>
      </c>
      <c r="AG80" s="422">
        <v>2.5</v>
      </c>
      <c r="AH80" s="1886">
        <v>130</v>
      </c>
    </row>
    <row r="81" spans="1:34">
      <c r="A81" s="66"/>
      <c r="B81" s="497" t="str">
        <f>IF(Uebersetzung!$A$1=1,Bauteile!S81,Bauteile!AA81)</f>
        <v>Béton (densité 1800)</v>
      </c>
      <c r="C81" s="497"/>
      <c r="D81" s="497"/>
      <c r="E81" s="497"/>
      <c r="F81" s="497"/>
      <c r="G81" s="498">
        <f>IF(Uebersetzung!$A$1=1,Bauteile!X81,Bauteile!AF81)</f>
        <v>1800</v>
      </c>
      <c r="H81" s="498">
        <f>IF(Uebersetzung!$A$1=1,Bauteile!Y81,Bauteile!AG81)</f>
        <v>1.1499999999999999</v>
      </c>
      <c r="I81" s="498">
        <f>IF(Uebersetzung!$A$1=1,Bauteile!Z81,Bauteile!AH81)</f>
        <v>100</v>
      </c>
      <c r="J81" s="27"/>
      <c r="K81" s="154" t="str">
        <f>Uebersetzung!D551</f>
        <v>Sous-sol chauffé, brique,  50cm isol. sous bord de dalle</v>
      </c>
      <c r="L81" s="64"/>
      <c r="M81" s="63"/>
      <c r="N81" s="63"/>
      <c r="O81" s="63"/>
      <c r="P81" s="63"/>
      <c r="Q81" s="56">
        <v>0.75</v>
      </c>
      <c r="R81" s="344" t="s">
        <v>1190</v>
      </c>
      <c r="S81" s="1878" t="s">
        <v>1857</v>
      </c>
      <c r="T81" s="30"/>
      <c r="U81" s="30"/>
      <c r="V81" s="545"/>
      <c r="W81" s="30"/>
      <c r="X81" s="546">
        <v>1000</v>
      </c>
      <c r="Y81" s="546">
        <v>0.3</v>
      </c>
      <c r="Z81" s="1472">
        <v>15</v>
      </c>
      <c r="AA81" s="1878" t="s">
        <v>3666</v>
      </c>
      <c r="AB81" s="30"/>
      <c r="AC81" s="30"/>
      <c r="AD81" s="421"/>
      <c r="AE81" s="30"/>
      <c r="AF81" s="422">
        <v>1800</v>
      </c>
      <c r="AG81" s="422">
        <v>1.1499999999999999</v>
      </c>
      <c r="AH81" s="1886">
        <v>100</v>
      </c>
    </row>
    <row r="82" spans="1:34">
      <c r="A82" s="66"/>
      <c r="B82" s="497" t="str">
        <f>IF(Uebersetzung!$A$1=1,Bauteile!S82,Bauteile!AA82)</f>
        <v>Béton (densité 2000)</v>
      </c>
      <c r="C82" s="497"/>
      <c r="D82" s="497"/>
      <c r="E82" s="497"/>
      <c r="F82" s="497"/>
      <c r="G82" s="498">
        <f>IF(Uebersetzung!$A$1=1,Bauteile!X82,Bauteile!AF82)</f>
        <v>2000</v>
      </c>
      <c r="H82" s="498">
        <f>IF(Uebersetzung!$A$1=1,Bauteile!Y82,Bauteile!AG82)</f>
        <v>1.35</v>
      </c>
      <c r="I82" s="498">
        <f>IF(Uebersetzung!$A$1=1,Bauteile!Z82,Bauteile!AH82)</f>
        <v>100</v>
      </c>
      <c r="J82" s="27"/>
      <c r="K82" s="154" t="str">
        <f>Uebersetzung!D552</f>
        <v>Sous-sol chauffé, brique, isol. 50cm sous nu inf. dalle</v>
      </c>
      <c r="L82" s="64"/>
      <c r="M82" s="63"/>
      <c r="N82" s="63"/>
      <c r="O82" s="63"/>
      <c r="P82" s="63"/>
      <c r="Q82" s="56">
        <v>0.44</v>
      </c>
      <c r="R82" s="344" t="s">
        <v>1190</v>
      </c>
      <c r="S82" s="1878" t="s">
        <v>1858</v>
      </c>
      <c r="T82" s="30"/>
      <c r="U82" s="30"/>
      <c r="V82" s="545"/>
      <c r="W82" s="30"/>
      <c r="X82" s="546">
        <v>1250</v>
      </c>
      <c r="Y82" s="546">
        <v>0.5</v>
      </c>
      <c r="Z82" s="1472">
        <v>15</v>
      </c>
      <c r="AA82" s="1878" t="s">
        <v>3667</v>
      </c>
      <c r="AB82" s="30"/>
      <c r="AC82" s="30"/>
      <c r="AD82" s="421"/>
      <c r="AE82" s="30"/>
      <c r="AF82" s="422">
        <v>2000</v>
      </c>
      <c r="AG82" s="422">
        <v>1.35</v>
      </c>
      <c r="AH82" s="1886">
        <v>100</v>
      </c>
    </row>
    <row r="83" spans="1:34">
      <c r="A83" s="66"/>
      <c r="B83" s="497" t="str">
        <f>IF(Uebersetzung!$A$1=1,Bauteile!S83,Bauteile!AA83)</f>
        <v>Béton (densité 2200)</v>
      </c>
      <c r="C83" s="497"/>
      <c r="D83" s="497"/>
      <c r="E83" s="497"/>
      <c r="F83" s="497"/>
      <c r="G83" s="498">
        <f>IF(Uebersetzung!$A$1=1,Bauteile!X83,Bauteile!AF83)</f>
        <v>2200</v>
      </c>
      <c r="H83" s="498">
        <f>IF(Uebersetzung!$A$1=1,Bauteile!Y83,Bauteile!AG83)</f>
        <v>1.65</v>
      </c>
      <c r="I83" s="498">
        <f>IF(Uebersetzung!$A$1=1,Bauteile!Z83,Bauteile!AH83)</f>
        <v>120</v>
      </c>
      <c r="J83" s="27"/>
      <c r="K83" s="154" t="str">
        <f>Uebersetzung!D553</f>
        <v>Sous-sol chauffé, brique, isol. 80cm sous nu inf. dalle</v>
      </c>
      <c r="L83" s="64"/>
      <c r="M83" s="63"/>
      <c r="N83" s="63"/>
      <c r="O83" s="63"/>
      <c r="P83" s="63"/>
      <c r="Q83" s="56">
        <v>0.38</v>
      </c>
      <c r="R83" s="344" t="s">
        <v>1190</v>
      </c>
      <c r="S83" s="1878" t="s">
        <v>1859</v>
      </c>
      <c r="T83" s="30"/>
      <c r="U83" s="30"/>
      <c r="V83" s="545"/>
      <c r="W83" s="30"/>
      <c r="X83" s="546">
        <v>1500</v>
      </c>
      <c r="Y83" s="546">
        <v>0.7</v>
      </c>
      <c r="Z83" s="1472">
        <v>15</v>
      </c>
      <c r="AA83" s="1878" t="s">
        <v>3668</v>
      </c>
      <c r="AB83" s="30"/>
      <c r="AC83" s="30"/>
      <c r="AD83" s="421"/>
      <c r="AE83" s="30"/>
      <c r="AF83" s="422">
        <v>2200</v>
      </c>
      <c r="AG83" s="422">
        <v>1.65</v>
      </c>
      <c r="AH83" s="1886">
        <v>120</v>
      </c>
    </row>
    <row r="84" spans="1:34">
      <c r="A84" s="66"/>
      <c r="B84" s="497" t="str">
        <f>IF(Uebersetzung!$A$1=1,Bauteile!S84,Bauteile!AA84)</f>
        <v>Béton (densité 2400)</v>
      </c>
      <c r="C84" s="497"/>
      <c r="D84" s="497"/>
      <c r="E84" s="497"/>
      <c r="F84" s="497"/>
      <c r="G84" s="498">
        <f>IF(Uebersetzung!$A$1=1,Bauteile!X84,Bauteile!AF84)</f>
        <v>2400</v>
      </c>
      <c r="H84" s="498">
        <f>IF(Uebersetzung!$A$1=1,Bauteile!Y84,Bauteile!AG84)</f>
        <v>2</v>
      </c>
      <c r="I84" s="498">
        <f>IF(Uebersetzung!$A$1=1,Bauteile!Z84,Bauteile!AH84)</f>
        <v>130</v>
      </c>
      <c r="J84" s="27"/>
      <c r="K84" s="154" t="str">
        <f>Uebersetzung!D554</f>
        <v>dalle &gt;0.5 m sous le sol</v>
      </c>
      <c r="L84" s="64"/>
      <c r="M84" s="63"/>
      <c r="N84" s="63"/>
      <c r="O84" s="63"/>
      <c r="P84" s="63"/>
      <c r="Q84" s="56">
        <v>0.2</v>
      </c>
      <c r="R84" s="344" t="s">
        <v>1190</v>
      </c>
      <c r="S84" s="1878" t="s">
        <v>1860</v>
      </c>
      <c r="T84" s="30"/>
      <c r="U84" s="30"/>
      <c r="V84" s="545"/>
      <c r="W84" s="30"/>
      <c r="X84" s="546">
        <v>1700</v>
      </c>
      <c r="Y84" s="546">
        <v>1</v>
      </c>
      <c r="Z84" s="1472">
        <v>15</v>
      </c>
      <c r="AA84" s="1878" t="s">
        <v>3669</v>
      </c>
      <c r="AB84" s="30"/>
      <c r="AC84" s="30"/>
      <c r="AD84" s="421"/>
      <c r="AE84" s="30"/>
      <c r="AF84" s="422">
        <v>2400</v>
      </c>
      <c r="AG84" s="422">
        <v>2</v>
      </c>
      <c r="AH84" s="1886">
        <v>130</v>
      </c>
    </row>
    <row r="85" spans="1:34">
      <c r="A85" s="66"/>
      <c r="B85" s="497" t="str">
        <f>IF(Uebersetzung!$A$1=1,Bauteile!S85,Bauteile!AA85)</f>
        <v>Béton d'argile expansée, lambda 0.3</v>
      </c>
      <c r="C85" s="497"/>
      <c r="D85" s="497"/>
      <c r="E85" s="497"/>
      <c r="F85" s="497"/>
      <c r="G85" s="498">
        <f>IF(Uebersetzung!$A$1=1,Bauteile!X85,Bauteile!AF85)</f>
        <v>1000</v>
      </c>
      <c r="H85" s="498">
        <f>IF(Uebersetzung!$A$1=1,Bauteile!Y85,Bauteile!AG85)</f>
        <v>0.3</v>
      </c>
      <c r="I85" s="498">
        <f>IF(Uebersetzung!$A$1=1,Bauteile!Z85,Bauteile!AH85)</f>
        <v>15</v>
      </c>
      <c r="J85" s="27"/>
      <c r="K85" s="2552"/>
      <c r="L85" s="2553"/>
      <c r="M85" s="2553"/>
      <c r="N85" s="2553"/>
      <c r="O85" s="2553"/>
      <c r="P85" s="63"/>
      <c r="Q85" s="632"/>
      <c r="R85" s="344" t="s">
        <v>1190</v>
      </c>
      <c r="S85" s="1878" t="s">
        <v>31</v>
      </c>
      <c r="T85" s="30"/>
      <c r="U85" s="30"/>
      <c r="V85" s="545"/>
      <c r="W85" s="30"/>
      <c r="X85" s="546">
        <v>2400</v>
      </c>
      <c r="Y85" s="546">
        <v>1.48</v>
      </c>
      <c r="Z85" s="1472">
        <v>7.5</v>
      </c>
      <c r="AA85" s="1878" t="s">
        <v>3670</v>
      </c>
      <c r="AB85" s="30"/>
      <c r="AC85" s="30"/>
      <c r="AD85" s="421"/>
      <c r="AE85" s="30"/>
      <c r="AF85" s="422">
        <v>1000</v>
      </c>
      <c r="AG85" s="422">
        <v>0.3</v>
      </c>
      <c r="AH85" s="1886">
        <v>15</v>
      </c>
    </row>
    <row r="86" spans="1:34">
      <c r="A86" s="66"/>
      <c r="B86" s="497" t="str">
        <f>IF(Uebersetzung!$A$1=1,Bauteile!S86,Bauteile!AA86)</f>
        <v>Béton d'argile expansée, lambda 0.5</v>
      </c>
      <c r="C86" s="497"/>
      <c r="D86" s="497"/>
      <c r="E86" s="497"/>
      <c r="F86" s="497"/>
      <c r="G86" s="498">
        <f>IF(Uebersetzung!$A$1=1,Bauteile!X86,Bauteile!AF86)</f>
        <v>1250</v>
      </c>
      <c r="H86" s="498">
        <f>IF(Uebersetzung!$A$1=1,Bauteile!Y86,Bauteile!AG86)</f>
        <v>0.5</v>
      </c>
      <c r="I86" s="498">
        <f>IF(Uebersetzung!$A$1=1,Bauteile!Z86,Bauteile!AH86)</f>
        <v>15</v>
      </c>
      <c r="J86" s="27"/>
      <c r="K86" s="2550"/>
      <c r="L86" s="2551"/>
      <c r="M86" s="2551"/>
      <c r="N86" s="2551"/>
      <c r="O86" s="2551"/>
      <c r="P86" s="59"/>
      <c r="Q86" s="634"/>
      <c r="R86" s="412" t="s">
        <v>1190</v>
      </c>
      <c r="S86" s="1878" t="s">
        <v>32</v>
      </c>
      <c r="T86" s="30"/>
      <c r="U86" s="30"/>
      <c r="V86" s="545"/>
      <c r="W86" s="30"/>
      <c r="X86" s="546">
        <v>1700</v>
      </c>
      <c r="Y86" s="546">
        <v>2.09</v>
      </c>
      <c r="Z86" s="1472">
        <v>50</v>
      </c>
      <c r="AA86" s="1878" t="s">
        <v>3671</v>
      </c>
      <c r="AB86" s="30"/>
      <c r="AC86" s="30"/>
      <c r="AD86" s="421"/>
      <c r="AE86" s="30"/>
      <c r="AF86" s="422">
        <v>1250</v>
      </c>
      <c r="AG86" s="422">
        <v>0.5</v>
      </c>
      <c r="AH86" s="1886">
        <v>15</v>
      </c>
    </row>
    <row r="87" spans="1:34">
      <c r="A87" s="66"/>
      <c r="B87" s="497" t="str">
        <f>IF(Uebersetzung!$A$1=1,Bauteile!S87,Bauteile!AA87)</f>
        <v>Béton d'argile expansée, lambda 0.7</v>
      </c>
      <c r="C87" s="497"/>
      <c r="D87" s="497"/>
      <c r="E87" s="497"/>
      <c r="F87" s="497"/>
      <c r="G87" s="498">
        <f>IF(Uebersetzung!$A$1=1,Bauteile!X87,Bauteile!AF87)</f>
        <v>1500</v>
      </c>
      <c r="H87" s="498">
        <f>IF(Uebersetzung!$A$1=1,Bauteile!Y87,Bauteile!AG87)</f>
        <v>0.7</v>
      </c>
      <c r="I87" s="498">
        <f>IF(Uebersetzung!$A$1=1,Bauteile!Z87,Bauteile!AH87)</f>
        <v>15</v>
      </c>
      <c r="J87" s="27"/>
      <c r="K87" s="27"/>
      <c r="L87" s="27"/>
      <c r="M87" s="27"/>
      <c r="N87" s="27"/>
      <c r="P87" s="27"/>
      <c r="S87" s="1878" t="s">
        <v>1588</v>
      </c>
      <c r="T87" s="30"/>
      <c r="U87" s="30"/>
      <c r="V87" s="545"/>
      <c r="W87" s="30"/>
      <c r="X87" s="546">
        <v>1000</v>
      </c>
      <c r="Y87" s="546">
        <v>0.5</v>
      </c>
      <c r="Z87" s="1472">
        <v>37142</v>
      </c>
      <c r="AA87" s="1878" t="s">
        <v>3672</v>
      </c>
      <c r="AB87" s="30"/>
      <c r="AC87" s="30"/>
      <c r="AD87" s="421"/>
      <c r="AE87" s="30"/>
      <c r="AF87" s="422">
        <v>1500</v>
      </c>
      <c r="AG87" s="422">
        <v>0.7</v>
      </c>
      <c r="AH87" s="1886">
        <v>15</v>
      </c>
    </row>
    <row r="88" spans="1:34">
      <c r="A88" s="66"/>
      <c r="B88" s="497" t="str">
        <f>IF(Uebersetzung!$A$1=1,Bauteile!S88,Bauteile!AA88)</f>
        <v>Béton d'argile expansée, lambda 1.0</v>
      </c>
      <c r="C88" s="497"/>
      <c r="D88" s="497"/>
      <c r="E88" s="497"/>
      <c r="F88" s="497"/>
      <c r="G88" s="498">
        <f>IF(Uebersetzung!$A$1=1,Bauteile!X88,Bauteile!AF88)</f>
        <v>1700</v>
      </c>
      <c r="H88" s="498">
        <f>IF(Uebersetzung!$A$1=1,Bauteile!Y88,Bauteile!AG88)</f>
        <v>1</v>
      </c>
      <c r="I88" s="498">
        <f>IF(Uebersetzung!$A$1=1,Bauteile!Z88,Bauteile!AH88)</f>
        <v>15</v>
      </c>
      <c r="J88" s="27"/>
      <c r="K88" s="384"/>
      <c r="L88" s="385"/>
      <c r="M88" s="385" t="str">
        <f>Uebersetzung!D555</f>
        <v>Balcon:</v>
      </c>
      <c r="N88" s="153"/>
      <c r="O88" s="153"/>
      <c r="P88" s="122"/>
      <c r="Q88" s="2546" t="s">
        <v>757</v>
      </c>
      <c r="R88" s="2547"/>
      <c r="S88" s="1878" t="s">
        <v>1589</v>
      </c>
      <c r="T88" s="30"/>
      <c r="U88" s="30"/>
      <c r="V88" s="545"/>
      <c r="W88" s="30"/>
      <c r="X88" s="546">
        <v>1000</v>
      </c>
      <c r="Y88" s="546">
        <v>0.5</v>
      </c>
      <c r="Z88" s="1472">
        <v>21000</v>
      </c>
      <c r="AA88" s="1878" t="s">
        <v>3673</v>
      </c>
      <c r="AB88" s="30"/>
      <c r="AC88" s="30"/>
      <c r="AD88" s="421"/>
      <c r="AE88" s="30"/>
      <c r="AF88" s="422">
        <v>1700</v>
      </c>
      <c r="AG88" s="422">
        <v>1</v>
      </c>
      <c r="AH88" s="1886">
        <v>15</v>
      </c>
    </row>
    <row r="89" spans="1:34">
      <c r="A89" s="66"/>
      <c r="B89" s="497" t="str">
        <f>IF(Uebersetzung!$A$1=1,Bauteile!S89,Bauteile!AA89)</f>
        <v>Béton Béton cellulaire (densité 1000)</v>
      </c>
      <c r="C89" s="497"/>
      <c r="D89" s="497"/>
      <c r="E89" s="497"/>
      <c r="F89" s="497"/>
      <c r="G89" s="498">
        <f>IF(Uebersetzung!$A$1=1,Bauteile!X89,Bauteile!AF89)</f>
        <v>1000</v>
      </c>
      <c r="H89" s="498">
        <f>IF(Uebersetzung!$A$1=1,Bauteile!Y89,Bauteile!AG89)</f>
        <v>0.3</v>
      </c>
      <c r="I89" s="498">
        <f>IF(Uebersetzung!$A$1=1,Bauteile!Z89,Bauteile!AH89)</f>
        <v>15</v>
      </c>
      <c r="J89" s="27"/>
      <c r="K89" s="154" t="str">
        <f>Uebersetzung!D556</f>
        <v>dalle continue, mur en brique 0.15 W/m2K</v>
      </c>
      <c r="L89" s="64"/>
      <c r="M89" s="64"/>
      <c r="N89" s="64"/>
      <c r="O89" s="64"/>
      <c r="P89" s="628"/>
      <c r="Q89" s="56">
        <v>0.69</v>
      </c>
      <c r="R89" s="344" t="s">
        <v>1190</v>
      </c>
      <c r="S89" s="1878" t="s">
        <v>1590</v>
      </c>
      <c r="T89" s="30"/>
      <c r="U89" s="30"/>
      <c r="V89" s="545"/>
      <c r="W89" s="30"/>
      <c r="X89" s="546">
        <v>1000</v>
      </c>
      <c r="Y89" s="546">
        <v>0.5</v>
      </c>
      <c r="Z89" s="1472">
        <v>28000</v>
      </c>
      <c r="AA89" s="1878" t="s">
        <v>5641</v>
      </c>
      <c r="AB89" s="30"/>
      <c r="AC89" s="30"/>
      <c r="AD89" s="421"/>
      <c r="AE89" s="30"/>
      <c r="AF89" s="422">
        <v>1000</v>
      </c>
      <c r="AG89" s="422">
        <v>0.3</v>
      </c>
      <c r="AH89" s="1886">
        <v>15</v>
      </c>
    </row>
    <row r="90" spans="1:34">
      <c r="A90" s="66"/>
      <c r="B90" s="497" t="str">
        <f>IF(Uebersetzung!$A$1=1,Bauteile!S90,Bauteile!AA90)</f>
        <v>Béton Béton cellulaire (densité 1250)</v>
      </c>
      <c r="C90" s="497"/>
      <c r="D90" s="497"/>
      <c r="E90" s="497"/>
      <c r="F90" s="497"/>
      <c r="G90" s="498">
        <f>IF(Uebersetzung!$A$1=1,Bauteile!X90,Bauteile!AF90)</f>
        <v>1250</v>
      </c>
      <c r="H90" s="498">
        <f>IF(Uebersetzung!$A$1=1,Bauteile!Y90,Bauteile!AG90)</f>
        <v>0.5</v>
      </c>
      <c r="I90" s="498">
        <f>IF(Uebersetzung!$A$1=1,Bauteile!Z90,Bauteile!AH90)</f>
        <v>15</v>
      </c>
      <c r="J90" s="27"/>
      <c r="K90" s="154" t="str">
        <f>Uebersetzung!D557</f>
        <v>dalle continue, mur en brique 0.25 W/m2K</v>
      </c>
      <c r="L90" s="64"/>
      <c r="M90" s="64"/>
      <c r="N90" s="64"/>
      <c r="O90" s="64"/>
      <c r="P90" s="628"/>
      <c r="Q90" s="56">
        <v>0.78</v>
      </c>
      <c r="R90" s="344" t="s">
        <v>1190</v>
      </c>
      <c r="S90" s="1878" t="s">
        <v>1980</v>
      </c>
      <c r="T90" s="30"/>
      <c r="U90" s="30"/>
      <c r="V90" s="545"/>
      <c r="W90" s="30"/>
      <c r="X90" s="546">
        <v>1000</v>
      </c>
      <c r="Y90" s="546">
        <v>0.5</v>
      </c>
      <c r="Z90" s="1472">
        <v>60000</v>
      </c>
      <c r="AA90" s="1878" t="s">
        <v>5642</v>
      </c>
      <c r="AB90" s="30"/>
      <c r="AC90" s="30"/>
      <c r="AD90" s="421"/>
      <c r="AE90" s="30"/>
      <c r="AF90" s="422">
        <v>1250</v>
      </c>
      <c r="AG90" s="422">
        <v>0.5</v>
      </c>
      <c r="AH90" s="1886">
        <v>15</v>
      </c>
    </row>
    <row r="91" spans="1:34">
      <c r="A91" s="66"/>
      <c r="B91" s="497" t="str">
        <f>IF(Uebersetzung!$A$1=1,Bauteile!S91,Bauteile!AA91)</f>
        <v>Béton Béton cellulaire (densité 1500)</v>
      </c>
      <c r="C91" s="497"/>
      <c r="D91" s="497"/>
      <c r="E91" s="497"/>
      <c r="F91" s="497"/>
      <c r="G91" s="498">
        <f>IF(Uebersetzung!$A$1=1,Bauteile!X91,Bauteile!AF91)</f>
        <v>1500</v>
      </c>
      <c r="H91" s="498">
        <f>IF(Uebersetzung!$A$1=1,Bauteile!Y91,Bauteile!AG91)</f>
        <v>0.7</v>
      </c>
      <c r="I91" s="498">
        <f>IF(Uebersetzung!$A$1=1,Bauteile!Z91,Bauteile!AH91)</f>
        <v>15</v>
      </c>
      <c r="J91" s="27"/>
      <c r="K91" s="154" t="str">
        <f>Uebersetzung!D558</f>
        <v>dalle continue, mur en brique 0.35 W/m2K</v>
      </c>
      <c r="L91" s="64"/>
      <c r="M91" s="64"/>
      <c r="N91" s="64"/>
      <c r="O91" s="64"/>
      <c r="P91" s="628"/>
      <c r="Q91" s="56">
        <v>0.81</v>
      </c>
      <c r="R91" s="344" t="s">
        <v>1190</v>
      </c>
      <c r="S91" s="1878" t="s">
        <v>1981</v>
      </c>
      <c r="T91" s="30"/>
      <c r="U91" s="30"/>
      <c r="V91" s="545"/>
      <c r="W91" s="30"/>
      <c r="X91" s="546">
        <v>1000</v>
      </c>
      <c r="Y91" s="546">
        <v>0.5</v>
      </c>
      <c r="Z91" s="1472">
        <v>346154</v>
      </c>
      <c r="AA91" s="1878" t="s">
        <v>5643</v>
      </c>
      <c r="AB91" s="30"/>
      <c r="AC91" s="30"/>
      <c r="AD91" s="421"/>
      <c r="AE91" s="30"/>
      <c r="AF91" s="422">
        <v>1500</v>
      </c>
      <c r="AG91" s="422">
        <v>0.7</v>
      </c>
      <c r="AH91" s="1886">
        <v>15</v>
      </c>
    </row>
    <row r="92" spans="1:34">
      <c r="A92" s="66"/>
      <c r="B92" s="497" t="str">
        <f>IF(Uebersetzung!$A$1=1,Bauteile!S92,Bauteile!AA92)</f>
        <v>Béton Béton cellulaire (densité 1700)</v>
      </c>
      <c r="C92" s="497"/>
      <c r="D92" s="497"/>
      <c r="E92" s="497"/>
      <c r="F92" s="497"/>
      <c r="G92" s="498">
        <f>IF(Uebersetzung!$A$1=1,Bauteile!X92,Bauteile!AF92)</f>
        <v>1700</v>
      </c>
      <c r="H92" s="498">
        <f>IF(Uebersetzung!$A$1=1,Bauteile!Y92,Bauteile!AG92)</f>
        <v>1</v>
      </c>
      <c r="I92" s="498">
        <f>IF(Uebersetzung!$A$1=1,Bauteile!Z92,Bauteile!AH92)</f>
        <v>15</v>
      </c>
      <c r="J92" s="27"/>
      <c r="K92" s="154" t="str">
        <f>Uebersetzung!D559</f>
        <v>dalle continue, mur en béton 0.15 W/m2K</v>
      </c>
      <c r="L92" s="64"/>
      <c r="M92" s="64"/>
      <c r="N92" s="64"/>
      <c r="O92" s="64"/>
      <c r="P92" s="628"/>
      <c r="Q92" s="56">
        <v>0.84</v>
      </c>
      <c r="R92" s="344" t="s">
        <v>1190</v>
      </c>
      <c r="S92" s="1878" t="s">
        <v>33</v>
      </c>
      <c r="T92" s="30"/>
      <c r="U92" s="30"/>
      <c r="V92" s="545"/>
      <c r="W92" s="30"/>
      <c r="X92" s="546">
        <v>400</v>
      </c>
      <c r="Y92" s="546">
        <v>0.11</v>
      </c>
      <c r="Z92" s="1472">
        <v>5</v>
      </c>
      <c r="AA92" s="1878" t="s">
        <v>5644</v>
      </c>
      <c r="AB92" s="30"/>
      <c r="AC92" s="30"/>
      <c r="AD92" s="421"/>
      <c r="AE92" s="30"/>
      <c r="AF92" s="422">
        <v>1700</v>
      </c>
      <c r="AG92" s="422">
        <v>1</v>
      </c>
      <c r="AH92" s="1886">
        <v>15</v>
      </c>
    </row>
    <row r="93" spans="1:34">
      <c r="A93" s="66"/>
      <c r="B93" s="497" t="str">
        <f>IF(Uebersetzung!$A$1=1,Bauteile!S93,Bauteile!AA93)</f>
        <v>-Bitume</v>
      </c>
      <c r="C93" s="497"/>
      <c r="D93" s="497"/>
      <c r="E93" s="497"/>
      <c r="F93" s="497"/>
      <c r="G93" s="498">
        <f>IF(Uebersetzung!$A$1=1,Bauteile!X93,Bauteile!AF93)</f>
        <v>0</v>
      </c>
      <c r="H93" s="498">
        <f>IF(Uebersetzung!$A$1=1,Bauteile!Y93,Bauteile!AG93)</f>
        <v>0</v>
      </c>
      <c r="I93" s="498">
        <f>IF(Uebersetzung!$A$1=1,Bauteile!Z93,Bauteile!AH93)</f>
        <v>0</v>
      </c>
      <c r="J93" s="27"/>
      <c r="K93" s="154" t="str">
        <f>Uebersetzung!D560</f>
        <v>dalle continue, mur en béton 0.25 W/m2K</v>
      </c>
      <c r="L93" s="64"/>
      <c r="M93" s="64"/>
      <c r="N93" s="64"/>
      <c r="O93" s="64"/>
      <c r="P93" s="628"/>
      <c r="Q93" s="56">
        <v>0.97</v>
      </c>
      <c r="R93" s="344" t="s">
        <v>1190</v>
      </c>
      <c r="S93" s="1878" t="s">
        <v>34</v>
      </c>
      <c r="T93" s="30"/>
      <c r="U93" s="30"/>
      <c r="V93" s="545"/>
      <c r="W93" s="30"/>
      <c r="X93" s="546">
        <v>500</v>
      </c>
      <c r="Y93" s="546">
        <v>0.13</v>
      </c>
      <c r="Z93" s="1475">
        <v>5</v>
      </c>
      <c r="AA93" s="1890" t="s">
        <v>3674</v>
      </c>
      <c r="AB93" s="30"/>
      <c r="AC93" s="30"/>
      <c r="AD93" s="421"/>
      <c r="AE93" s="30"/>
      <c r="AF93" s="422"/>
      <c r="AG93" s="422"/>
      <c r="AH93" s="1891"/>
    </row>
    <row r="94" spans="1:34">
      <c r="A94" s="66"/>
      <c r="B94" s="497" t="str">
        <f>IF(Uebersetzung!$A$1=1,Bauteile!S94,Bauteile!AA94)</f>
        <v>Bitume V60</v>
      </c>
      <c r="C94" s="497"/>
      <c r="D94" s="497"/>
      <c r="E94" s="497"/>
      <c r="F94" s="497"/>
      <c r="G94" s="498">
        <f>IF(Uebersetzung!$A$1=1,Bauteile!X94,Bauteile!AF94)</f>
        <v>1000</v>
      </c>
      <c r="H94" s="498">
        <f>IF(Uebersetzung!$A$1=1,Bauteile!Y94,Bauteile!AG94)</f>
        <v>0.5</v>
      </c>
      <c r="I94" s="498">
        <f>IF(Uebersetzung!$A$1=1,Bauteile!Z94,Bauteile!AH94)</f>
        <v>37142</v>
      </c>
      <c r="J94" s="27"/>
      <c r="K94" s="154" t="str">
        <f>Uebersetzung!D561</f>
        <v>dalle continue, mur en béton 0.35 W/m2K</v>
      </c>
      <c r="L94" s="64"/>
      <c r="M94" s="64"/>
      <c r="N94" s="64"/>
      <c r="O94" s="64"/>
      <c r="P94" s="628"/>
      <c r="Q94" s="56">
        <v>1.04</v>
      </c>
      <c r="R94" s="344" t="s">
        <v>1190</v>
      </c>
      <c r="S94" s="1878" t="s">
        <v>35</v>
      </c>
      <c r="T94" s="30"/>
      <c r="U94" s="30"/>
      <c r="V94" s="545"/>
      <c r="W94" s="30"/>
      <c r="X94" s="546">
        <v>600</v>
      </c>
      <c r="Y94" s="546">
        <v>0.15</v>
      </c>
      <c r="Z94" s="1472">
        <v>5</v>
      </c>
      <c r="AA94" s="1878" t="s">
        <v>3675</v>
      </c>
      <c r="AB94" s="30"/>
      <c r="AC94" s="30"/>
      <c r="AD94" s="421"/>
      <c r="AE94" s="30"/>
      <c r="AF94" s="422">
        <v>1000</v>
      </c>
      <c r="AG94" s="422">
        <v>0.5</v>
      </c>
      <c r="AH94" s="1881">
        <v>37142</v>
      </c>
    </row>
    <row r="95" spans="1:34">
      <c r="A95" s="66"/>
      <c r="B95" s="497" t="str">
        <f>IF(Uebersetzung!$A$1=1,Bauteile!S95,Bauteile!AA95)</f>
        <v>Bitume F3+J2+V60</v>
      </c>
      <c r="C95" s="497"/>
      <c r="D95" s="497"/>
      <c r="E95" s="497"/>
      <c r="F95" s="497"/>
      <c r="G95" s="498">
        <f>IF(Uebersetzung!$A$1=1,Bauteile!X95,Bauteile!AF95)</f>
        <v>1000</v>
      </c>
      <c r="H95" s="498">
        <f>IF(Uebersetzung!$A$1=1,Bauteile!Y95,Bauteile!AG95)</f>
        <v>0.5</v>
      </c>
      <c r="I95" s="498">
        <f>IF(Uebersetzung!$A$1=1,Bauteile!Z95,Bauteile!AH95)</f>
        <v>21000</v>
      </c>
      <c r="J95" s="27"/>
      <c r="K95" s="154" t="str">
        <f>Uebersetzung!D562</f>
        <v>avec consoles de dalle isolante d'acier</v>
      </c>
      <c r="L95" s="64"/>
      <c r="M95" s="64"/>
      <c r="N95" s="64"/>
      <c r="O95" s="64"/>
      <c r="P95" s="628"/>
      <c r="Q95" s="56">
        <v>0.5</v>
      </c>
      <c r="R95" s="344" t="s">
        <v>1190</v>
      </c>
      <c r="S95" s="1878" t="s">
        <v>36</v>
      </c>
      <c r="T95" s="30"/>
      <c r="U95" s="30"/>
      <c r="V95" s="545"/>
      <c r="W95" s="30"/>
      <c r="X95" s="546">
        <v>1000</v>
      </c>
      <c r="Y95" s="546">
        <v>0.3</v>
      </c>
      <c r="Z95" s="1472">
        <v>15</v>
      </c>
      <c r="AA95" s="1878" t="s">
        <v>3676</v>
      </c>
      <c r="AB95" s="30"/>
      <c r="AC95" s="30"/>
      <c r="AD95" s="421"/>
      <c r="AE95" s="30"/>
      <c r="AF95" s="422">
        <v>1000</v>
      </c>
      <c r="AG95" s="422">
        <v>0.5</v>
      </c>
      <c r="AH95" s="1886">
        <v>21000</v>
      </c>
    </row>
    <row r="96" spans="1:34">
      <c r="A96" s="66"/>
      <c r="B96" s="497" t="str">
        <f>IF(Uebersetzung!$A$1=1,Bauteile!S96,Bauteile!AA96)</f>
        <v>Bitume F3+J2+J2</v>
      </c>
      <c r="C96" s="497"/>
      <c r="D96" s="497"/>
      <c r="E96" s="497"/>
      <c r="F96" s="497"/>
      <c r="G96" s="498">
        <f>IF(Uebersetzung!$A$1=1,Bauteile!X96,Bauteile!AF96)</f>
        <v>1000</v>
      </c>
      <c r="H96" s="498">
        <f>IF(Uebersetzung!$A$1=1,Bauteile!Y96,Bauteile!AG96)</f>
        <v>0.5</v>
      </c>
      <c r="I96" s="498">
        <f>IF(Uebersetzung!$A$1=1,Bauteile!Z96,Bauteile!AH96)</f>
        <v>28000</v>
      </c>
      <c r="J96" s="27"/>
      <c r="K96" s="154" t="str">
        <f>Uebersetzung!D563</f>
        <v>consoles de dalle isolante d'acier fin, paroi 0.15 W/m2K</v>
      </c>
      <c r="L96" s="64"/>
      <c r="M96" s="64"/>
      <c r="N96" s="64"/>
      <c r="O96" s="64"/>
      <c r="P96" s="628"/>
      <c r="Q96" s="56">
        <v>0.26</v>
      </c>
      <c r="R96" s="344" t="s">
        <v>1190</v>
      </c>
      <c r="S96" s="1878" t="s">
        <v>37</v>
      </c>
      <c r="T96" s="30"/>
      <c r="U96" s="30"/>
      <c r="V96" s="545"/>
      <c r="W96" s="30"/>
      <c r="X96" s="546">
        <v>1250</v>
      </c>
      <c r="Y96" s="546">
        <v>0.5</v>
      </c>
      <c r="Z96" s="1472">
        <v>15</v>
      </c>
      <c r="AA96" s="1878" t="s">
        <v>3677</v>
      </c>
      <c r="AB96" s="30"/>
      <c r="AC96" s="30"/>
      <c r="AD96" s="421"/>
      <c r="AE96" s="30"/>
      <c r="AF96" s="422">
        <v>1000</v>
      </c>
      <c r="AG96" s="422">
        <v>0.5</v>
      </c>
      <c r="AH96" s="1886">
        <v>28000</v>
      </c>
    </row>
    <row r="97" spans="1:34">
      <c r="A97" s="66"/>
      <c r="B97" s="497" t="str">
        <f>IF(Uebersetzung!$A$1=1,Bauteile!S97,Bauteile!AA97)</f>
        <v>Couches de bitume</v>
      </c>
      <c r="C97" s="497"/>
      <c r="D97" s="497"/>
      <c r="E97" s="497"/>
      <c r="F97" s="497"/>
      <c r="G97" s="498">
        <f>IF(Uebersetzung!$A$1=1,Bauteile!X97,Bauteile!AF97)</f>
        <v>1000</v>
      </c>
      <c r="H97" s="498">
        <f>IF(Uebersetzung!$A$1=1,Bauteile!Y97,Bauteile!AG97)</f>
        <v>0.5</v>
      </c>
      <c r="I97" s="498">
        <f>IF(Uebersetzung!$A$1=1,Bauteile!Z97,Bauteile!AH97)</f>
        <v>60000</v>
      </c>
      <c r="J97" s="27"/>
      <c r="K97" s="154" t="str">
        <f>Uebersetzung!D564</f>
        <v>consoles de dalle isolante d'acier fin, paroi 0.25 W/m2K</v>
      </c>
      <c r="L97" s="64"/>
      <c r="M97" s="64"/>
      <c r="N97" s="64"/>
      <c r="O97" s="64"/>
      <c r="P97" s="628"/>
      <c r="Q97" s="56">
        <v>0.24</v>
      </c>
      <c r="R97" s="344" t="s">
        <v>1190</v>
      </c>
      <c r="S97" s="1878" t="s">
        <v>38</v>
      </c>
      <c r="T97" s="30"/>
      <c r="U97" s="30"/>
      <c r="V97" s="545"/>
      <c r="W97" s="30"/>
      <c r="X97" s="546">
        <v>1500</v>
      </c>
      <c r="Y97" s="546">
        <v>0.7</v>
      </c>
      <c r="Z97" s="1472">
        <v>15</v>
      </c>
      <c r="AA97" s="1878" t="s">
        <v>3678</v>
      </c>
      <c r="AB97" s="30"/>
      <c r="AC97" s="30"/>
      <c r="AD97" s="421"/>
      <c r="AE97" s="30"/>
      <c r="AF97" s="422">
        <v>1000</v>
      </c>
      <c r="AG97" s="422">
        <v>0.5</v>
      </c>
      <c r="AH97" s="1886">
        <v>60000</v>
      </c>
    </row>
    <row r="98" spans="1:34">
      <c r="A98" s="66"/>
      <c r="B98" s="497" t="str">
        <f>IF(Uebersetzung!$A$1=1,Bauteile!S98,Bauteile!AA98)</f>
        <v>Bitume d'aluminium 10 B</v>
      </c>
      <c r="C98" s="497"/>
      <c r="D98" s="497"/>
      <c r="E98" s="497"/>
      <c r="F98" s="497"/>
      <c r="G98" s="498">
        <f>IF(Uebersetzung!$A$1=1,Bauteile!X98,Bauteile!AF98)</f>
        <v>1000</v>
      </c>
      <c r="H98" s="498">
        <f>IF(Uebersetzung!$A$1=1,Bauteile!Y98,Bauteile!AG98)</f>
        <v>0.5</v>
      </c>
      <c r="I98" s="498">
        <f>IF(Uebersetzung!$A$1=1,Bauteile!Z98,Bauteile!AH98)</f>
        <v>346154</v>
      </c>
      <c r="J98" s="27"/>
      <c r="K98" s="154" t="str">
        <f>Uebersetzung!D565</f>
        <v>consoles de dalle isolante d'acier fin, paroi 0.35 W/m2K</v>
      </c>
      <c r="L98" s="64"/>
      <c r="M98" s="64"/>
      <c r="N98" s="64"/>
      <c r="O98" s="64"/>
      <c r="P98" s="628"/>
      <c r="Q98" s="56">
        <v>0.23</v>
      </c>
      <c r="R98" s="344" t="s">
        <v>1190</v>
      </c>
      <c r="S98" s="1878" t="s">
        <v>39</v>
      </c>
      <c r="T98" s="30"/>
      <c r="U98" s="30"/>
      <c r="V98" s="545"/>
      <c r="W98" s="30"/>
      <c r="X98" s="546">
        <v>1700</v>
      </c>
      <c r="Y98" s="546">
        <v>1</v>
      </c>
      <c r="Z98" s="1472">
        <v>15</v>
      </c>
      <c r="AA98" s="1878" t="s">
        <v>3679</v>
      </c>
      <c r="AB98" s="30"/>
      <c r="AC98" s="30"/>
      <c r="AD98" s="421"/>
      <c r="AE98" s="30"/>
      <c r="AF98" s="422">
        <v>1000</v>
      </c>
      <c r="AG98" s="422">
        <v>0.5</v>
      </c>
      <c r="AH98" s="1886">
        <v>346154</v>
      </c>
    </row>
    <row r="99" spans="1:34">
      <c r="A99" s="66"/>
      <c r="B99" s="497" t="str">
        <f>IF(Uebersetzung!$A$1=1,Bauteile!S99,Bauteile!AA99)</f>
        <v>Boue de chaux</v>
      </c>
      <c r="C99" s="497"/>
      <c r="D99" s="497"/>
      <c r="E99" s="497"/>
      <c r="F99" s="497"/>
      <c r="G99" s="498">
        <f>IF(Uebersetzung!$A$1=1,Bauteile!X99,Bauteile!AF99)</f>
        <v>1200</v>
      </c>
      <c r="H99" s="498">
        <f>IF(Uebersetzung!$A$1=1,Bauteile!Y99,Bauteile!AG99)</f>
        <v>0.8</v>
      </c>
      <c r="I99" s="498">
        <f>IF(Uebersetzung!$A$1=1,Bauteile!Z99,Bauteile!AH99)</f>
        <v>10</v>
      </c>
      <c r="J99" s="27"/>
      <c r="K99" s="2552"/>
      <c r="L99" s="2553"/>
      <c r="M99" s="2553"/>
      <c r="N99" s="2553"/>
      <c r="O99" s="2553"/>
      <c r="P99" s="628"/>
      <c r="Q99" s="632"/>
      <c r="R99" s="344" t="s">
        <v>1190</v>
      </c>
      <c r="S99" s="1878" t="s">
        <v>1861</v>
      </c>
      <c r="T99" s="30"/>
      <c r="U99" s="30"/>
      <c r="V99" s="545"/>
      <c r="W99" s="30"/>
      <c r="X99" s="546">
        <v>11300</v>
      </c>
      <c r="Y99" s="546">
        <v>35</v>
      </c>
      <c r="Z99" s="1472">
        <v>500000</v>
      </c>
      <c r="AA99" s="1878" t="s">
        <v>3680</v>
      </c>
      <c r="AB99" s="30"/>
      <c r="AC99" s="30"/>
      <c r="AD99" s="421"/>
      <c r="AE99" s="30"/>
      <c r="AF99" s="422">
        <v>1200</v>
      </c>
      <c r="AG99" s="422">
        <v>0.8</v>
      </c>
      <c r="AH99" s="1886">
        <v>10</v>
      </c>
    </row>
    <row r="100" spans="1:34">
      <c r="A100" s="66"/>
      <c r="B100" s="497" t="str">
        <f>IF(Uebersetzung!$A$1=1,Bauteile!S100,Bauteile!AA100)</f>
        <v>Brique klinker</v>
      </c>
      <c r="C100" s="497"/>
      <c r="D100" s="497"/>
      <c r="E100" s="497"/>
      <c r="F100" s="497"/>
      <c r="G100" s="498">
        <f>IF(Uebersetzung!$A$1=1,Bauteile!X100,Bauteile!AF100)</f>
        <v>1800</v>
      </c>
      <c r="H100" s="498">
        <f>IF(Uebersetzung!$A$1=1,Bauteile!Y100,Bauteile!AG100)</f>
        <v>1.8</v>
      </c>
      <c r="I100" s="498">
        <f>IF(Uebersetzung!$A$1=1,Bauteile!Z100,Bauteile!AH100)</f>
        <v>75</v>
      </c>
      <c r="J100" s="27"/>
      <c r="K100" s="2554"/>
      <c r="L100" s="2555"/>
      <c r="M100" s="2555"/>
      <c r="N100" s="2555"/>
      <c r="O100" s="2555"/>
      <c r="P100" s="628"/>
      <c r="Q100" s="633"/>
      <c r="R100" s="344" t="s">
        <v>1190</v>
      </c>
      <c r="S100" s="1878" t="s">
        <v>1862</v>
      </c>
      <c r="T100" s="30"/>
      <c r="U100" s="30"/>
      <c r="V100" s="545"/>
      <c r="W100" s="30"/>
      <c r="X100" s="546">
        <v>8700</v>
      </c>
      <c r="Y100" s="546">
        <v>65</v>
      </c>
      <c r="Z100" s="1472">
        <v>500000</v>
      </c>
      <c r="AA100" s="1878" t="s">
        <v>3681</v>
      </c>
      <c r="AB100" s="30"/>
      <c r="AC100" s="30"/>
      <c r="AD100" s="421"/>
      <c r="AE100" s="30"/>
      <c r="AF100" s="422">
        <v>1800</v>
      </c>
      <c r="AG100" s="422">
        <v>1.8</v>
      </c>
      <c r="AH100" s="1886">
        <v>75</v>
      </c>
    </row>
    <row r="101" spans="1:34">
      <c r="A101" s="66"/>
      <c r="B101" s="497" t="str">
        <f>IF(Uebersetzung!$A$1=1,Bauteile!S101,Bauteile!AA101)</f>
        <v>Brique silico-calcaire, lambda 0.8</v>
      </c>
      <c r="C101" s="497"/>
      <c r="D101" s="497"/>
      <c r="E101" s="497"/>
      <c r="F101" s="497"/>
      <c r="G101" s="498">
        <f>IF(Uebersetzung!$A$1=1,Bauteile!X101,Bauteile!AF101)</f>
        <v>1600</v>
      </c>
      <c r="H101" s="498">
        <f>IF(Uebersetzung!$A$1=1,Bauteile!Y101,Bauteile!AG101)</f>
        <v>0.8</v>
      </c>
      <c r="I101" s="498">
        <f>IF(Uebersetzung!$A$1=1,Bauteile!Z101,Bauteile!AH101)</f>
        <v>28</v>
      </c>
      <c r="J101" s="27"/>
      <c r="K101" s="2554"/>
      <c r="L101" s="2555"/>
      <c r="M101" s="2555"/>
      <c r="N101" s="2555"/>
      <c r="O101" s="2555"/>
      <c r="P101" s="628"/>
      <c r="Q101" s="633"/>
      <c r="R101" s="344" t="s">
        <v>1190</v>
      </c>
      <c r="S101" s="1878" t="s">
        <v>26</v>
      </c>
      <c r="T101" s="30"/>
      <c r="U101" s="30"/>
      <c r="V101" s="545"/>
      <c r="W101" s="30"/>
      <c r="X101" s="546">
        <v>1700</v>
      </c>
      <c r="Y101" s="546">
        <v>2</v>
      </c>
      <c r="Z101" s="1472">
        <v>55</v>
      </c>
      <c r="AA101" s="1878" t="s">
        <v>3682</v>
      </c>
      <c r="AB101" s="30"/>
      <c r="AC101" s="30"/>
      <c r="AD101" s="421"/>
      <c r="AE101" s="30"/>
      <c r="AF101" s="422">
        <v>1600</v>
      </c>
      <c r="AG101" s="422">
        <v>0.8</v>
      </c>
      <c r="AH101" s="1886">
        <v>28</v>
      </c>
    </row>
    <row r="102" spans="1:34">
      <c r="A102" s="66"/>
      <c r="B102" s="497" t="str">
        <f>IF(Uebersetzung!$A$1=1,Bauteile!S102,Bauteile!AA102)</f>
        <v>Brique silico-calcaire, lambda 1.0</v>
      </c>
      <c r="C102" s="497"/>
      <c r="D102" s="497"/>
      <c r="E102" s="497"/>
      <c r="F102" s="497"/>
      <c r="G102" s="498">
        <f>IF(Uebersetzung!$A$1=1,Bauteile!X102,Bauteile!AF102)</f>
        <v>1800</v>
      </c>
      <c r="H102" s="498">
        <f>IF(Uebersetzung!$A$1=1,Bauteile!Y102,Bauteile!AG102)</f>
        <v>1</v>
      </c>
      <c r="I102" s="498">
        <f>IF(Uebersetzung!$A$1=1,Bauteile!Z102,Bauteile!AH102)</f>
        <v>28</v>
      </c>
      <c r="J102" s="27"/>
      <c r="K102" s="2550"/>
      <c r="L102" s="2551"/>
      <c r="M102" s="2551"/>
      <c r="N102" s="2551"/>
      <c r="O102" s="2551"/>
      <c r="P102" s="629"/>
      <c r="Q102" s="634"/>
      <c r="R102" s="412" t="s">
        <v>1190</v>
      </c>
      <c r="S102" s="1878" t="s">
        <v>40</v>
      </c>
      <c r="T102" s="30"/>
      <c r="U102" s="30"/>
      <c r="V102" s="545"/>
      <c r="W102" s="30"/>
      <c r="X102" s="546">
        <v>725</v>
      </c>
      <c r="Y102" s="546">
        <v>0.17</v>
      </c>
      <c r="Z102" s="1472">
        <v>30</v>
      </c>
      <c r="AA102" s="1878" t="s">
        <v>3683</v>
      </c>
      <c r="AB102" s="30"/>
      <c r="AC102" s="30"/>
      <c r="AD102" s="421"/>
      <c r="AE102" s="30"/>
      <c r="AF102" s="422">
        <v>1800</v>
      </c>
      <c r="AG102" s="422">
        <v>1</v>
      </c>
      <c r="AH102" s="1886">
        <v>28</v>
      </c>
    </row>
    <row r="103" spans="1:34">
      <c r="A103" s="66"/>
      <c r="B103" s="497" t="str">
        <f>IF(Uebersetzung!$A$1=1,Bauteile!S103,Bauteile!AA103)</f>
        <v>Brique silico-calcaire, lambda 1.1</v>
      </c>
      <c r="C103" s="497"/>
      <c r="D103" s="497"/>
      <c r="E103" s="497"/>
      <c r="F103" s="497"/>
      <c r="G103" s="498">
        <f>IF(Uebersetzung!$A$1=1,Bauteile!X103,Bauteile!AF103)</f>
        <v>2000</v>
      </c>
      <c r="H103" s="498">
        <f>IF(Uebersetzung!$A$1=1,Bauteile!Y103,Bauteile!AG103)</f>
        <v>1.1000000000000001</v>
      </c>
      <c r="I103" s="498">
        <f>IF(Uebersetzung!$A$1=1,Bauteile!Z103,Bauteile!AH103)</f>
        <v>28</v>
      </c>
      <c r="J103" s="27"/>
      <c r="K103" s="27"/>
      <c r="L103" s="27"/>
      <c r="M103" s="27"/>
      <c r="N103" s="27"/>
      <c r="P103" s="27"/>
      <c r="S103" s="1878"/>
      <c r="T103" s="30"/>
      <c r="U103" s="30"/>
      <c r="V103" s="545"/>
      <c r="W103" s="30"/>
      <c r="X103" s="546"/>
      <c r="Y103" s="546"/>
      <c r="Z103" s="1476"/>
      <c r="AA103" s="1878" t="s">
        <v>3684</v>
      </c>
      <c r="AB103" s="30"/>
      <c r="AC103" s="30"/>
      <c r="AD103" s="421"/>
      <c r="AE103" s="30"/>
      <c r="AF103" s="422">
        <v>2000</v>
      </c>
      <c r="AG103" s="422">
        <v>1.1000000000000001</v>
      </c>
      <c r="AH103" s="1886">
        <v>28</v>
      </c>
    </row>
    <row r="104" spans="1:34">
      <c r="A104" s="66"/>
      <c r="B104" s="497" t="str">
        <f>IF(Uebersetzung!$A$1=1,Bauteile!S104,Bauteile!AA104)</f>
        <v>Briques de terre cuite, modulaires parpaing</v>
      </c>
      <c r="C104" s="497"/>
      <c r="D104" s="497"/>
      <c r="E104" s="497"/>
      <c r="F104" s="497"/>
      <c r="G104" s="498">
        <f>IF(Uebersetzung!$A$1=1,Bauteile!X104,Bauteile!AF104)</f>
        <v>1100</v>
      </c>
      <c r="H104" s="498">
        <f>IF(Uebersetzung!$A$1=1,Bauteile!Y104,Bauteile!AG104)</f>
        <v>0.44</v>
      </c>
      <c r="I104" s="498">
        <f>IF(Uebersetzung!$A$1=1,Bauteile!Z104,Bauteile!AH104)</f>
        <v>5</v>
      </c>
      <c r="J104" s="27"/>
      <c r="K104" s="384"/>
      <c r="L104" s="385"/>
      <c r="M104" s="153"/>
      <c r="N104" s="385" t="str">
        <f>Uebersetzung!D566</f>
        <v>Appui fenêtre / mur:</v>
      </c>
      <c r="O104" s="153"/>
      <c r="P104" s="153"/>
      <c r="Q104" s="2546" t="s">
        <v>757</v>
      </c>
      <c r="R104" s="2547"/>
      <c r="S104" s="1878" t="s">
        <v>365</v>
      </c>
      <c r="T104" s="30"/>
      <c r="U104" s="30"/>
      <c r="V104" s="545"/>
      <c r="W104" s="30"/>
      <c r="X104" s="546">
        <v>1400</v>
      </c>
      <c r="Y104" s="546">
        <v>0.22</v>
      </c>
      <c r="Z104" s="1474">
        <v>30000</v>
      </c>
      <c r="AA104" s="1878" t="s">
        <v>3685</v>
      </c>
      <c r="AB104" s="30"/>
      <c r="AC104" s="30"/>
      <c r="AD104" s="421"/>
      <c r="AE104" s="30"/>
      <c r="AF104" s="422">
        <v>1100</v>
      </c>
      <c r="AG104" s="422">
        <v>0.44</v>
      </c>
      <c r="AH104" s="1886">
        <v>5</v>
      </c>
    </row>
    <row r="105" spans="1:34">
      <c r="A105" s="66"/>
      <c r="B105" s="497" t="str">
        <f>IF(Uebersetzung!$A$1=1,Bauteile!S105,Bauteile!AA105)</f>
        <v>Briques en béton cellulaire, lambda 0.16</v>
      </c>
      <c r="C105" s="497"/>
      <c r="D105" s="497"/>
      <c r="E105" s="497"/>
      <c r="F105" s="497"/>
      <c r="G105" s="498">
        <f>IF(Uebersetzung!$A$1=1,Bauteile!X105,Bauteile!AF105)</f>
        <v>500</v>
      </c>
      <c r="H105" s="498">
        <f>IF(Uebersetzung!$A$1=1,Bauteile!Y105,Bauteile!AG105)</f>
        <v>0.16</v>
      </c>
      <c r="I105" s="498">
        <f>IF(Uebersetzung!$A$1=1,Bauteile!Z105,Bauteile!AH105)</f>
        <v>8</v>
      </c>
      <c r="J105" s="27"/>
      <c r="K105" s="154" t="str">
        <f>Uebersetzung!D567</f>
        <v>&lt; 2 cm isolation thermique</v>
      </c>
      <c r="L105" s="64"/>
      <c r="M105" s="64"/>
      <c r="N105" s="64"/>
      <c r="O105" s="64"/>
      <c r="P105" s="64"/>
      <c r="Q105" s="56">
        <v>0.25</v>
      </c>
      <c r="R105" s="344" t="s">
        <v>1190</v>
      </c>
      <c r="S105" s="1878" t="s">
        <v>82</v>
      </c>
      <c r="T105" s="30"/>
      <c r="U105" s="30"/>
      <c r="V105" s="545"/>
      <c r="W105" s="30"/>
      <c r="X105" s="546">
        <v>1400</v>
      </c>
      <c r="Y105" s="546">
        <v>1</v>
      </c>
      <c r="Z105" s="1474">
        <v>7692</v>
      </c>
      <c r="AA105" s="1878" t="s">
        <v>3686</v>
      </c>
      <c r="AB105" s="30"/>
      <c r="AC105" s="30"/>
      <c r="AD105" s="421"/>
      <c r="AE105" s="30"/>
      <c r="AF105" s="422">
        <v>500</v>
      </c>
      <c r="AG105" s="422">
        <v>0.16</v>
      </c>
      <c r="AH105" s="1886">
        <v>8</v>
      </c>
    </row>
    <row r="106" spans="1:34">
      <c r="A106" s="66"/>
      <c r="B106" s="497" t="str">
        <f>IF(Uebersetzung!$A$1=1,Bauteile!S106,Bauteile!AA106)</f>
        <v>Briques en béton cellulaire, lambda 0.18</v>
      </c>
      <c r="C106" s="497"/>
      <c r="D106" s="497"/>
      <c r="E106" s="497"/>
      <c r="F106" s="497"/>
      <c r="G106" s="498">
        <f>IF(Uebersetzung!$A$1=1,Bauteile!X106,Bauteile!AF106)</f>
        <v>600</v>
      </c>
      <c r="H106" s="498">
        <f>IF(Uebersetzung!$A$1=1,Bauteile!Y106,Bauteile!AG106)</f>
        <v>0.18</v>
      </c>
      <c r="I106" s="498">
        <f>IF(Uebersetzung!$A$1=1,Bauteile!Z106,Bauteile!AH106)</f>
        <v>8</v>
      </c>
      <c r="J106" s="27"/>
      <c r="K106" s="154" t="str">
        <f>Uebersetzung!D568</f>
        <v>2-4 cm isolation thermique</v>
      </c>
      <c r="L106" s="64"/>
      <c r="M106" s="64"/>
      <c r="N106" s="64"/>
      <c r="O106" s="64"/>
      <c r="P106" s="63"/>
      <c r="Q106" s="56">
        <v>0.1</v>
      </c>
      <c r="R106" s="344" t="s">
        <v>1190</v>
      </c>
      <c r="S106" s="1882"/>
      <c r="T106" s="546"/>
      <c r="U106" s="546"/>
      <c r="V106" s="546"/>
      <c r="W106" s="1883"/>
      <c r="X106" s="546"/>
      <c r="Y106" s="30"/>
      <c r="Z106" s="1885"/>
      <c r="AA106" s="1878" t="s">
        <v>3687</v>
      </c>
      <c r="AB106" s="30"/>
      <c r="AC106" s="30"/>
      <c r="AD106" s="421"/>
      <c r="AE106" s="30"/>
      <c r="AF106" s="422">
        <v>600</v>
      </c>
      <c r="AG106" s="422">
        <v>0.18</v>
      </c>
      <c r="AH106" s="1886">
        <v>8</v>
      </c>
    </row>
    <row r="107" spans="1:34">
      <c r="A107" s="66"/>
      <c r="B107" s="497" t="str">
        <f>IF(Uebersetzung!$A$1=1,Bauteile!S107,Bauteile!AA107)</f>
        <v>Briques en béton cellulaire, lambda 0.21</v>
      </c>
      <c r="C107" s="497"/>
      <c r="D107" s="497"/>
      <c r="E107" s="497"/>
      <c r="F107" s="497"/>
      <c r="G107" s="498">
        <f>IF(Uebersetzung!$A$1=1,Bauteile!X107,Bauteile!AF107)</f>
        <v>700</v>
      </c>
      <c r="H107" s="498">
        <f>IF(Uebersetzung!$A$1=1,Bauteile!Y107,Bauteile!AG107)</f>
        <v>0.21</v>
      </c>
      <c r="I107" s="498">
        <f>IF(Uebersetzung!$A$1=1,Bauteile!Z107,Bauteile!AH107)</f>
        <v>8</v>
      </c>
      <c r="J107" s="27"/>
      <c r="K107" s="2552"/>
      <c r="L107" s="2553"/>
      <c r="M107" s="2553"/>
      <c r="N107" s="2553"/>
      <c r="O107" s="2553"/>
      <c r="P107" s="63"/>
      <c r="Q107" s="632"/>
      <c r="R107" s="344" t="s">
        <v>1190</v>
      </c>
      <c r="S107" s="1878" t="s">
        <v>41</v>
      </c>
      <c r="T107" s="30"/>
      <c r="U107" s="30"/>
      <c r="V107" s="545"/>
      <c r="W107" s="30"/>
      <c r="X107" s="546">
        <v>750</v>
      </c>
      <c r="Y107" s="546">
        <v>0.21</v>
      </c>
      <c r="Z107" s="1474">
        <v>30</v>
      </c>
      <c r="AA107" s="1878" t="s">
        <v>3688</v>
      </c>
      <c r="AB107" s="30"/>
      <c r="AC107" s="30"/>
      <c r="AD107" s="421"/>
      <c r="AE107" s="30"/>
      <c r="AF107" s="422">
        <v>700</v>
      </c>
      <c r="AG107" s="422">
        <v>0.21</v>
      </c>
      <c r="AH107" s="1886">
        <v>8</v>
      </c>
    </row>
    <row r="108" spans="1:34">
      <c r="A108" s="66"/>
      <c r="B108" s="497" t="str">
        <f>IF(Uebersetzung!$A$1=1,Bauteile!S108,Bauteile!AA108)</f>
        <v>Bronze</v>
      </c>
      <c r="C108" s="497"/>
      <c r="D108" s="497"/>
      <c r="E108" s="497"/>
      <c r="F108" s="497"/>
      <c r="G108" s="498">
        <f>IF(Uebersetzung!$A$1=1,Bauteile!X108,Bauteile!AF108)</f>
        <v>8700</v>
      </c>
      <c r="H108" s="498">
        <f>IF(Uebersetzung!$A$1=1,Bauteile!Y108,Bauteile!AG108)</f>
        <v>65</v>
      </c>
      <c r="I108" s="498">
        <f>IF(Uebersetzung!$A$1=1,Bauteile!Z108,Bauteile!AH108)</f>
        <v>500000</v>
      </c>
      <c r="J108" s="27"/>
      <c r="K108" s="2554"/>
      <c r="L108" s="2555"/>
      <c r="M108" s="2555"/>
      <c r="N108" s="2555"/>
      <c r="O108" s="2555"/>
      <c r="P108" s="63"/>
      <c r="Q108" s="633"/>
      <c r="R108" s="344" t="s">
        <v>1190</v>
      </c>
      <c r="S108" s="1882"/>
      <c r="T108" s="546"/>
      <c r="U108" s="546"/>
      <c r="V108" s="546"/>
      <c r="W108" s="1883"/>
      <c r="X108" s="546"/>
      <c r="Y108" s="30"/>
      <c r="Z108" s="1885"/>
      <c r="AA108" s="1878" t="s">
        <v>1862</v>
      </c>
      <c r="AB108" s="30"/>
      <c r="AC108" s="30"/>
      <c r="AD108" s="421"/>
      <c r="AE108" s="30"/>
      <c r="AF108" s="422">
        <v>8700</v>
      </c>
      <c r="AG108" s="422">
        <v>65</v>
      </c>
      <c r="AH108" s="1886">
        <v>500000</v>
      </c>
    </row>
    <row r="109" spans="1:34">
      <c r="A109" s="66"/>
      <c r="B109" s="497" t="str">
        <f>IF(Uebersetzung!$A$1=1,Bauteile!S109,Bauteile!AA109)</f>
        <v>Bruchstein-Mauerwerk</v>
      </c>
      <c r="C109" s="497"/>
      <c r="D109" s="497"/>
      <c r="E109" s="497"/>
      <c r="F109" s="497"/>
      <c r="G109" s="498">
        <f>IF(Uebersetzung!$A$1=1,Bauteile!X109,Bauteile!AF109)</f>
        <v>1700</v>
      </c>
      <c r="H109" s="498">
        <f>IF(Uebersetzung!$A$1=1,Bauteile!Y109,Bauteile!AG109)</f>
        <v>2</v>
      </c>
      <c r="I109" s="498">
        <f>IF(Uebersetzung!$A$1=1,Bauteile!Z109,Bauteile!AH109)</f>
        <v>55</v>
      </c>
      <c r="J109" s="27"/>
      <c r="K109" s="2554"/>
      <c r="L109" s="2555"/>
      <c r="M109" s="2555"/>
      <c r="N109" s="2555"/>
      <c r="O109" s="2555"/>
      <c r="P109" s="63"/>
      <c r="Q109" s="633"/>
      <c r="R109" s="344" t="s">
        <v>1190</v>
      </c>
      <c r="S109" s="1878" t="s">
        <v>42</v>
      </c>
      <c r="T109" s="30"/>
      <c r="U109" s="30"/>
      <c r="V109" s="545"/>
      <c r="W109" s="30"/>
      <c r="X109" s="546">
        <v>475</v>
      </c>
      <c r="Y109" s="546">
        <v>0.13</v>
      </c>
      <c r="Z109" s="1474">
        <v>40</v>
      </c>
      <c r="AA109" s="1878" t="s">
        <v>26</v>
      </c>
      <c r="AB109" s="30"/>
      <c r="AC109" s="30"/>
      <c r="AD109" s="421"/>
      <c r="AE109" s="30"/>
      <c r="AF109" s="422">
        <v>1700</v>
      </c>
      <c r="AG109" s="422">
        <v>2</v>
      </c>
      <c r="AH109" s="1886">
        <v>55</v>
      </c>
    </row>
    <row r="110" spans="1:34">
      <c r="A110" s="66"/>
      <c r="B110" s="497" t="str">
        <f>IF(Uebersetzung!$A$1=1,Bauteile!S110,Bauteile!AA110)</f>
        <v>BTC de parement</v>
      </c>
      <c r="C110" s="497"/>
      <c r="D110" s="497"/>
      <c r="E110" s="497"/>
      <c r="F110" s="497"/>
      <c r="G110" s="498">
        <f>IF(Uebersetzung!$A$1=1,Bauteile!X110,Bauteile!AF110)</f>
        <v>1400</v>
      </c>
      <c r="H110" s="498">
        <f>IF(Uebersetzung!$A$1=1,Bauteile!Y110,Bauteile!AG110)</f>
        <v>0.52</v>
      </c>
      <c r="I110" s="498">
        <f>IF(Uebersetzung!$A$1=1,Bauteile!Z110,Bauteile!AH110)</f>
        <v>7</v>
      </c>
      <c r="J110" s="27"/>
      <c r="K110" s="2552"/>
      <c r="L110" s="2553"/>
      <c r="M110" s="2553"/>
      <c r="N110" s="2553"/>
      <c r="O110" s="2553"/>
      <c r="P110" s="63"/>
      <c r="Q110" s="632"/>
      <c r="R110" s="344" t="s">
        <v>1190</v>
      </c>
      <c r="S110" s="1880" t="s">
        <v>1721</v>
      </c>
      <c r="T110" s="1877"/>
      <c r="U110" s="1877"/>
      <c r="V110" s="1877"/>
      <c r="W110" s="1877"/>
      <c r="X110" s="546">
        <v>30</v>
      </c>
      <c r="Y110" s="63">
        <v>5.5E-2</v>
      </c>
      <c r="Z110" s="1475">
        <v>1.5</v>
      </c>
      <c r="AA110" s="1878" t="s">
        <v>3689</v>
      </c>
      <c r="AB110" s="30"/>
      <c r="AC110" s="30"/>
      <c r="AD110" s="421"/>
      <c r="AE110" s="30"/>
      <c r="AF110" s="422">
        <v>1400</v>
      </c>
      <c r="AG110" s="422">
        <v>0.52</v>
      </c>
      <c r="AH110" s="1886">
        <v>7</v>
      </c>
    </row>
    <row r="111" spans="1:34">
      <c r="A111" s="66"/>
      <c r="B111" s="497" t="str">
        <f>IF(Uebersetzung!$A$1=1,Bauteile!S111,Bauteile!AA111)</f>
        <v>BTC isolante</v>
      </c>
      <c r="C111" s="497"/>
      <c r="D111" s="497"/>
      <c r="E111" s="497"/>
      <c r="F111" s="497"/>
      <c r="G111" s="498">
        <f>IF(Uebersetzung!$A$1=1,Bauteile!X111,Bauteile!AF111)</f>
        <v>1200</v>
      </c>
      <c r="H111" s="498">
        <f>IF(Uebersetzung!$A$1=1,Bauteile!Y111,Bauteile!AG111)</f>
        <v>0.47</v>
      </c>
      <c r="I111" s="498">
        <f>IF(Uebersetzung!$A$1=1,Bauteile!Z111,Bauteile!AH111)</f>
        <v>5</v>
      </c>
      <c r="J111" s="27"/>
      <c r="K111" s="2554"/>
      <c r="L111" s="2555"/>
      <c r="M111" s="2555"/>
      <c r="N111" s="2555"/>
      <c r="O111" s="2555"/>
      <c r="P111" s="63"/>
      <c r="Q111" s="633"/>
      <c r="R111" s="344" t="s">
        <v>1190</v>
      </c>
      <c r="S111" s="1882" t="s">
        <v>1863</v>
      </c>
      <c r="T111" s="1877"/>
      <c r="U111" s="1877"/>
      <c r="V111" s="1877"/>
      <c r="W111" s="1877"/>
      <c r="X111" s="546"/>
      <c r="Y111" s="63"/>
      <c r="Z111" s="1885"/>
      <c r="AA111" s="1878" t="s">
        <v>3690</v>
      </c>
      <c r="AB111" s="30"/>
      <c r="AC111" s="30"/>
      <c r="AD111" s="421"/>
      <c r="AE111" s="30"/>
      <c r="AF111" s="422">
        <v>1200</v>
      </c>
      <c r="AG111" s="422">
        <v>0.47</v>
      </c>
      <c r="AH111" s="1886">
        <v>5</v>
      </c>
    </row>
    <row r="112" spans="1:34">
      <c r="A112" s="66"/>
      <c r="B112" s="497" t="str">
        <f>IF(Uebersetzung!$A$1=1,Bauteile!S112,Bauteile!AA112)</f>
        <v>BTC normale 25</v>
      </c>
      <c r="C112" s="497"/>
      <c r="D112" s="497"/>
      <c r="E112" s="497"/>
      <c r="F112" s="497"/>
      <c r="G112" s="498">
        <f>IF(Uebersetzung!$A$1=1,Bauteile!X112,Bauteile!AF112)</f>
        <v>1100</v>
      </c>
      <c r="H112" s="498">
        <f>IF(Uebersetzung!$A$1=1,Bauteile!Y112,Bauteile!AG112)</f>
        <v>0.35</v>
      </c>
      <c r="I112" s="498">
        <f>IF(Uebersetzung!$A$1=1,Bauteile!Z112,Bauteile!AH112)</f>
        <v>5</v>
      </c>
      <c r="J112" s="27"/>
      <c r="K112" s="2554"/>
      <c r="L112" s="2555"/>
      <c r="M112" s="2555"/>
      <c r="N112" s="2555"/>
      <c r="O112" s="2555"/>
      <c r="P112" s="63"/>
      <c r="Q112" s="633"/>
      <c r="R112" s="344" t="s">
        <v>1190</v>
      </c>
      <c r="S112" s="1880" t="s">
        <v>1864</v>
      </c>
      <c r="T112" s="1877"/>
      <c r="U112" s="1877"/>
      <c r="V112" s="1877"/>
      <c r="W112" s="1877"/>
      <c r="X112" s="546">
        <v>1200</v>
      </c>
      <c r="Y112" s="63">
        <v>0.17</v>
      </c>
      <c r="Z112" s="1477">
        <v>10000</v>
      </c>
      <c r="AA112" s="1878" t="s">
        <v>3691</v>
      </c>
      <c r="AB112" s="30"/>
      <c r="AC112" s="30"/>
      <c r="AD112" s="421"/>
      <c r="AE112" s="30"/>
      <c r="AF112" s="422">
        <v>1100</v>
      </c>
      <c r="AG112" s="422">
        <v>0.35</v>
      </c>
      <c r="AH112" s="1886">
        <v>5</v>
      </c>
    </row>
    <row r="113" spans="1:34">
      <c r="A113" s="66"/>
      <c r="B113" s="497" t="str">
        <f>IF(Uebersetzung!$A$1=1,Bauteile!S113,Bauteile!AA113)</f>
        <v>BTC pleine de cheminée</v>
      </c>
      <c r="C113" s="497"/>
      <c r="D113" s="497"/>
      <c r="E113" s="497"/>
      <c r="F113" s="497"/>
      <c r="G113" s="498">
        <f>IF(Uebersetzung!$A$1=1,Bauteile!X113,Bauteile!AF113)</f>
        <v>1800</v>
      </c>
      <c r="H113" s="498">
        <f>IF(Uebersetzung!$A$1=1,Bauteile!Y113,Bauteile!AG113)</f>
        <v>0.8</v>
      </c>
      <c r="I113" s="498">
        <f>IF(Uebersetzung!$A$1=1,Bauteile!Z113,Bauteile!AH113)</f>
        <v>9</v>
      </c>
      <c r="J113" s="27"/>
      <c r="K113" s="2552"/>
      <c r="L113" s="2553"/>
      <c r="M113" s="2553"/>
      <c r="N113" s="2553"/>
      <c r="O113" s="2553"/>
      <c r="P113" s="63"/>
      <c r="Q113" s="632"/>
      <c r="R113" s="344" t="s">
        <v>1190</v>
      </c>
      <c r="S113" s="1880" t="s">
        <v>1865</v>
      </c>
      <c r="T113" s="1877"/>
      <c r="U113" s="1877"/>
      <c r="V113" s="1877"/>
      <c r="W113" s="1877"/>
      <c r="X113" s="546">
        <v>1700</v>
      </c>
      <c r="Y113" s="63">
        <v>0.25</v>
      </c>
      <c r="Z113" s="1477">
        <v>10000</v>
      </c>
      <c r="AA113" s="1878" t="s">
        <v>3692</v>
      </c>
      <c r="AB113" s="30"/>
      <c r="AC113" s="30"/>
      <c r="AD113" s="421"/>
      <c r="AE113" s="30"/>
      <c r="AF113" s="422">
        <v>1800</v>
      </c>
      <c r="AG113" s="422">
        <v>0.8</v>
      </c>
      <c r="AH113" s="1886">
        <v>9</v>
      </c>
    </row>
    <row r="114" spans="1:34">
      <c r="A114" s="66"/>
      <c r="B114" s="497" t="str">
        <f>IF(Uebersetzung!$A$1=1,Bauteile!S114,Bauteile!AA114)</f>
        <v>BTC, mod. en boutisses et panneresses</v>
      </c>
      <c r="C114" s="497"/>
      <c r="D114" s="497"/>
      <c r="E114" s="497"/>
      <c r="F114" s="497"/>
      <c r="G114" s="498">
        <f>IF(Uebersetzung!$A$1=1,Bauteile!X114,Bauteile!AF114)</f>
        <v>1100</v>
      </c>
      <c r="H114" s="498">
        <f>IF(Uebersetzung!$A$1=1,Bauteile!Y114,Bauteile!AG114)</f>
        <v>0.37</v>
      </c>
      <c r="I114" s="498">
        <f>IF(Uebersetzung!$A$1=1,Bauteile!Z114,Bauteile!AH114)</f>
        <v>5</v>
      </c>
      <c r="J114" s="27"/>
      <c r="K114" s="2554"/>
      <c r="L114" s="2555"/>
      <c r="M114" s="2555"/>
      <c r="N114" s="2555"/>
      <c r="O114" s="2555"/>
      <c r="P114" s="63"/>
      <c r="Q114" s="633"/>
      <c r="R114" s="344" t="s">
        <v>1190</v>
      </c>
      <c r="S114" s="1880" t="s">
        <v>1866</v>
      </c>
      <c r="T114" s="1877"/>
      <c r="U114" s="1877"/>
      <c r="V114" s="1877"/>
      <c r="W114" s="1877"/>
      <c r="X114" s="546">
        <v>270</v>
      </c>
      <c r="Y114" s="63">
        <v>0.1</v>
      </c>
      <c r="Z114" s="1477">
        <v>10000</v>
      </c>
      <c r="AA114" s="1878" t="s">
        <v>3693</v>
      </c>
      <c r="AB114" s="30"/>
      <c r="AC114" s="30"/>
      <c r="AD114" s="421"/>
      <c r="AE114" s="30"/>
      <c r="AF114" s="422">
        <v>1100</v>
      </c>
      <c r="AG114" s="422">
        <v>0.37</v>
      </c>
      <c r="AH114" s="1886">
        <v>5</v>
      </c>
    </row>
    <row r="115" spans="1:34">
      <c r="A115" s="66"/>
      <c r="B115" s="497">
        <f>IF(Uebersetzung!$A$1=1,Bauteile!S115,Bauteile!AA115)</f>
        <v>0</v>
      </c>
      <c r="C115" s="497"/>
      <c r="D115" s="497"/>
      <c r="E115" s="497"/>
      <c r="F115" s="497"/>
      <c r="G115" s="498">
        <f>IF(Uebersetzung!$A$1=1,Bauteile!X115,Bauteile!AF115)</f>
        <v>0</v>
      </c>
      <c r="H115" s="498">
        <f>IF(Uebersetzung!$A$1=1,Bauteile!Y115,Bauteile!AG115)</f>
        <v>0</v>
      </c>
      <c r="I115" s="498">
        <f>IF(Uebersetzung!$A$1=1,Bauteile!Z115,Bauteile!AH115)</f>
        <v>0</v>
      </c>
      <c r="J115" s="27"/>
      <c r="K115" s="2552"/>
      <c r="L115" s="2553"/>
      <c r="M115" s="2553"/>
      <c r="N115" s="2553"/>
      <c r="O115" s="2553"/>
      <c r="P115" s="628"/>
      <c r="Q115" s="632"/>
      <c r="R115" s="344" t="s">
        <v>1190</v>
      </c>
      <c r="S115" s="1880" t="s">
        <v>1867</v>
      </c>
      <c r="T115" s="1877"/>
      <c r="U115" s="1877"/>
      <c r="V115" s="1877"/>
      <c r="W115" s="1877"/>
      <c r="X115" s="546">
        <v>120</v>
      </c>
      <c r="Y115" s="63">
        <v>0.05</v>
      </c>
      <c r="Z115" s="1477">
        <v>20</v>
      </c>
      <c r="AA115" s="1887"/>
      <c r="AB115" s="422"/>
      <c r="AC115" s="422"/>
      <c r="AD115" s="422"/>
      <c r="AE115" s="422"/>
      <c r="AF115" s="422"/>
      <c r="AG115" s="30"/>
      <c r="AH115" s="1888"/>
    </row>
    <row r="116" spans="1:34">
      <c r="A116" s="66"/>
      <c r="B116" s="497" t="str">
        <f>IF(Uebersetzung!$A$1=1,Bauteile!S116,Bauteile!AA116)</f>
        <v>Caoutchouc naturel</v>
      </c>
      <c r="C116" s="497"/>
      <c r="D116" s="497"/>
      <c r="E116" s="497"/>
      <c r="F116" s="497"/>
      <c r="G116" s="498">
        <f>IF(Uebersetzung!$A$1=1,Bauteile!X116,Bauteile!AF116)</f>
        <v>910</v>
      </c>
      <c r="H116" s="498">
        <f>IF(Uebersetzung!$A$1=1,Bauteile!Y116,Bauteile!AG116)</f>
        <v>0.13</v>
      </c>
      <c r="I116" s="498">
        <f>IF(Uebersetzung!$A$1=1,Bauteile!Z116,Bauteile!AH116)</f>
        <v>10000</v>
      </c>
      <c r="J116" s="27"/>
      <c r="K116" s="2554"/>
      <c r="L116" s="2555"/>
      <c r="M116" s="2555"/>
      <c r="N116" s="2555"/>
      <c r="O116" s="2555"/>
      <c r="P116" s="628"/>
      <c r="Q116" s="633"/>
      <c r="R116" s="344" t="s">
        <v>1190</v>
      </c>
      <c r="S116" s="1880" t="s">
        <v>1868</v>
      </c>
      <c r="T116" s="1877"/>
      <c r="U116" s="1877"/>
      <c r="V116" s="1877"/>
      <c r="W116" s="1877"/>
      <c r="X116" s="546">
        <v>200</v>
      </c>
      <c r="Y116" s="63">
        <v>0.06</v>
      </c>
      <c r="Z116" s="1477">
        <v>20</v>
      </c>
      <c r="AA116" s="118" t="s">
        <v>3694</v>
      </c>
      <c r="AB116" s="30"/>
      <c r="AC116" s="30"/>
      <c r="AD116" s="30"/>
      <c r="AE116" s="30"/>
      <c r="AF116" s="63">
        <v>910</v>
      </c>
      <c r="AG116" s="63">
        <v>0.13</v>
      </c>
      <c r="AH116" s="1892">
        <v>10000</v>
      </c>
    </row>
    <row r="117" spans="1:34">
      <c r="A117" s="66"/>
      <c r="B117" s="497" t="str">
        <f>IF(Uebersetzung!$A$1=1,Bauteile!S117,Bauteile!AA117)</f>
        <v>Cellulose, en vrac (N)</v>
      </c>
      <c r="C117" s="497"/>
      <c r="D117" s="497"/>
      <c r="E117" s="497"/>
      <c r="F117" s="497"/>
      <c r="G117" s="498">
        <f>IF(Uebersetzung!$A$1=1,Bauteile!X117,Bauteile!AF117)</f>
        <v>50</v>
      </c>
      <c r="H117" s="498">
        <f>IF(Uebersetzung!$A$1=1,Bauteile!Y117,Bauteile!AG117)</f>
        <v>0.06</v>
      </c>
      <c r="I117" s="498">
        <f>IF(Uebersetzung!$A$1=1,Bauteile!Z117,Bauteile!AH117)</f>
        <v>2</v>
      </c>
      <c r="J117" s="27"/>
      <c r="K117" s="2554"/>
      <c r="L117" s="2555"/>
      <c r="M117" s="2555"/>
      <c r="N117" s="2555"/>
      <c r="O117" s="2555"/>
      <c r="P117" s="628"/>
      <c r="Q117" s="633"/>
      <c r="R117" s="344" t="s">
        <v>1190</v>
      </c>
      <c r="S117" s="1880" t="s">
        <v>1869</v>
      </c>
      <c r="T117" s="1877"/>
      <c r="U117" s="1877"/>
      <c r="V117" s="1877"/>
      <c r="W117" s="1877"/>
      <c r="X117" s="546">
        <v>150</v>
      </c>
      <c r="Y117" s="63">
        <v>0.05</v>
      </c>
      <c r="Z117" s="1477">
        <v>20</v>
      </c>
      <c r="AA117" s="118" t="s">
        <v>3695</v>
      </c>
      <c r="AB117" s="30"/>
      <c r="AC117" s="30"/>
      <c r="AD117" s="30"/>
      <c r="AE117" s="30"/>
      <c r="AF117" s="63">
        <v>50</v>
      </c>
      <c r="AG117" s="63">
        <v>0.06</v>
      </c>
      <c r="AH117" s="1892">
        <v>2</v>
      </c>
    </row>
    <row r="118" spans="1:34">
      <c r="A118" s="66"/>
      <c r="B118" s="497" t="str">
        <f>IF(Uebersetzung!$A$1=1,Bauteile!S118,Bauteile!AA118)</f>
        <v>Cellulose, en vrac (U)</v>
      </c>
      <c r="C118" s="497"/>
      <c r="D118" s="497"/>
      <c r="E118" s="497"/>
      <c r="F118" s="497"/>
      <c r="G118" s="498">
        <f>IF(Uebersetzung!$A$1=1,Bauteile!X118,Bauteile!AF118)</f>
        <v>50</v>
      </c>
      <c r="H118" s="498">
        <f>IF(Uebersetzung!$A$1=1,Bauteile!Y118,Bauteile!AG118)</f>
        <v>4.4999999999999998E-2</v>
      </c>
      <c r="I118" s="498">
        <f>IF(Uebersetzung!$A$1=1,Bauteile!Z118,Bauteile!AH118)</f>
        <v>2</v>
      </c>
      <c r="J118" s="27"/>
      <c r="K118" s="2550"/>
      <c r="L118" s="2551"/>
      <c r="M118" s="2551"/>
      <c r="N118" s="2551"/>
      <c r="O118" s="2551"/>
      <c r="P118" s="629"/>
      <c r="Q118" s="634"/>
      <c r="R118" s="412" t="s">
        <v>1190</v>
      </c>
      <c r="S118" s="1880" t="s">
        <v>1870</v>
      </c>
      <c r="T118" s="1877"/>
      <c r="U118" s="1877"/>
      <c r="V118" s="1877"/>
      <c r="W118" s="1877"/>
      <c r="X118" s="546">
        <v>500</v>
      </c>
      <c r="Y118" s="63">
        <v>6.5000000000000002E-2</v>
      </c>
      <c r="Z118" s="1477">
        <v>40</v>
      </c>
      <c r="AA118" s="118" t="s">
        <v>3696</v>
      </c>
      <c r="AB118" s="30"/>
      <c r="AC118" s="30"/>
      <c r="AD118" s="30"/>
      <c r="AE118" s="30"/>
      <c r="AF118" s="63">
        <v>50</v>
      </c>
      <c r="AG118" s="63">
        <v>4.4999999999999998E-2</v>
      </c>
      <c r="AH118" s="1892">
        <v>2</v>
      </c>
    </row>
    <row r="119" spans="1:34">
      <c r="A119" s="66"/>
      <c r="B119" s="497" t="str">
        <f>IF(Uebersetzung!$A$1=1,Bauteile!S119,Bauteile!AA119)</f>
        <v>Cellulose, panneaux (N)</v>
      </c>
      <c r="C119" s="497"/>
      <c r="D119" s="497"/>
      <c r="E119" s="497"/>
      <c r="F119" s="497"/>
      <c r="G119" s="498">
        <f>IF(Uebersetzung!$A$1=1,Bauteile!X119,Bauteile!AF119)</f>
        <v>50</v>
      </c>
      <c r="H119" s="498">
        <f>IF(Uebersetzung!$A$1=1,Bauteile!Y119,Bauteile!AG119)</f>
        <v>0.06</v>
      </c>
      <c r="I119" s="498">
        <f>IF(Uebersetzung!$A$1=1,Bauteile!Z119,Bauteile!AH119)</f>
        <v>2</v>
      </c>
      <c r="J119" s="27"/>
      <c r="K119" s="27"/>
      <c r="L119" s="27"/>
      <c r="M119" s="27"/>
      <c r="N119" s="27"/>
      <c r="P119" s="27"/>
      <c r="S119" s="1880" t="s">
        <v>1871</v>
      </c>
      <c r="T119" s="1877"/>
      <c r="U119" s="1877"/>
      <c r="V119" s="1877"/>
      <c r="W119" s="1877"/>
      <c r="X119" s="546">
        <v>1200</v>
      </c>
      <c r="Y119" s="63">
        <v>0.17</v>
      </c>
      <c r="Z119" s="1477">
        <v>1000</v>
      </c>
      <c r="AA119" s="118" t="s">
        <v>3697</v>
      </c>
      <c r="AB119" s="30"/>
      <c r="AC119" s="30"/>
      <c r="AD119" s="30"/>
      <c r="AE119" s="30"/>
      <c r="AF119" s="63">
        <v>50</v>
      </c>
      <c r="AG119" s="63">
        <v>0.06</v>
      </c>
      <c r="AH119" s="1886">
        <v>2</v>
      </c>
    </row>
    <row r="120" spans="1:34">
      <c r="A120" s="66"/>
      <c r="B120" s="497" t="str">
        <f>IF(Uebersetzung!$A$1=1,Bauteile!S120,Bauteile!AA120)</f>
        <v>Cellulose, panneaux (U)</v>
      </c>
      <c r="C120" s="497"/>
      <c r="D120" s="497"/>
      <c r="E120" s="497"/>
      <c r="F120" s="497"/>
      <c r="G120" s="498">
        <f>IF(Uebersetzung!$A$1=1,Bauteile!X120,Bauteile!AF120)</f>
        <v>50</v>
      </c>
      <c r="H120" s="498">
        <f>IF(Uebersetzung!$A$1=1,Bauteile!Y120,Bauteile!AG120)</f>
        <v>4.8000000000000001E-2</v>
      </c>
      <c r="I120" s="498">
        <f>IF(Uebersetzung!$A$1=1,Bauteile!Z120,Bauteile!AH120)</f>
        <v>2</v>
      </c>
      <c r="J120" s="27"/>
      <c r="K120" s="161"/>
      <c r="L120" s="385"/>
      <c r="M120" s="153"/>
      <c r="N120" s="385" t="str">
        <f>Uebersetzung!D569</f>
        <v>Sol / mur de cave:</v>
      </c>
      <c r="O120" s="153"/>
      <c r="P120" s="418"/>
      <c r="Q120" s="2546" t="s">
        <v>757</v>
      </c>
      <c r="R120" s="2549"/>
      <c r="S120" s="1880"/>
      <c r="T120" s="1877"/>
      <c r="U120" s="1877"/>
      <c r="V120" s="1877"/>
      <c r="W120" s="1877"/>
      <c r="X120" s="546"/>
      <c r="Y120" s="63"/>
      <c r="Z120" s="1477"/>
      <c r="AA120" s="118" t="s">
        <v>3698</v>
      </c>
      <c r="AB120" s="30"/>
      <c r="AC120" s="30"/>
      <c r="AD120" s="30"/>
      <c r="AE120" s="30"/>
      <c r="AF120" s="63">
        <v>50</v>
      </c>
      <c r="AG120" s="63">
        <v>4.8000000000000001E-2</v>
      </c>
      <c r="AH120" s="1886">
        <v>2</v>
      </c>
    </row>
    <row r="121" spans="1:34">
      <c r="A121" s="66"/>
      <c r="B121" s="497" t="str">
        <f>IF(Uebersetzung!$A$1=1,Bauteile!S121,Bauteile!AA121)</f>
        <v>Chêne</v>
      </c>
      <c r="C121" s="497"/>
      <c r="D121" s="497"/>
      <c r="E121" s="497"/>
      <c r="F121" s="497"/>
      <c r="G121" s="498">
        <f>IF(Uebersetzung!$A$1=1,Bauteile!X121,Bauteile!AF121)</f>
        <v>750</v>
      </c>
      <c r="H121" s="498">
        <f>IF(Uebersetzung!$A$1=1,Bauteile!Y121,Bauteile!AG121)</f>
        <v>0.21</v>
      </c>
      <c r="I121" s="498">
        <f>IF(Uebersetzung!$A$1=1,Bauteile!Z121,Bauteile!AH121)</f>
        <v>30</v>
      </c>
      <c r="J121" s="27"/>
      <c r="K121" s="154" t="str">
        <f>Uebersetzung!D570</f>
        <v>isolation thermique suspendu, &lt; 2 cm isolation thermique</v>
      </c>
      <c r="L121" s="64"/>
      <c r="M121" s="64"/>
      <c r="N121" s="64"/>
      <c r="O121" s="64"/>
      <c r="P121" s="171"/>
      <c r="Q121" s="56">
        <v>0.5</v>
      </c>
      <c r="R121" s="344" t="s">
        <v>1190</v>
      </c>
      <c r="S121" s="1878" t="s">
        <v>43</v>
      </c>
      <c r="T121" s="30"/>
      <c r="U121" s="30"/>
      <c r="V121" s="545"/>
      <c r="W121" s="30"/>
      <c r="X121" s="546">
        <v>500</v>
      </c>
      <c r="Y121" s="546">
        <v>0.16</v>
      </c>
      <c r="Z121" s="1474">
        <v>7.5</v>
      </c>
      <c r="AA121" s="1878" t="s">
        <v>3699</v>
      </c>
      <c r="AB121" s="30"/>
      <c r="AC121" s="30"/>
      <c r="AD121" s="421"/>
      <c r="AE121" s="30"/>
      <c r="AF121" s="422">
        <v>750</v>
      </c>
      <c r="AG121" s="422">
        <v>0.21</v>
      </c>
      <c r="AH121" s="1886">
        <v>30</v>
      </c>
    </row>
    <row r="122" spans="1:34">
      <c r="A122" s="66"/>
      <c r="B122" s="497" t="str">
        <f>IF(Uebersetzung!$A$1=1,Bauteile!S122,Bauteile!AA122)</f>
        <v>Conchylient poudingue</v>
      </c>
      <c r="C122" s="497"/>
      <c r="D122" s="497"/>
      <c r="E122" s="497"/>
      <c r="F122" s="497"/>
      <c r="G122" s="498">
        <f>IF(Uebersetzung!$A$1=1,Bauteile!X122,Bauteile!AF122)</f>
        <v>2600</v>
      </c>
      <c r="H122" s="498">
        <f>IF(Uebersetzung!$A$1=1,Bauteile!Y122,Bauteile!AG122)</f>
        <v>2.2999999999999998</v>
      </c>
      <c r="I122" s="498">
        <f>IF(Uebersetzung!$A$1=1,Bauteile!Z122,Bauteile!AH122)</f>
        <v>50</v>
      </c>
      <c r="J122" s="27"/>
      <c r="K122" s="154" t="str">
        <f>Uebersetzung!D571</f>
        <v>isolation thermique suspendu, 2-4 cm isolation thermique</v>
      </c>
      <c r="L122" s="64"/>
      <c r="M122" s="64"/>
      <c r="N122" s="64"/>
      <c r="O122" s="64"/>
      <c r="P122" s="171"/>
      <c r="Q122" s="56">
        <v>0.25</v>
      </c>
      <c r="R122" s="344" t="s">
        <v>1190</v>
      </c>
      <c r="S122" s="1878" t="s">
        <v>44</v>
      </c>
      <c r="T122" s="30"/>
      <c r="U122" s="30"/>
      <c r="V122" s="545"/>
      <c r="W122" s="30"/>
      <c r="X122" s="546">
        <v>600</v>
      </c>
      <c r="Y122" s="546">
        <v>0.18</v>
      </c>
      <c r="Z122" s="1472">
        <v>7.5</v>
      </c>
      <c r="AA122" s="1878" t="s">
        <v>3700</v>
      </c>
      <c r="AB122" s="30"/>
      <c r="AC122" s="30"/>
      <c r="AD122" s="421"/>
      <c r="AE122" s="30"/>
      <c r="AF122" s="422">
        <v>2600</v>
      </c>
      <c r="AG122" s="422">
        <v>2.2999999999999998</v>
      </c>
      <c r="AH122" s="1886">
        <v>50</v>
      </c>
    </row>
    <row r="123" spans="1:34">
      <c r="A123" s="66"/>
      <c r="B123" s="497" t="str">
        <f>IF(Uebersetzung!$A$1=1,Bauteile!S123,Bauteile!AA123)</f>
        <v>Contre-plaqué (densité 300)</v>
      </c>
      <c r="C123" s="497"/>
      <c r="D123" s="497"/>
      <c r="E123" s="497"/>
      <c r="F123" s="497"/>
      <c r="G123" s="498">
        <f>IF(Uebersetzung!$A$1=1,Bauteile!X123,Bauteile!AF123)</f>
        <v>300</v>
      </c>
      <c r="H123" s="498">
        <f>IF(Uebersetzung!$A$1=1,Bauteile!Y123,Bauteile!AG123)</f>
        <v>0.09</v>
      </c>
      <c r="I123" s="498">
        <f>IF(Uebersetzung!$A$1=1,Bauteile!Z123,Bauteile!AH123)</f>
        <v>150</v>
      </c>
      <c r="J123" s="27"/>
      <c r="K123" s="154" t="str">
        <f>Uebersetzung!D572</f>
        <v>bords de bâtiment avec isolation thermique</v>
      </c>
      <c r="L123" s="64"/>
      <c r="M123" s="64"/>
      <c r="N123" s="64"/>
      <c r="O123" s="64"/>
      <c r="P123" s="171"/>
      <c r="Q123" s="56">
        <v>0.4</v>
      </c>
      <c r="R123" s="344" t="s">
        <v>1190</v>
      </c>
      <c r="S123" s="1878" t="s">
        <v>1282</v>
      </c>
      <c r="T123" s="30"/>
      <c r="U123" s="30"/>
      <c r="V123" s="545"/>
      <c r="W123" s="30"/>
      <c r="X123" s="546">
        <v>700</v>
      </c>
      <c r="Y123" s="546">
        <v>0.21</v>
      </c>
      <c r="Z123" s="1472">
        <v>7.5</v>
      </c>
      <c r="AA123" s="1878" t="s">
        <v>3701</v>
      </c>
      <c r="AB123" s="30"/>
      <c r="AC123" s="30"/>
      <c r="AD123" s="421"/>
      <c r="AE123" s="30"/>
      <c r="AF123" s="422">
        <v>300</v>
      </c>
      <c r="AG123" s="422">
        <v>0.09</v>
      </c>
      <c r="AH123" s="1886">
        <v>150</v>
      </c>
    </row>
    <row r="124" spans="1:34">
      <c r="A124" s="66"/>
      <c r="B124" s="497" t="str">
        <f>IF(Uebersetzung!$A$1=1,Bauteile!S124,Bauteile!AA124)</f>
        <v>Contre-plaqué (densité 500)</v>
      </c>
      <c r="C124" s="497"/>
      <c r="D124" s="497"/>
      <c r="E124" s="497"/>
      <c r="F124" s="497"/>
      <c r="G124" s="498">
        <f>IF(Uebersetzung!$A$1=1,Bauteile!X124,Bauteile!AF124)</f>
        <v>500</v>
      </c>
      <c r="H124" s="498">
        <f>IF(Uebersetzung!$A$1=1,Bauteile!Y124,Bauteile!AG124)</f>
        <v>0.13</v>
      </c>
      <c r="I124" s="498">
        <f>IF(Uebersetzung!$A$1=1,Bauteile!Z124,Bauteile!AH124)</f>
        <v>200</v>
      </c>
      <c r="J124" s="27"/>
      <c r="K124" s="154" t="str">
        <f>Uebersetzung!D573</f>
        <v>paroi sous la dalle sur sous-sol, chauf. par sol, 0.2 W/m2K</v>
      </c>
      <c r="L124" s="64"/>
      <c r="M124" s="64"/>
      <c r="N124" s="64"/>
      <c r="O124" s="64"/>
      <c r="P124" s="171"/>
      <c r="Q124" s="56">
        <v>0.28999999999999998</v>
      </c>
      <c r="R124" s="344" t="s">
        <v>1190</v>
      </c>
      <c r="S124" s="1878" t="s">
        <v>1872</v>
      </c>
      <c r="T124" s="30"/>
      <c r="U124" s="30"/>
      <c r="V124" s="545"/>
      <c r="W124" s="30"/>
      <c r="X124" s="546">
        <v>600</v>
      </c>
      <c r="Y124" s="546">
        <v>0.18</v>
      </c>
      <c r="Z124" s="1472">
        <v>10</v>
      </c>
      <c r="AA124" s="1878" t="s">
        <v>3702</v>
      </c>
      <c r="AB124" s="30"/>
      <c r="AC124" s="30"/>
      <c r="AD124" s="421"/>
      <c r="AE124" s="30"/>
      <c r="AF124" s="422">
        <v>500</v>
      </c>
      <c r="AG124" s="422">
        <v>0.13</v>
      </c>
      <c r="AH124" s="1886">
        <v>200</v>
      </c>
    </row>
    <row r="125" spans="1:34">
      <c r="A125" s="66"/>
      <c r="B125" s="497" t="str">
        <f>IF(Uebersetzung!$A$1=1,Bauteile!S125,Bauteile!AA125)</f>
        <v>Contre-plaqué (densité 700)</v>
      </c>
      <c r="C125" s="497"/>
      <c r="D125" s="497"/>
      <c r="E125" s="497"/>
      <c r="F125" s="497"/>
      <c r="G125" s="498">
        <f>IF(Uebersetzung!$A$1=1,Bauteile!X125,Bauteile!AF125)</f>
        <v>700</v>
      </c>
      <c r="H125" s="498">
        <f>IF(Uebersetzung!$A$1=1,Bauteile!Y125,Bauteile!AG125)</f>
        <v>0.17</v>
      </c>
      <c r="I125" s="498">
        <f>IF(Uebersetzung!$A$1=1,Bauteile!Z125,Bauteile!AH125)</f>
        <v>220</v>
      </c>
      <c r="J125" s="27"/>
      <c r="K125" s="154" t="str">
        <f>Uebersetzung!D574</f>
        <v>paroi sous la dalle sur sous-sol, chauf. par sol, 0.3 W/m2K</v>
      </c>
      <c r="L125" s="64"/>
      <c r="M125" s="64"/>
      <c r="N125" s="64"/>
      <c r="O125" s="64"/>
      <c r="P125" s="171"/>
      <c r="Q125" s="56">
        <v>0.21</v>
      </c>
      <c r="R125" s="344" t="s">
        <v>1190</v>
      </c>
      <c r="S125" s="1878" t="s">
        <v>1873</v>
      </c>
      <c r="T125" s="30"/>
      <c r="U125" s="30"/>
      <c r="V125" s="545"/>
      <c r="W125" s="30"/>
      <c r="X125" s="546">
        <v>900</v>
      </c>
      <c r="Y125" s="546">
        <v>0.3</v>
      </c>
      <c r="Z125" s="1472">
        <v>10</v>
      </c>
      <c r="AA125" s="1878" t="s">
        <v>3703</v>
      </c>
      <c r="AB125" s="30"/>
      <c r="AC125" s="30"/>
      <c r="AD125" s="421"/>
      <c r="AE125" s="30"/>
      <c r="AF125" s="422">
        <v>700</v>
      </c>
      <c r="AG125" s="422">
        <v>0.17</v>
      </c>
      <c r="AH125" s="1886">
        <v>220</v>
      </c>
    </row>
    <row r="126" spans="1:34">
      <c r="A126" s="66"/>
      <c r="B126" s="497" t="str">
        <f>IF(Uebersetzung!$A$1=1,Bauteile!S126,Bauteile!AA126)</f>
        <v>Contre-plaqué (densité 1000)</v>
      </c>
      <c r="C126" s="497"/>
      <c r="D126" s="497"/>
      <c r="E126" s="497"/>
      <c r="F126" s="497"/>
      <c r="G126" s="498">
        <f>IF(Uebersetzung!$A$1=1,Bauteile!X126,Bauteile!AF126)</f>
        <v>1000</v>
      </c>
      <c r="H126" s="498">
        <f>IF(Uebersetzung!$A$1=1,Bauteile!Y126,Bauteile!AG126)</f>
        <v>0.24</v>
      </c>
      <c r="I126" s="498">
        <f>IF(Uebersetzung!$A$1=1,Bauteile!Z126,Bauteile!AH126)</f>
        <v>250</v>
      </c>
      <c r="J126" s="27"/>
      <c r="K126" s="154" t="str">
        <f>Uebersetzung!D575</f>
        <v>paroi sous la dalle, sans chauffage par le sol, 0.2 W/m2K</v>
      </c>
      <c r="L126" s="64"/>
      <c r="M126" s="64"/>
      <c r="N126" s="64"/>
      <c r="O126" s="64"/>
      <c r="P126" s="171"/>
      <c r="Q126" s="56">
        <v>0.23</v>
      </c>
      <c r="R126" s="344" t="s">
        <v>1190</v>
      </c>
      <c r="S126" s="1878" t="s">
        <v>604</v>
      </c>
      <c r="T126" s="30"/>
      <c r="U126" s="30"/>
      <c r="V126" s="545"/>
      <c r="W126" s="30"/>
      <c r="X126" s="546">
        <v>1200</v>
      </c>
      <c r="Y126" s="546">
        <v>0.43</v>
      </c>
      <c r="Z126" s="1472">
        <v>10</v>
      </c>
      <c r="AA126" s="1878" t="s">
        <v>3704</v>
      </c>
      <c r="AB126" s="30"/>
      <c r="AC126" s="30"/>
      <c r="AD126" s="421"/>
      <c r="AE126" s="30"/>
      <c r="AF126" s="422">
        <v>1000</v>
      </c>
      <c r="AG126" s="422">
        <v>0.24</v>
      </c>
      <c r="AH126" s="1886">
        <v>250</v>
      </c>
    </row>
    <row r="127" spans="1:34">
      <c r="A127" s="66"/>
      <c r="B127" s="497" t="str">
        <f>IF(Uebersetzung!$A$1=1,Bauteile!S127,Bauteile!AA127)</f>
        <v>Coton (N)</v>
      </c>
      <c r="C127" s="497"/>
      <c r="D127" s="497"/>
      <c r="E127" s="497"/>
      <c r="F127" s="497"/>
      <c r="G127" s="498">
        <f>IF(Uebersetzung!$A$1=1,Bauteile!X127,Bauteile!AF127)</f>
        <v>750</v>
      </c>
      <c r="H127" s="498">
        <f>IF(Uebersetzung!$A$1=1,Bauteile!Y127,Bauteile!AG127)</f>
        <v>5.5E-2</v>
      </c>
      <c r="I127" s="498">
        <f>IF(Uebersetzung!$A$1=1,Bauteile!Z127,Bauteile!AH127)</f>
        <v>1.5</v>
      </c>
      <c r="J127" s="27"/>
      <c r="K127" s="154" t="str">
        <f>Uebersetzung!D576</f>
        <v>paroi sous la dalle, sans chauffage par le sol, 0.3 W/m2K</v>
      </c>
      <c r="L127" s="64"/>
      <c r="M127" s="64"/>
      <c r="N127" s="64"/>
      <c r="O127" s="64"/>
      <c r="P127" s="171"/>
      <c r="Q127" s="56">
        <v>0.15</v>
      </c>
      <c r="R127" s="344" t="s">
        <v>1190</v>
      </c>
      <c r="S127" s="1878" t="s">
        <v>605</v>
      </c>
      <c r="T127" s="30"/>
      <c r="U127" s="30"/>
      <c r="V127" s="545"/>
      <c r="W127" s="30"/>
      <c r="X127" s="546">
        <v>1500</v>
      </c>
      <c r="Y127" s="546">
        <v>0.56000000000000005</v>
      </c>
      <c r="Z127" s="1472">
        <v>10</v>
      </c>
      <c r="AA127" s="1893" t="s">
        <v>3705</v>
      </c>
      <c r="AB127" s="1894"/>
      <c r="AC127" s="1894"/>
      <c r="AD127" s="1894"/>
      <c r="AE127" s="1894"/>
      <c r="AF127" s="422">
        <v>750</v>
      </c>
      <c r="AG127" s="63">
        <v>5.5E-2</v>
      </c>
      <c r="AH127" s="1895">
        <v>1.5</v>
      </c>
    </row>
    <row r="128" spans="1:34">
      <c r="A128" s="66"/>
      <c r="B128" s="497" t="str">
        <f>IF(Uebersetzung!$A$1=1,Bauteile!S128,Bauteile!AA128)</f>
        <v>Cuivre</v>
      </c>
      <c r="C128" s="497"/>
      <c r="D128" s="497"/>
      <c r="E128" s="497"/>
      <c r="F128" s="497"/>
      <c r="G128" s="498">
        <f>IF(Uebersetzung!$A$1=1,Bauteile!X128,Bauteile!AF128)</f>
        <v>8900</v>
      </c>
      <c r="H128" s="498">
        <f>IF(Uebersetzung!$A$1=1,Bauteile!Y128,Bauteile!AG128)</f>
        <v>380</v>
      </c>
      <c r="I128" s="498">
        <f>IF(Uebersetzung!$A$1=1,Bauteile!Z128,Bauteile!AH128)</f>
        <v>500000</v>
      </c>
      <c r="J128" s="27"/>
      <c r="K128" s="2554"/>
      <c r="L128" s="2555"/>
      <c r="M128" s="2555"/>
      <c r="N128" s="2555"/>
      <c r="O128" s="2555"/>
      <c r="P128" s="63"/>
      <c r="Q128" s="633"/>
      <c r="R128" s="344" t="s">
        <v>1190</v>
      </c>
      <c r="S128" s="1878" t="s">
        <v>1237</v>
      </c>
      <c r="T128" s="30"/>
      <c r="U128" s="30"/>
      <c r="V128" s="545"/>
      <c r="W128" s="30"/>
      <c r="X128" s="546">
        <v>900</v>
      </c>
      <c r="Y128" s="546">
        <v>0.21</v>
      </c>
      <c r="Z128" s="1472">
        <v>7.5</v>
      </c>
      <c r="AA128" s="1893" t="s">
        <v>3706</v>
      </c>
      <c r="AB128" s="1894"/>
      <c r="AC128" s="1894"/>
      <c r="AD128" s="1894"/>
      <c r="AE128" s="1894"/>
      <c r="AF128" s="422">
        <v>8900</v>
      </c>
      <c r="AG128" s="63">
        <v>380</v>
      </c>
      <c r="AH128" s="1896">
        <v>500000</v>
      </c>
    </row>
    <row r="129" spans="1:34">
      <c r="A129" s="66"/>
      <c r="B129" s="497">
        <f>IF(Uebersetzung!$A$1=1,Bauteile!S129,Bauteile!AA129)</f>
        <v>0</v>
      </c>
      <c r="C129" s="497"/>
      <c r="D129" s="497"/>
      <c r="E129" s="497"/>
      <c r="F129" s="497"/>
      <c r="G129" s="498">
        <f>IF(Uebersetzung!$A$1=1,Bauteile!X129,Bauteile!AF129)</f>
        <v>0</v>
      </c>
      <c r="H129" s="498">
        <f>IF(Uebersetzung!$A$1=1,Bauteile!Y129,Bauteile!AG129)</f>
        <v>0</v>
      </c>
      <c r="I129" s="498">
        <f>IF(Uebersetzung!$A$1=1,Bauteile!Z129,Bauteile!AH129)</f>
        <v>0</v>
      </c>
      <c r="J129" s="27"/>
      <c r="K129" s="2554"/>
      <c r="L129" s="2555"/>
      <c r="M129" s="2555"/>
      <c r="N129" s="2555"/>
      <c r="O129" s="2555"/>
      <c r="P129" s="63"/>
      <c r="Q129" s="633"/>
      <c r="R129" s="344" t="s">
        <v>1190</v>
      </c>
      <c r="S129" s="1878" t="s">
        <v>1238</v>
      </c>
      <c r="T129" s="30"/>
      <c r="U129" s="30"/>
      <c r="V129" s="545"/>
      <c r="W129" s="30"/>
      <c r="X129" s="546">
        <v>1000</v>
      </c>
      <c r="Y129" s="546">
        <v>0.4</v>
      </c>
      <c r="Z129" s="1472">
        <v>7.5</v>
      </c>
      <c r="AA129" s="1887"/>
      <c r="AB129" s="422"/>
      <c r="AC129" s="422"/>
      <c r="AD129" s="422"/>
      <c r="AE129" s="422"/>
      <c r="AF129" s="422"/>
      <c r="AG129" s="30"/>
      <c r="AH129" s="1888"/>
    </row>
    <row r="130" spans="1:34">
      <c r="A130" s="66"/>
      <c r="B130" s="497" t="str">
        <f>IF(Uebersetzung!$A$1=1,Bauteile!S130,Bauteile!AA130)</f>
        <v>Eau 10 °C</v>
      </c>
      <c r="C130" s="497"/>
      <c r="D130" s="497"/>
      <c r="E130" s="497"/>
      <c r="F130" s="497"/>
      <c r="G130" s="498">
        <f>IF(Uebersetzung!$A$1=1,Bauteile!X130,Bauteile!AF130)</f>
        <v>1000</v>
      </c>
      <c r="H130" s="498">
        <f>IF(Uebersetzung!$A$1=1,Bauteile!Y130,Bauteile!AG130)</f>
        <v>0.57999999999999996</v>
      </c>
      <c r="I130" s="498">
        <f>IF(Uebersetzung!$A$1=1,Bauteile!Z130,Bauteile!AH130)</f>
        <v>1.0000000000000001E-5</v>
      </c>
      <c r="J130" s="27"/>
      <c r="K130" s="2552"/>
      <c r="L130" s="2553"/>
      <c r="M130" s="2553"/>
      <c r="N130" s="2553"/>
      <c r="O130" s="2553"/>
      <c r="P130" s="63"/>
      <c r="Q130" s="632"/>
      <c r="R130" s="344" t="s">
        <v>1190</v>
      </c>
      <c r="S130" s="1878" t="s">
        <v>1926</v>
      </c>
      <c r="T130" s="30"/>
      <c r="U130" s="30"/>
      <c r="V130" s="545"/>
      <c r="W130" s="30"/>
      <c r="X130" s="546">
        <v>1200</v>
      </c>
      <c r="Y130" s="546">
        <v>0.7</v>
      </c>
      <c r="Z130" s="1472">
        <v>10</v>
      </c>
      <c r="AA130" s="1878" t="s">
        <v>3707</v>
      </c>
      <c r="AB130" s="30"/>
      <c r="AC130" s="30"/>
      <c r="AD130" s="421"/>
      <c r="AE130" s="30"/>
      <c r="AF130" s="422">
        <v>1000</v>
      </c>
      <c r="AG130" s="422">
        <v>0.57999999999999996</v>
      </c>
      <c r="AH130" s="1881">
        <v>1.0000000000000001E-5</v>
      </c>
    </row>
    <row r="131" spans="1:34">
      <c r="A131" s="66"/>
      <c r="B131" s="497" t="str">
        <f>IF(Uebersetzung!$A$1=1,Bauteile!S131,Bauteile!AA131)</f>
        <v>-Enduits</v>
      </c>
      <c r="C131" s="497"/>
      <c r="D131" s="497"/>
      <c r="E131" s="497"/>
      <c r="F131" s="497"/>
      <c r="G131" s="498">
        <f>IF(Uebersetzung!$A$1=1,Bauteile!X131,Bauteile!AF131)</f>
        <v>0</v>
      </c>
      <c r="H131" s="498">
        <f>IF(Uebersetzung!$A$1=1,Bauteile!Y131,Bauteile!AG131)</f>
        <v>0</v>
      </c>
      <c r="I131" s="498">
        <f>IF(Uebersetzung!$A$1=1,Bauteile!Z131,Bauteile!AH131)</f>
        <v>0</v>
      </c>
      <c r="J131" s="27"/>
      <c r="K131" s="2554"/>
      <c r="L131" s="2555"/>
      <c r="M131" s="2555"/>
      <c r="N131" s="2555"/>
      <c r="O131" s="2555"/>
      <c r="P131" s="63"/>
      <c r="Q131" s="633"/>
      <c r="R131" s="344" t="s">
        <v>1190</v>
      </c>
      <c r="S131" s="1878" t="s">
        <v>1283</v>
      </c>
      <c r="T131" s="30"/>
      <c r="U131" s="30"/>
      <c r="V131" s="545"/>
      <c r="W131" s="30"/>
      <c r="X131" s="546">
        <v>1200</v>
      </c>
      <c r="Y131" s="546">
        <v>0.57999999999999996</v>
      </c>
      <c r="Z131" s="1472">
        <v>10</v>
      </c>
      <c r="AA131" s="1890" t="s">
        <v>3708</v>
      </c>
      <c r="AB131" s="30"/>
      <c r="AC131" s="30"/>
      <c r="AD131" s="421"/>
      <c r="AE131" s="30"/>
      <c r="AF131" s="422"/>
      <c r="AG131" s="422"/>
      <c r="AH131" s="1891"/>
    </row>
    <row r="132" spans="1:34">
      <c r="A132" s="66"/>
      <c r="B132" s="497" t="str">
        <f>IF(Uebersetzung!$A$1=1,Bauteile!S132,Bauteile!AA132)</f>
        <v>Enduit à la fausse résine m=50</v>
      </c>
      <c r="C132" s="497"/>
      <c r="D132" s="497"/>
      <c r="E132" s="497"/>
      <c r="F132" s="497"/>
      <c r="G132" s="498">
        <f>IF(Uebersetzung!$A$1=1,Bauteile!X132,Bauteile!AF132)</f>
        <v>110</v>
      </c>
      <c r="H132" s="498">
        <f>IF(Uebersetzung!$A$1=1,Bauteile!Y132,Bauteile!AG132)</f>
        <v>0.7</v>
      </c>
      <c r="I132" s="498">
        <f>IF(Uebersetzung!$A$1=1,Bauteile!Z132,Bauteile!AH132)</f>
        <v>50</v>
      </c>
      <c r="J132" s="27"/>
      <c r="K132" s="2554"/>
      <c r="L132" s="2555"/>
      <c r="M132" s="2555"/>
      <c r="N132" s="2555"/>
      <c r="O132" s="2555"/>
      <c r="P132" s="63"/>
      <c r="Q132" s="633"/>
      <c r="R132" s="344" t="s">
        <v>1190</v>
      </c>
      <c r="S132" s="1878" t="s">
        <v>1284</v>
      </c>
      <c r="T132" s="30"/>
      <c r="U132" s="30"/>
      <c r="V132" s="545"/>
      <c r="W132" s="30"/>
      <c r="X132" s="546">
        <v>1400</v>
      </c>
      <c r="Y132" s="546">
        <v>0.7</v>
      </c>
      <c r="Z132" s="1472">
        <v>20</v>
      </c>
      <c r="AA132" s="1878" t="s">
        <v>3709</v>
      </c>
      <c r="AB132" s="30"/>
      <c r="AC132" s="30"/>
      <c r="AD132" s="421"/>
      <c r="AE132" s="30"/>
      <c r="AF132" s="422">
        <v>110</v>
      </c>
      <c r="AG132" s="422">
        <v>0.7</v>
      </c>
      <c r="AH132" s="1881">
        <v>50</v>
      </c>
    </row>
    <row r="133" spans="1:34">
      <c r="A133" s="66"/>
      <c r="B133" s="497" t="str">
        <f>IF(Uebersetzung!$A$1=1,Bauteile!S133,Bauteile!AA133)</f>
        <v>Enduit à la fausse résine m=140</v>
      </c>
      <c r="C133" s="497"/>
      <c r="D133" s="497"/>
      <c r="E133" s="497"/>
      <c r="F133" s="497"/>
      <c r="G133" s="498">
        <f>IF(Uebersetzung!$A$1=1,Bauteile!X133,Bauteile!AF133)</f>
        <v>1600</v>
      </c>
      <c r="H133" s="498">
        <f>IF(Uebersetzung!$A$1=1,Bauteile!Y133,Bauteile!AG133)</f>
        <v>0.9</v>
      </c>
      <c r="I133" s="498">
        <f>IF(Uebersetzung!$A$1=1,Bauteile!Z133,Bauteile!AH133)</f>
        <v>140</v>
      </c>
      <c r="J133" s="27"/>
      <c r="K133" s="2554"/>
      <c r="L133" s="2555"/>
      <c r="M133" s="2555"/>
      <c r="N133" s="2555"/>
      <c r="O133" s="2555"/>
      <c r="P133" s="63"/>
      <c r="Q133" s="633"/>
      <c r="R133" s="344" t="s">
        <v>1190</v>
      </c>
      <c r="S133" s="1878" t="s">
        <v>1927</v>
      </c>
      <c r="T133" s="30"/>
      <c r="U133" s="30"/>
      <c r="V133" s="545"/>
      <c r="W133" s="30"/>
      <c r="X133" s="546">
        <v>1400</v>
      </c>
      <c r="Y133" s="546">
        <v>0.7</v>
      </c>
      <c r="Z133" s="1472">
        <v>10</v>
      </c>
      <c r="AA133" s="1878" t="s">
        <v>3710</v>
      </c>
      <c r="AB133" s="30"/>
      <c r="AC133" s="30"/>
      <c r="AD133" s="421"/>
      <c r="AE133" s="30"/>
      <c r="AF133" s="422">
        <v>1600</v>
      </c>
      <c r="AG133" s="422">
        <v>0.9</v>
      </c>
      <c r="AH133" s="1881">
        <v>140</v>
      </c>
    </row>
    <row r="134" spans="1:34">
      <c r="A134" s="66"/>
      <c r="B134" s="497" t="str">
        <f>IF(Uebersetzung!$A$1=1,Bauteile!S134,Bauteile!AA134)</f>
        <v>Enduit à la fausse résine m=200</v>
      </c>
      <c r="C134" s="497"/>
      <c r="D134" s="497"/>
      <c r="E134" s="497"/>
      <c r="F134" s="497"/>
      <c r="G134" s="498">
        <f>IF(Uebersetzung!$A$1=1,Bauteile!X134,Bauteile!AF134)</f>
        <v>1100</v>
      </c>
      <c r="H134" s="498">
        <f>IF(Uebersetzung!$A$1=1,Bauteile!Y134,Bauteile!AG134)</f>
        <v>0.7</v>
      </c>
      <c r="I134" s="498">
        <f>IF(Uebersetzung!$A$1=1,Bauteile!Z134,Bauteile!AH134)</f>
        <v>200</v>
      </c>
      <c r="J134" s="27"/>
      <c r="K134" s="2550"/>
      <c r="L134" s="2551"/>
      <c r="M134" s="2551"/>
      <c r="N134" s="2551"/>
      <c r="O134" s="2551"/>
      <c r="P134" s="59"/>
      <c r="Q134" s="634"/>
      <c r="R134" s="412" t="s">
        <v>1190</v>
      </c>
      <c r="S134" s="1878" t="s">
        <v>145</v>
      </c>
      <c r="T134" s="30"/>
      <c r="U134" s="30"/>
      <c r="V134" s="545"/>
      <c r="W134" s="30"/>
      <c r="X134" s="546">
        <v>1050</v>
      </c>
      <c r="Y134" s="546">
        <v>0.8</v>
      </c>
      <c r="Z134" s="1472">
        <v>20</v>
      </c>
      <c r="AA134" s="1878" t="s">
        <v>3711</v>
      </c>
      <c r="AB134" s="30"/>
      <c r="AC134" s="30"/>
      <c r="AD134" s="421"/>
      <c r="AE134" s="30"/>
      <c r="AF134" s="422">
        <v>1100</v>
      </c>
      <c r="AG134" s="422">
        <v>0.7</v>
      </c>
      <c r="AH134" s="1881">
        <v>200</v>
      </c>
    </row>
    <row r="135" spans="1:34">
      <c r="A135" s="66"/>
      <c r="B135" s="497" t="str">
        <f>IF(Uebersetzung!$A$1=1,Bauteile!S135,Bauteile!AA135)</f>
        <v>Enduit à la silicone m=30</v>
      </c>
      <c r="C135" s="497"/>
      <c r="D135" s="497"/>
      <c r="E135" s="497"/>
      <c r="F135" s="497"/>
      <c r="G135" s="498">
        <f>IF(Uebersetzung!$A$1=1,Bauteile!X135,Bauteile!AF135)</f>
        <v>1400</v>
      </c>
      <c r="H135" s="498">
        <f>IF(Uebersetzung!$A$1=1,Bauteile!Y135,Bauteile!AG135)</f>
        <v>0.9</v>
      </c>
      <c r="I135" s="498">
        <f>IF(Uebersetzung!$A$1=1,Bauteile!Z135,Bauteile!AH135)</f>
        <v>30</v>
      </c>
      <c r="J135" s="27"/>
      <c r="K135" s="27"/>
      <c r="L135" s="27"/>
      <c r="M135" s="27"/>
      <c r="N135" s="27"/>
      <c r="P135" s="27"/>
      <c r="S135" s="1878" t="s">
        <v>1285</v>
      </c>
      <c r="T135" s="30"/>
      <c r="U135" s="30"/>
      <c r="V135" s="545"/>
      <c r="W135" s="30"/>
      <c r="X135" s="546">
        <v>2500</v>
      </c>
      <c r="Y135" s="546">
        <v>0.81</v>
      </c>
      <c r="Z135" s="1472">
        <v>900</v>
      </c>
      <c r="AA135" s="1878" t="s">
        <v>3712</v>
      </c>
      <c r="AB135" s="30"/>
      <c r="AC135" s="30"/>
      <c r="AD135" s="421"/>
      <c r="AE135" s="30"/>
      <c r="AF135" s="422">
        <v>1400</v>
      </c>
      <c r="AG135" s="422">
        <v>0.9</v>
      </c>
      <c r="AH135" s="1881">
        <v>30</v>
      </c>
    </row>
    <row r="136" spans="1:34">
      <c r="A136" s="66"/>
      <c r="B136" s="497" t="str">
        <f>IF(Uebersetzung!$A$1=1,Bauteile!S136,Bauteile!AA136)</f>
        <v>Enduit au mortier m=10</v>
      </c>
      <c r="C136" s="497"/>
      <c r="D136" s="497"/>
      <c r="E136" s="497"/>
      <c r="F136" s="497"/>
      <c r="G136" s="498">
        <f>IF(Uebersetzung!$A$1=1,Bauteile!X136,Bauteile!AF136)</f>
        <v>1400</v>
      </c>
      <c r="H136" s="498">
        <f>IF(Uebersetzung!$A$1=1,Bauteile!Y136,Bauteile!AG136)</f>
        <v>0.78</v>
      </c>
      <c r="I136" s="498">
        <f>IF(Uebersetzung!$A$1=1,Bauteile!Z136,Bauteile!AH136)</f>
        <v>10</v>
      </c>
      <c r="J136" s="27"/>
      <c r="K136" s="384"/>
      <c r="L136" s="385"/>
      <c r="M136" s="385" t="str">
        <f>Uebersetzung!D577</f>
        <v>Piliers, supports, consoles:</v>
      </c>
      <c r="N136" s="153"/>
      <c r="O136" s="153"/>
      <c r="P136" s="630"/>
      <c r="Q136" s="2546" t="s">
        <v>758</v>
      </c>
      <c r="R136" s="2547"/>
      <c r="S136" s="1878" t="s">
        <v>2406</v>
      </c>
      <c r="T136" s="30"/>
      <c r="U136" s="30"/>
      <c r="V136" s="545"/>
      <c r="W136" s="30"/>
      <c r="X136" s="546">
        <v>30</v>
      </c>
      <c r="Y136" s="546">
        <v>0.05</v>
      </c>
      <c r="Z136" s="1475">
        <v>1.5</v>
      </c>
      <c r="AA136" s="1878" t="s">
        <v>3713</v>
      </c>
      <c r="AB136" s="30"/>
      <c r="AC136" s="30"/>
      <c r="AD136" s="421"/>
      <c r="AE136" s="30"/>
      <c r="AF136" s="422">
        <v>1400</v>
      </c>
      <c r="AG136" s="422">
        <v>0.78</v>
      </c>
      <c r="AH136" s="1886">
        <v>10</v>
      </c>
    </row>
    <row r="137" spans="1:34">
      <c r="A137" s="66"/>
      <c r="B137" s="497" t="str">
        <f>IF(Uebersetzung!$A$1=1,Bauteile!S137,Bauteile!AA137)</f>
        <v>Enduit au mortier m=15</v>
      </c>
      <c r="C137" s="497"/>
      <c r="D137" s="497"/>
      <c r="E137" s="497"/>
      <c r="F137" s="497"/>
      <c r="G137" s="498">
        <f>IF(Uebersetzung!$A$1=1,Bauteile!X137,Bauteile!AF137)</f>
        <v>1800</v>
      </c>
      <c r="H137" s="498">
        <f>IF(Uebersetzung!$A$1=1,Bauteile!Y137,Bauteile!AG137)</f>
        <v>0.8</v>
      </c>
      <c r="I137" s="498">
        <f>IF(Uebersetzung!$A$1=1,Bauteile!Z137,Bauteile!AH137)</f>
        <v>15</v>
      </c>
      <c r="J137" s="27"/>
      <c r="K137" s="154" t="str">
        <f>Uebersetzung!D578</f>
        <v>en aluminium, sans isolation sur les flancs</v>
      </c>
      <c r="L137" s="64"/>
      <c r="M137" s="107"/>
      <c r="N137" s="64"/>
      <c r="O137" s="64"/>
      <c r="P137" s="628"/>
      <c r="Q137" s="56">
        <v>2</v>
      </c>
      <c r="R137" s="344" t="s">
        <v>46</v>
      </c>
      <c r="S137" s="1878" t="s">
        <v>762</v>
      </c>
      <c r="T137" s="30"/>
      <c r="U137" s="30"/>
      <c r="V137" s="545"/>
      <c r="W137" s="30"/>
      <c r="X137" s="546">
        <v>30</v>
      </c>
      <c r="Y137" s="546">
        <v>0.05</v>
      </c>
      <c r="Z137" s="1472">
        <v>2</v>
      </c>
      <c r="AA137" s="1878" t="s">
        <v>3714</v>
      </c>
      <c r="AB137" s="30"/>
      <c r="AC137" s="30"/>
      <c r="AD137" s="421"/>
      <c r="AE137" s="30"/>
      <c r="AF137" s="422">
        <v>1800</v>
      </c>
      <c r="AG137" s="422">
        <v>0.8</v>
      </c>
      <c r="AH137" s="1886">
        <v>15</v>
      </c>
    </row>
    <row r="138" spans="1:34">
      <c r="A138" s="66"/>
      <c r="B138" s="497" t="str">
        <f>IF(Uebersetzung!$A$1=1,Bauteile!S138,Bauteile!AA138)</f>
        <v>Enduit au mortier m=35</v>
      </c>
      <c r="C138" s="497"/>
      <c r="D138" s="497"/>
      <c r="E138" s="497"/>
      <c r="F138" s="497"/>
      <c r="G138" s="498">
        <f>IF(Uebersetzung!$A$1=1,Bauteile!X138,Bauteile!AF138)</f>
        <v>1800</v>
      </c>
      <c r="H138" s="498">
        <f>IF(Uebersetzung!$A$1=1,Bauteile!Y138,Bauteile!AG138)</f>
        <v>0.8</v>
      </c>
      <c r="I138" s="498">
        <f>IF(Uebersetzung!$A$1=1,Bauteile!Z138,Bauteile!AH138)</f>
        <v>35</v>
      </c>
      <c r="J138" s="27"/>
      <c r="K138" s="154" t="str">
        <f>Uebersetzung!D579</f>
        <v>en acier, sans isolation sur les flancs</v>
      </c>
      <c r="L138" s="64"/>
      <c r="M138" s="107"/>
      <c r="N138" s="64"/>
      <c r="O138" s="64"/>
      <c r="P138" s="628"/>
      <c r="Q138" s="56">
        <v>1</v>
      </c>
      <c r="R138" s="344" t="s">
        <v>46</v>
      </c>
      <c r="S138" s="1878" t="s">
        <v>761</v>
      </c>
      <c r="T138" s="30"/>
      <c r="U138" s="30"/>
      <c r="V138" s="545"/>
      <c r="W138" s="30"/>
      <c r="X138" s="546">
        <v>30</v>
      </c>
      <c r="Y138" s="546">
        <v>4.1000000000000002E-2</v>
      </c>
      <c r="Z138" s="1472">
        <v>2</v>
      </c>
      <c r="AA138" s="1878" t="s">
        <v>3715</v>
      </c>
      <c r="AB138" s="30"/>
      <c r="AC138" s="30"/>
      <c r="AD138" s="421"/>
      <c r="AE138" s="30"/>
      <c r="AF138" s="422">
        <v>1800</v>
      </c>
      <c r="AG138" s="422">
        <v>0.8</v>
      </c>
      <c r="AH138" s="1886">
        <v>35</v>
      </c>
    </row>
    <row r="139" spans="1:34">
      <c r="A139" s="66"/>
      <c r="B139" s="497" t="str">
        <f>IF(Uebersetzung!$A$1=1,Bauteile!S139,Bauteile!AA139)</f>
        <v>Enduit au mortier de chaux m=15</v>
      </c>
      <c r="C139" s="497"/>
      <c r="D139" s="497"/>
      <c r="E139" s="497"/>
      <c r="F139" s="497"/>
      <c r="G139" s="498">
        <f>IF(Uebersetzung!$A$1=1,Bauteile!X139,Bauteile!AF139)</f>
        <v>1800</v>
      </c>
      <c r="H139" s="498">
        <f>IF(Uebersetzung!$A$1=1,Bauteile!Y139,Bauteile!AG139)</f>
        <v>0.87</v>
      </c>
      <c r="I139" s="498">
        <f>IF(Uebersetzung!$A$1=1,Bauteile!Z139,Bauteile!AH139)</f>
        <v>15</v>
      </c>
      <c r="J139" s="27"/>
      <c r="K139" s="154" t="str">
        <f>Uebersetzung!D580</f>
        <v>en béton, sans isolation sur les flancs</v>
      </c>
      <c r="L139" s="64"/>
      <c r="M139" s="64"/>
      <c r="N139" s="64"/>
      <c r="O139" s="64"/>
      <c r="P139" s="628"/>
      <c r="Q139" s="56">
        <v>0.6</v>
      </c>
      <c r="R139" s="344" t="s">
        <v>46</v>
      </c>
      <c r="S139" s="1878" t="s">
        <v>606</v>
      </c>
      <c r="T139" s="30"/>
      <c r="U139" s="30"/>
      <c r="V139" s="545"/>
      <c r="W139" s="30"/>
      <c r="X139" s="546">
        <v>2550</v>
      </c>
      <c r="Y139" s="546">
        <v>3.5</v>
      </c>
      <c r="Z139" s="1472">
        <v>10000</v>
      </c>
      <c r="AA139" s="1878" t="s">
        <v>3716</v>
      </c>
      <c r="AB139" s="30"/>
      <c r="AC139" s="30"/>
      <c r="AD139" s="421"/>
      <c r="AE139" s="30"/>
      <c r="AF139" s="422">
        <v>1800</v>
      </c>
      <c r="AG139" s="422">
        <v>0.87</v>
      </c>
      <c r="AH139" s="1886">
        <v>15</v>
      </c>
    </row>
    <row r="140" spans="1:34">
      <c r="A140" s="66"/>
      <c r="B140" s="497" t="str">
        <f>IF(Uebersetzung!$A$1=1,Bauteile!S140,Bauteile!AA140)</f>
        <v>Enduit au mortier de chaux m=35</v>
      </c>
      <c r="C140" s="497"/>
      <c r="D140" s="497"/>
      <c r="E140" s="497"/>
      <c r="F140" s="497"/>
      <c r="G140" s="498">
        <f>IF(Uebersetzung!$A$1=1,Bauteile!X140,Bauteile!AF140)</f>
        <v>1800</v>
      </c>
      <c r="H140" s="498">
        <f>IF(Uebersetzung!$A$1=1,Bauteile!Y140,Bauteile!AG140)</f>
        <v>0.87</v>
      </c>
      <c r="I140" s="498">
        <f>IF(Uebersetzung!$A$1=1,Bauteile!Z140,Bauteile!AH140)</f>
        <v>35</v>
      </c>
      <c r="J140" s="27"/>
      <c r="K140" s="154" t="str">
        <f>Uebersetzung!D581</f>
        <v>consoles métalliques massive</v>
      </c>
      <c r="L140" s="64"/>
      <c r="M140" s="64"/>
      <c r="N140" s="64"/>
      <c r="O140" s="64"/>
      <c r="P140" s="628"/>
      <c r="Q140" s="56">
        <v>0.1</v>
      </c>
      <c r="R140" s="344" t="s">
        <v>46</v>
      </c>
      <c r="S140" s="1878" t="s">
        <v>1290</v>
      </c>
      <c r="T140" s="30"/>
      <c r="U140" s="30"/>
      <c r="V140" s="545"/>
      <c r="W140" s="30"/>
      <c r="X140" s="546">
        <v>2800</v>
      </c>
      <c r="Y140" s="546">
        <v>3.5</v>
      </c>
      <c r="Z140" s="1472">
        <v>10000</v>
      </c>
      <c r="AA140" s="1878" t="s">
        <v>3717</v>
      </c>
      <c r="AB140" s="30"/>
      <c r="AC140" s="30"/>
      <c r="AD140" s="421"/>
      <c r="AE140" s="30"/>
      <c r="AF140" s="422">
        <v>1800</v>
      </c>
      <c r="AG140" s="422">
        <v>0.87</v>
      </c>
      <c r="AH140" s="1886">
        <v>35</v>
      </c>
    </row>
    <row r="141" spans="1:34">
      <c r="A141" s="66"/>
      <c r="B141" s="497" t="str">
        <f>IF(Uebersetzung!$A$1=1,Bauteile!S141,Bauteile!AA141)</f>
        <v>Enduit au mortier de plâtre m=10</v>
      </c>
      <c r="C141" s="497"/>
      <c r="D141" s="497"/>
      <c r="E141" s="497"/>
      <c r="F141" s="497"/>
      <c r="G141" s="498">
        <f>IF(Uebersetzung!$A$1=1,Bauteile!X141,Bauteile!AF141)</f>
        <v>1400</v>
      </c>
      <c r="H141" s="498">
        <f>IF(Uebersetzung!$A$1=1,Bauteile!Y141,Bauteile!AG141)</f>
        <v>0.7</v>
      </c>
      <c r="I141" s="498">
        <f>IF(Uebersetzung!$A$1=1,Bauteile!Z141,Bauteile!AH141)</f>
        <v>10</v>
      </c>
      <c r="J141" s="27"/>
      <c r="K141" s="2552"/>
      <c r="L141" s="2553"/>
      <c r="M141" s="2553"/>
      <c r="N141" s="2553"/>
      <c r="O141" s="2553"/>
      <c r="P141" s="63"/>
      <c r="Q141" s="632"/>
      <c r="R141" s="344" t="s">
        <v>46</v>
      </c>
      <c r="S141" s="1878" t="s">
        <v>1928</v>
      </c>
      <c r="T141" s="30"/>
      <c r="U141" s="30"/>
      <c r="V141" s="545"/>
      <c r="W141" s="30"/>
      <c r="X141" s="546">
        <v>1400</v>
      </c>
      <c r="Y141" s="546">
        <v>0.8</v>
      </c>
      <c r="Z141" s="1472">
        <v>12</v>
      </c>
      <c r="AA141" s="1878" t="s">
        <v>3718</v>
      </c>
      <c r="AB141" s="30"/>
      <c r="AC141" s="30"/>
      <c r="AD141" s="421"/>
      <c r="AE141" s="30"/>
      <c r="AF141" s="422">
        <v>1400</v>
      </c>
      <c r="AG141" s="422">
        <v>0.7</v>
      </c>
      <c r="AH141" s="1886">
        <v>10</v>
      </c>
    </row>
    <row r="142" spans="1:34">
      <c r="A142" s="66"/>
      <c r="B142" s="497" t="str">
        <f>IF(Uebersetzung!$A$1=1,Bauteile!S142,Bauteile!AA142)</f>
        <v>Enduit au plâtre m=10</v>
      </c>
      <c r="C142" s="497"/>
      <c r="D142" s="497"/>
      <c r="E142" s="497"/>
      <c r="F142" s="497"/>
      <c r="G142" s="498">
        <f>IF(Uebersetzung!$A$1=1,Bauteile!X142,Bauteile!AF142)</f>
        <v>1200</v>
      </c>
      <c r="H142" s="498">
        <f>IF(Uebersetzung!$A$1=1,Bauteile!Y142,Bauteile!AG142)</f>
        <v>0.35</v>
      </c>
      <c r="I142" s="498">
        <f>IF(Uebersetzung!$A$1=1,Bauteile!Z142,Bauteile!AH142)</f>
        <v>10</v>
      </c>
      <c r="J142" s="27"/>
      <c r="K142" s="2554"/>
      <c r="L142" s="2555"/>
      <c r="M142" s="2555"/>
      <c r="N142" s="2555"/>
      <c r="O142" s="2555"/>
      <c r="P142" s="63"/>
      <c r="Q142" s="633"/>
      <c r="R142" s="344" t="s">
        <v>46</v>
      </c>
      <c r="S142" s="1878" t="s">
        <v>1292</v>
      </c>
      <c r="T142" s="30"/>
      <c r="U142" s="30"/>
      <c r="V142" s="545"/>
      <c r="W142" s="30"/>
      <c r="X142" s="546">
        <v>2150</v>
      </c>
      <c r="Y142" s="546">
        <v>0.69</v>
      </c>
      <c r="Z142" s="1472">
        <v>20000</v>
      </c>
      <c r="AA142" s="1878" t="s">
        <v>3719</v>
      </c>
      <c r="AB142" s="30"/>
      <c r="AC142" s="30"/>
      <c r="AD142" s="421"/>
      <c r="AE142" s="30"/>
      <c r="AF142" s="422">
        <v>1200</v>
      </c>
      <c r="AG142" s="422">
        <v>0.35</v>
      </c>
      <c r="AH142" s="1886">
        <v>10</v>
      </c>
    </row>
    <row r="143" spans="1:34" ht="13.15" customHeight="1">
      <c r="A143" s="66"/>
      <c r="B143" s="497" t="str">
        <f>IF(Uebersetzung!$A$1=1,Bauteile!S143,Bauteile!AA143)</f>
        <v>Enduit de barrière m=15</v>
      </c>
      <c r="C143" s="497"/>
      <c r="D143" s="497"/>
      <c r="E143" s="497"/>
      <c r="F143" s="497"/>
      <c r="G143" s="498">
        <f>IF(Uebersetzung!$A$1=1,Bauteile!X143,Bauteile!AF143)</f>
        <v>1600</v>
      </c>
      <c r="H143" s="498">
        <f>IF(Uebersetzung!$A$1=1,Bauteile!Y143,Bauteile!AG143)</f>
        <v>1</v>
      </c>
      <c r="I143" s="498">
        <f>IF(Uebersetzung!$A$1=1,Bauteile!Z143,Bauteile!AH143)</f>
        <v>15</v>
      </c>
      <c r="J143" s="27"/>
      <c r="K143" s="2554"/>
      <c r="L143" s="2555"/>
      <c r="M143" s="2555"/>
      <c r="N143" s="2555"/>
      <c r="O143" s="2555"/>
      <c r="P143" s="63"/>
      <c r="Q143" s="633"/>
      <c r="R143" s="344" t="s">
        <v>46</v>
      </c>
      <c r="S143" s="1878" t="s">
        <v>607</v>
      </c>
      <c r="T143" s="30"/>
      <c r="U143" s="30"/>
      <c r="V143" s="545"/>
      <c r="W143" s="30"/>
      <c r="X143" s="546">
        <v>7500</v>
      </c>
      <c r="Y143" s="546">
        <v>50</v>
      </c>
      <c r="Z143" s="1478">
        <v>10000</v>
      </c>
      <c r="AA143" s="1878" t="s">
        <v>3720</v>
      </c>
      <c r="AB143" s="30"/>
      <c r="AC143" s="30"/>
      <c r="AD143" s="421"/>
      <c r="AE143" s="30"/>
      <c r="AF143" s="422">
        <v>1600</v>
      </c>
      <c r="AG143" s="422">
        <v>1</v>
      </c>
      <c r="AH143" s="1881">
        <v>15</v>
      </c>
    </row>
    <row r="144" spans="1:34" ht="13.15" customHeight="1">
      <c r="A144" s="66"/>
      <c r="B144" s="497" t="str">
        <f>IF(Uebersetzung!$A$1=1,Bauteile!S144,Bauteile!AA144)</f>
        <v>Enduit de barrière thermique m=5</v>
      </c>
      <c r="C144" s="497"/>
      <c r="D144" s="497"/>
      <c r="E144" s="497"/>
      <c r="F144" s="497"/>
      <c r="G144" s="498">
        <f>IF(Uebersetzung!$A$1=1,Bauteile!X144,Bauteile!AF144)</f>
        <v>1200</v>
      </c>
      <c r="H144" s="498">
        <f>IF(Uebersetzung!$A$1=1,Bauteile!Y144,Bauteile!AG144)</f>
        <v>0.35</v>
      </c>
      <c r="I144" s="498">
        <f>IF(Uebersetzung!$A$1=1,Bauteile!Z144,Bauteile!AH144)</f>
        <v>5</v>
      </c>
      <c r="J144" s="27"/>
      <c r="K144" s="2552"/>
      <c r="L144" s="2553"/>
      <c r="M144" s="2553"/>
      <c r="N144" s="2553"/>
      <c r="O144" s="2553"/>
      <c r="P144" s="63"/>
      <c r="Q144" s="632"/>
      <c r="R144" s="344" t="s">
        <v>46</v>
      </c>
      <c r="S144" s="1879"/>
      <c r="T144" s="546"/>
      <c r="U144" s="546"/>
      <c r="V144" s="546"/>
      <c r="W144" s="546"/>
      <c r="X144" s="546"/>
      <c r="Y144" s="30"/>
      <c r="Z144" s="1885"/>
      <c r="AA144" s="1878" t="s">
        <v>3721</v>
      </c>
      <c r="AB144" s="30"/>
      <c r="AC144" s="30"/>
      <c r="AD144" s="421"/>
      <c r="AE144" s="30"/>
      <c r="AF144" s="422">
        <v>1200</v>
      </c>
      <c r="AG144" s="422">
        <v>0.35</v>
      </c>
      <c r="AH144" s="1881">
        <v>5</v>
      </c>
    </row>
    <row r="145" spans="1:34">
      <c r="A145" s="66"/>
      <c r="B145" s="497" t="str">
        <f>IF(Uebersetzung!$A$1=1,Bauteile!S145,Bauteile!AA145)</f>
        <v>Enduit de barrière thermique m=8</v>
      </c>
      <c r="C145" s="497"/>
      <c r="D145" s="497"/>
      <c r="E145" s="497"/>
      <c r="F145" s="497"/>
      <c r="G145" s="498">
        <f>IF(Uebersetzung!$A$1=1,Bauteile!X145,Bauteile!AF145)</f>
        <v>350</v>
      </c>
      <c r="H145" s="498">
        <f>IF(Uebersetzung!$A$1=1,Bauteile!Y145,Bauteile!AG145)</f>
        <v>6.5000000000000002E-2</v>
      </c>
      <c r="I145" s="498">
        <f>IF(Uebersetzung!$A$1=1,Bauteile!Z145,Bauteile!AH145)</f>
        <v>8</v>
      </c>
      <c r="J145" s="27"/>
      <c r="K145" s="2554"/>
      <c r="L145" s="2555"/>
      <c r="M145" s="2555"/>
      <c r="N145" s="2555"/>
      <c r="O145" s="2555"/>
      <c r="P145" s="63"/>
      <c r="Q145" s="633"/>
      <c r="R145" s="344" t="s">
        <v>46</v>
      </c>
      <c r="S145" s="1878" t="s">
        <v>1294</v>
      </c>
      <c r="T145" s="30"/>
      <c r="U145" s="30"/>
      <c r="V145" s="545"/>
      <c r="W145" s="30"/>
      <c r="X145" s="546">
        <v>600</v>
      </c>
      <c r="Y145" s="546">
        <v>0.12</v>
      </c>
      <c r="Z145" s="1474">
        <v>25</v>
      </c>
      <c r="AA145" s="1878" t="s">
        <v>3722</v>
      </c>
      <c r="AB145" s="30"/>
      <c r="AC145" s="30"/>
      <c r="AD145" s="421"/>
      <c r="AE145" s="30"/>
      <c r="AF145" s="422">
        <v>350</v>
      </c>
      <c r="AG145" s="422">
        <v>6.5000000000000002E-2</v>
      </c>
      <c r="AH145" s="1881">
        <v>8</v>
      </c>
    </row>
    <row r="146" spans="1:34">
      <c r="A146" s="66"/>
      <c r="B146" s="497" t="str">
        <f>IF(Uebersetzung!$A$1=1,Bauteile!S146,Bauteile!AA146)</f>
        <v>Enduit de barrière thermique m=20</v>
      </c>
      <c r="C146" s="497"/>
      <c r="D146" s="497"/>
      <c r="E146" s="497"/>
      <c r="F146" s="497"/>
      <c r="G146" s="498">
        <f>IF(Uebersetzung!$A$1=1,Bauteile!X146,Bauteile!AF146)</f>
        <v>1200</v>
      </c>
      <c r="H146" s="498">
        <f>IF(Uebersetzung!$A$1=1,Bauteile!Y146,Bauteile!AG146)</f>
        <v>0.35</v>
      </c>
      <c r="I146" s="498">
        <f>IF(Uebersetzung!$A$1=1,Bauteile!Z146,Bauteile!AH146)</f>
        <v>20</v>
      </c>
      <c r="J146" s="27"/>
      <c r="K146" s="2554"/>
      <c r="L146" s="2555"/>
      <c r="M146" s="2555"/>
      <c r="N146" s="2555"/>
      <c r="O146" s="2555"/>
      <c r="P146" s="63"/>
      <c r="Q146" s="633"/>
      <c r="R146" s="344" t="s">
        <v>46</v>
      </c>
      <c r="S146" s="1878" t="s">
        <v>1295</v>
      </c>
      <c r="T146" s="30"/>
      <c r="U146" s="30"/>
      <c r="V146" s="545"/>
      <c r="W146" s="30"/>
      <c r="X146" s="546">
        <v>520</v>
      </c>
      <c r="Y146" s="546">
        <v>0.13</v>
      </c>
      <c r="Z146" s="1472">
        <v>71</v>
      </c>
      <c r="AA146" s="1878" t="s">
        <v>3723</v>
      </c>
      <c r="AB146" s="30"/>
      <c r="AC146" s="30"/>
      <c r="AD146" s="421"/>
      <c r="AE146" s="30"/>
      <c r="AF146" s="422">
        <v>1200</v>
      </c>
      <c r="AG146" s="422">
        <v>0.35</v>
      </c>
      <c r="AH146" s="1881">
        <v>20</v>
      </c>
    </row>
    <row r="147" spans="1:34">
      <c r="A147" s="66"/>
      <c r="B147" s="497" t="str">
        <f>IF(Uebersetzung!$A$1=1,Bauteile!S147,Bauteile!AA147)</f>
        <v>Enduit de base au plâtre m=10</v>
      </c>
      <c r="C147" s="497"/>
      <c r="D147" s="497"/>
      <c r="E147" s="497"/>
      <c r="F147" s="497"/>
      <c r="G147" s="498">
        <f>IF(Uebersetzung!$A$1=1,Bauteile!X147,Bauteile!AF147)</f>
        <v>1200</v>
      </c>
      <c r="H147" s="498">
        <f>IF(Uebersetzung!$A$1=1,Bauteile!Y147,Bauteile!AG147)</f>
        <v>0.7</v>
      </c>
      <c r="I147" s="498">
        <f>IF(Uebersetzung!$A$1=1,Bauteile!Z147,Bauteile!AH147)</f>
        <v>10</v>
      </c>
      <c r="J147" s="27"/>
      <c r="K147" s="2552"/>
      <c r="L147" s="2553"/>
      <c r="M147" s="2553"/>
      <c r="N147" s="2553"/>
      <c r="O147" s="2553"/>
      <c r="P147" s="63"/>
      <c r="Q147" s="632"/>
      <c r="R147" s="344" t="s">
        <v>46</v>
      </c>
      <c r="S147" s="1880" t="s">
        <v>1719</v>
      </c>
      <c r="T147" s="546"/>
      <c r="U147" s="546"/>
      <c r="V147" s="546"/>
      <c r="W147" s="546"/>
      <c r="X147" s="546">
        <v>210</v>
      </c>
      <c r="Y147" s="63">
        <v>0.08</v>
      </c>
      <c r="Z147" s="1475">
        <v>5</v>
      </c>
      <c r="AA147" s="1878" t="s">
        <v>3724</v>
      </c>
      <c r="AB147" s="30"/>
      <c r="AC147" s="30"/>
      <c r="AD147" s="421"/>
      <c r="AE147" s="30"/>
      <c r="AF147" s="422">
        <v>1200</v>
      </c>
      <c r="AG147" s="422">
        <v>0.7</v>
      </c>
      <c r="AH147" s="1881">
        <v>10</v>
      </c>
    </row>
    <row r="148" spans="1:34">
      <c r="A148" s="66"/>
      <c r="B148" s="497" t="str">
        <f>IF(Uebersetzung!$A$1=1,Bauteile!S148,Bauteile!AA148)</f>
        <v>Enduit de base au chaux LKG m=10</v>
      </c>
      <c r="C148" s="497"/>
      <c r="D148" s="497"/>
      <c r="E148" s="497"/>
      <c r="F148" s="497"/>
      <c r="G148" s="498">
        <f>IF(Uebersetzung!$A$1=1,Bauteile!X148,Bauteile!AF148)</f>
        <v>1300</v>
      </c>
      <c r="H148" s="498">
        <f>IF(Uebersetzung!$A$1=1,Bauteile!Y148,Bauteile!AG148)</f>
        <v>0.8</v>
      </c>
      <c r="I148" s="498">
        <f>IF(Uebersetzung!$A$1=1,Bauteile!Z148,Bauteile!AH148)</f>
        <v>10</v>
      </c>
      <c r="J148" s="27"/>
      <c r="K148" s="2554"/>
      <c r="L148" s="2555"/>
      <c r="M148" s="2555"/>
      <c r="N148" s="2555"/>
      <c r="O148" s="2555"/>
      <c r="P148" s="63"/>
      <c r="Q148" s="633"/>
      <c r="R148" s="344" t="s">
        <v>46</v>
      </c>
      <c r="S148" s="1880" t="s">
        <v>1720</v>
      </c>
      <c r="T148" s="546"/>
      <c r="U148" s="546"/>
      <c r="V148" s="546"/>
      <c r="W148" s="546"/>
      <c r="X148" s="546">
        <v>400</v>
      </c>
      <c r="Y148" s="63">
        <v>0.11</v>
      </c>
      <c r="Z148" s="1475">
        <v>5</v>
      </c>
      <c r="AA148" s="1878" t="s">
        <v>3725</v>
      </c>
      <c r="AB148" s="30"/>
      <c r="AC148" s="30"/>
      <c r="AD148" s="421"/>
      <c r="AE148" s="30"/>
      <c r="AF148" s="422">
        <v>1300</v>
      </c>
      <c r="AG148" s="422">
        <v>0.8</v>
      </c>
      <c r="AH148" s="1886">
        <v>10</v>
      </c>
    </row>
    <row r="149" spans="1:34">
      <c r="A149" s="66"/>
      <c r="B149" s="497" t="str">
        <f>IF(Uebersetzung!$A$1=1,Bauteile!S149,Bauteile!AA149)</f>
        <v>Enduit de base LZ m=12</v>
      </c>
      <c r="C149" s="497"/>
      <c r="D149" s="497"/>
      <c r="E149" s="497"/>
      <c r="F149" s="497"/>
      <c r="G149" s="498">
        <f>IF(Uebersetzung!$A$1=1,Bauteile!X149,Bauteile!AF149)</f>
        <v>1400</v>
      </c>
      <c r="H149" s="498">
        <f>IF(Uebersetzung!$A$1=1,Bauteile!Y149,Bauteile!AG149)</f>
        <v>0.8</v>
      </c>
      <c r="I149" s="498">
        <f>IF(Uebersetzung!$A$1=1,Bauteile!Z149,Bauteile!AH149)</f>
        <v>12</v>
      </c>
      <c r="J149" s="27"/>
      <c r="K149" s="2554"/>
      <c r="L149" s="2555"/>
      <c r="M149" s="2555"/>
      <c r="N149" s="2555"/>
      <c r="O149" s="2555"/>
      <c r="P149" s="63"/>
      <c r="Q149" s="633"/>
      <c r="R149" s="344" t="s">
        <v>46</v>
      </c>
      <c r="S149" s="1878" t="s">
        <v>1717</v>
      </c>
      <c r="T149" s="30"/>
      <c r="U149" s="30"/>
      <c r="V149" s="545"/>
      <c r="W149" s="30"/>
      <c r="X149" s="546">
        <v>210</v>
      </c>
      <c r="Y149" s="546">
        <v>6.5000000000000002E-2</v>
      </c>
      <c r="Z149" s="1475">
        <v>5</v>
      </c>
      <c r="AA149" s="1878" t="s">
        <v>3726</v>
      </c>
      <c r="AB149" s="30"/>
      <c r="AC149" s="30"/>
      <c r="AD149" s="421"/>
      <c r="AE149" s="30"/>
      <c r="AF149" s="422">
        <v>1400</v>
      </c>
      <c r="AG149" s="422">
        <v>0.8</v>
      </c>
      <c r="AH149" s="1886">
        <v>12</v>
      </c>
    </row>
    <row r="150" spans="1:34">
      <c r="A150" s="66"/>
      <c r="B150" s="497" t="str">
        <f>IF(Uebersetzung!$A$1=1,Bauteile!S150,Bauteile!AA150)</f>
        <v>Enduits extérieur m=25</v>
      </c>
      <c r="C150" s="497"/>
      <c r="D150" s="497"/>
      <c r="E150" s="497"/>
      <c r="F150" s="497"/>
      <c r="G150" s="498">
        <f>IF(Uebersetzung!$A$1=1,Bauteile!X150,Bauteile!AF150)</f>
        <v>1800</v>
      </c>
      <c r="H150" s="498">
        <f>IF(Uebersetzung!$A$1=1,Bauteile!Y150,Bauteile!AG150)</f>
        <v>0.87</v>
      </c>
      <c r="I150" s="498">
        <f>IF(Uebersetzung!$A$1=1,Bauteile!Z150,Bauteile!AH150)</f>
        <v>25</v>
      </c>
      <c r="J150" s="27"/>
      <c r="K150" s="2550"/>
      <c r="L150" s="2551"/>
      <c r="M150" s="2551"/>
      <c r="N150" s="2551"/>
      <c r="O150" s="2551"/>
      <c r="P150" s="59"/>
      <c r="Q150" s="634"/>
      <c r="R150" s="412" t="s">
        <v>46</v>
      </c>
      <c r="S150" s="1878" t="s">
        <v>608</v>
      </c>
      <c r="T150" s="30"/>
      <c r="U150" s="30"/>
      <c r="V150" s="545"/>
      <c r="W150" s="30"/>
      <c r="X150" s="546">
        <v>150</v>
      </c>
      <c r="Y150" s="546">
        <v>0.08</v>
      </c>
      <c r="Z150" s="1475">
        <v>10</v>
      </c>
      <c r="AA150" s="1878" t="s">
        <v>3727</v>
      </c>
      <c r="AB150" s="30"/>
      <c r="AC150" s="30"/>
      <c r="AD150" s="421"/>
      <c r="AE150" s="30"/>
      <c r="AF150" s="422">
        <v>1800</v>
      </c>
      <c r="AG150" s="422">
        <v>0.87</v>
      </c>
      <c r="AH150" s="1886">
        <v>25</v>
      </c>
    </row>
    <row r="151" spans="1:34">
      <c r="A151" s="66"/>
      <c r="B151" s="497" t="str">
        <f>IF(Uebersetzung!$A$1=1,Bauteile!S151,Bauteile!AA151)</f>
        <v>Enduits intérieur m=8</v>
      </c>
      <c r="C151" s="497"/>
      <c r="D151" s="497"/>
      <c r="E151" s="497"/>
      <c r="F151" s="497"/>
      <c r="G151" s="498">
        <f>IF(Uebersetzung!$A$1=1,Bauteile!X151,Bauteile!AF151)</f>
        <v>1400</v>
      </c>
      <c r="H151" s="498">
        <f>IF(Uebersetzung!$A$1=1,Bauteile!Y151,Bauteile!AG151)</f>
        <v>0.7</v>
      </c>
      <c r="I151" s="498">
        <f>IF(Uebersetzung!$A$1=1,Bauteile!Z151,Bauteile!AH151)</f>
        <v>8</v>
      </c>
      <c r="J151" s="27"/>
      <c r="K151" s="27"/>
      <c r="L151" s="27"/>
      <c r="M151" s="27"/>
      <c r="N151" s="27"/>
      <c r="P151" s="27"/>
      <c r="S151" s="1878" t="s">
        <v>609</v>
      </c>
      <c r="T151" s="30"/>
      <c r="U151" s="30"/>
      <c r="V151" s="545"/>
      <c r="W151" s="30"/>
      <c r="X151" s="546">
        <v>150</v>
      </c>
      <c r="Y151" s="546">
        <v>5.1999999999999998E-2</v>
      </c>
      <c r="Z151" s="1475">
        <v>10</v>
      </c>
      <c r="AA151" s="1878" t="s">
        <v>3728</v>
      </c>
      <c r="AB151" s="30"/>
      <c r="AC151" s="30"/>
      <c r="AD151" s="421"/>
      <c r="AE151" s="30"/>
      <c r="AF151" s="422">
        <v>1400</v>
      </c>
      <c r="AG151" s="422">
        <v>0.7</v>
      </c>
      <c r="AH151" s="1886">
        <v>8</v>
      </c>
    </row>
    <row r="152" spans="1:34">
      <c r="A152" s="66"/>
      <c r="B152" s="497" t="str">
        <f>IF(Uebersetzung!$A$1=1,Bauteile!S152,Bauteile!AA152)</f>
        <v>Enduit légère m=15</v>
      </c>
      <c r="C152" s="497"/>
      <c r="D152" s="497"/>
      <c r="E152" s="497"/>
      <c r="F152" s="497"/>
      <c r="G152" s="498">
        <f>IF(Uebersetzung!$A$1=1,Bauteile!X152,Bauteile!AF152)</f>
        <v>1000</v>
      </c>
      <c r="H152" s="498">
        <f>IF(Uebersetzung!$A$1=1,Bauteile!Y152,Bauteile!AG152)</f>
        <v>0.4</v>
      </c>
      <c r="I152" s="498">
        <f>IF(Uebersetzung!$A$1=1,Bauteile!Z152,Bauteile!AH152)</f>
        <v>15</v>
      </c>
      <c r="J152" s="27"/>
      <c r="K152" s="384"/>
      <c r="L152" s="385"/>
      <c r="M152" s="153"/>
      <c r="N152" s="385" t="str">
        <f>Uebersetzung!D582</f>
        <v>Volet roulant</v>
      </c>
      <c r="O152" s="153"/>
      <c r="P152" s="153"/>
      <c r="Q152" s="2546" t="s">
        <v>757</v>
      </c>
      <c r="R152" s="2547"/>
      <c r="S152" s="1878" t="s">
        <v>1296</v>
      </c>
      <c r="T152" s="30"/>
      <c r="U152" s="30"/>
      <c r="V152" s="545"/>
      <c r="W152" s="30"/>
      <c r="X152" s="546">
        <v>650</v>
      </c>
      <c r="Y152" s="546">
        <v>8.5000000000000006E-2</v>
      </c>
      <c r="Z152" s="1472">
        <v>12.5</v>
      </c>
      <c r="AA152" s="1878" t="s">
        <v>3729</v>
      </c>
      <c r="AB152" s="30"/>
      <c r="AC152" s="30"/>
      <c r="AD152" s="421"/>
      <c r="AE152" s="30"/>
      <c r="AF152" s="422">
        <v>1000</v>
      </c>
      <c r="AG152" s="422">
        <v>0.4</v>
      </c>
      <c r="AH152" s="1886">
        <v>15</v>
      </c>
    </row>
    <row r="153" spans="1:34">
      <c r="A153" s="66"/>
      <c r="B153" s="497" t="str">
        <f>IF(Uebersetzung!$A$1=1,Bauteile!S153,Bauteile!AA153)</f>
        <v>Enduit légère m=20</v>
      </c>
      <c r="C153" s="497"/>
      <c r="D153" s="497"/>
      <c r="E153" s="497"/>
      <c r="F153" s="497"/>
      <c r="G153" s="498">
        <f>IF(Uebersetzung!$A$1=1,Bauteile!X153,Bauteile!AF153)</f>
        <v>1000</v>
      </c>
      <c r="H153" s="498">
        <f>IF(Uebersetzung!$A$1=1,Bauteile!Y153,Bauteile!AG153)</f>
        <v>0.4</v>
      </c>
      <c r="I153" s="498">
        <f>IF(Uebersetzung!$A$1=1,Bauteile!Z153,Bauteile!AH153)</f>
        <v>20</v>
      </c>
      <c r="J153" s="27"/>
      <c r="K153" s="154" t="str">
        <f>Uebersetzung!D583</f>
        <v>isolation du linteau de fenêtre et du cadre 2cm</v>
      </c>
      <c r="L153" s="64"/>
      <c r="M153" s="64"/>
      <c r="N153" s="64"/>
      <c r="O153" s="64"/>
      <c r="P153" s="64"/>
      <c r="Q153" s="56">
        <v>0.4</v>
      </c>
      <c r="R153" s="344" t="s">
        <v>1190</v>
      </c>
      <c r="S153" s="1878" t="s">
        <v>1298</v>
      </c>
      <c r="T153" s="30"/>
      <c r="U153" s="30"/>
      <c r="V153" s="545"/>
      <c r="W153" s="30"/>
      <c r="X153" s="546">
        <v>800</v>
      </c>
      <c r="Y153" s="546">
        <v>0.17</v>
      </c>
      <c r="Z153" s="1472">
        <v>65</v>
      </c>
      <c r="AA153" s="1878" t="s">
        <v>3730</v>
      </c>
      <c r="AB153" s="30"/>
      <c r="AC153" s="30"/>
      <c r="AD153" s="421"/>
      <c r="AE153" s="30"/>
      <c r="AF153" s="422">
        <v>1000</v>
      </c>
      <c r="AG153" s="422">
        <v>0.4</v>
      </c>
      <c r="AH153" s="1886">
        <v>20</v>
      </c>
    </row>
    <row r="154" spans="1:34">
      <c r="A154" s="66"/>
      <c r="B154" s="497" t="str">
        <f>IF(Uebersetzung!$A$1=1,Bauteile!S154,Bauteile!AA154)</f>
        <v>Epicéa</v>
      </c>
      <c r="C154" s="497"/>
      <c r="D154" s="497"/>
      <c r="E154" s="497"/>
      <c r="F154" s="497"/>
      <c r="G154" s="498">
        <f>IF(Uebersetzung!$A$1=1,Bauteile!X154,Bauteile!AF154)</f>
        <v>475</v>
      </c>
      <c r="H154" s="498">
        <f>IF(Uebersetzung!$A$1=1,Bauteile!Y154,Bauteile!AG154)</f>
        <v>0.14000000000000001</v>
      </c>
      <c r="I154" s="498">
        <f>IF(Uebersetzung!$A$1=1,Bauteile!Z154,Bauteile!AH154)</f>
        <v>40</v>
      </c>
      <c r="J154" s="27"/>
      <c r="K154" s="154" t="str">
        <f>Uebersetzung!D584</f>
        <v>isolation du linteau de fenêtre et du cadre 4cm</v>
      </c>
      <c r="L154" s="64"/>
      <c r="M154" s="64"/>
      <c r="N154" s="64"/>
      <c r="O154" s="64"/>
      <c r="P154" s="63"/>
      <c r="Q154" s="56">
        <v>0.25</v>
      </c>
      <c r="R154" s="344" t="s">
        <v>1190</v>
      </c>
      <c r="S154" s="1878" t="s">
        <v>1299</v>
      </c>
      <c r="T154" s="30"/>
      <c r="U154" s="30"/>
      <c r="V154" s="545"/>
      <c r="W154" s="30"/>
      <c r="X154" s="546">
        <v>300</v>
      </c>
      <c r="Y154" s="546">
        <v>0.06</v>
      </c>
      <c r="Z154" s="1472">
        <v>4</v>
      </c>
      <c r="AA154" s="1878" t="s">
        <v>3731</v>
      </c>
      <c r="AB154" s="30"/>
      <c r="AC154" s="30"/>
      <c r="AD154" s="421"/>
      <c r="AE154" s="30"/>
      <c r="AF154" s="422">
        <v>475</v>
      </c>
      <c r="AG154" s="422">
        <v>0.14000000000000001</v>
      </c>
      <c r="AH154" s="1886">
        <v>40</v>
      </c>
    </row>
    <row r="155" spans="1:34">
      <c r="A155" s="66"/>
      <c r="B155" s="497">
        <f>IF(Uebersetzung!$A$1=1,Bauteile!S155,Bauteile!AA155)</f>
        <v>0</v>
      </c>
      <c r="C155" s="497"/>
      <c r="D155" s="497"/>
      <c r="E155" s="497"/>
      <c r="F155" s="497"/>
      <c r="G155" s="498">
        <f>IF(Uebersetzung!$A$1=1,Bauteile!X155,Bauteile!AF155)</f>
        <v>0</v>
      </c>
      <c r="H155" s="498">
        <f>IF(Uebersetzung!$A$1=1,Bauteile!Y155,Bauteile!AG155)</f>
        <v>0</v>
      </c>
      <c r="I155" s="498">
        <f>IF(Uebersetzung!$A$1=1,Bauteile!Z155,Bauteile!AH155)</f>
        <v>0</v>
      </c>
      <c r="J155" s="27"/>
      <c r="K155" s="154" t="str">
        <f>Uebersetzung!D585</f>
        <v>isolation du linteau de fenêtre 4cm et cadre isolant</v>
      </c>
      <c r="L155" s="64"/>
      <c r="M155" s="64"/>
      <c r="N155" s="64"/>
      <c r="O155" s="64"/>
      <c r="P155" s="63"/>
      <c r="Q155" s="56">
        <v>0.35</v>
      </c>
      <c r="R155" s="344" t="s">
        <v>1190</v>
      </c>
      <c r="S155" s="1878" t="s">
        <v>610</v>
      </c>
      <c r="T155" s="30"/>
      <c r="U155" s="30"/>
      <c r="V155" s="545"/>
      <c r="W155" s="30"/>
      <c r="X155" s="546">
        <v>600</v>
      </c>
      <c r="Y155" s="546">
        <v>0.13</v>
      </c>
      <c r="Z155" s="1472">
        <v>50</v>
      </c>
      <c r="AA155" s="1887"/>
      <c r="AB155" s="422"/>
      <c r="AC155" s="422"/>
      <c r="AD155" s="422"/>
      <c r="AE155" s="422"/>
      <c r="AF155" s="422"/>
      <c r="AG155" s="30"/>
      <c r="AH155" s="1888"/>
    </row>
    <row r="156" spans="1:34">
      <c r="A156" s="66"/>
      <c r="B156" s="497" t="str">
        <f>IF(Uebersetzung!$A$1=1,Bauteile!S156,Bauteile!AA156)</f>
        <v>Fer, fonte</v>
      </c>
      <c r="C156" s="497"/>
      <c r="D156" s="497"/>
      <c r="E156" s="497"/>
      <c r="F156" s="497"/>
      <c r="G156" s="498">
        <f>IF(Uebersetzung!$A$1=1,Bauteile!X156,Bauteile!AF156)</f>
        <v>7500</v>
      </c>
      <c r="H156" s="498">
        <f>IF(Uebersetzung!$A$1=1,Bauteile!Y156,Bauteile!AG156)</f>
        <v>50</v>
      </c>
      <c r="I156" s="498">
        <f>IF(Uebersetzung!$A$1=1,Bauteile!Z156,Bauteile!AH156)</f>
        <v>0</v>
      </c>
      <c r="J156" s="27"/>
      <c r="K156" s="2554"/>
      <c r="L156" s="2555"/>
      <c r="M156" s="2555"/>
      <c r="N156" s="2555"/>
      <c r="O156" s="2555"/>
      <c r="P156" s="63"/>
      <c r="Q156" s="633"/>
      <c r="R156" s="344" t="s">
        <v>1190</v>
      </c>
      <c r="S156" s="1878" t="s">
        <v>1301</v>
      </c>
      <c r="T156" s="30"/>
      <c r="U156" s="30"/>
      <c r="V156" s="545"/>
      <c r="W156" s="30"/>
      <c r="X156" s="546">
        <v>600</v>
      </c>
      <c r="Y156" s="546">
        <v>0.2</v>
      </c>
      <c r="Z156" s="1472">
        <v>7</v>
      </c>
      <c r="AA156" s="1889" t="s">
        <v>3732</v>
      </c>
      <c r="AB156" s="422"/>
      <c r="AC156" s="422"/>
      <c r="AD156" s="422"/>
      <c r="AE156" s="422"/>
      <c r="AF156" s="422">
        <v>7500</v>
      </c>
      <c r="AG156" s="63">
        <v>50</v>
      </c>
      <c r="AH156" s="1881"/>
    </row>
    <row r="157" spans="1:34">
      <c r="A157" s="66"/>
      <c r="B157" s="497" t="str">
        <f>IF(Uebersetzung!$A$1=1,Bauteile!S157,Bauteile!AA157)</f>
        <v>Feuille d'aluminium</v>
      </c>
      <c r="C157" s="497"/>
      <c r="D157" s="497"/>
      <c r="E157" s="497"/>
      <c r="F157" s="497"/>
      <c r="G157" s="498">
        <f>IF(Uebersetzung!$A$1=1,Bauteile!X157,Bauteile!AF157)</f>
        <v>2000</v>
      </c>
      <c r="H157" s="498">
        <f>IF(Uebersetzung!$A$1=1,Bauteile!Y157,Bauteile!AG157)</f>
        <v>50</v>
      </c>
      <c r="I157" s="498">
        <f>IF(Uebersetzung!$A$1=1,Bauteile!Z157,Bauteile!AH157)</f>
        <v>500000</v>
      </c>
      <c r="J157" s="27"/>
      <c r="K157" s="2554"/>
      <c r="L157" s="2555"/>
      <c r="M157" s="2555"/>
      <c r="N157" s="2555"/>
      <c r="O157" s="2555"/>
      <c r="P157" s="63"/>
      <c r="Q157" s="633"/>
      <c r="R157" s="344" t="s">
        <v>1190</v>
      </c>
      <c r="S157" s="1878" t="s">
        <v>1303</v>
      </c>
      <c r="T157" s="30"/>
      <c r="U157" s="30"/>
      <c r="V157" s="545"/>
      <c r="W157" s="30"/>
      <c r="X157" s="546">
        <v>600</v>
      </c>
      <c r="Y157" s="546">
        <v>0.11</v>
      </c>
      <c r="Z157" s="1472">
        <v>55</v>
      </c>
      <c r="AA157" s="1889" t="s">
        <v>3733</v>
      </c>
      <c r="AB157" s="422"/>
      <c r="AC157" s="422"/>
      <c r="AD157" s="422"/>
      <c r="AE157" s="422"/>
      <c r="AF157" s="422">
        <v>2000</v>
      </c>
      <c r="AG157" s="63">
        <v>50</v>
      </c>
      <c r="AH157" s="1881">
        <v>500000</v>
      </c>
    </row>
    <row r="158" spans="1:34">
      <c r="A158" s="66"/>
      <c r="B158" s="497" t="str">
        <f>IF(Uebersetzung!$A$1=1,Bauteile!S158,Bauteile!AA158)</f>
        <v>Feuille de polyaethylen</v>
      </c>
      <c r="C158" s="497"/>
      <c r="D158" s="497"/>
      <c r="E158" s="497"/>
      <c r="F158" s="497"/>
      <c r="G158" s="498">
        <f>IF(Uebersetzung!$A$1=1,Bauteile!X158,Bauteile!AF158)</f>
        <v>1400</v>
      </c>
      <c r="H158" s="498">
        <f>IF(Uebersetzung!$A$1=1,Bauteile!Y158,Bauteile!AG158)</f>
        <v>1</v>
      </c>
      <c r="I158" s="498">
        <f>IF(Uebersetzung!$A$1=1,Bauteile!Z158,Bauteile!AH158)</f>
        <v>350000</v>
      </c>
      <c r="J158" s="27"/>
      <c r="K158" s="2552"/>
      <c r="L158" s="2553"/>
      <c r="M158" s="2553"/>
      <c r="N158" s="2553"/>
      <c r="O158" s="2553"/>
      <c r="P158" s="63"/>
      <c r="Q158" s="632"/>
      <c r="R158" s="344" t="s">
        <v>1190</v>
      </c>
      <c r="S158" s="1878" t="s">
        <v>1304</v>
      </c>
      <c r="T158" s="30"/>
      <c r="U158" s="30"/>
      <c r="V158" s="545"/>
      <c r="W158" s="30"/>
      <c r="X158" s="546">
        <v>700</v>
      </c>
      <c r="Y158" s="546">
        <v>0.15</v>
      </c>
      <c r="Z158" s="1472">
        <v>75</v>
      </c>
      <c r="AA158" s="1889" t="s">
        <v>3734</v>
      </c>
      <c r="AB158" s="422"/>
      <c r="AC158" s="422"/>
      <c r="AD158" s="422"/>
      <c r="AE158" s="422"/>
      <c r="AF158" s="422">
        <v>1400</v>
      </c>
      <c r="AG158" s="63">
        <v>1</v>
      </c>
      <c r="AH158" s="1881">
        <v>350000</v>
      </c>
    </row>
    <row r="159" spans="1:34">
      <c r="A159" s="66"/>
      <c r="B159" s="497" t="str">
        <f>IF(Uebersetzung!$A$1=1,Bauteile!S159,Bauteile!AA159)</f>
        <v>Feuille de polyisobuthylen</v>
      </c>
      <c r="C159" s="497"/>
      <c r="D159" s="497"/>
      <c r="E159" s="497"/>
      <c r="F159" s="497"/>
      <c r="G159" s="498">
        <f>IF(Uebersetzung!$A$1=1,Bauteile!X159,Bauteile!AF159)</f>
        <v>1400</v>
      </c>
      <c r="H159" s="498">
        <f>IF(Uebersetzung!$A$1=1,Bauteile!Y159,Bauteile!AG159)</f>
        <v>1</v>
      </c>
      <c r="I159" s="498">
        <f>IF(Uebersetzung!$A$1=1,Bauteile!Z159,Bauteile!AH159)</f>
        <v>300000</v>
      </c>
      <c r="J159" s="27"/>
      <c r="K159" s="2554"/>
      <c r="L159" s="2555"/>
      <c r="M159" s="2555"/>
      <c r="N159" s="2555"/>
      <c r="O159" s="2555"/>
      <c r="P159" s="63"/>
      <c r="Q159" s="633"/>
      <c r="R159" s="344" t="s">
        <v>1190</v>
      </c>
      <c r="S159" s="1878" t="s">
        <v>611</v>
      </c>
      <c r="T159" s="30"/>
      <c r="U159" s="30"/>
      <c r="V159" s="545"/>
      <c r="W159" s="30"/>
      <c r="X159" s="546">
        <v>300</v>
      </c>
      <c r="Y159" s="546">
        <v>0.1</v>
      </c>
      <c r="Z159" s="1472">
        <v>50</v>
      </c>
      <c r="AA159" s="1889" t="s">
        <v>3735</v>
      </c>
      <c r="AB159" s="422"/>
      <c r="AC159" s="422"/>
      <c r="AD159" s="422"/>
      <c r="AE159" s="422"/>
      <c r="AF159" s="422">
        <v>1400</v>
      </c>
      <c r="AG159" s="63">
        <v>1</v>
      </c>
      <c r="AH159" s="1881">
        <v>300000</v>
      </c>
    </row>
    <row r="160" spans="1:34">
      <c r="A160" s="66"/>
      <c r="B160" s="497" t="str">
        <f>IF(Uebersetzung!$A$1=1,Bauteile!S160,Bauteile!AA160)</f>
        <v>Feuille de PVC</v>
      </c>
      <c r="C160" s="497"/>
      <c r="D160" s="497"/>
      <c r="E160" s="497"/>
      <c r="F160" s="497"/>
      <c r="G160" s="498">
        <f>IF(Uebersetzung!$A$1=1,Bauteile!X160,Bauteile!AF160)</f>
        <v>1400</v>
      </c>
      <c r="H160" s="498">
        <f>IF(Uebersetzung!$A$1=1,Bauteile!Y160,Bauteile!AG160)</f>
        <v>0.22</v>
      </c>
      <c r="I160" s="498">
        <f>IF(Uebersetzung!$A$1=1,Bauteile!Z160,Bauteile!AH160)</f>
        <v>30000</v>
      </c>
      <c r="J160" s="27"/>
      <c r="K160" s="2554"/>
      <c r="L160" s="2555"/>
      <c r="M160" s="2555"/>
      <c r="N160" s="2555"/>
      <c r="O160" s="2555"/>
      <c r="P160" s="63"/>
      <c r="Q160" s="633"/>
      <c r="R160" s="344" t="s">
        <v>1190</v>
      </c>
      <c r="S160" s="1878" t="s">
        <v>612</v>
      </c>
      <c r="T160" s="30"/>
      <c r="U160" s="30"/>
      <c r="V160" s="545"/>
      <c r="W160" s="30"/>
      <c r="X160" s="546">
        <v>600</v>
      </c>
      <c r="Y160" s="546">
        <v>0.14000000000000001</v>
      </c>
      <c r="Z160" s="1472">
        <v>50</v>
      </c>
      <c r="AA160" s="1889" t="s">
        <v>3736</v>
      </c>
      <c r="AB160" s="422"/>
      <c r="AC160" s="422"/>
      <c r="AD160" s="422"/>
      <c r="AE160" s="422"/>
      <c r="AF160" s="422">
        <v>1400</v>
      </c>
      <c r="AG160" s="63">
        <v>0.22</v>
      </c>
      <c r="AH160" s="1881">
        <v>30000</v>
      </c>
    </row>
    <row r="161" spans="1:34">
      <c r="A161" s="66"/>
      <c r="B161" s="497" t="str">
        <f>IF(Uebersetzung!$A$1=1,Bauteile!S161,Bauteile!AA161)</f>
        <v>Feutre PVC</v>
      </c>
      <c r="C161" s="497"/>
      <c r="D161" s="497"/>
      <c r="E161" s="497"/>
      <c r="F161" s="497"/>
      <c r="G161" s="498">
        <f>IF(Uebersetzung!$A$1=1,Bauteile!X161,Bauteile!AF161)</f>
        <v>1400</v>
      </c>
      <c r="H161" s="498">
        <f>IF(Uebersetzung!$A$1=1,Bauteile!Y161,Bauteile!AG161)</f>
        <v>0.12</v>
      </c>
      <c r="I161" s="498">
        <f>IF(Uebersetzung!$A$1=1,Bauteile!Z161,Bauteile!AH161)</f>
        <v>3000</v>
      </c>
      <c r="J161" s="27"/>
      <c r="K161" s="2552"/>
      <c r="L161" s="2553"/>
      <c r="M161" s="2553"/>
      <c r="N161" s="2553"/>
      <c r="O161" s="2553"/>
      <c r="P161" s="63"/>
      <c r="Q161" s="632"/>
      <c r="R161" s="344" t="s">
        <v>1190</v>
      </c>
      <c r="S161" s="1878" t="s">
        <v>613</v>
      </c>
      <c r="T161" s="30"/>
      <c r="U161" s="30"/>
      <c r="V161" s="545"/>
      <c r="W161" s="30"/>
      <c r="X161" s="546">
        <v>900</v>
      </c>
      <c r="Y161" s="546">
        <v>0.19</v>
      </c>
      <c r="Z161" s="1472">
        <v>50</v>
      </c>
      <c r="AA161" s="1878" t="s">
        <v>3737</v>
      </c>
      <c r="AB161" s="30"/>
      <c r="AC161" s="30"/>
      <c r="AD161" s="421"/>
      <c r="AE161" s="30"/>
      <c r="AF161" s="422">
        <v>1400</v>
      </c>
      <c r="AG161" s="422">
        <v>0.12</v>
      </c>
      <c r="AH161" s="1881">
        <v>3000</v>
      </c>
    </row>
    <row r="162" spans="1:34">
      <c r="A162" s="66"/>
      <c r="B162" s="497">
        <f>IF(Uebersetzung!$A$1=1,Bauteile!S162,Bauteile!AA162)</f>
        <v>0</v>
      </c>
      <c r="C162" s="497"/>
      <c r="D162" s="497"/>
      <c r="E162" s="497"/>
      <c r="F162" s="497"/>
      <c r="G162" s="498">
        <f>IF(Uebersetzung!$A$1=1,Bauteile!X162,Bauteile!AF162)</f>
        <v>0</v>
      </c>
      <c r="H162" s="498">
        <f>IF(Uebersetzung!$A$1=1,Bauteile!Y162,Bauteile!AG162)</f>
        <v>0</v>
      </c>
      <c r="I162" s="498">
        <f>IF(Uebersetzung!$A$1=1,Bauteile!Z162,Bauteile!AH162)</f>
        <v>0</v>
      </c>
      <c r="J162" s="27"/>
      <c r="K162" s="2554"/>
      <c r="L162" s="2555"/>
      <c r="M162" s="2555"/>
      <c r="N162" s="2555"/>
      <c r="O162" s="2555"/>
      <c r="P162" s="63"/>
      <c r="Q162" s="633"/>
      <c r="R162" s="344" t="s">
        <v>1190</v>
      </c>
      <c r="S162" s="1878" t="s">
        <v>614</v>
      </c>
      <c r="T162" s="30"/>
      <c r="U162" s="30"/>
      <c r="V162" s="545"/>
      <c r="W162" s="30"/>
      <c r="X162" s="546">
        <v>1200</v>
      </c>
      <c r="Y162" s="546">
        <v>0.23</v>
      </c>
      <c r="Z162" s="1472">
        <v>50</v>
      </c>
      <c r="AA162" s="1887"/>
      <c r="AB162" s="422"/>
      <c r="AC162" s="422"/>
      <c r="AD162" s="422"/>
      <c r="AE162" s="422"/>
      <c r="AF162" s="422"/>
      <c r="AG162" s="30"/>
      <c r="AH162" s="1888"/>
    </row>
    <row r="163" spans="1:34">
      <c r="A163" s="66"/>
      <c r="B163" s="497" t="str">
        <f>IF(Uebersetzung!$A$1=1,Bauteile!S163,Bauteile!AA163)</f>
        <v>Granit</v>
      </c>
      <c r="C163" s="497"/>
      <c r="D163" s="497"/>
      <c r="E163" s="497"/>
      <c r="F163" s="497"/>
      <c r="G163" s="498">
        <f>IF(Uebersetzung!$A$1=1,Bauteile!X163,Bauteile!AF163)</f>
        <v>2800</v>
      </c>
      <c r="H163" s="498">
        <f>IF(Uebersetzung!$A$1=1,Bauteile!Y163,Bauteile!AG163)</f>
        <v>3.5</v>
      </c>
      <c r="I163" s="498">
        <f>IF(Uebersetzung!$A$1=1,Bauteile!Z163,Bauteile!AH163)</f>
        <v>10000</v>
      </c>
      <c r="J163" s="27"/>
      <c r="K163" s="2552"/>
      <c r="L163" s="2553"/>
      <c r="M163" s="2553"/>
      <c r="N163" s="2553"/>
      <c r="O163" s="2553"/>
      <c r="P163" s="628"/>
      <c r="Q163" s="632"/>
      <c r="R163" s="344" t="s">
        <v>1190</v>
      </c>
      <c r="S163" s="1880" t="s">
        <v>615</v>
      </c>
      <c r="T163" s="1877"/>
      <c r="U163" s="1877"/>
      <c r="V163" s="1877"/>
      <c r="W163" s="1877"/>
      <c r="X163" s="546">
        <v>90</v>
      </c>
      <c r="Y163" s="63">
        <v>1</v>
      </c>
      <c r="Z163" s="1472">
        <v>4</v>
      </c>
      <c r="AA163" s="1878" t="s">
        <v>1290</v>
      </c>
      <c r="AB163" s="30"/>
      <c r="AC163" s="30"/>
      <c r="AD163" s="421"/>
      <c r="AE163" s="30"/>
      <c r="AF163" s="422">
        <v>2800</v>
      </c>
      <c r="AG163" s="422">
        <v>3.5</v>
      </c>
      <c r="AH163" s="1881">
        <v>10000</v>
      </c>
    </row>
    <row r="164" spans="1:34">
      <c r="A164" s="66"/>
      <c r="B164" s="497" t="str">
        <f>IF(Uebersetzung!$A$1=1,Bauteile!S164,Bauteile!AA164)</f>
        <v>Gravier</v>
      </c>
      <c r="C164" s="497"/>
      <c r="D164" s="497"/>
      <c r="E164" s="497"/>
      <c r="F164" s="497"/>
      <c r="G164" s="498">
        <f>IF(Uebersetzung!$A$1=1,Bauteile!X164,Bauteile!AF164)</f>
        <v>1900</v>
      </c>
      <c r="H164" s="498">
        <f>IF(Uebersetzung!$A$1=1,Bauteile!Y164,Bauteile!AG164)</f>
        <v>0.7</v>
      </c>
      <c r="I164" s="498">
        <f>IF(Uebersetzung!$A$1=1,Bauteile!Z164,Bauteile!AH164)</f>
        <v>1</v>
      </c>
      <c r="J164" s="27"/>
      <c r="K164" s="2554"/>
      <c r="L164" s="2555"/>
      <c r="M164" s="2555"/>
      <c r="N164" s="2555"/>
      <c r="O164" s="2555"/>
      <c r="P164" s="628"/>
      <c r="Q164" s="633"/>
      <c r="R164" s="344" t="s">
        <v>1190</v>
      </c>
      <c r="S164" s="1880" t="s">
        <v>616</v>
      </c>
      <c r="T164" s="1877"/>
      <c r="U164" s="1877"/>
      <c r="V164" s="1877"/>
      <c r="W164" s="1877"/>
      <c r="X164" s="546">
        <v>90</v>
      </c>
      <c r="Y164" s="63">
        <v>8.8999999999999996E-2</v>
      </c>
      <c r="Z164" s="1472">
        <v>4</v>
      </c>
      <c r="AA164" s="1878" t="s">
        <v>3738</v>
      </c>
      <c r="AB164" s="30"/>
      <c r="AC164" s="30"/>
      <c r="AD164" s="421"/>
      <c r="AE164" s="30"/>
      <c r="AF164" s="422">
        <v>1900</v>
      </c>
      <c r="AG164" s="422">
        <v>0.7</v>
      </c>
      <c r="AH164" s="1886">
        <v>1</v>
      </c>
    </row>
    <row r="165" spans="1:34">
      <c r="A165" s="66"/>
      <c r="B165" s="497" t="str">
        <f>IF(Uebersetzung!$A$1=1,Bauteile!S165,Bauteile!AA165)</f>
        <v>Grès</v>
      </c>
      <c r="C165" s="497"/>
      <c r="D165" s="497"/>
      <c r="E165" s="497"/>
      <c r="F165" s="497"/>
      <c r="G165" s="498">
        <f>IF(Uebersetzung!$A$1=1,Bauteile!X165,Bauteile!AF165)</f>
        <v>2600</v>
      </c>
      <c r="H165" s="498">
        <f>IF(Uebersetzung!$A$1=1,Bauteile!Y165,Bauteile!AG165)</f>
        <v>2.2999999999999998</v>
      </c>
      <c r="I165" s="498">
        <f>IF(Uebersetzung!$A$1=1,Bauteile!Z165,Bauteile!AH165)</f>
        <v>50</v>
      </c>
      <c r="J165" s="27"/>
      <c r="K165" s="2554"/>
      <c r="L165" s="2555"/>
      <c r="M165" s="2555"/>
      <c r="N165" s="2555"/>
      <c r="O165" s="2555"/>
      <c r="P165" s="628"/>
      <c r="Q165" s="633"/>
      <c r="R165" s="344" t="s">
        <v>1190</v>
      </c>
      <c r="S165" s="1893" t="s">
        <v>5631</v>
      </c>
      <c r="T165" s="1877"/>
      <c r="U165" s="1877"/>
      <c r="V165" s="1877"/>
      <c r="W165" s="1877"/>
      <c r="X165" s="546">
        <v>300</v>
      </c>
      <c r="Y165" s="63">
        <v>0.11</v>
      </c>
      <c r="Z165" s="1472">
        <v>5</v>
      </c>
      <c r="AA165" s="1878" t="s">
        <v>3739</v>
      </c>
      <c r="AB165" s="30"/>
      <c r="AC165" s="30"/>
      <c r="AD165" s="421"/>
      <c r="AE165" s="30"/>
      <c r="AF165" s="422">
        <v>2600</v>
      </c>
      <c r="AG165" s="422">
        <v>2.2999999999999998</v>
      </c>
      <c r="AH165" s="1886">
        <v>50</v>
      </c>
    </row>
    <row r="166" spans="1:34">
      <c r="A166" s="66"/>
      <c r="B166" s="497">
        <f>IF(Uebersetzung!$A$1=1,Bauteile!S166,Bauteile!AA166)</f>
        <v>0</v>
      </c>
      <c r="C166" s="497"/>
      <c r="D166" s="497"/>
      <c r="E166" s="497"/>
      <c r="F166" s="497"/>
      <c r="G166" s="498">
        <f>IF(Uebersetzung!$A$1=1,Bauteile!X166,Bauteile!AF166)</f>
        <v>0</v>
      </c>
      <c r="H166" s="498">
        <f>IF(Uebersetzung!$A$1=1,Bauteile!Y166,Bauteile!AG166)</f>
        <v>0</v>
      </c>
      <c r="I166" s="498">
        <f>IF(Uebersetzung!$A$1=1,Bauteile!Z166,Bauteile!AH166)</f>
        <v>0</v>
      </c>
      <c r="J166" s="27"/>
      <c r="K166" s="2550"/>
      <c r="L166" s="2551"/>
      <c r="M166" s="2551"/>
      <c r="N166" s="2551"/>
      <c r="O166" s="2551"/>
      <c r="P166" s="629"/>
      <c r="Q166" s="634"/>
      <c r="R166" s="412" t="s">
        <v>1190</v>
      </c>
      <c r="S166" s="1880" t="s">
        <v>1713</v>
      </c>
      <c r="T166" s="1877"/>
      <c r="U166" s="1877"/>
      <c r="V166" s="1877"/>
      <c r="W166" s="1877"/>
      <c r="X166" s="546">
        <v>300</v>
      </c>
      <c r="Y166" s="63">
        <v>8.8999999999999996E-2</v>
      </c>
      <c r="Z166" s="1472">
        <v>5</v>
      </c>
      <c r="AA166" s="1887"/>
      <c r="AB166" s="422"/>
      <c r="AC166" s="422"/>
      <c r="AD166" s="422"/>
      <c r="AE166" s="422"/>
      <c r="AF166" s="422"/>
      <c r="AG166" s="30"/>
      <c r="AH166" s="1888"/>
    </row>
    <row r="167" spans="1:34">
      <c r="A167" s="66"/>
      <c r="B167" s="497" t="str">
        <f>IF(Uebersetzung!$A$1=1,Bauteile!S167,Bauteile!AA167)</f>
        <v>Hêtre</v>
      </c>
      <c r="C167" s="497"/>
      <c r="D167" s="497"/>
      <c r="E167" s="497"/>
      <c r="F167" s="497"/>
      <c r="G167" s="498">
        <f>IF(Uebersetzung!$A$1=1,Bauteile!X167,Bauteile!AF167)</f>
        <v>725</v>
      </c>
      <c r="H167" s="498">
        <f>IF(Uebersetzung!$A$1=1,Bauteile!Y167,Bauteile!AG167)</f>
        <v>0.17</v>
      </c>
      <c r="I167" s="498">
        <f>IF(Uebersetzung!$A$1=1,Bauteile!Z167,Bauteile!AH167)</f>
        <v>30</v>
      </c>
      <c r="J167" s="27"/>
      <c r="K167" s="27"/>
      <c r="L167" s="27"/>
      <c r="M167" s="27"/>
      <c r="N167" s="27"/>
      <c r="P167" s="27"/>
      <c r="S167" s="1880" t="s">
        <v>1716</v>
      </c>
      <c r="T167" s="1877"/>
      <c r="U167" s="1877"/>
      <c r="V167" s="1877"/>
      <c r="W167" s="1877"/>
      <c r="X167" s="546">
        <v>90</v>
      </c>
      <c r="Y167" s="63">
        <v>0.15</v>
      </c>
      <c r="Z167" s="1475">
        <v>2</v>
      </c>
      <c r="AA167" s="1878" t="s">
        <v>3740</v>
      </c>
      <c r="AB167" s="30"/>
      <c r="AC167" s="30"/>
      <c r="AD167" s="421"/>
      <c r="AE167" s="30"/>
      <c r="AF167" s="422">
        <v>725</v>
      </c>
      <c r="AG167" s="422">
        <v>0.17</v>
      </c>
      <c r="AH167" s="1881">
        <v>30</v>
      </c>
    </row>
    <row r="168" spans="1:34">
      <c r="A168" s="66"/>
      <c r="B168" s="497">
        <f>IF(Uebersetzung!$A$1=1,Bauteile!S168,Bauteile!AA168)</f>
        <v>0</v>
      </c>
      <c r="C168" s="497"/>
      <c r="D168" s="497"/>
      <c r="E168" s="497"/>
      <c r="F168" s="497"/>
      <c r="G168" s="498">
        <f>IF(Uebersetzung!$A$1=1,Bauteile!X168,Bauteile!AF168)</f>
        <v>0</v>
      </c>
      <c r="H168" s="498">
        <f>IF(Uebersetzung!$A$1=1,Bauteile!Y168,Bauteile!AG168)</f>
        <v>0</v>
      </c>
      <c r="I168" s="498">
        <f>IF(Uebersetzung!$A$1=1,Bauteile!Z168,Bauteile!AH168)</f>
        <v>0</v>
      </c>
      <c r="J168" s="27"/>
      <c r="K168" s="27"/>
      <c r="L168" s="27"/>
      <c r="M168" s="27"/>
      <c r="N168" s="27"/>
      <c r="P168" s="27"/>
      <c r="S168" s="1880" t="s">
        <v>1714</v>
      </c>
      <c r="T168" s="1877"/>
      <c r="U168" s="1877"/>
      <c r="V168" s="1877"/>
      <c r="W168" s="1877"/>
      <c r="X168" s="546">
        <v>90</v>
      </c>
      <c r="Y168" s="63">
        <v>0.125</v>
      </c>
      <c r="Z168" s="1475">
        <v>2</v>
      </c>
      <c r="AA168" s="1878"/>
      <c r="AB168" s="30"/>
      <c r="AC168" s="30"/>
      <c r="AD168" s="421"/>
      <c r="AE168" s="30"/>
      <c r="AF168" s="422"/>
      <c r="AG168" s="422"/>
      <c r="AH168" s="1888"/>
    </row>
    <row r="169" spans="1:34">
      <c r="A169" s="66"/>
      <c r="B169" s="497" t="str">
        <f>IF(Uebersetzung!$A$1=1,Bauteile!S169,Bauteile!AA169)</f>
        <v>Joint en lés pour des toits en terrasses</v>
      </c>
      <c r="C169" s="497"/>
      <c r="D169" s="497"/>
      <c r="E169" s="497"/>
      <c r="F169" s="497"/>
      <c r="G169" s="498">
        <f>IF(Uebersetzung!$A$1=1,Bauteile!X169,Bauteile!AF169)</f>
        <v>2000</v>
      </c>
      <c r="H169" s="498">
        <f>IF(Uebersetzung!$A$1=1,Bauteile!Y169,Bauteile!AG169)</f>
        <v>1</v>
      </c>
      <c r="I169" s="498">
        <f>IF(Uebersetzung!$A$1=1,Bauteile!Z169,Bauteile!AH169)</f>
        <v>7692</v>
      </c>
      <c r="J169" s="27"/>
      <c r="K169" s="27"/>
      <c r="L169" s="27"/>
      <c r="M169" s="27"/>
      <c r="N169" s="27"/>
      <c r="P169" s="27"/>
      <c r="S169" s="1880" t="s">
        <v>1715</v>
      </c>
      <c r="T169" s="1877"/>
      <c r="U169" s="1877"/>
      <c r="V169" s="1877"/>
      <c r="W169" s="1877"/>
      <c r="X169" s="546">
        <v>90</v>
      </c>
      <c r="Y169" s="63">
        <v>0.1</v>
      </c>
      <c r="Z169" s="1475">
        <v>2</v>
      </c>
      <c r="AA169" s="1878" t="s">
        <v>3741</v>
      </c>
      <c r="AB169" s="30"/>
      <c r="AC169" s="30"/>
      <c r="AD169" s="421"/>
      <c r="AE169" s="30"/>
      <c r="AF169" s="422">
        <v>2000</v>
      </c>
      <c r="AG169" s="422">
        <v>1</v>
      </c>
      <c r="AH169" s="1881">
        <v>7692</v>
      </c>
    </row>
    <row r="170" spans="1:34">
      <c r="A170" s="66"/>
      <c r="B170" s="497">
        <f>IF(Uebersetzung!$A$1=1,Bauteile!S170,Bauteile!AA170)</f>
        <v>0</v>
      </c>
      <c r="C170" s="497"/>
      <c r="D170" s="497"/>
      <c r="E170" s="497"/>
      <c r="F170" s="497"/>
      <c r="G170" s="498">
        <f>IF(Uebersetzung!$A$1=1,Bauteile!X170,Bauteile!AF170)</f>
        <v>0</v>
      </c>
      <c r="H170" s="498">
        <f>IF(Uebersetzung!$A$1=1,Bauteile!Y170,Bauteile!AG170)</f>
        <v>0</v>
      </c>
      <c r="I170" s="498">
        <f>IF(Uebersetzung!$A$1=1,Bauteile!Z170,Bauteile!AH170)</f>
        <v>0</v>
      </c>
      <c r="J170" s="27"/>
      <c r="K170" s="27"/>
      <c r="L170" s="27"/>
      <c r="M170" s="27"/>
      <c r="N170" s="27"/>
      <c r="P170" s="27"/>
      <c r="S170" s="1879"/>
      <c r="T170" s="546"/>
      <c r="U170" s="546"/>
      <c r="V170" s="546"/>
      <c r="W170" s="546"/>
      <c r="X170" s="546"/>
      <c r="Y170" s="30"/>
      <c r="Z170" s="1885"/>
      <c r="AA170" s="1878"/>
      <c r="AB170" s="30"/>
      <c r="AC170" s="30"/>
      <c r="AD170" s="421"/>
      <c r="AE170" s="30"/>
      <c r="AF170" s="422"/>
      <c r="AG170" s="422"/>
      <c r="AH170" s="1888"/>
    </row>
    <row r="171" spans="1:34">
      <c r="A171" s="66"/>
      <c r="B171" s="497" t="str">
        <f>IF(Uebersetzung!$A$1=1,Bauteile!S171,Bauteile!AA171)</f>
        <v>Kalkanhydrit-Putzmörtel m=10</v>
      </c>
      <c r="C171" s="497"/>
      <c r="D171" s="497"/>
      <c r="E171" s="497"/>
      <c r="F171" s="497"/>
      <c r="G171" s="498">
        <f>IF(Uebersetzung!$A$1=1,Bauteile!X171,Bauteile!AF171)</f>
        <v>1400</v>
      </c>
      <c r="H171" s="498">
        <f>IF(Uebersetzung!$A$1=1,Bauteile!Y171,Bauteile!AG171)</f>
        <v>0.7</v>
      </c>
      <c r="I171" s="498">
        <f>IF(Uebersetzung!$A$1=1,Bauteile!Z171,Bauteile!AH171)</f>
        <v>10</v>
      </c>
      <c r="J171" s="27"/>
      <c r="K171" s="27"/>
      <c r="L171" s="27"/>
      <c r="M171" s="27"/>
      <c r="N171" s="27"/>
      <c r="P171" s="27"/>
      <c r="S171" s="1878" t="s">
        <v>1929</v>
      </c>
      <c r="T171" s="30"/>
      <c r="U171" s="30"/>
      <c r="V171" s="545"/>
      <c r="W171" s="30"/>
      <c r="X171" s="546">
        <v>1400</v>
      </c>
      <c r="Y171" s="546">
        <v>0.7</v>
      </c>
      <c r="Z171" s="1474">
        <v>8</v>
      </c>
      <c r="AA171" s="1878" t="s">
        <v>3742</v>
      </c>
      <c r="AB171" s="30"/>
      <c r="AC171" s="30"/>
      <c r="AD171" s="421"/>
      <c r="AE171" s="30"/>
      <c r="AF171" s="422">
        <v>1400</v>
      </c>
      <c r="AG171" s="422">
        <v>0.7</v>
      </c>
      <c r="AH171" s="1881">
        <v>10</v>
      </c>
    </row>
    <row r="172" spans="1:34">
      <c r="A172" s="66"/>
      <c r="B172" s="497" t="str">
        <f>IF(Uebersetzung!$A$1=1,Bauteile!S172,Bauteile!AA172)</f>
        <v>Kalkgips-Putzmörtel m=10</v>
      </c>
      <c r="C172" s="497"/>
      <c r="D172" s="497"/>
      <c r="E172" s="497"/>
      <c r="F172" s="497"/>
      <c r="G172" s="498">
        <f>IF(Uebersetzung!$A$1=1,Bauteile!X172,Bauteile!AF172)</f>
        <v>1400</v>
      </c>
      <c r="H172" s="498">
        <f>IF(Uebersetzung!$A$1=1,Bauteile!Y172,Bauteile!AG172)</f>
        <v>0.7</v>
      </c>
      <c r="I172" s="498">
        <f>IF(Uebersetzung!$A$1=1,Bauteile!Z172,Bauteile!AH172)</f>
        <v>10</v>
      </c>
      <c r="J172" s="27"/>
      <c r="K172" s="27"/>
      <c r="L172" s="27"/>
      <c r="M172" s="27"/>
      <c r="N172" s="27"/>
      <c r="P172" s="27"/>
      <c r="S172" s="1878" t="s">
        <v>1288</v>
      </c>
      <c r="T172" s="30"/>
      <c r="U172" s="30"/>
      <c r="V172" s="545"/>
      <c r="W172" s="30"/>
      <c r="X172" s="546">
        <v>1200</v>
      </c>
      <c r="Y172" s="546">
        <v>0.47</v>
      </c>
      <c r="Z172" s="1472">
        <v>5</v>
      </c>
      <c r="AA172" s="1878" t="s">
        <v>3743</v>
      </c>
      <c r="AB172" s="30"/>
      <c r="AC172" s="30"/>
      <c r="AD172" s="421"/>
      <c r="AE172" s="30"/>
      <c r="AF172" s="422">
        <v>1400</v>
      </c>
      <c r="AG172" s="422">
        <v>0.7</v>
      </c>
      <c r="AH172" s="1886">
        <v>10</v>
      </c>
    </row>
    <row r="173" spans="1:34">
      <c r="A173" s="66"/>
      <c r="B173" s="497" t="str">
        <f>IF(Uebersetzung!$A$1=1,Bauteile!S173,Bauteile!AA173)</f>
        <v>Kalkzement-Putzmörtel m=15</v>
      </c>
      <c r="C173" s="497"/>
      <c r="D173" s="497"/>
      <c r="E173" s="497"/>
      <c r="F173" s="497"/>
      <c r="G173" s="498">
        <f>IF(Uebersetzung!$A$1=1,Bauteile!X173,Bauteile!AF173)</f>
        <v>1800</v>
      </c>
      <c r="H173" s="498">
        <f>IF(Uebersetzung!$A$1=1,Bauteile!Y173,Bauteile!AG173)</f>
        <v>0.87</v>
      </c>
      <c r="I173" s="498">
        <f>IF(Uebersetzung!$A$1=1,Bauteile!Z173,Bauteile!AH173)</f>
        <v>15</v>
      </c>
      <c r="J173" s="27"/>
      <c r="K173" s="27"/>
      <c r="L173" s="27"/>
      <c r="M173" s="27"/>
      <c r="N173" s="27"/>
      <c r="P173" s="27"/>
      <c r="S173" s="1878" t="s">
        <v>1305</v>
      </c>
      <c r="T173" s="30"/>
      <c r="U173" s="30"/>
      <c r="V173" s="545"/>
      <c r="W173" s="30"/>
      <c r="X173" s="546">
        <v>700</v>
      </c>
      <c r="Y173" s="546">
        <v>0.12</v>
      </c>
      <c r="Z173" s="1472">
        <v>7</v>
      </c>
      <c r="AA173" s="1878" t="s">
        <v>1935</v>
      </c>
      <c r="AB173" s="30"/>
      <c r="AC173" s="30"/>
      <c r="AD173" s="421"/>
      <c r="AE173" s="30"/>
      <c r="AF173" s="422">
        <v>1800</v>
      </c>
      <c r="AG173" s="422">
        <v>0.87</v>
      </c>
      <c r="AH173" s="1886">
        <v>15</v>
      </c>
    </row>
    <row r="174" spans="1:34">
      <c r="A174" s="66"/>
      <c r="B174" s="497" t="str">
        <f>IF(Uebersetzung!$A$1=1,Bauteile!S174,Bauteile!AA174)</f>
        <v>Kalkzement-Putzmörtel m=35</v>
      </c>
      <c r="C174" s="497"/>
      <c r="D174" s="497"/>
      <c r="E174" s="497"/>
      <c r="F174" s="497"/>
      <c r="G174" s="498">
        <f>IF(Uebersetzung!$A$1=1,Bauteile!X174,Bauteile!AF174)</f>
        <v>1800</v>
      </c>
      <c r="H174" s="498">
        <f>IF(Uebersetzung!$A$1=1,Bauteile!Y174,Bauteile!AG174)</f>
        <v>0.87</v>
      </c>
      <c r="I174" s="498">
        <f>IF(Uebersetzung!$A$1=1,Bauteile!Z174,Bauteile!AH174)</f>
        <v>35</v>
      </c>
      <c r="J174" s="27"/>
      <c r="K174" s="27"/>
      <c r="L174" s="27"/>
      <c r="M174" s="27"/>
      <c r="N174" s="27"/>
      <c r="P174" s="27"/>
      <c r="S174" s="1879"/>
      <c r="T174" s="546"/>
      <c r="U174" s="546"/>
      <c r="V174" s="546"/>
      <c r="W174" s="546"/>
      <c r="X174" s="546"/>
      <c r="Y174" s="30"/>
      <c r="Z174" s="1885"/>
      <c r="AA174" s="1878" t="s">
        <v>1936</v>
      </c>
      <c r="AB174" s="30"/>
      <c r="AC174" s="30"/>
      <c r="AD174" s="421"/>
      <c r="AE174" s="30"/>
      <c r="AF174" s="422">
        <v>1800</v>
      </c>
      <c r="AG174" s="422">
        <v>0.87</v>
      </c>
      <c r="AH174" s="1886">
        <v>35</v>
      </c>
    </row>
    <row r="175" spans="1:34">
      <c r="A175" s="66"/>
      <c r="B175" s="497" t="str">
        <f>IF(Uebersetzung!$A$1=1,Bauteile!S175,Bauteile!AA175)</f>
        <v>Kellenwurf</v>
      </c>
      <c r="C175" s="497"/>
      <c r="D175" s="497"/>
      <c r="E175" s="497"/>
      <c r="F175" s="497"/>
      <c r="G175" s="498">
        <f>IF(Uebersetzung!$A$1=1,Bauteile!X175,Bauteile!AF175)</f>
        <v>1200</v>
      </c>
      <c r="H175" s="498">
        <f>IF(Uebersetzung!$A$1=1,Bauteile!Y175,Bauteile!AG175)</f>
        <v>0.8</v>
      </c>
      <c r="I175" s="498">
        <f>IF(Uebersetzung!$A$1=1,Bauteile!Z175,Bauteile!AH175)</f>
        <v>10</v>
      </c>
      <c r="J175" s="27"/>
      <c r="K175" s="27"/>
      <c r="L175" s="27"/>
      <c r="M175" s="27"/>
      <c r="N175" s="27"/>
      <c r="P175" s="27"/>
      <c r="S175" s="1884" t="s">
        <v>1930</v>
      </c>
      <c r="T175" s="546"/>
      <c r="U175" s="546"/>
      <c r="V175" s="546"/>
      <c r="W175" s="546"/>
      <c r="X175" s="546">
        <v>1400</v>
      </c>
      <c r="Y175" s="63">
        <v>0.7</v>
      </c>
      <c r="Z175" s="1474">
        <v>10</v>
      </c>
      <c r="AA175" s="1878" t="s">
        <v>144</v>
      </c>
      <c r="AB175" s="30"/>
      <c r="AC175" s="30"/>
      <c r="AD175" s="421"/>
      <c r="AE175" s="30"/>
      <c r="AF175" s="422">
        <v>1200</v>
      </c>
      <c r="AG175" s="422">
        <v>0.8</v>
      </c>
      <c r="AH175" s="1886">
        <v>10</v>
      </c>
    </row>
    <row r="176" spans="1:34">
      <c r="A176" s="66"/>
      <c r="B176" s="497">
        <f>IF(Uebersetzung!$A$1=1,Bauteile!S176,Bauteile!AA176)</f>
        <v>0</v>
      </c>
      <c r="C176" s="497"/>
      <c r="D176" s="497"/>
      <c r="E176" s="497"/>
      <c r="F176" s="497"/>
      <c r="G176" s="498">
        <f>IF(Uebersetzung!$A$1=1,Bauteile!X176,Bauteile!AF176)</f>
        <v>0</v>
      </c>
      <c r="H176" s="498">
        <f>IF(Uebersetzung!$A$1=1,Bauteile!Y176,Bauteile!AG176)</f>
        <v>0</v>
      </c>
      <c r="I176" s="498">
        <f>IF(Uebersetzung!$A$1=1,Bauteile!Z176,Bauteile!AH176)</f>
        <v>0</v>
      </c>
      <c r="J176" s="27"/>
      <c r="K176" s="27"/>
      <c r="L176" s="27"/>
      <c r="M176" s="27"/>
      <c r="N176" s="27"/>
      <c r="P176" s="27"/>
      <c r="S176" s="1884" t="s">
        <v>1931</v>
      </c>
      <c r="T176" s="546"/>
      <c r="U176" s="546"/>
      <c r="V176" s="546"/>
      <c r="W176" s="546"/>
      <c r="X176" s="546">
        <v>1400</v>
      </c>
      <c r="Y176" s="63">
        <v>0.7</v>
      </c>
      <c r="Z176" s="1474">
        <v>10</v>
      </c>
      <c r="AA176" s="1887"/>
      <c r="AB176" s="422"/>
      <c r="AC176" s="422"/>
      <c r="AD176" s="422"/>
      <c r="AE176" s="422"/>
      <c r="AF176" s="422"/>
      <c r="AG176" s="30"/>
      <c r="AH176" s="1888"/>
    </row>
    <row r="177" spans="1:34">
      <c r="A177" s="66"/>
      <c r="B177" s="497" t="str">
        <f>IF(Uebersetzung!$A$1=1,Bauteile!S177,Bauteile!AA177)</f>
        <v>Laine de bois, couverture 10mm (N), l. 0.10</v>
      </c>
      <c r="C177" s="497"/>
      <c r="D177" s="497"/>
      <c r="E177" s="497"/>
      <c r="F177" s="497"/>
      <c r="G177" s="498">
        <f>IF(Uebersetzung!$A$1=1,Bauteile!X177,Bauteile!AF177)</f>
        <v>65</v>
      </c>
      <c r="H177" s="498">
        <f>IF(Uebersetzung!$A$1=1,Bauteile!Y177,Bauteile!AG177)</f>
        <v>0.1</v>
      </c>
      <c r="I177" s="498">
        <f>IF(Uebersetzung!$A$1=1,Bauteile!Z177,Bauteile!AH177)</f>
        <v>1.5</v>
      </c>
      <c r="J177" s="27"/>
      <c r="K177" s="27"/>
      <c r="L177" s="27"/>
      <c r="M177" s="27"/>
      <c r="N177" s="27"/>
      <c r="P177" s="27"/>
      <c r="S177" s="1884" t="s">
        <v>1932</v>
      </c>
      <c r="T177" s="546"/>
      <c r="U177" s="546"/>
      <c r="V177" s="546"/>
      <c r="W177" s="546"/>
      <c r="X177" s="546">
        <v>1300</v>
      </c>
      <c r="Y177" s="63">
        <v>0.8</v>
      </c>
      <c r="Z177" s="1474">
        <v>10</v>
      </c>
      <c r="AA177" s="1893" t="s">
        <v>3744</v>
      </c>
      <c r="AB177" s="1894"/>
      <c r="AC177" s="1894"/>
      <c r="AD177" s="1894"/>
      <c r="AE177" s="1894"/>
      <c r="AF177" s="422">
        <v>65</v>
      </c>
      <c r="AG177" s="63">
        <v>0.1</v>
      </c>
      <c r="AH177" s="1892">
        <v>1.5</v>
      </c>
    </row>
    <row r="178" spans="1:34">
      <c r="A178" s="66"/>
      <c r="B178" s="497" t="str">
        <f>IF(Uebersetzung!$A$1=1,Bauteile!S178,Bauteile!AA178)</f>
        <v>Laine de bois, couverture 5mm (N), l. 0.15</v>
      </c>
      <c r="C178" s="497"/>
      <c r="D178" s="497"/>
      <c r="E178" s="497"/>
      <c r="F178" s="497"/>
      <c r="G178" s="498">
        <f>IF(Uebersetzung!$A$1=1,Bauteile!X178,Bauteile!AF178)</f>
        <v>65</v>
      </c>
      <c r="H178" s="498">
        <f>IF(Uebersetzung!$A$1=1,Bauteile!Y178,Bauteile!AG178)</f>
        <v>0.15</v>
      </c>
      <c r="I178" s="498">
        <f>IF(Uebersetzung!$A$1=1,Bauteile!Z178,Bauteile!AH178)</f>
        <v>1.5</v>
      </c>
      <c r="J178" s="27"/>
      <c r="K178" s="27"/>
      <c r="L178" s="27"/>
      <c r="M178" s="27"/>
      <c r="N178" s="27"/>
      <c r="P178" s="27"/>
      <c r="S178" s="1878" t="s">
        <v>1307</v>
      </c>
      <c r="T178" s="30"/>
      <c r="U178" s="30"/>
      <c r="V178" s="545"/>
      <c r="W178" s="30"/>
      <c r="X178" s="546">
        <v>1800</v>
      </c>
      <c r="Y178" s="546">
        <v>0.87</v>
      </c>
      <c r="Z178" s="1474">
        <v>25</v>
      </c>
      <c r="AA178" s="1893" t="s">
        <v>3745</v>
      </c>
      <c r="AB178" s="1894"/>
      <c r="AC178" s="1894"/>
      <c r="AD178" s="1894"/>
      <c r="AE178" s="1894"/>
      <c r="AF178" s="422">
        <v>65</v>
      </c>
      <c r="AG178" s="63">
        <v>0.15</v>
      </c>
      <c r="AH178" s="1895">
        <v>1.5</v>
      </c>
    </row>
    <row r="179" spans="1:34">
      <c r="A179" s="66"/>
      <c r="B179" s="497" t="str">
        <f>IF(Uebersetzung!$A$1=1,Bauteile!S179,Bauteile!AA179)</f>
        <v>Laine de bois, couverture 7.5mm (N), l. 0.125</v>
      </c>
      <c r="C179" s="497"/>
      <c r="D179" s="497"/>
      <c r="E179" s="497"/>
      <c r="F179" s="497"/>
      <c r="G179" s="498">
        <f>IF(Uebersetzung!$A$1=1,Bauteile!X179,Bauteile!AF179)</f>
        <v>65</v>
      </c>
      <c r="H179" s="498">
        <f>IF(Uebersetzung!$A$1=1,Bauteile!Y179,Bauteile!AG179)</f>
        <v>0.125</v>
      </c>
      <c r="I179" s="498">
        <f>IF(Uebersetzung!$A$1=1,Bauteile!Z179,Bauteile!AH179)</f>
        <v>1.5</v>
      </c>
      <c r="J179" s="27"/>
      <c r="K179" s="27"/>
      <c r="L179" s="27"/>
      <c r="M179" s="27"/>
      <c r="N179" s="27"/>
      <c r="P179" s="27"/>
      <c r="S179" s="1878" t="s">
        <v>1933</v>
      </c>
      <c r="T179" s="30"/>
      <c r="U179" s="30"/>
      <c r="V179" s="545"/>
      <c r="W179" s="30"/>
      <c r="X179" s="546">
        <v>1800</v>
      </c>
      <c r="Y179" s="546">
        <v>0.87</v>
      </c>
      <c r="Z179" s="1474">
        <v>15</v>
      </c>
      <c r="AA179" s="1893" t="s">
        <v>3746</v>
      </c>
      <c r="AB179" s="1894"/>
      <c r="AC179" s="1894"/>
      <c r="AD179" s="1894"/>
      <c r="AE179" s="1894"/>
      <c r="AF179" s="422">
        <v>65</v>
      </c>
      <c r="AG179" s="63">
        <v>0.125</v>
      </c>
      <c r="AH179" s="1895">
        <v>1.5</v>
      </c>
    </row>
    <row r="180" spans="1:34">
      <c r="A180" s="66"/>
      <c r="B180" s="497" t="str">
        <f>IF(Uebersetzung!$A$1=1,Bauteile!S180,Bauteile!AA180)</f>
        <v>Laine de brebis (N)</v>
      </c>
      <c r="C180" s="497"/>
      <c r="D180" s="497"/>
      <c r="E180" s="497"/>
      <c r="F180" s="497"/>
      <c r="G180" s="498">
        <f>IF(Uebersetzung!$A$1=1,Bauteile!X180,Bauteile!AF180)</f>
        <v>40</v>
      </c>
      <c r="H180" s="498">
        <f>IF(Uebersetzung!$A$1=1,Bauteile!Y180,Bauteile!AG180)</f>
        <v>5.5E-2</v>
      </c>
      <c r="I180" s="498">
        <f>IF(Uebersetzung!$A$1=1,Bauteile!Z180,Bauteile!AH180)</f>
        <v>1.5</v>
      </c>
      <c r="J180" s="27"/>
      <c r="K180" s="27"/>
      <c r="L180" s="27"/>
      <c r="M180" s="27"/>
      <c r="N180" s="27"/>
      <c r="P180" s="27"/>
      <c r="S180" s="1878" t="s">
        <v>1934</v>
      </c>
      <c r="T180" s="30"/>
      <c r="U180" s="30"/>
      <c r="V180" s="545"/>
      <c r="W180" s="30"/>
      <c r="X180" s="546">
        <v>1800</v>
      </c>
      <c r="Y180" s="546">
        <v>0.87</v>
      </c>
      <c r="Z180" s="1474">
        <v>35</v>
      </c>
      <c r="AA180" s="1893" t="s">
        <v>3747</v>
      </c>
      <c r="AB180" s="1894"/>
      <c r="AC180" s="1894"/>
      <c r="AD180" s="1894"/>
      <c r="AE180" s="1894"/>
      <c r="AF180" s="422">
        <v>40</v>
      </c>
      <c r="AG180" s="63">
        <v>5.5E-2</v>
      </c>
      <c r="AH180" s="1895">
        <v>1.5</v>
      </c>
    </row>
    <row r="181" spans="1:34">
      <c r="A181" s="66"/>
      <c r="B181" s="497" t="str">
        <f>IF(Uebersetzung!$A$1=1,Bauteile!S181,Bauteile!AA181)</f>
        <v>Laine de pierre, en vrac (N)</v>
      </c>
      <c r="C181" s="497"/>
      <c r="D181" s="497"/>
      <c r="E181" s="497"/>
      <c r="F181" s="497"/>
      <c r="G181" s="498">
        <f>IF(Uebersetzung!$A$1=1,Bauteile!X181,Bauteile!AF181)</f>
        <v>65</v>
      </c>
      <c r="H181" s="498">
        <f>IF(Uebersetzung!$A$1=1,Bauteile!Y181,Bauteile!AG181)</f>
        <v>0.06</v>
      </c>
      <c r="I181" s="498">
        <f>IF(Uebersetzung!$A$1=1,Bauteile!Z181,Bauteile!AH181)</f>
        <v>1.5</v>
      </c>
      <c r="J181" s="27"/>
      <c r="K181" s="27"/>
      <c r="L181" s="27"/>
      <c r="M181" s="27"/>
      <c r="N181" s="27"/>
      <c r="P181" s="27"/>
      <c r="S181" s="1878" t="s">
        <v>617</v>
      </c>
      <c r="T181" s="30"/>
      <c r="U181" s="30"/>
      <c r="V181" s="545"/>
      <c r="W181" s="30"/>
      <c r="X181" s="546">
        <v>1600</v>
      </c>
      <c r="Y181" s="546">
        <v>0.85</v>
      </c>
      <c r="Z181" s="1472">
        <v>30</v>
      </c>
      <c r="AA181" s="1878" t="s">
        <v>3748</v>
      </c>
      <c r="AB181" s="30"/>
      <c r="AC181" s="30"/>
      <c r="AD181" s="421"/>
      <c r="AE181" s="30"/>
      <c r="AF181" s="422">
        <v>65</v>
      </c>
      <c r="AG181" s="422">
        <v>0.06</v>
      </c>
      <c r="AH181" s="1895">
        <v>1.5</v>
      </c>
    </row>
    <row r="182" spans="1:34">
      <c r="A182" s="66"/>
      <c r="B182" s="497" t="str">
        <f>IF(Uebersetzung!$A$1=1,Bauteile!S182,Bauteile!AA182)</f>
        <v>Laine de pierre, panneaux, matelas (N)</v>
      </c>
      <c r="C182" s="497"/>
      <c r="D182" s="497"/>
      <c r="E182" s="497"/>
      <c r="F182" s="497"/>
      <c r="G182" s="498">
        <f>IF(Uebersetzung!$A$1=1,Bauteile!X182,Bauteile!AF182)</f>
        <v>65</v>
      </c>
      <c r="H182" s="498">
        <f>IF(Uebersetzung!$A$1=1,Bauteile!Y182,Bauteile!AG182)</f>
        <v>0.05</v>
      </c>
      <c r="I182" s="498">
        <f>IF(Uebersetzung!$A$1=1,Bauteile!Z182,Bauteile!AH182)</f>
        <v>2</v>
      </c>
      <c r="J182" s="27"/>
      <c r="K182" s="27" t="s">
        <v>330</v>
      </c>
      <c r="L182" s="27"/>
      <c r="M182" s="27"/>
      <c r="N182" s="27"/>
      <c r="P182" s="27"/>
      <c r="S182" s="1878" t="s">
        <v>618</v>
      </c>
      <c r="T182" s="30"/>
      <c r="U182" s="30"/>
      <c r="V182" s="545"/>
      <c r="W182" s="30"/>
      <c r="X182" s="546">
        <v>1800</v>
      </c>
      <c r="Y182" s="546">
        <v>1.1000000000000001</v>
      </c>
      <c r="Z182" s="1472">
        <v>40</v>
      </c>
      <c r="AA182" s="1878" t="s">
        <v>3749</v>
      </c>
      <c r="AB182" s="30"/>
      <c r="AC182" s="30"/>
      <c r="AD182" s="421"/>
      <c r="AE182" s="30"/>
      <c r="AF182" s="422">
        <v>65</v>
      </c>
      <c r="AG182" s="422">
        <v>0.05</v>
      </c>
      <c r="AH182" s="1886">
        <v>2</v>
      </c>
    </row>
    <row r="183" spans="1:34">
      <c r="A183" s="66"/>
      <c r="B183" s="497" t="str">
        <f>IF(Uebersetzung!$A$1=1,Bauteile!S183,Bauteile!AA183)</f>
        <v>Laine de pierre, panneaux, matelas (U)</v>
      </c>
      <c r="C183" s="497"/>
      <c r="D183" s="497"/>
      <c r="E183" s="497"/>
      <c r="F183" s="497"/>
      <c r="G183" s="498">
        <f>IF(Uebersetzung!$A$1=1,Bauteile!X183,Bauteile!AF183)</f>
        <v>65</v>
      </c>
      <c r="H183" s="498">
        <f>IF(Uebersetzung!$A$1=1,Bauteile!Y183,Bauteile!AG183)</f>
        <v>4.8000000000000001E-2</v>
      </c>
      <c r="I183" s="498">
        <f>IF(Uebersetzung!$A$1=1,Bauteile!Z183,Bauteile!AH183)</f>
        <v>2</v>
      </c>
      <c r="J183" s="27"/>
      <c r="K183" s="30"/>
      <c r="L183" s="30"/>
      <c r="M183" s="30"/>
      <c r="N183" s="30"/>
      <c r="O183" s="30"/>
      <c r="P183" s="30"/>
      <c r="Q183" s="30"/>
      <c r="S183" s="1878" t="s">
        <v>619</v>
      </c>
      <c r="T183" s="30"/>
      <c r="U183" s="30"/>
      <c r="V183" s="545"/>
      <c r="W183" s="30"/>
      <c r="X183" s="546">
        <v>2000</v>
      </c>
      <c r="Y183" s="546">
        <v>1.4</v>
      </c>
      <c r="Z183" s="1472">
        <v>50</v>
      </c>
      <c r="AA183" s="1878" t="s">
        <v>3750</v>
      </c>
      <c r="AB183" s="30"/>
      <c r="AC183" s="30"/>
      <c r="AD183" s="421"/>
      <c r="AE183" s="30"/>
      <c r="AF183" s="422">
        <v>65</v>
      </c>
      <c r="AG183" s="422">
        <v>4.8000000000000001E-2</v>
      </c>
      <c r="AH183" s="1886">
        <v>2</v>
      </c>
    </row>
    <row r="184" spans="1:34">
      <c r="A184" s="66"/>
      <c r="B184" s="497" t="str">
        <f>IF(Uebersetzung!$A$1=1,Bauteile!S184,Bauteile!AA184)</f>
        <v>Laine de roche, en vrac (N)</v>
      </c>
      <c r="C184" s="497"/>
      <c r="D184" s="497"/>
      <c r="E184" s="497"/>
      <c r="F184" s="497"/>
      <c r="G184" s="498">
        <f>IF(Uebersetzung!$A$1=1,Bauteile!X184,Bauteile!AF184)</f>
        <v>60</v>
      </c>
      <c r="H184" s="498">
        <f>IF(Uebersetzung!$A$1=1,Bauteile!Y184,Bauteile!AG184)</f>
        <v>0.05</v>
      </c>
      <c r="I184" s="498">
        <f>IF(Uebersetzung!$A$1=1,Bauteile!Z184,Bauteile!AH184)</f>
        <v>2</v>
      </c>
      <c r="J184" s="27"/>
      <c r="K184" s="550"/>
      <c r="L184" s="550"/>
      <c r="M184" s="550"/>
      <c r="N184" s="550"/>
      <c r="O184" s="31"/>
      <c r="P184" s="629"/>
      <c r="Q184" s="31"/>
      <c r="R184" s="31"/>
      <c r="S184" s="1878" t="s">
        <v>620</v>
      </c>
      <c r="T184" s="30"/>
      <c r="U184" s="30"/>
      <c r="V184" s="545"/>
      <c r="W184" s="30"/>
      <c r="X184" s="546">
        <v>2200</v>
      </c>
      <c r="Y184" s="546">
        <v>1.7</v>
      </c>
      <c r="Z184" s="1472">
        <v>200</v>
      </c>
      <c r="AA184" s="1878" t="s">
        <v>3751</v>
      </c>
      <c r="AB184" s="30"/>
      <c r="AC184" s="30"/>
      <c r="AD184" s="421"/>
      <c r="AE184" s="30"/>
      <c r="AF184" s="422">
        <v>60</v>
      </c>
      <c r="AG184" s="422">
        <v>0.05</v>
      </c>
      <c r="AH184" s="1886">
        <v>2</v>
      </c>
    </row>
    <row r="185" spans="1:34" ht="38.25">
      <c r="A185" s="66"/>
      <c r="B185" s="497" t="str">
        <f>IF(Uebersetzung!$A$1=1,Bauteile!S185,Bauteile!AA185)</f>
        <v>Laine de roche, panneaux, matelas, rouleaux (N)</v>
      </c>
      <c r="C185" s="497"/>
      <c r="D185" s="497"/>
      <c r="E185" s="497"/>
      <c r="F185" s="497"/>
      <c r="G185" s="498">
        <f>IF(Uebersetzung!$A$1=1,Bauteile!X185,Bauteile!AF185)</f>
        <v>60</v>
      </c>
      <c r="H185" s="498">
        <f>IF(Uebersetzung!$A$1=1,Bauteile!Y185,Bauteile!AG185)</f>
        <v>5.5E-2</v>
      </c>
      <c r="I185" s="498">
        <f>IF(Uebersetzung!$A$1=1,Bauteile!Z185,Bauteile!AH185)</f>
        <v>2</v>
      </c>
      <c r="J185" s="27"/>
      <c r="K185" s="1905" t="str">
        <f>Uebersetzung!D586</f>
        <v>Band de rive horizontale</v>
      </c>
      <c r="L185" s="122"/>
      <c r="M185" s="402"/>
      <c r="N185" s="122"/>
      <c r="O185" s="122"/>
      <c r="P185" s="1906" t="str">
        <f>Uebersetzung!D587</f>
        <v>Largeur m</v>
      </c>
      <c r="Q185" s="1906" t="str">
        <f>Uebersetzung!D588</f>
        <v>Grosseur 
m</v>
      </c>
      <c r="R185" s="1302" t="str">
        <f>Uebersetzung!D589</f>
        <v>l
W/mK</v>
      </c>
      <c r="S185" s="1878" t="s">
        <v>27</v>
      </c>
      <c r="T185" s="30"/>
      <c r="U185" s="30"/>
      <c r="V185" s="545"/>
      <c r="W185" s="30"/>
      <c r="X185" s="546">
        <v>1200</v>
      </c>
      <c r="Y185" s="546">
        <v>0.8</v>
      </c>
      <c r="Z185" s="1472">
        <v>10</v>
      </c>
      <c r="AA185" s="1878" t="s">
        <v>3752</v>
      </c>
      <c r="AB185" s="30"/>
      <c r="AC185" s="30"/>
      <c r="AD185" s="421"/>
      <c r="AE185" s="30"/>
      <c r="AF185" s="422">
        <v>60</v>
      </c>
      <c r="AG185" s="422">
        <v>5.5E-2</v>
      </c>
      <c r="AH185" s="1886">
        <v>2</v>
      </c>
    </row>
    <row r="186" spans="1:34">
      <c r="A186" s="66"/>
      <c r="B186" s="497" t="str">
        <f>IF(Uebersetzung!$A$1=1,Bauteile!S186,Bauteile!AA186)</f>
        <v>Laine de roche, panneaux, matelas, rouleaux (U)</v>
      </c>
      <c r="C186" s="497"/>
      <c r="D186" s="497"/>
      <c r="E186" s="497"/>
      <c r="F186" s="497"/>
      <c r="G186" s="498">
        <f>IF(Uebersetzung!$A$1=1,Bauteile!X186,Bauteile!AF186)</f>
        <v>60</v>
      </c>
      <c r="H186" s="498">
        <f>IF(Uebersetzung!$A$1=1,Bauteile!Y186,Bauteile!AG186)</f>
        <v>4.4999999999999998E-2</v>
      </c>
      <c r="I186" s="498">
        <f>IF(Uebersetzung!$A$1=1,Bauteile!Z186,Bauteile!AH186)</f>
        <v>2</v>
      </c>
      <c r="J186" s="27"/>
      <c r="K186" s="118" t="str">
        <f>Uebersetzung!D227</f>
        <v>Pas de bandes de rive horizontale</v>
      </c>
      <c r="L186" s="30"/>
      <c r="M186" s="30">
        <v>0</v>
      </c>
      <c r="N186" s="30">
        <v>0</v>
      </c>
      <c r="O186" s="30"/>
      <c r="P186" s="30">
        <v>0</v>
      </c>
      <c r="Q186" s="30"/>
      <c r="R186" s="62"/>
      <c r="S186" s="1878" t="s">
        <v>1310</v>
      </c>
      <c r="T186" s="30"/>
      <c r="U186" s="30"/>
      <c r="V186" s="545"/>
      <c r="W186" s="30"/>
      <c r="X186" s="546">
        <v>1900</v>
      </c>
      <c r="Y186" s="546">
        <v>1</v>
      </c>
      <c r="Z186" s="1472">
        <v>25</v>
      </c>
      <c r="AA186" s="1878" t="s">
        <v>3753</v>
      </c>
      <c r="AB186" s="30"/>
      <c r="AC186" s="30"/>
      <c r="AD186" s="421"/>
      <c r="AE186" s="30"/>
      <c r="AF186" s="422">
        <v>60</v>
      </c>
      <c r="AG186" s="422">
        <v>4.4999999999999998E-2</v>
      </c>
      <c r="AH186" s="1886">
        <v>2</v>
      </c>
    </row>
    <row r="187" spans="1:34">
      <c r="A187" s="66"/>
      <c r="B187" s="497" t="str">
        <f>IF(Uebersetzung!$A$1=1,Bauteile!S187,Bauteile!AA187)</f>
        <v>Laine de verre, en vrac (N)</v>
      </c>
      <c r="C187" s="497"/>
      <c r="D187" s="497"/>
      <c r="E187" s="497"/>
      <c r="F187" s="497"/>
      <c r="G187" s="498">
        <f>IF(Uebersetzung!$A$1=1,Bauteile!X187,Bauteile!AF187)</f>
        <v>30</v>
      </c>
      <c r="H187" s="498">
        <f>IF(Uebersetzung!$A$1=1,Bauteile!Y187,Bauteile!AG187)</f>
        <v>0.05</v>
      </c>
      <c r="I187" s="498">
        <f>IF(Uebersetzung!$A$1=1,Bauteile!Z187,Bauteile!AH187)</f>
        <v>1.5</v>
      </c>
      <c r="J187" s="27"/>
      <c r="K187" s="118" t="s">
        <v>1427</v>
      </c>
      <c r="L187" s="30"/>
      <c r="M187" s="546"/>
      <c r="N187" s="546"/>
      <c r="O187" s="30"/>
      <c r="P187" s="63">
        <v>1</v>
      </c>
      <c r="Q187" s="63">
        <v>0.1</v>
      </c>
      <c r="R187" s="62">
        <v>3.5000000000000003E-2</v>
      </c>
      <c r="S187" s="1878" t="s">
        <v>1935</v>
      </c>
      <c r="T187" s="30"/>
      <c r="U187" s="30"/>
      <c r="V187" s="545"/>
      <c r="W187" s="30"/>
      <c r="X187" s="546">
        <v>1800</v>
      </c>
      <c r="Y187" s="546">
        <v>0.87</v>
      </c>
      <c r="Z187" s="1472">
        <v>15</v>
      </c>
      <c r="AA187" s="1878" t="s">
        <v>3754</v>
      </c>
      <c r="AB187" s="30"/>
      <c r="AC187" s="30"/>
      <c r="AD187" s="421"/>
      <c r="AE187" s="30"/>
      <c r="AF187" s="422">
        <v>30</v>
      </c>
      <c r="AG187" s="422">
        <v>0.05</v>
      </c>
      <c r="AH187" s="1886">
        <v>1.5</v>
      </c>
    </row>
    <row r="188" spans="1:34">
      <c r="A188" s="66"/>
      <c r="B188" s="497" t="str">
        <f>IF(Uebersetzung!$A$1=1,Bauteile!S188,Bauteile!AA188)</f>
        <v>Laine de verre, panneaux, matelas (N)</v>
      </c>
      <c r="C188" s="497"/>
      <c r="D188" s="497"/>
      <c r="E188" s="497"/>
      <c r="F188" s="497"/>
      <c r="G188" s="498">
        <f>IF(Uebersetzung!$A$1=1,Bauteile!X188,Bauteile!AF188)</f>
        <v>30</v>
      </c>
      <c r="H188" s="498">
        <f>IF(Uebersetzung!$A$1=1,Bauteile!Y188,Bauteile!AG188)</f>
        <v>0.05</v>
      </c>
      <c r="I188" s="498">
        <f>IF(Uebersetzung!$A$1=1,Bauteile!Z188,Bauteile!AH188)</f>
        <v>2</v>
      </c>
      <c r="J188" s="27"/>
      <c r="K188" s="118" t="s">
        <v>1425</v>
      </c>
      <c r="L188" s="30"/>
      <c r="M188" s="546"/>
      <c r="N188" s="546"/>
      <c r="O188" s="30"/>
      <c r="P188" s="63">
        <v>1</v>
      </c>
      <c r="Q188" s="63">
        <v>0.1</v>
      </c>
      <c r="R188" s="62">
        <v>0.04</v>
      </c>
      <c r="S188" s="1878" t="s">
        <v>1936</v>
      </c>
      <c r="T188" s="30"/>
      <c r="U188" s="30"/>
      <c r="V188" s="545"/>
      <c r="W188" s="30"/>
      <c r="X188" s="546">
        <v>1800</v>
      </c>
      <c r="Y188" s="546">
        <v>0.87</v>
      </c>
      <c r="Z188" s="1472">
        <v>35</v>
      </c>
      <c r="AA188" s="1878" t="s">
        <v>3755</v>
      </c>
      <c r="AB188" s="30"/>
      <c r="AC188" s="30"/>
      <c r="AD188" s="421"/>
      <c r="AE188" s="30"/>
      <c r="AF188" s="422">
        <v>30</v>
      </c>
      <c r="AG188" s="422">
        <v>0.05</v>
      </c>
      <c r="AH188" s="1886">
        <v>2</v>
      </c>
    </row>
    <row r="189" spans="1:34">
      <c r="A189" s="66"/>
      <c r="B189" s="497" t="str">
        <f>IF(Uebersetzung!$A$1=1,Bauteile!S189,Bauteile!AA189)</f>
        <v>Laine de verre, panneaux, matelas (U)</v>
      </c>
      <c r="C189" s="497"/>
      <c r="D189" s="497"/>
      <c r="E189" s="497"/>
      <c r="F189" s="497"/>
      <c r="G189" s="498">
        <f>IF(Uebersetzung!$A$1=1,Bauteile!X189,Bauteile!AF189)</f>
        <v>30</v>
      </c>
      <c r="H189" s="498">
        <f>IF(Uebersetzung!$A$1=1,Bauteile!Y189,Bauteile!AG189)</f>
        <v>4.8000000000000001E-2</v>
      </c>
      <c r="I189" s="498">
        <f>IF(Uebersetzung!$A$1=1,Bauteile!Z189,Bauteile!AH189)</f>
        <v>2</v>
      </c>
      <c r="J189" s="27"/>
      <c r="K189" s="118" t="s">
        <v>1426</v>
      </c>
      <c r="L189" s="30"/>
      <c r="M189" s="546"/>
      <c r="N189" s="546"/>
      <c r="O189" s="30"/>
      <c r="P189" s="63">
        <v>1</v>
      </c>
      <c r="Q189" s="63">
        <v>0.1</v>
      </c>
      <c r="R189" s="62">
        <v>0.06</v>
      </c>
      <c r="S189" s="1878" t="s">
        <v>1293</v>
      </c>
      <c r="T189" s="30"/>
      <c r="U189" s="30"/>
      <c r="V189" s="545"/>
      <c r="W189" s="30"/>
      <c r="X189" s="546">
        <v>1800</v>
      </c>
      <c r="Y189" s="546">
        <v>0.8</v>
      </c>
      <c r="Z189" s="1472">
        <v>9</v>
      </c>
      <c r="AA189" s="1878" t="s">
        <v>3756</v>
      </c>
      <c r="AB189" s="30"/>
      <c r="AC189" s="30"/>
      <c r="AD189" s="421"/>
      <c r="AE189" s="30"/>
      <c r="AF189" s="422">
        <v>30</v>
      </c>
      <c r="AG189" s="422">
        <v>4.8000000000000001E-2</v>
      </c>
      <c r="AH189" s="1886">
        <v>2</v>
      </c>
    </row>
    <row r="190" spans="1:34">
      <c r="A190" s="66"/>
      <c r="B190" s="497" t="str">
        <f>IF(Uebersetzung!$A$1=1,Bauteile!S190,Bauteile!AA190)</f>
        <v>Laiton</v>
      </c>
      <c r="C190" s="497"/>
      <c r="D190" s="497"/>
      <c r="E190" s="497"/>
      <c r="F190" s="497"/>
      <c r="G190" s="498">
        <f>IF(Uebersetzung!$A$1=1,Bauteile!X190,Bauteile!AF190)</f>
        <v>8400</v>
      </c>
      <c r="H190" s="498">
        <f>IF(Uebersetzung!$A$1=1,Bauteile!Y190,Bauteile!AG190)</f>
        <v>120</v>
      </c>
      <c r="I190" s="498">
        <f>IF(Uebersetzung!$A$1=1,Bauteile!Z190,Bauteile!AH190)</f>
        <v>500000</v>
      </c>
      <c r="J190" s="27"/>
      <c r="K190" s="118" t="s">
        <v>1428</v>
      </c>
      <c r="L190" s="30"/>
      <c r="M190" s="546"/>
      <c r="N190" s="546"/>
      <c r="O190" s="30"/>
      <c r="P190" s="63">
        <v>1</v>
      </c>
      <c r="Q190" s="63">
        <v>0.1</v>
      </c>
      <c r="R190" s="62">
        <v>0.08</v>
      </c>
      <c r="S190" s="1878" t="s">
        <v>144</v>
      </c>
      <c r="T190" s="30"/>
      <c r="U190" s="30"/>
      <c r="V190" s="545"/>
      <c r="W190" s="30"/>
      <c r="X190" s="546">
        <v>1200</v>
      </c>
      <c r="Y190" s="546">
        <v>0.8</v>
      </c>
      <c r="Z190" s="1472">
        <v>10</v>
      </c>
      <c r="AA190" s="1878" t="s">
        <v>3757</v>
      </c>
      <c r="AB190" s="30"/>
      <c r="AC190" s="30"/>
      <c r="AD190" s="421"/>
      <c r="AE190" s="30"/>
      <c r="AF190" s="422">
        <v>8400</v>
      </c>
      <c r="AG190" s="422">
        <v>120</v>
      </c>
      <c r="AH190" s="1886">
        <v>500000</v>
      </c>
    </row>
    <row r="191" spans="1:34">
      <c r="A191" s="66"/>
      <c r="B191" s="497" t="str">
        <f>IF(Uebersetzung!$A$1=1,Bauteile!S191,Bauteile!AA191)</f>
        <v>Lambris en pin</v>
      </c>
      <c r="C191" s="497"/>
      <c r="D191" s="497"/>
      <c r="E191" s="497"/>
      <c r="F191" s="497"/>
      <c r="G191" s="498">
        <f>IF(Uebersetzung!$A$1=1,Bauteile!X191,Bauteile!AF191)</f>
        <v>520</v>
      </c>
      <c r="H191" s="498">
        <f>IF(Uebersetzung!$A$1=1,Bauteile!Y191,Bauteile!AG191)</f>
        <v>0.14000000000000001</v>
      </c>
      <c r="I191" s="498">
        <f>IF(Uebersetzung!$A$1=1,Bauteile!Z191,Bauteile!AH191)</f>
        <v>71</v>
      </c>
      <c r="J191" s="27"/>
      <c r="K191" s="118" t="s">
        <v>2161</v>
      </c>
      <c r="L191" s="30"/>
      <c r="M191" s="546"/>
      <c r="N191" s="546"/>
      <c r="O191" s="30"/>
      <c r="P191" s="63">
        <v>1</v>
      </c>
      <c r="Q191" s="63">
        <v>0.08</v>
      </c>
      <c r="R191" s="62">
        <v>0.03</v>
      </c>
      <c r="S191" s="1878" t="s">
        <v>1314</v>
      </c>
      <c r="T191" s="30"/>
      <c r="U191" s="30"/>
      <c r="V191" s="545"/>
      <c r="W191" s="30"/>
      <c r="X191" s="546">
        <v>1900</v>
      </c>
      <c r="Y191" s="546">
        <v>1</v>
      </c>
      <c r="Z191" s="1472">
        <v>200</v>
      </c>
      <c r="AA191" s="1878" t="s">
        <v>3758</v>
      </c>
      <c r="AB191" s="30"/>
      <c r="AC191" s="30"/>
      <c r="AD191" s="421"/>
      <c r="AE191" s="30"/>
      <c r="AF191" s="422">
        <v>520</v>
      </c>
      <c r="AG191" s="422">
        <v>0.14000000000000001</v>
      </c>
      <c r="AH191" s="1886">
        <v>71</v>
      </c>
    </row>
    <row r="192" spans="1:34">
      <c r="A192" s="66"/>
      <c r="B192" s="497" t="str">
        <f>IF(Uebersetzung!$A$1=1,Bauteile!S192,Bauteile!AA192)</f>
        <v>Liège, panneaux, matelas (N)</v>
      </c>
      <c r="C192" s="497"/>
      <c r="D192" s="497"/>
      <c r="E192" s="497"/>
      <c r="F192" s="497"/>
      <c r="G192" s="498">
        <f>IF(Uebersetzung!$A$1=1,Bauteile!X192,Bauteile!AF192)</f>
        <v>125</v>
      </c>
      <c r="H192" s="498">
        <f>IF(Uebersetzung!$A$1=1,Bauteile!Y192,Bauteile!AG192)</f>
        <v>5.5E-2</v>
      </c>
      <c r="I192" s="498">
        <f>IF(Uebersetzung!$A$1=1,Bauteile!Z192,Bauteile!AH192)</f>
        <v>10</v>
      </c>
      <c r="J192" s="27"/>
      <c r="K192" s="118" t="s">
        <v>1429</v>
      </c>
      <c r="L192" s="30"/>
      <c r="M192" s="546"/>
      <c r="N192" s="546"/>
      <c r="O192" s="30"/>
      <c r="P192" s="63">
        <v>1</v>
      </c>
      <c r="Q192" s="63">
        <v>0.08</v>
      </c>
      <c r="R192" s="62">
        <v>0.04</v>
      </c>
      <c r="S192" s="1878" t="s">
        <v>1316</v>
      </c>
      <c r="T192" s="30"/>
      <c r="U192" s="30"/>
      <c r="V192" s="545"/>
      <c r="W192" s="30"/>
      <c r="X192" s="546">
        <v>1900</v>
      </c>
      <c r="Y192" s="546">
        <v>1</v>
      </c>
      <c r="Z192" s="1472">
        <v>200</v>
      </c>
      <c r="AA192" s="1878" t="s">
        <v>3759</v>
      </c>
      <c r="AB192" s="30"/>
      <c r="AC192" s="30"/>
      <c r="AD192" s="421"/>
      <c r="AE192" s="30"/>
      <c r="AF192" s="422">
        <v>125</v>
      </c>
      <c r="AG192" s="422">
        <v>5.5E-2</v>
      </c>
      <c r="AH192" s="1895">
        <v>10</v>
      </c>
    </row>
    <row r="193" spans="1:34">
      <c r="A193" s="66"/>
      <c r="B193" s="497" t="str">
        <f>IF(Uebersetzung!$A$1=1,Bauteile!S193,Bauteile!AA193)</f>
        <v>Liège, panneaux, matelas (U)</v>
      </c>
      <c r="C193" s="497"/>
      <c r="D193" s="497"/>
      <c r="E193" s="497"/>
      <c r="F193" s="497"/>
      <c r="G193" s="498">
        <f>IF(Uebersetzung!$A$1=1,Bauteile!X193,Bauteile!AF193)</f>
        <v>125</v>
      </c>
      <c r="H193" s="498">
        <f>IF(Uebersetzung!$A$1=1,Bauteile!Y193,Bauteile!AG193)</f>
        <v>4.7E-2</v>
      </c>
      <c r="I193" s="498">
        <f>IF(Uebersetzung!$A$1=1,Bauteile!Z193,Bauteile!AH193)</f>
        <v>10</v>
      </c>
      <c r="J193" s="27"/>
      <c r="K193" s="118" t="s">
        <v>1430</v>
      </c>
      <c r="L193" s="30"/>
      <c r="M193" s="546"/>
      <c r="N193" s="546"/>
      <c r="O193" s="30"/>
      <c r="P193" s="63">
        <v>1</v>
      </c>
      <c r="Q193" s="63">
        <v>0.08</v>
      </c>
      <c r="R193" s="62">
        <v>0.06</v>
      </c>
      <c r="S193" s="1878" t="s">
        <v>1601</v>
      </c>
      <c r="T193" s="30"/>
      <c r="U193" s="30"/>
      <c r="V193" s="545"/>
      <c r="W193" s="30"/>
      <c r="X193" s="546">
        <v>1900</v>
      </c>
      <c r="Y193" s="546">
        <v>0.7</v>
      </c>
      <c r="Z193" s="1472">
        <v>1</v>
      </c>
      <c r="AA193" s="1878" t="s">
        <v>3760</v>
      </c>
      <c r="AB193" s="30"/>
      <c r="AC193" s="30"/>
      <c r="AD193" s="421"/>
      <c r="AE193" s="30"/>
      <c r="AF193" s="422">
        <v>125</v>
      </c>
      <c r="AG193" s="422">
        <v>4.7E-2</v>
      </c>
      <c r="AH193" s="1895">
        <v>10</v>
      </c>
    </row>
    <row r="194" spans="1:34">
      <c r="A194" s="66"/>
      <c r="B194" s="497" t="str">
        <f>IF(Uebersetzung!$A$1=1,Bauteile!S194,Bauteile!AA194)</f>
        <v>Laine de mouton (N)</v>
      </c>
      <c r="C194" s="497"/>
      <c r="D194" s="497"/>
      <c r="E194" s="497"/>
      <c r="F194" s="497"/>
      <c r="G194" s="498">
        <f>IF(Uebersetzung!$A$1=1,Bauteile!X194,Bauteile!AF194)</f>
        <v>40</v>
      </c>
      <c r="H194" s="498">
        <f>IF(Uebersetzung!$A$1=1,Bauteile!Y194,Bauteile!AG194)</f>
        <v>0.05</v>
      </c>
      <c r="I194" s="498">
        <f>IF(Uebersetzung!$A$1=1,Bauteile!Z194,Bauteile!AH194)</f>
        <v>1.5</v>
      </c>
      <c r="J194" s="27"/>
      <c r="K194" s="118" t="s">
        <v>1431</v>
      </c>
      <c r="L194" s="30"/>
      <c r="M194" s="546"/>
      <c r="N194" s="546"/>
      <c r="O194" s="30"/>
      <c r="P194" s="63">
        <v>1</v>
      </c>
      <c r="Q194" s="63">
        <v>0.08</v>
      </c>
      <c r="R194" s="62">
        <v>0.08</v>
      </c>
      <c r="S194" s="1878" t="s">
        <v>1602</v>
      </c>
      <c r="T194" s="30"/>
      <c r="U194" s="30"/>
      <c r="V194" s="545"/>
      <c r="W194" s="30"/>
      <c r="X194" s="546">
        <v>1900</v>
      </c>
      <c r="Y194" s="546">
        <v>1.05</v>
      </c>
      <c r="Z194" s="1472">
        <v>100</v>
      </c>
      <c r="AA194" s="1889" t="s">
        <v>5633</v>
      </c>
      <c r="AB194" s="422"/>
      <c r="AC194" s="422"/>
      <c r="AD194" s="422"/>
      <c r="AE194" s="422"/>
      <c r="AF194" s="546">
        <v>40</v>
      </c>
      <c r="AG194" s="63">
        <v>0.05</v>
      </c>
      <c r="AH194" s="1481">
        <v>1.5</v>
      </c>
    </row>
    <row r="195" spans="1:34">
      <c r="A195" s="66"/>
      <c r="B195" s="497" t="str">
        <f>IF(Uebersetzung!$A$1=1,Bauteile!S195,Bauteile!AA195)</f>
        <v>Marbre</v>
      </c>
      <c r="C195" s="497"/>
      <c r="D195" s="497"/>
      <c r="E195" s="497"/>
      <c r="F195" s="497"/>
      <c r="G195" s="498">
        <f>IF(Uebersetzung!$A$1=1,Bauteile!X195,Bauteile!AF195)</f>
        <v>2800</v>
      </c>
      <c r="H195" s="498">
        <f>IF(Uebersetzung!$A$1=1,Bauteile!Y195,Bauteile!AG195)</f>
        <v>3.5</v>
      </c>
      <c r="I195" s="498">
        <f>IF(Uebersetzung!$A$1=1,Bauteile!Z195,Bauteile!AH195)</f>
        <v>10000</v>
      </c>
      <c r="J195" s="27"/>
      <c r="K195" s="118" t="s">
        <v>2162</v>
      </c>
      <c r="L195" s="30"/>
      <c r="M195" s="546"/>
      <c r="N195" s="546"/>
      <c r="O195" s="30"/>
      <c r="P195" s="63">
        <v>1</v>
      </c>
      <c r="Q195" s="63">
        <v>0.05</v>
      </c>
      <c r="R195" s="62">
        <v>0.03</v>
      </c>
      <c r="S195" s="1878" t="s">
        <v>1297</v>
      </c>
      <c r="T195" s="30"/>
      <c r="U195" s="30"/>
      <c r="V195" s="545"/>
      <c r="W195" s="30"/>
      <c r="X195" s="546">
        <v>1800</v>
      </c>
      <c r="Y195" s="546">
        <v>1.8</v>
      </c>
      <c r="Z195" s="1472">
        <v>75</v>
      </c>
      <c r="AA195" s="1878" t="s">
        <v>3761</v>
      </c>
      <c r="AB195" s="30"/>
      <c r="AC195" s="30"/>
      <c r="AD195" s="421"/>
      <c r="AE195" s="30"/>
      <c r="AF195" s="422">
        <v>2800</v>
      </c>
      <c r="AG195" s="422">
        <v>3.5</v>
      </c>
      <c r="AH195" s="1881">
        <v>10000</v>
      </c>
    </row>
    <row r="196" spans="1:34">
      <c r="A196" s="66"/>
      <c r="B196" s="497" t="str">
        <f>IF(Uebersetzung!$A$1=1,Bauteile!S196,Bauteile!AA196)</f>
        <v>Matelas en fibres de chanvre (N)</v>
      </c>
      <c r="C196" s="497"/>
      <c r="D196" s="497"/>
      <c r="E196" s="497"/>
      <c r="F196" s="497"/>
      <c r="G196" s="498">
        <f>IF(Uebersetzung!$A$1=1,Bauteile!X196,Bauteile!AF196)</f>
        <v>75</v>
      </c>
      <c r="H196" s="498">
        <f>IF(Uebersetzung!$A$1=1,Bauteile!Y196,Bauteile!AG196)</f>
        <v>6.6000000000000003E-2</v>
      </c>
      <c r="I196" s="498">
        <f>IF(Uebersetzung!$A$1=1,Bauteile!Z196,Bauteile!AH196)</f>
        <v>1.5</v>
      </c>
      <c r="J196" s="27"/>
      <c r="K196" s="118" t="s">
        <v>231</v>
      </c>
      <c r="L196" s="30"/>
      <c r="M196" s="546"/>
      <c r="N196" s="546"/>
      <c r="O196" s="30"/>
      <c r="P196" s="63">
        <v>1</v>
      </c>
      <c r="Q196" s="63">
        <v>0.05</v>
      </c>
      <c r="R196" s="62">
        <v>0.04</v>
      </c>
      <c r="S196" s="1878" t="s">
        <v>1723</v>
      </c>
      <c r="T196" s="30"/>
      <c r="U196" s="30"/>
      <c r="V196" s="545"/>
      <c r="W196" s="30"/>
      <c r="X196" s="546">
        <v>75</v>
      </c>
      <c r="Y196" s="546">
        <v>6.6000000000000003E-2</v>
      </c>
      <c r="Z196" s="1475">
        <v>1.5</v>
      </c>
      <c r="AA196" s="1878" t="s">
        <v>3762</v>
      </c>
      <c r="AB196" s="30"/>
      <c r="AC196" s="30"/>
      <c r="AD196" s="421"/>
      <c r="AE196" s="30"/>
      <c r="AF196" s="422">
        <v>75</v>
      </c>
      <c r="AG196" s="422">
        <v>6.6000000000000003E-2</v>
      </c>
      <c r="AH196" s="1895">
        <v>1.5</v>
      </c>
    </row>
    <row r="197" spans="1:34">
      <c r="A197" s="66"/>
      <c r="B197" s="497" t="str">
        <f>IF(Uebersetzung!$A$1=1,Bauteile!S197,Bauteile!AA197)</f>
        <v>Matelas en fibres de cocos (N)</v>
      </c>
      <c r="C197" s="497"/>
      <c r="D197" s="497"/>
      <c r="E197" s="497"/>
      <c r="F197" s="497"/>
      <c r="G197" s="498">
        <f>IF(Uebersetzung!$A$1=1,Bauteile!X197,Bauteile!AF197)</f>
        <v>75</v>
      </c>
      <c r="H197" s="498">
        <f>IF(Uebersetzung!$A$1=1,Bauteile!Y197,Bauteile!AG197)</f>
        <v>6.6000000000000003E-2</v>
      </c>
      <c r="I197" s="498">
        <f>IF(Uebersetzung!$A$1=1,Bauteile!Z197,Bauteile!AH197)</f>
        <v>1.5</v>
      </c>
      <c r="J197" s="27"/>
      <c r="K197" s="118" t="s">
        <v>232</v>
      </c>
      <c r="L197" s="30"/>
      <c r="M197" s="546"/>
      <c r="N197" s="546"/>
      <c r="O197" s="30"/>
      <c r="P197" s="63">
        <v>1</v>
      </c>
      <c r="Q197" s="63">
        <v>0.05</v>
      </c>
      <c r="R197" s="62">
        <v>0.06</v>
      </c>
      <c r="S197" s="1878" t="s">
        <v>1185</v>
      </c>
      <c r="T197" s="30"/>
      <c r="U197" s="30"/>
      <c r="V197" s="545"/>
      <c r="W197" s="30"/>
      <c r="X197" s="546">
        <v>125</v>
      </c>
      <c r="Y197" s="546">
        <v>5.5E-2</v>
      </c>
      <c r="Z197" s="1475">
        <v>10</v>
      </c>
      <c r="AA197" s="1878" t="s">
        <v>3763</v>
      </c>
      <c r="AB197" s="30"/>
      <c r="AC197" s="30"/>
      <c r="AD197" s="421"/>
      <c r="AE197" s="30"/>
      <c r="AF197" s="422">
        <v>75</v>
      </c>
      <c r="AG197" s="422">
        <v>6.6000000000000003E-2</v>
      </c>
      <c r="AH197" s="1895">
        <v>1.5</v>
      </c>
    </row>
    <row r="198" spans="1:34">
      <c r="A198" s="66"/>
      <c r="B198" s="497" t="str">
        <f>IF(Uebersetzung!$A$1=1,Bauteile!S198,Bauteile!AA198)</f>
        <v>Matériaux légers en laine de bois (h.=13%)</v>
      </c>
      <c r="C198" s="497"/>
      <c r="D198" s="497"/>
      <c r="E198" s="497"/>
      <c r="F198" s="497"/>
      <c r="G198" s="498">
        <f>IF(Uebersetzung!$A$1=1,Bauteile!X198,Bauteile!AF198)</f>
        <v>600</v>
      </c>
      <c r="H198" s="498">
        <f>IF(Uebersetzung!$A$1=1,Bauteile!Y198,Bauteile!AG198)</f>
        <v>0.2</v>
      </c>
      <c r="I198" s="498">
        <f>IF(Uebersetzung!$A$1=1,Bauteile!Z198,Bauteile!AH198)</f>
        <v>7</v>
      </c>
      <c r="J198" s="27"/>
      <c r="K198" s="118" t="s">
        <v>1007</v>
      </c>
      <c r="L198" s="30"/>
      <c r="M198" s="546"/>
      <c r="N198" s="546"/>
      <c r="O198" s="30"/>
      <c r="P198" s="63">
        <v>1</v>
      </c>
      <c r="Q198" s="63">
        <v>0.05</v>
      </c>
      <c r="R198" s="62">
        <v>0.08</v>
      </c>
      <c r="S198" s="1878" t="s">
        <v>1184</v>
      </c>
      <c r="T198" s="30"/>
      <c r="U198" s="30"/>
      <c r="V198" s="545"/>
      <c r="W198" s="30"/>
      <c r="X198" s="546">
        <v>125</v>
      </c>
      <c r="Y198" s="546">
        <v>4.7E-2</v>
      </c>
      <c r="Z198" s="1475">
        <v>10</v>
      </c>
      <c r="AA198" s="1878" t="s">
        <v>3764</v>
      </c>
      <c r="AB198" s="30"/>
      <c r="AC198" s="30"/>
      <c r="AD198" s="421"/>
      <c r="AE198" s="30"/>
      <c r="AF198" s="422">
        <v>600</v>
      </c>
      <c r="AG198" s="422">
        <v>0.2</v>
      </c>
      <c r="AH198" s="1886">
        <v>7</v>
      </c>
    </row>
    <row r="199" spans="1:34">
      <c r="A199" s="66"/>
      <c r="B199" s="497" t="str">
        <f>IF(Uebersetzung!$A$1=1,Bauteile!S199,Bauteile!AA199)</f>
        <v>Mortier bâtard</v>
      </c>
      <c r="C199" s="497"/>
      <c r="D199" s="497"/>
      <c r="E199" s="497"/>
      <c r="F199" s="497"/>
      <c r="G199" s="498">
        <f>IF(Uebersetzung!$A$1=1,Bauteile!X199,Bauteile!AF199)</f>
        <v>1900</v>
      </c>
      <c r="H199" s="498">
        <f>IF(Uebersetzung!$A$1=1,Bauteile!Y199,Bauteile!AG199)</f>
        <v>1</v>
      </c>
      <c r="I199" s="498">
        <f>IF(Uebersetzung!$A$1=1,Bauteile!Z199,Bauteile!AH199)</f>
        <v>25</v>
      </c>
      <c r="J199" s="27"/>
      <c r="K199" s="118" t="s">
        <v>2163</v>
      </c>
      <c r="L199" s="30"/>
      <c r="M199" s="546"/>
      <c r="N199" s="546"/>
      <c r="O199" s="30"/>
      <c r="P199" s="63">
        <v>2</v>
      </c>
      <c r="Q199" s="63">
        <v>0.1</v>
      </c>
      <c r="R199" s="62">
        <v>3.5000000000000003E-2</v>
      </c>
      <c r="S199" s="1878" t="s">
        <v>1306</v>
      </c>
      <c r="T199" s="30"/>
      <c r="U199" s="30"/>
      <c r="V199" s="545"/>
      <c r="W199" s="30"/>
      <c r="X199" s="546">
        <v>2800</v>
      </c>
      <c r="Y199" s="546">
        <v>3.5</v>
      </c>
      <c r="Z199" s="1472">
        <v>50</v>
      </c>
      <c r="AA199" s="1878" t="s">
        <v>3765</v>
      </c>
      <c r="AB199" s="30"/>
      <c r="AC199" s="30"/>
      <c r="AD199" s="421"/>
      <c r="AE199" s="30"/>
      <c r="AF199" s="422">
        <v>1900</v>
      </c>
      <c r="AG199" s="422">
        <v>1</v>
      </c>
      <c r="AH199" s="1886">
        <v>25</v>
      </c>
    </row>
    <row r="200" spans="1:34">
      <c r="A200" s="66"/>
      <c r="B200" s="497" t="str">
        <f>IF(Uebersetzung!$A$1=1,Bauteile!S200,Bauteile!AA200)</f>
        <v>Mortier d'anhydrit m=10</v>
      </c>
      <c r="C200" s="497"/>
      <c r="D200" s="497"/>
      <c r="E200" s="497"/>
      <c r="F200" s="497"/>
      <c r="G200" s="498">
        <f>IF(Uebersetzung!$A$1=1,Bauteile!X200,Bauteile!AF200)</f>
        <v>1400</v>
      </c>
      <c r="H200" s="498">
        <f>IF(Uebersetzung!$A$1=1,Bauteile!Y200,Bauteile!AG200)</f>
        <v>0.7</v>
      </c>
      <c r="I200" s="498">
        <f>IF(Uebersetzung!$A$1=1,Bauteile!Z200,Bauteile!AH200)</f>
        <v>10</v>
      </c>
      <c r="J200" s="27"/>
      <c r="K200" s="118" t="s">
        <v>1525</v>
      </c>
      <c r="L200" s="30"/>
      <c r="M200" s="546"/>
      <c r="N200" s="546"/>
      <c r="O200" s="30"/>
      <c r="P200" s="63">
        <v>2</v>
      </c>
      <c r="Q200" s="63">
        <v>0.1</v>
      </c>
      <c r="R200" s="62">
        <v>0.04</v>
      </c>
      <c r="S200" s="1878" t="s">
        <v>621</v>
      </c>
      <c r="T200" s="30"/>
      <c r="U200" s="30"/>
      <c r="V200" s="545"/>
      <c r="W200" s="30"/>
      <c r="X200" s="546">
        <v>8900</v>
      </c>
      <c r="Y200" s="546">
        <v>380</v>
      </c>
      <c r="Z200" s="1478">
        <v>500000</v>
      </c>
      <c r="AA200" s="1878" t="s">
        <v>3766</v>
      </c>
      <c r="AB200" s="30"/>
      <c r="AC200" s="30"/>
      <c r="AD200" s="421"/>
      <c r="AE200" s="30"/>
      <c r="AF200" s="422">
        <v>1400</v>
      </c>
      <c r="AG200" s="422">
        <v>0.7</v>
      </c>
      <c r="AH200" s="1886">
        <v>10</v>
      </c>
    </row>
    <row r="201" spans="1:34">
      <c r="A201" s="66"/>
      <c r="B201" s="497" t="str">
        <f>IF(Uebersetzung!$A$1=1,Bauteile!S201,Bauteile!AA201)</f>
        <v>Mortier de chaux</v>
      </c>
      <c r="C201" s="497"/>
      <c r="D201" s="497"/>
      <c r="E201" s="497"/>
      <c r="F201" s="497"/>
      <c r="G201" s="498">
        <f>IF(Uebersetzung!$A$1=1,Bauteile!X201,Bauteile!AF201)</f>
        <v>1800</v>
      </c>
      <c r="H201" s="498">
        <f>IF(Uebersetzung!$A$1=1,Bauteile!Y201,Bauteile!AG201)</f>
        <v>0.87</v>
      </c>
      <c r="I201" s="498">
        <f>IF(Uebersetzung!$A$1=1,Bauteile!Z201,Bauteile!AH201)</f>
        <v>25</v>
      </c>
      <c r="J201" s="27"/>
      <c r="K201" s="118" t="s">
        <v>1526</v>
      </c>
      <c r="L201" s="30"/>
      <c r="M201" s="546"/>
      <c r="N201" s="546"/>
      <c r="O201" s="30"/>
      <c r="P201" s="63">
        <v>2</v>
      </c>
      <c r="Q201" s="63">
        <v>0.1</v>
      </c>
      <c r="R201" s="62">
        <v>0.06</v>
      </c>
      <c r="S201" s="1879"/>
      <c r="T201" s="546"/>
      <c r="U201" s="546"/>
      <c r="V201" s="546"/>
      <c r="W201" s="546"/>
      <c r="X201" s="546"/>
      <c r="Y201" s="30"/>
      <c r="Z201" s="1885"/>
      <c r="AA201" s="1878" t="s">
        <v>3767</v>
      </c>
      <c r="AB201" s="30"/>
      <c r="AC201" s="30"/>
      <c r="AD201" s="421"/>
      <c r="AE201" s="30"/>
      <c r="AF201" s="422">
        <v>1800</v>
      </c>
      <c r="AG201" s="422">
        <v>0.87</v>
      </c>
      <c r="AH201" s="1886">
        <v>25</v>
      </c>
    </row>
    <row r="202" spans="1:34">
      <c r="A202" s="66"/>
      <c r="B202" s="497" t="str">
        <f>IF(Uebersetzung!$A$1=1,Bauteile!S202,Bauteile!AA202)</f>
        <v>Mortier de ciment</v>
      </c>
      <c r="C202" s="497"/>
      <c r="D202" s="497"/>
      <c r="E202" s="497"/>
      <c r="F202" s="497"/>
      <c r="G202" s="498">
        <f>IF(Uebersetzung!$A$1=1,Bauteile!X202,Bauteile!AF202)</f>
        <v>2200</v>
      </c>
      <c r="H202" s="498">
        <f>IF(Uebersetzung!$A$1=1,Bauteile!Y202,Bauteile!AG202)</f>
        <v>1.4</v>
      </c>
      <c r="I202" s="498">
        <f>IF(Uebersetzung!$A$1=1,Bauteile!Z202,Bauteile!AH202)</f>
        <v>25</v>
      </c>
      <c r="J202" s="27"/>
      <c r="K202" s="118" t="s">
        <v>1527</v>
      </c>
      <c r="L202" s="30"/>
      <c r="M202" s="546"/>
      <c r="N202" s="546"/>
      <c r="O202" s="30"/>
      <c r="P202" s="63">
        <v>2</v>
      </c>
      <c r="Q202" s="63">
        <v>0.1</v>
      </c>
      <c r="R202" s="62">
        <v>0.08</v>
      </c>
      <c r="S202" s="1878" t="s">
        <v>1603</v>
      </c>
      <c r="T202" s="30"/>
      <c r="U202" s="30"/>
      <c r="V202" s="545"/>
      <c r="W202" s="30"/>
      <c r="X202" s="546">
        <v>1700</v>
      </c>
      <c r="Y202" s="546">
        <v>0.93</v>
      </c>
      <c r="Z202" s="1474">
        <v>7.5</v>
      </c>
      <c r="AA202" s="1878" t="s">
        <v>3768</v>
      </c>
      <c r="AB202" s="30"/>
      <c r="AC202" s="30"/>
      <c r="AD202" s="421"/>
      <c r="AE202" s="30"/>
      <c r="AF202" s="422">
        <v>2200</v>
      </c>
      <c r="AG202" s="422">
        <v>1.4</v>
      </c>
      <c r="AH202" s="1886">
        <v>25</v>
      </c>
    </row>
    <row r="203" spans="1:34">
      <c r="A203" s="66"/>
      <c r="B203" s="497" t="str">
        <f>IF(Uebersetzung!$A$1=1,Bauteile!S203,Bauteile!AA203)</f>
        <v>Mosaïque céramique</v>
      </c>
      <c r="C203" s="497"/>
      <c r="D203" s="497"/>
      <c r="E203" s="497"/>
      <c r="F203" s="497"/>
      <c r="G203" s="498">
        <f>IF(Uebersetzung!$A$1=1,Bauteile!X203,Bauteile!AF203)</f>
        <v>1900</v>
      </c>
      <c r="H203" s="498">
        <f>IF(Uebersetzung!$A$1=1,Bauteile!Y203,Bauteile!AG203)</f>
        <v>1</v>
      </c>
      <c r="I203" s="498">
        <f>IF(Uebersetzung!$A$1=1,Bauteile!Z203,Bauteile!AH203)</f>
        <v>200</v>
      </c>
      <c r="J203" s="27"/>
      <c r="K203" s="118" t="s">
        <v>2164</v>
      </c>
      <c r="L203" s="30"/>
      <c r="M203" s="546"/>
      <c r="N203" s="546"/>
      <c r="O203" s="30"/>
      <c r="P203" s="63">
        <v>2</v>
      </c>
      <c r="Q203" s="63">
        <v>0.08</v>
      </c>
      <c r="R203" s="62">
        <v>0.03</v>
      </c>
      <c r="S203" s="1879"/>
      <c r="T203" s="546"/>
      <c r="U203" s="546"/>
      <c r="V203" s="546"/>
      <c r="W203" s="546"/>
      <c r="X203" s="546"/>
      <c r="Y203" s="30"/>
      <c r="Z203" s="1885"/>
      <c r="AA203" s="1878" t="s">
        <v>3769</v>
      </c>
      <c r="AB203" s="30"/>
      <c r="AC203" s="30"/>
      <c r="AD203" s="421"/>
      <c r="AE203" s="30"/>
      <c r="AF203" s="422">
        <v>1900</v>
      </c>
      <c r="AG203" s="422">
        <v>1</v>
      </c>
      <c r="AH203" s="1886">
        <v>200</v>
      </c>
    </row>
    <row r="204" spans="1:34">
      <c r="A204" s="66"/>
      <c r="B204" s="497">
        <f>IF(Uebersetzung!$A$1=1,Bauteile!S204,Bauteile!AA204)</f>
        <v>0</v>
      </c>
      <c r="C204" s="497"/>
      <c r="D204" s="497"/>
      <c r="E204" s="497"/>
      <c r="F204" s="497"/>
      <c r="G204" s="498">
        <f>IF(Uebersetzung!$A$1=1,Bauteile!X204,Bauteile!AF204)</f>
        <v>0</v>
      </c>
      <c r="H204" s="498">
        <f>IF(Uebersetzung!$A$1=1,Bauteile!Y204,Bauteile!AG204)</f>
        <v>0</v>
      </c>
      <c r="I204" s="498">
        <f>IF(Uebersetzung!$A$1=1,Bauteile!Z204,Bauteile!AH204)</f>
        <v>0</v>
      </c>
      <c r="J204" s="27"/>
      <c r="K204" s="118" t="s">
        <v>1432</v>
      </c>
      <c r="L204" s="30"/>
      <c r="M204" s="546"/>
      <c r="N204" s="546"/>
      <c r="O204" s="30"/>
      <c r="P204" s="63">
        <v>2</v>
      </c>
      <c r="Q204" s="63">
        <v>0.08</v>
      </c>
      <c r="R204" s="62">
        <v>0.04</v>
      </c>
      <c r="S204" s="1878" t="s">
        <v>1308</v>
      </c>
      <c r="T204" s="30"/>
      <c r="U204" s="30"/>
      <c r="V204" s="545"/>
      <c r="W204" s="30"/>
      <c r="X204" s="546">
        <v>2800</v>
      </c>
      <c r="Y204" s="546">
        <v>3.5</v>
      </c>
      <c r="Z204" s="1474">
        <v>10000</v>
      </c>
      <c r="AA204" s="1887"/>
      <c r="AB204" s="422"/>
      <c r="AC204" s="422"/>
      <c r="AD204" s="422"/>
      <c r="AE204" s="422"/>
      <c r="AF204" s="422"/>
      <c r="AG204" s="30"/>
      <c r="AH204" s="1888"/>
    </row>
    <row r="205" spans="1:34">
      <c r="A205" s="66"/>
      <c r="B205" s="497" t="str">
        <f>IF(Uebersetzung!$A$1=1,Bauteile!S205,Bauteile!AA205)</f>
        <v>Panneau à fibres orientées (OSB)</v>
      </c>
      <c r="C205" s="497"/>
      <c r="D205" s="497"/>
      <c r="E205" s="497"/>
      <c r="F205" s="497"/>
      <c r="G205" s="498">
        <f>IF(Uebersetzung!$A$1=1,Bauteile!X205,Bauteile!AF205)</f>
        <v>600</v>
      </c>
      <c r="H205" s="498">
        <f>IF(Uebersetzung!$A$1=1,Bauteile!Y205,Bauteile!AG205)</f>
        <v>0.13</v>
      </c>
      <c r="I205" s="498">
        <f>IF(Uebersetzung!$A$1=1,Bauteile!Z205,Bauteile!AH205)</f>
        <v>50</v>
      </c>
      <c r="J205" s="27"/>
      <c r="K205" s="118" t="s">
        <v>1433</v>
      </c>
      <c r="L205" s="30"/>
      <c r="M205" s="546"/>
      <c r="N205" s="546"/>
      <c r="O205" s="30"/>
      <c r="P205" s="63">
        <v>2</v>
      </c>
      <c r="Q205" s="63">
        <v>0.08</v>
      </c>
      <c r="R205" s="62">
        <v>0.06</v>
      </c>
      <c r="S205" s="1878" t="s">
        <v>1605</v>
      </c>
      <c r="T205" s="30"/>
      <c r="U205" s="30"/>
      <c r="V205" s="545"/>
      <c r="W205" s="30"/>
      <c r="X205" s="546">
        <v>2700</v>
      </c>
      <c r="Y205" s="546">
        <v>3.5</v>
      </c>
      <c r="Z205" s="1472">
        <v>100</v>
      </c>
      <c r="AA205" s="1878" t="s">
        <v>3770</v>
      </c>
      <c r="AB205" s="422"/>
      <c r="AC205" s="422"/>
      <c r="AD205" s="422"/>
      <c r="AE205" s="422"/>
      <c r="AF205" s="422">
        <v>600</v>
      </c>
      <c r="AG205" s="422">
        <v>0.13</v>
      </c>
      <c r="AH205" s="1881">
        <v>50</v>
      </c>
    </row>
    <row r="206" spans="1:34">
      <c r="A206" s="66"/>
      <c r="B206" s="497" t="str">
        <f>IF(Uebersetzung!$A$1=1,Bauteile!S206,Bauteile!AA206)</f>
        <v>Panneau de bois croisé</v>
      </c>
      <c r="C206" s="497"/>
      <c r="D206" s="497"/>
      <c r="E206" s="497"/>
      <c r="F206" s="497"/>
      <c r="G206" s="498">
        <f>IF(Uebersetzung!$A$1=1,Bauteile!X206,Bauteile!AF206)</f>
        <v>600</v>
      </c>
      <c r="H206" s="498">
        <f>IF(Uebersetzung!$A$1=1,Bauteile!Y206,Bauteile!AG206)</f>
        <v>0.44</v>
      </c>
      <c r="I206" s="498">
        <f>IF(Uebersetzung!$A$1=1,Bauteile!Z206,Bauteile!AH206)</f>
        <v>225</v>
      </c>
      <c r="J206" s="27"/>
      <c r="K206" s="118" t="s">
        <v>1515</v>
      </c>
      <c r="L206" s="30"/>
      <c r="M206" s="546"/>
      <c r="N206" s="546"/>
      <c r="O206" s="30"/>
      <c r="P206" s="63">
        <v>2</v>
      </c>
      <c r="Q206" s="63">
        <v>0.08</v>
      </c>
      <c r="R206" s="62">
        <v>0.08</v>
      </c>
      <c r="S206" s="1878" t="s">
        <v>622</v>
      </c>
      <c r="T206" s="30"/>
      <c r="U206" s="30"/>
      <c r="V206" s="545"/>
      <c r="W206" s="30"/>
      <c r="X206" s="546">
        <v>8400</v>
      </c>
      <c r="Y206" s="546">
        <v>120</v>
      </c>
      <c r="Z206" s="1472">
        <v>500000</v>
      </c>
      <c r="AA206" s="1878" t="s">
        <v>3771</v>
      </c>
      <c r="AB206" s="30"/>
      <c r="AC206" s="30"/>
      <c r="AD206" s="421"/>
      <c r="AE206" s="30"/>
      <c r="AF206" s="422">
        <v>600</v>
      </c>
      <c r="AG206" s="422">
        <v>0.44</v>
      </c>
      <c r="AH206" s="1881">
        <v>225</v>
      </c>
    </row>
    <row r="207" spans="1:34">
      <c r="A207" s="66"/>
      <c r="B207" s="497" t="str">
        <f>IF(Uebersetzung!$A$1=1,Bauteile!S207,Bauteile!AA207)</f>
        <v>Panneau de constr., amiante-ciment, f. lisse</v>
      </c>
      <c r="C207" s="497"/>
      <c r="D207" s="497"/>
      <c r="E207" s="497"/>
      <c r="F207" s="497"/>
      <c r="G207" s="498">
        <f>IF(Uebersetzung!$A$1=1,Bauteile!X207,Bauteile!AF207)</f>
        <v>1800</v>
      </c>
      <c r="H207" s="498">
        <f>IF(Uebersetzung!$A$1=1,Bauteile!Y207,Bauteile!AG207)</f>
        <v>0.45</v>
      </c>
      <c r="I207" s="498">
        <f>IF(Uebersetzung!$A$1=1,Bauteile!Z207,Bauteile!AH207)</f>
        <v>5</v>
      </c>
      <c r="J207" s="27"/>
      <c r="K207" s="118" t="s">
        <v>2165</v>
      </c>
      <c r="L207" s="30"/>
      <c r="M207" s="546"/>
      <c r="N207" s="546"/>
      <c r="O207" s="30"/>
      <c r="P207" s="63">
        <v>2</v>
      </c>
      <c r="Q207" s="63">
        <v>0.05</v>
      </c>
      <c r="R207" s="62">
        <v>0.03</v>
      </c>
      <c r="S207" s="1878" t="s">
        <v>1286</v>
      </c>
      <c r="T207" s="30"/>
      <c r="U207" s="30"/>
      <c r="V207" s="545"/>
      <c r="W207" s="30"/>
      <c r="X207" s="546">
        <v>1100</v>
      </c>
      <c r="Y207" s="546">
        <v>0.44</v>
      </c>
      <c r="Z207" s="1472">
        <v>5</v>
      </c>
      <c r="AA207" s="1878" t="s">
        <v>3772</v>
      </c>
      <c r="AB207" s="30"/>
      <c r="AC207" s="30"/>
      <c r="AD207" s="421"/>
      <c r="AE207" s="30"/>
      <c r="AF207" s="422">
        <v>1800</v>
      </c>
      <c r="AG207" s="422">
        <v>0.45</v>
      </c>
      <c r="AH207" s="1886">
        <v>5</v>
      </c>
    </row>
    <row r="208" spans="1:34">
      <c r="A208" s="66"/>
      <c r="B208" s="497" t="str">
        <f>IF(Uebersetzung!$A$1=1,Bauteile!S208,Bauteile!AA208)</f>
        <v>Panneau de construction en plâtre</v>
      </c>
      <c r="C208" s="497"/>
      <c r="D208" s="497"/>
      <c r="E208" s="497"/>
      <c r="F208" s="497"/>
      <c r="G208" s="498">
        <f>IF(Uebersetzung!$A$1=1,Bauteile!X208,Bauteile!AF208)</f>
        <v>1000</v>
      </c>
      <c r="H208" s="498">
        <f>IF(Uebersetzung!$A$1=1,Bauteile!Y208,Bauteile!AG208)</f>
        <v>0.4</v>
      </c>
      <c r="I208" s="498">
        <f>IF(Uebersetzung!$A$1=1,Bauteile!Z208,Bauteile!AH208)</f>
        <v>8</v>
      </c>
      <c r="J208" s="27"/>
      <c r="K208" s="118" t="s">
        <v>1008</v>
      </c>
      <c r="L208" s="30"/>
      <c r="M208" s="546"/>
      <c r="N208" s="546"/>
      <c r="O208" s="30"/>
      <c r="P208" s="63">
        <v>2</v>
      </c>
      <c r="Q208" s="63">
        <v>0.05</v>
      </c>
      <c r="R208" s="62">
        <v>0.04</v>
      </c>
      <c r="S208" s="1878" t="s">
        <v>1287</v>
      </c>
      <c r="T208" s="30"/>
      <c r="U208" s="30"/>
      <c r="V208" s="545"/>
      <c r="W208" s="30"/>
      <c r="X208" s="546">
        <v>1100</v>
      </c>
      <c r="Y208" s="546">
        <v>0.37</v>
      </c>
      <c r="Z208" s="1472">
        <v>5</v>
      </c>
      <c r="AA208" s="1878" t="s">
        <v>3773</v>
      </c>
      <c r="AB208" s="30"/>
      <c r="AC208" s="30"/>
      <c r="AD208" s="421"/>
      <c r="AE208" s="30"/>
      <c r="AF208" s="422">
        <v>1000</v>
      </c>
      <c r="AG208" s="422">
        <v>0.4</v>
      </c>
      <c r="AH208" s="1886">
        <v>8</v>
      </c>
    </row>
    <row r="209" spans="1:34">
      <c r="A209" s="66"/>
      <c r="B209" s="497" t="str">
        <f>IF(Uebersetzung!$A$1=1,Bauteile!S209,Bauteile!AA209)</f>
        <v>Panneau de construction en plâtre cartonné</v>
      </c>
      <c r="C209" s="497"/>
      <c r="D209" s="497"/>
      <c r="E209" s="497"/>
      <c r="F209" s="497"/>
      <c r="G209" s="498">
        <f>IF(Uebersetzung!$A$1=1,Bauteile!X209,Bauteile!AF209)</f>
        <v>900</v>
      </c>
      <c r="H209" s="498">
        <f>IF(Uebersetzung!$A$1=1,Bauteile!Y209,Bauteile!AG209)</f>
        <v>0.21</v>
      </c>
      <c r="I209" s="498">
        <f>IF(Uebersetzung!$A$1=1,Bauteile!Z209,Bauteile!AH209)</f>
        <v>8</v>
      </c>
      <c r="J209" s="27"/>
      <c r="K209" s="118" t="s">
        <v>1009</v>
      </c>
      <c r="L209" s="30"/>
      <c r="M209" s="546"/>
      <c r="N209" s="546"/>
      <c r="O209" s="30"/>
      <c r="P209" s="63">
        <v>2</v>
      </c>
      <c r="Q209" s="63">
        <v>0.05</v>
      </c>
      <c r="R209" s="62">
        <v>0.06</v>
      </c>
      <c r="S209" s="1878" t="s">
        <v>1312</v>
      </c>
      <c r="T209" s="30"/>
      <c r="U209" s="30"/>
      <c r="V209" s="545"/>
      <c r="W209" s="30"/>
      <c r="X209" s="546">
        <v>2600</v>
      </c>
      <c r="Y209" s="546">
        <v>2.2999999999999998</v>
      </c>
      <c r="Z209" s="1472">
        <v>50</v>
      </c>
      <c r="AA209" s="1878" t="s">
        <v>3774</v>
      </c>
      <c r="AB209" s="30"/>
      <c r="AC209" s="30"/>
      <c r="AD209" s="421"/>
      <c r="AE209" s="30"/>
      <c r="AF209" s="422">
        <v>900</v>
      </c>
      <c r="AG209" s="422">
        <v>0.21</v>
      </c>
      <c r="AH209" s="1886">
        <v>8</v>
      </c>
    </row>
    <row r="210" spans="1:34">
      <c r="A210" s="66"/>
      <c r="B210" s="497" t="str">
        <f>IF(Uebersetzung!$A$1=1,Bauteile!S210,Bauteile!AA210)</f>
        <v>Panneau de copeaux de bois, minéralisés</v>
      </c>
      <c r="C210" s="497"/>
      <c r="D210" s="497"/>
      <c r="E210" s="497"/>
      <c r="F210" s="497"/>
      <c r="G210" s="498">
        <f>IF(Uebersetzung!$A$1=1,Bauteile!X210,Bauteile!AF210)</f>
        <v>425</v>
      </c>
      <c r="H210" s="498">
        <f>IF(Uebersetzung!$A$1=1,Bauteile!Y210,Bauteile!AG210)</f>
        <v>8.5000000000000006E-2</v>
      </c>
      <c r="I210" s="498">
        <f>IF(Uebersetzung!$A$1=1,Bauteile!Z210,Bauteile!AH210)</f>
        <v>1.6</v>
      </c>
      <c r="J210" s="27"/>
      <c r="K210" s="118" t="s">
        <v>1010</v>
      </c>
      <c r="L210" s="30"/>
      <c r="M210" s="546"/>
      <c r="N210" s="546"/>
      <c r="O210" s="30"/>
      <c r="P210" s="63">
        <v>2</v>
      </c>
      <c r="Q210" s="63">
        <v>0.05</v>
      </c>
      <c r="R210" s="62">
        <v>0.08</v>
      </c>
      <c r="S210" s="1878"/>
      <c r="T210" s="30"/>
      <c r="U210" s="30"/>
      <c r="V210" s="545"/>
      <c r="W210" s="30"/>
      <c r="X210" s="546"/>
      <c r="Y210" s="546"/>
      <c r="Z210" s="1885"/>
      <c r="AA210" s="1878" t="s">
        <v>3775</v>
      </c>
      <c r="AB210" s="422"/>
      <c r="AC210" s="422"/>
      <c r="AD210" s="422"/>
      <c r="AE210" s="422"/>
      <c r="AF210" s="422">
        <v>425</v>
      </c>
      <c r="AG210" s="63">
        <v>8.5000000000000006E-2</v>
      </c>
      <c r="AH210" s="1886">
        <v>1.6</v>
      </c>
    </row>
    <row r="211" spans="1:34">
      <c r="A211" s="66"/>
      <c r="B211" s="497" t="str">
        <f>IF(Uebersetzung!$A$1=1,Bauteile!S211,Bauteile!AA211)</f>
        <v>Panneau de fibres de bois (N)</v>
      </c>
      <c r="C211" s="497"/>
      <c r="D211" s="497"/>
      <c r="E211" s="497"/>
      <c r="F211" s="497"/>
      <c r="G211" s="498">
        <f>IF(Uebersetzung!$A$1=1,Bauteile!X211,Bauteile!AF211)</f>
        <v>150</v>
      </c>
      <c r="H211" s="498">
        <f>IF(Uebersetzung!$A$1=1,Bauteile!Y211,Bauteile!AG211)</f>
        <v>0.08</v>
      </c>
      <c r="I211" s="498">
        <f>IF(Uebersetzung!$A$1=1,Bauteile!Z211,Bauteile!AH211)</f>
        <v>5</v>
      </c>
      <c r="J211" s="27"/>
      <c r="K211" s="118" t="s">
        <v>2166</v>
      </c>
      <c r="L211" s="30"/>
      <c r="M211" s="546"/>
      <c r="N211" s="546"/>
      <c r="O211" s="30"/>
      <c r="P211" s="63">
        <v>3</v>
      </c>
      <c r="Q211" s="63">
        <v>0.1</v>
      </c>
      <c r="R211" s="62">
        <v>3.5000000000000003E-2</v>
      </c>
      <c r="S211" s="1878" t="s">
        <v>1315</v>
      </c>
      <c r="T211" s="30"/>
      <c r="U211" s="30"/>
      <c r="V211" s="545"/>
      <c r="W211" s="30"/>
      <c r="X211" s="546">
        <v>2600</v>
      </c>
      <c r="Y211" s="546">
        <v>2.2999999999999998</v>
      </c>
      <c r="Z211" s="1474">
        <v>50</v>
      </c>
      <c r="AA211" s="1893" t="s">
        <v>3776</v>
      </c>
      <c r="AB211" s="422"/>
      <c r="AC211" s="422"/>
      <c r="AD211" s="422"/>
      <c r="AE211" s="422"/>
      <c r="AF211" s="422">
        <v>150</v>
      </c>
      <c r="AG211" s="63">
        <v>0.08</v>
      </c>
      <c r="AH211" s="1886">
        <v>5</v>
      </c>
    </row>
    <row r="212" spans="1:34">
      <c r="A212" s="66"/>
      <c r="B212" s="497" t="str">
        <f>IF(Uebersetzung!$A$1=1,Bauteile!S212,Bauteile!AA212)</f>
        <v>Panneau de fibres de bois (U)</v>
      </c>
      <c r="C212" s="497"/>
      <c r="D212" s="497"/>
      <c r="E212" s="497"/>
      <c r="F212" s="497"/>
      <c r="G212" s="498">
        <f>IF(Uebersetzung!$A$1=1,Bauteile!X212,Bauteile!AF212)</f>
        <v>150</v>
      </c>
      <c r="H212" s="498">
        <f>IF(Uebersetzung!$A$1=1,Bauteile!Y212,Bauteile!AG212)</f>
        <v>5.1999999999999998E-2</v>
      </c>
      <c r="I212" s="498">
        <f>IF(Uebersetzung!$A$1=1,Bauteile!Z212,Bauteile!AH212)</f>
        <v>5</v>
      </c>
      <c r="J212" s="27"/>
      <c r="K212" s="118" t="s">
        <v>1528</v>
      </c>
      <c r="L212" s="30"/>
      <c r="M212" s="546"/>
      <c r="N212" s="546"/>
      <c r="O212" s="30"/>
      <c r="P212" s="63">
        <v>3</v>
      </c>
      <c r="Q212" s="63">
        <v>0.1</v>
      </c>
      <c r="R212" s="62">
        <v>0.04</v>
      </c>
      <c r="S212" s="1878" t="s">
        <v>623</v>
      </c>
      <c r="T212" s="30"/>
      <c r="U212" s="30"/>
      <c r="V212" s="545"/>
      <c r="W212" s="30"/>
      <c r="X212" s="546">
        <v>910</v>
      </c>
      <c r="Y212" s="546">
        <v>0.13</v>
      </c>
      <c r="Z212" s="1478">
        <v>10000</v>
      </c>
      <c r="AA212" s="1893" t="s">
        <v>3777</v>
      </c>
      <c r="AB212" s="30"/>
      <c r="AC212" s="30"/>
      <c r="AD212" s="421"/>
      <c r="AE212" s="30"/>
      <c r="AF212" s="422">
        <v>150</v>
      </c>
      <c r="AG212" s="422">
        <v>5.1999999999999998E-2</v>
      </c>
      <c r="AH212" s="1895">
        <v>5</v>
      </c>
    </row>
    <row r="213" spans="1:34">
      <c r="A213" s="66"/>
      <c r="B213" s="497" t="str">
        <f>IF(Uebersetzung!$A$1=1,Bauteile!S213,Bauteile!AA213)</f>
        <v>Panneau de fibres de bois, mi-durs</v>
      </c>
      <c r="C213" s="497"/>
      <c r="D213" s="497"/>
      <c r="E213" s="497"/>
      <c r="F213" s="497"/>
      <c r="G213" s="498">
        <f>IF(Uebersetzung!$A$1=1,Bauteile!X213,Bauteile!AF213)</f>
        <v>650</v>
      </c>
      <c r="H213" s="498">
        <f>IF(Uebersetzung!$A$1=1,Bauteile!Y213,Bauteile!AG213)</f>
        <v>8.5000000000000006E-2</v>
      </c>
      <c r="I213" s="498">
        <f>IF(Uebersetzung!$A$1=1,Bauteile!Z213,Bauteile!AH213)</f>
        <v>13</v>
      </c>
      <c r="J213" s="27"/>
      <c r="K213" s="118" t="s">
        <v>1529</v>
      </c>
      <c r="L213" s="30"/>
      <c r="M213" s="546"/>
      <c r="N213" s="546"/>
      <c r="O213" s="30"/>
      <c r="P213" s="63">
        <v>3</v>
      </c>
      <c r="Q213" s="63">
        <v>0.1</v>
      </c>
      <c r="R213" s="62">
        <v>0.06</v>
      </c>
      <c r="S213" s="1879"/>
      <c r="T213" s="546"/>
      <c r="U213" s="546"/>
      <c r="V213" s="546"/>
      <c r="W213" s="546"/>
      <c r="X213" s="546"/>
      <c r="Y213" s="30"/>
      <c r="Z213" s="1885"/>
      <c r="AA213" s="1878" t="s">
        <v>3778</v>
      </c>
      <c r="AB213" s="30"/>
      <c r="AC213" s="30"/>
      <c r="AD213" s="421"/>
      <c r="AE213" s="30"/>
      <c r="AF213" s="422">
        <v>650</v>
      </c>
      <c r="AG213" s="422">
        <v>8.5000000000000006E-2</v>
      </c>
      <c r="AH213" s="1886">
        <v>13</v>
      </c>
    </row>
    <row r="214" spans="1:34">
      <c r="A214" s="66"/>
      <c r="B214" s="497" t="str">
        <f>IF(Uebersetzung!$A$1=1,Bauteile!S214,Bauteile!AA214)</f>
        <v>Panneau de fibres de bois, poreux</v>
      </c>
      <c r="C214" s="497"/>
      <c r="D214" s="497"/>
      <c r="E214" s="497"/>
      <c r="F214" s="497"/>
      <c r="G214" s="498">
        <f>IF(Uebersetzung!$A$1=1,Bauteile!X214,Bauteile!AF214)</f>
        <v>300</v>
      </c>
      <c r="H214" s="498">
        <f>IF(Uebersetzung!$A$1=1,Bauteile!Y214,Bauteile!AG214)</f>
        <v>0.05</v>
      </c>
      <c r="I214" s="498">
        <f>IF(Uebersetzung!$A$1=1,Bauteile!Z214,Bauteile!AH214)</f>
        <v>4</v>
      </c>
      <c r="J214" s="27"/>
      <c r="K214" s="118" t="s">
        <v>1530</v>
      </c>
      <c r="L214" s="30"/>
      <c r="M214" s="546"/>
      <c r="N214" s="546"/>
      <c r="O214" s="30"/>
      <c r="P214" s="63">
        <v>3</v>
      </c>
      <c r="Q214" s="63">
        <v>0.1</v>
      </c>
      <c r="R214" s="62">
        <v>0.08</v>
      </c>
      <c r="S214" s="1878" t="s">
        <v>17</v>
      </c>
      <c r="T214" s="30"/>
      <c r="U214" s="30"/>
      <c r="V214" s="545"/>
      <c r="W214" s="30"/>
      <c r="X214" s="546">
        <v>90</v>
      </c>
      <c r="Y214" s="546">
        <v>0.08</v>
      </c>
      <c r="Z214" s="1479">
        <v>1.5</v>
      </c>
      <c r="AA214" s="1878" t="s">
        <v>3779</v>
      </c>
      <c r="AB214" s="30"/>
      <c r="AC214" s="30"/>
      <c r="AD214" s="421"/>
      <c r="AE214" s="30"/>
      <c r="AF214" s="422">
        <v>300</v>
      </c>
      <c r="AG214" s="422">
        <v>0.05</v>
      </c>
      <c r="AH214" s="1886">
        <v>4</v>
      </c>
    </row>
    <row r="215" spans="1:34">
      <c r="A215" s="66"/>
      <c r="B215" s="497" t="str">
        <f>IF(Uebersetzung!$A$1=1,Bauteile!S215,Bauteile!AA215)</f>
        <v>Panneau de fibres de lin (N)</v>
      </c>
      <c r="C215" s="497"/>
      <c r="D215" s="497"/>
      <c r="E215" s="497"/>
      <c r="F215" s="497"/>
      <c r="G215" s="498">
        <f>IF(Uebersetzung!$A$1=1,Bauteile!X215,Bauteile!AF215)</f>
        <v>30</v>
      </c>
      <c r="H215" s="498">
        <f>IF(Uebersetzung!$A$1=1,Bauteile!Y215,Bauteile!AG215)</f>
        <v>5.5E-2</v>
      </c>
      <c r="I215" s="498">
        <f>IF(Uebersetzung!$A$1=1,Bauteile!Z215,Bauteile!AH215)</f>
        <v>1.5</v>
      </c>
      <c r="J215" s="27"/>
      <c r="K215" s="118" t="s">
        <v>2167</v>
      </c>
      <c r="L215" s="30"/>
      <c r="M215" s="546"/>
      <c r="N215" s="546"/>
      <c r="O215" s="30"/>
      <c r="P215" s="63">
        <v>3</v>
      </c>
      <c r="Q215" s="63">
        <v>0.08</v>
      </c>
      <c r="R215" s="62">
        <v>0.03</v>
      </c>
      <c r="S215" s="1878" t="s">
        <v>83</v>
      </c>
      <c r="T215" s="30"/>
      <c r="U215" s="30"/>
      <c r="V215" s="545"/>
      <c r="W215" s="30"/>
      <c r="X215" s="546">
        <v>1400</v>
      </c>
      <c r="Y215" s="546">
        <v>1</v>
      </c>
      <c r="Z215" s="1475">
        <v>300000</v>
      </c>
      <c r="AA215" s="1893" t="s">
        <v>3780</v>
      </c>
      <c r="AB215" s="1894"/>
      <c r="AC215" s="1894"/>
      <c r="AD215" s="1894"/>
      <c r="AE215" s="1894"/>
      <c r="AF215" s="422">
        <v>30</v>
      </c>
      <c r="AG215" s="63">
        <v>5.5E-2</v>
      </c>
      <c r="AH215" s="1895">
        <v>1.5</v>
      </c>
    </row>
    <row r="216" spans="1:34">
      <c r="A216" s="66"/>
      <c r="B216" s="497" t="str">
        <f>IF(Uebersetzung!$A$1=1,Bauteile!S216,Bauteile!AA216)</f>
        <v>Panneau en laine de bois (N), lambda 0.11</v>
      </c>
      <c r="C216" s="497"/>
      <c r="D216" s="497"/>
      <c r="E216" s="497"/>
      <c r="F216" s="497"/>
      <c r="G216" s="498">
        <f>IF(Uebersetzung!$A$1=1,Bauteile!X216,Bauteile!AF216)</f>
        <v>90</v>
      </c>
      <c r="H216" s="498">
        <f>IF(Uebersetzung!$A$1=1,Bauteile!Y216,Bauteile!AG216)</f>
        <v>0.11</v>
      </c>
      <c r="I216" s="498">
        <f>IF(Uebersetzung!$A$1=1,Bauteile!Z216,Bauteile!AH216)</f>
        <v>4</v>
      </c>
      <c r="J216" s="27"/>
      <c r="K216" s="118" t="s">
        <v>1516</v>
      </c>
      <c r="L216" s="30"/>
      <c r="M216" s="546"/>
      <c r="N216" s="546"/>
      <c r="O216" s="30"/>
      <c r="P216" s="63">
        <v>3</v>
      </c>
      <c r="Q216" s="63">
        <v>0.08</v>
      </c>
      <c r="R216" s="62">
        <v>0.04</v>
      </c>
      <c r="S216" s="1882" t="s">
        <v>624</v>
      </c>
      <c r="T216" s="546"/>
      <c r="U216" s="546"/>
      <c r="V216" s="546"/>
      <c r="W216" s="546"/>
      <c r="X216" s="546"/>
      <c r="Y216" s="30"/>
      <c r="Z216" s="1885"/>
      <c r="AA216" s="1893" t="s">
        <v>5632</v>
      </c>
      <c r="AB216" s="1894"/>
      <c r="AC216" s="1894"/>
      <c r="AD216" s="1894"/>
      <c r="AE216" s="1894"/>
      <c r="AF216" s="422">
        <v>90</v>
      </c>
      <c r="AG216" s="63">
        <v>0.11</v>
      </c>
      <c r="AH216" s="1886">
        <v>4</v>
      </c>
    </row>
    <row r="217" spans="1:34">
      <c r="A217" s="66"/>
      <c r="B217" s="497" t="str">
        <f>IF(Uebersetzung!$A$1=1,Bauteile!S217,Bauteile!AA217)</f>
        <v>Panneau en laine de bois (U), lambda 0.089</v>
      </c>
      <c r="C217" s="497"/>
      <c r="D217" s="497"/>
      <c r="E217" s="497"/>
      <c r="F217" s="497"/>
      <c r="G217" s="498">
        <f>IF(Uebersetzung!$A$1=1,Bauteile!X217,Bauteile!AF217)</f>
        <v>90</v>
      </c>
      <c r="H217" s="498">
        <f>IF(Uebersetzung!$A$1=1,Bauteile!Y217,Bauteile!AG217)</f>
        <v>8.8999999999999996E-2</v>
      </c>
      <c r="I217" s="498">
        <f>IF(Uebersetzung!$A$1=1,Bauteile!Z217,Bauteile!AH217)</f>
        <v>4</v>
      </c>
      <c r="J217" s="27"/>
      <c r="K217" s="118" t="s">
        <v>1517</v>
      </c>
      <c r="L217" s="30"/>
      <c r="M217" s="546"/>
      <c r="N217" s="546"/>
      <c r="O217" s="30"/>
      <c r="P217" s="63">
        <v>3</v>
      </c>
      <c r="Q217" s="63">
        <v>0.08</v>
      </c>
      <c r="R217" s="62">
        <v>0.06</v>
      </c>
      <c r="S217" s="1893" t="s">
        <v>5623</v>
      </c>
      <c r="T217" s="1877"/>
      <c r="U217" s="1877"/>
      <c r="V217" s="1877"/>
      <c r="W217" s="1877"/>
      <c r="X217" s="546">
        <v>40</v>
      </c>
      <c r="Y217" s="63">
        <v>0.03</v>
      </c>
      <c r="Z217" s="2044">
        <v>60</v>
      </c>
      <c r="AA217" s="1893" t="s">
        <v>3781</v>
      </c>
      <c r="AB217" s="1894"/>
      <c r="AC217" s="1894"/>
      <c r="AD217" s="1894"/>
      <c r="AE217" s="1894"/>
      <c r="AF217" s="422">
        <v>90</v>
      </c>
      <c r="AG217" s="63">
        <v>8.8999999999999996E-2</v>
      </c>
      <c r="AH217" s="1886">
        <v>4</v>
      </c>
    </row>
    <row r="218" spans="1:34">
      <c r="A218" s="66"/>
      <c r="B218" s="497">
        <f>IF(Uebersetzung!$A$1=1,Bauteile!S218,Bauteile!AA218)</f>
        <v>0</v>
      </c>
      <c r="C218" s="497"/>
      <c r="D218" s="497"/>
      <c r="E218" s="497"/>
      <c r="F218" s="497"/>
      <c r="G218" s="498">
        <f>IF(Uebersetzung!$A$1=1,Bauteile!X218,Bauteile!AF218)</f>
        <v>90</v>
      </c>
      <c r="H218" s="498">
        <f>IF(Uebersetzung!$A$1=1,Bauteile!Y218,Bauteile!AG218)</f>
        <v>1</v>
      </c>
      <c r="I218" s="498">
        <f>IF(Uebersetzung!$A$1=1,Bauteile!Z218,Bauteile!AH218)</f>
        <v>5</v>
      </c>
      <c r="J218" s="27"/>
      <c r="K218" s="118" t="s">
        <v>1518</v>
      </c>
      <c r="L218" s="30"/>
      <c r="M218" s="546"/>
      <c r="N218" s="546"/>
      <c r="O218" s="30"/>
      <c r="P218" s="63">
        <v>3</v>
      </c>
      <c r="Q218" s="63">
        <v>0.08</v>
      </c>
      <c r="R218" s="62">
        <v>0.08</v>
      </c>
      <c r="S218" s="1880" t="s">
        <v>2135</v>
      </c>
      <c r="T218" s="1877"/>
      <c r="U218" s="1877"/>
      <c r="V218" s="1877"/>
      <c r="W218" s="1877"/>
      <c r="X218" s="546">
        <v>40</v>
      </c>
      <c r="Y218" s="63">
        <v>2.5999999999999999E-2</v>
      </c>
      <c r="Z218" s="2044">
        <v>60</v>
      </c>
      <c r="AA218" s="1893"/>
      <c r="AB218" s="1894"/>
      <c r="AC218" s="1894"/>
      <c r="AD218" s="1894"/>
      <c r="AE218" s="1894"/>
      <c r="AF218" s="422">
        <v>90</v>
      </c>
      <c r="AG218" s="63">
        <v>1</v>
      </c>
      <c r="AH218" s="1886">
        <v>5</v>
      </c>
    </row>
    <row r="219" spans="1:34">
      <c r="A219" s="66"/>
      <c r="B219" s="497" t="str">
        <f>IF(Uebersetzung!$A$1=1,Bauteile!S219,Bauteile!AA219)</f>
        <v>Panneaux isolants sous vide (VIP)</v>
      </c>
      <c r="C219" s="497"/>
      <c r="D219" s="497"/>
      <c r="E219" s="497"/>
      <c r="F219" s="497"/>
      <c r="G219" s="498">
        <f>IF(Uebersetzung!$A$1=1,Bauteile!X219,Bauteile!AF219)</f>
        <v>180</v>
      </c>
      <c r="H219" s="498">
        <f>IF(Uebersetzung!$A$1=1,Bauteile!Y219,Bauteile!AG219)</f>
        <v>0.02</v>
      </c>
      <c r="I219" s="498">
        <f>IF(Uebersetzung!$A$1=1,Bauteile!Z219,Bauteile!AH219)</f>
        <v>999</v>
      </c>
      <c r="J219" s="27"/>
      <c r="K219" s="118" t="s">
        <v>2168</v>
      </c>
      <c r="L219" s="30"/>
      <c r="M219" s="546"/>
      <c r="N219" s="546"/>
      <c r="O219" s="30"/>
      <c r="P219" s="63">
        <v>3</v>
      </c>
      <c r="Q219" s="63">
        <v>0.05</v>
      </c>
      <c r="R219" s="62">
        <v>0.03</v>
      </c>
      <c r="S219" s="1878" t="s">
        <v>5624</v>
      </c>
      <c r="T219" s="30"/>
      <c r="U219" s="30"/>
      <c r="V219" s="545"/>
      <c r="W219" s="30"/>
      <c r="X219" s="546">
        <v>40</v>
      </c>
      <c r="Y219" s="546">
        <v>3.5000000000000003E-2</v>
      </c>
      <c r="Z219" s="2044">
        <v>100</v>
      </c>
      <c r="AA219" s="1893" t="s">
        <v>5503</v>
      </c>
      <c r="AB219" s="1894"/>
      <c r="AC219" s="1894"/>
      <c r="AD219" s="1894"/>
      <c r="AE219" s="1894"/>
      <c r="AF219" s="422">
        <v>180</v>
      </c>
      <c r="AG219" s="63">
        <v>0.02</v>
      </c>
      <c r="AH219" s="1886">
        <v>999</v>
      </c>
    </row>
    <row r="220" spans="1:34">
      <c r="A220" s="66"/>
      <c r="B220" s="497" t="str">
        <f>IF(Uebersetzung!$A$1=1,Bauteile!S220,Bauteile!AA220)</f>
        <v>Panneau de particules (densité 300)</v>
      </c>
      <c r="C220" s="497"/>
      <c r="D220" s="497"/>
      <c r="E220" s="497"/>
      <c r="F220" s="497"/>
      <c r="G220" s="498">
        <f>IF(Uebersetzung!$A$1=1,Bauteile!X220,Bauteile!AF220)</f>
        <v>300</v>
      </c>
      <c r="H220" s="498">
        <f>IF(Uebersetzung!$A$1=1,Bauteile!Y220,Bauteile!AG220)</f>
        <v>0.1</v>
      </c>
      <c r="I220" s="498">
        <f>IF(Uebersetzung!$A$1=1,Bauteile!Z220,Bauteile!AH220)</f>
        <v>50</v>
      </c>
      <c r="J220" s="27"/>
      <c r="K220" s="118" t="s">
        <v>1369</v>
      </c>
      <c r="L220" s="30"/>
      <c r="M220" s="546"/>
      <c r="N220" s="546"/>
      <c r="O220" s="30"/>
      <c r="P220" s="63">
        <v>3</v>
      </c>
      <c r="Q220" s="63">
        <v>0.05</v>
      </c>
      <c r="R220" s="62">
        <v>0.04</v>
      </c>
      <c r="S220" s="1878" t="s">
        <v>2136</v>
      </c>
      <c r="T220" s="30"/>
      <c r="U220" s="30"/>
      <c r="V220" s="545"/>
      <c r="W220" s="30"/>
      <c r="X220" s="546">
        <v>40</v>
      </c>
      <c r="Y220" s="546">
        <v>3.2000000000000001E-2</v>
      </c>
      <c r="Z220" s="2044">
        <v>100</v>
      </c>
      <c r="AA220" s="1893" t="s">
        <v>3782</v>
      </c>
      <c r="AB220" s="1894"/>
      <c r="AC220" s="1894"/>
      <c r="AD220" s="1894"/>
      <c r="AE220" s="1894"/>
      <c r="AF220" s="422">
        <v>300</v>
      </c>
      <c r="AG220" s="63">
        <v>0.1</v>
      </c>
      <c r="AH220" s="1886">
        <v>50</v>
      </c>
    </row>
    <row r="221" spans="1:34">
      <c r="A221" s="66"/>
      <c r="B221" s="497" t="str">
        <f>IF(Uebersetzung!$A$1=1,Bauteile!S221,Bauteile!AA221)</f>
        <v>Panneau de particules (densité 600)</v>
      </c>
      <c r="C221" s="497"/>
      <c r="D221" s="497"/>
      <c r="E221" s="497"/>
      <c r="F221" s="497"/>
      <c r="G221" s="498">
        <f>IF(Uebersetzung!$A$1=1,Bauteile!X221,Bauteile!AF221)</f>
        <v>600</v>
      </c>
      <c r="H221" s="498">
        <f>IF(Uebersetzung!$A$1=1,Bauteile!Y221,Bauteile!AG221)</f>
        <v>0.14000000000000001</v>
      </c>
      <c r="I221" s="498">
        <f>IF(Uebersetzung!$A$1=1,Bauteile!Z221,Bauteile!AH221)</f>
        <v>50</v>
      </c>
      <c r="J221" s="27"/>
      <c r="K221" s="118" t="s">
        <v>1370</v>
      </c>
      <c r="L221" s="30"/>
      <c r="M221" s="546"/>
      <c r="N221" s="546"/>
      <c r="O221" s="30"/>
      <c r="P221" s="63">
        <v>3</v>
      </c>
      <c r="Q221" s="63">
        <v>0.05</v>
      </c>
      <c r="R221" s="62">
        <v>0.06</v>
      </c>
      <c r="S221" s="1880"/>
      <c r="T221" s="1877"/>
      <c r="U221" s="1877"/>
      <c r="V221" s="1877"/>
      <c r="W221" s="1877"/>
      <c r="X221" s="546"/>
      <c r="Y221" s="63"/>
      <c r="Z221" s="1475"/>
      <c r="AA221" s="1893" t="s">
        <v>3783</v>
      </c>
      <c r="AB221" s="1894"/>
      <c r="AC221" s="1894"/>
      <c r="AD221" s="1894"/>
      <c r="AE221" s="1894"/>
      <c r="AF221" s="422">
        <v>600</v>
      </c>
      <c r="AG221" s="63">
        <v>0.14000000000000001</v>
      </c>
      <c r="AH221" s="1886">
        <v>50</v>
      </c>
    </row>
    <row r="222" spans="1:34">
      <c r="A222" s="66"/>
      <c r="B222" s="497" t="str">
        <f>IF(Uebersetzung!$A$1=1,Bauteile!S222,Bauteile!AA222)</f>
        <v>Panneau de particules (densité 900)</v>
      </c>
      <c r="C222" s="497"/>
      <c r="D222" s="497"/>
      <c r="E222" s="497"/>
      <c r="F222" s="497"/>
      <c r="G222" s="498">
        <f>IF(Uebersetzung!$A$1=1,Bauteile!X222,Bauteile!AF222)</f>
        <v>900</v>
      </c>
      <c r="H222" s="498">
        <f>IF(Uebersetzung!$A$1=1,Bauteile!Y222,Bauteile!AG222)</f>
        <v>0.19</v>
      </c>
      <c r="I222" s="498">
        <f>IF(Uebersetzung!$A$1=1,Bauteile!Z222,Bauteile!AH222)</f>
        <v>50</v>
      </c>
      <c r="J222" s="27"/>
      <c r="K222" s="118" t="s">
        <v>1371</v>
      </c>
      <c r="L222" s="30"/>
      <c r="M222" s="546"/>
      <c r="N222" s="546"/>
      <c r="O222" s="30"/>
      <c r="P222" s="63">
        <v>3</v>
      </c>
      <c r="Q222" s="63">
        <v>0.05</v>
      </c>
      <c r="R222" s="62">
        <v>0.08</v>
      </c>
      <c r="S222" s="1880"/>
      <c r="T222" s="1877"/>
      <c r="U222" s="1877"/>
      <c r="V222" s="1877"/>
      <c r="W222" s="1877"/>
      <c r="X222" s="546"/>
      <c r="Y222" s="63"/>
      <c r="Z222" s="1475"/>
      <c r="AA222" s="1893" t="s">
        <v>3784</v>
      </c>
      <c r="AB222" s="1894"/>
      <c r="AC222" s="1894"/>
      <c r="AD222" s="1894"/>
      <c r="AE222" s="1894"/>
      <c r="AF222" s="422">
        <v>900</v>
      </c>
      <c r="AG222" s="63">
        <v>0.19</v>
      </c>
      <c r="AH222" s="1886">
        <v>50</v>
      </c>
    </row>
    <row r="223" spans="1:34">
      <c r="A223" s="66"/>
      <c r="B223" s="497" t="str">
        <f>IF(Uebersetzung!$A$1=1,Bauteile!S223,Bauteile!AA223)</f>
        <v>Panneau de particules lié au ciment</v>
      </c>
      <c r="C223" s="497"/>
      <c r="D223" s="497"/>
      <c r="E223" s="497"/>
      <c r="F223" s="497"/>
      <c r="G223" s="498">
        <f>IF(Uebersetzung!$A$1=1,Bauteile!X223,Bauteile!AF223)</f>
        <v>1200</v>
      </c>
      <c r="H223" s="498">
        <f>IF(Uebersetzung!$A$1=1,Bauteile!Y223,Bauteile!AG223)</f>
        <v>0.23</v>
      </c>
      <c r="I223" s="498">
        <f>IF(Uebersetzung!$A$1=1,Bauteile!Z223,Bauteile!AH223)</f>
        <v>50</v>
      </c>
      <c r="J223" s="27"/>
      <c r="K223" s="118" t="s">
        <v>2169</v>
      </c>
      <c r="L223" s="30"/>
      <c r="M223" s="546"/>
      <c r="N223" s="546"/>
      <c r="O223" s="30"/>
      <c r="P223" s="63">
        <v>5</v>
      </c>
      <c r="Q223" s="63">
        <v>0.1</v>
      </c>
      <c r="R223" s="62">
        <v>3.5000000000000003E-2</v>
      </c>
      <c r="S223" s="1882" t="s">
        <v>627</v>
      </c>
      <c r="T223" s="546"/>
      <c r="U223" s="546"/>
      <c r="V223" s="546"/>
      <c r="W223" s="546"/>
      <c r="X223" s="546"/>
      <c r="Y223" s="30"/>
      <c r="Z223" s="1885"/>
      <c r="AA223" s="1893" t="s">
        <v>3785</v>
      </c>
      <c r="AB223" s="1894"/>
      <c r="AC223" s="1894"/>
      <c r="AD223" s="1894"/>
      <c r="AE223" s="1894"/>
      <c r="AF223" s="422">
        <v>1200</v>
      </c>
      <c r="AG223" s="63">
        <v>0.23</v>
      </c>
      <c r="AH223" s="1886">
        <v>50</v>
      </c>
    </row>
    <row r="224" spans="1:34">
      <c r="A224" s="66"/>
      <c r="B224" s="497" t="str">
        <f>IF(Uebersetzung!$A$1=1,Bauteile!S224,Bauteile!AA224)</f>
        <v>Panneau dur en fibres de bois</v>
      </c>
      <c r="C224" s="497"/>
      <c r="D224" s="497"/>
      <c r="E224" s="497"/>
      <c r="F224" s="497"/>
      <c r="G224" s="498">
        <f>IF(Uebersetzung!$A$1=1,Bauteile!X224,Bauteile!AF224)</f>
        <v>800</v>
      </c>
      <c r="H224" s="498">
        <f>IF(Uebersetzung!$A$1=1,Bauteile!Y224,Bauteile!AG224)</f>
        <v>0.17</v>
      </c>
      <c r="I224" s="498">
        <f>IF(Uebersetzung!$A$1=1,Bauteile!Z224,Bauteile!AH224)</f>
        <v>65</v>
      </c>
      <c r="J224" s="27"/>
      <c r="K224" s="118" t="s">
        <v>1531</v>
      </c>
      <c r="L224" s="30"/>
      <c r="M224" s="546"/>
      <c r="N224" s="546"/>
      <c r="O224" s="30"/>
      <c r="P224" s="63">
        <v>5</v>
      </c>
      <c r="Q224" s="63">
        <v>0.1</v>
      </c>
      <c r="R224" s="62">
        <v>0.04</v>
      </c>
      <c r="S224" s="1878" t="s">
        <v>628</v>
      </c>
      <c r="T224" s="546"/>
      <c r="U224" s="546"/>
      <c r="V224" s="546"/>
      <c r="W224" s="546"/>
      <c r="X224" s="546">
        <v>20</v>
      </c>
      <c r="Y224" s="63">
        <v>4.4999999999999998E-2</v>
      </c>
      <c r="Z224" s="1479">
        <v>60</v>
      </c>
      <c r="AA224" s="1878" t="s">
        <v>3786</v>
      </c>
      <c r="AB224" s="30"/>
      <c r="AC224" s="30"/>
      <c r="AD224" s="421"/>
      <c r="AE224" s="30"/>
      <c r="AF224" s="422">
        <v>800</v>
      </c>
      <c r="AG224" s="422">
        <v>0.17</v>
      </c>
      <c r="AH224" s="1886">
        <v>65</v>
      </c>
    </row>
    <row r="225" spans="1:34">
      <c r="A225" s="66"/>
      <c r="B225" s="497" t="str">
        <f>IF(Uebersetzung!$A$1=1,Bauteile!S225,Bauteile!AA225)</f>
        <v>Panneau en bois aggloméré, lambda 0.11</v>
      </c>
      <c r="C225" s="497"/>
      <c r="D225" s="497"/>
      <c r="E225" s="497"/>
      <c r="F225" s="497"/>
      <c r="G225" s="498">
        <f>IF(Uebersetzung!$A$1=1,Bauteile!X225,Bauteile!AF225)</f>
        <v>600</v>
      </c>
      <c r="H225" s="498">
        <f>IF(Uebersetzung!$A$1=1,Bauteile!Y225,Bauteile!AG225)</f>
        <v>0.11</v>
      </c>
      <c r="I225" s="498">
        <f>IF(Uebersetzung!$A$1=1,Bauteile!Z225,Bauteile!AH225)</f>
        <v>55</v>
      </c>
      <c r="J225" s="27"/>
      <c r="K225" s="118" t="s">
        <v>1532</v>
      </c>
      <c r="L225" s="30"/>
      <c r="M225" s="546"/>
      <c r="N225" s="546"/>
      <c r="O225" s="30"/>
      <c r="P225" s="63">
        <v>5</v>
      </c>
      <c r="Q225" s="63">
        <v>0.1</v>
      </c>
      <c r="R225" s="62">
        <v>0.06</v>
      </c>
      <c r="S225" s="1878" t="s">
        <v>629</v>
      </c>
      <c r="T225" s="546"/>
      <c r="U225" s="546"/>
      <c r="V225" s="546"/>
      <c r="W225" s="546"/>
      <c r="X225" s="546">
        <v>20</v>
      </c>
      <c r="Y225" s="63">
        <v>4.1000000000000002E-2</v>
      </c>
      <c r="Z225" s="1479">
        <v>60</v>
      </c>
      <c r="AA225" s="1878" t="s">
        <v>3787</v>
      </c>
      <c r="AB225" s="30"/>
      <c r="AC225" s="30"/>
      <c r="AD225" s="421"/>
      <c r="AE225" s="30"/>
      <c r="AF225" s="422">
        <v>600</v>
      </c>
      <c r="AG225" s="422">
        <v>0.11</v>
      </c>
      <c r="AH225" s="1886">
        <v>55</v>
      </c>
    </row>
    <row r="226" spans="1:34">
      <c r="A226" s="66"/>
      <c r="B226" s="497" t="str">
        <f>IF(Uebersetzung!$A$1=1,Bauteile!S226,Bauteile!AA226)</f>
        <v>Panneau en bois aggloméré, lambda 0.15</v>
      </c>
      <c r="C226" s="497"/>
      <c r="D226" s="497"/>
      <c r="E226" s="497"/>
      <c r="F226" s="497"/>
      <c r="G226" s="498">
        <f>IF(Uebersetzung!$A$1=1,Bauteile!X226,Bauteile!AF226)</f>
        <v>700</v>
      </c>
      <c r="H226" s="498">
        <f>IF(Uebersetzung!$A$1=1,Bauteile!Y226,Bauteile!AG226)</f>
        <v>0.15</v>
      </c>
      <c r="I226" s="498">
        <f>IF(Uebersetzung!$A$1=1,Bauteile!Z226,Bauteile!AH226)</f>
        <v>75</v>
      </c>
      <c r="J226" s="27"/>
      <c r="K226" s="118" t="s">
        <v>1533</v>
      </c>
      <c r="L226" s="30"/>
      <c r="M226" s="546"/>
      <c r="N226" s="546"/>
      <c r="O226" s="30"/>
      <c r="P226" s="63">
        <v>5</v>
      </c>
      <c r="Q226" s="63">
        <v>0.1</v>
      </c>
      <c r="R226" s="62">
        <v>0.08</v>
      </c>
      <c r="S226" s="1878" t="s">
        <v>630</v>
      </c>
      <c r="T226" s="30"/>
      <c r="U226" s="30"/>
      <c r="V226" s="545"/>
      <c r="W226" s="30"/>
      <c r="X226" s="546">
        <v>10</v>
      </c>
      <c r="Y226" s="546">
        <v>0.05</v>
      </c>
      <c r="Z226" s="1475">
        <v>60</v>
      </c>
      <c r="AA226" s="1878" t="s">
        <v>3788</v>
      </c>
      <c r="AB226" s="30"/>
      <c r="AC226" s="30"/>
      <c r="AD226" s="421"/>
      <c r="AE226" s="30"/>
      <c r="AF226" s="422">
        <v>700</v>
      </c>
      <c r="AG226" s="422">
        <v>0.15</v>
      </c>
      <c r="AH226" s="1886">
        <v>75</v>
      </c>
    </row>
    <row r="227" spans="1:34">
      <c r="A227" s="66"/>
      <c r="B227" s="497" t="str">
        <f>IF(Uebersetzung!$A$1=1,Bauteile!S227,Bauteile!AA227)</f>
        <v>Panneau isolant, copeaux de bois aggl. cim.</v>
      </c>
      <c r="C227" s="497"/>
      <c r="D227" s="497"/>
      <c r="E227" s="497"/>
      <c r="F227" s="497"/>
      <c r="G227" s="498">
        <f>IF(Uebersetzung!$A$1=1,Bauteile!X227,Bauteile!AF227)</f>
        <v>700</v>
      </c>
      <c r="H227" s="498">
        <f>IF(Uebersetzung!$A$1=1,Bauteile!Y227,Bauteile!AG227)</f>
        <v>0.12</v>
      </c>
      <c r="I227" s="498">
        <f>IF(Uebersetzung!$A$1=1,Bauteile!Z227,Bauteile!AH227)</f>
        <v>7</v>
      </c>
      <c r="J227" s="27"/>
      <c r="K227" s="118" t="s">
        <v>2170</v>
      </c>
      <c r="L227" s="30"/>
      <c r="M227" s="546"/>
      <c r="N227" s="546"/>
      <c r="O227" s="30"/>
      <c r="P227" s="63">
        <v>5</v>
      </c>
      <c r="Q227" s="63">
        <v>0.08</v>
      </c>
      <c r="R227" s="62">
        <v>0.03</v>
      </c>
      <c r="S227" s="1878" t="s">
        <v>631</v>
      </c>
      <c r="T227" s="30"/>
      <c r="U227" s="30"/>
      <c r="V227" s="545"/>
      <c r="W227" s="30"/>
      <c r="X227" s="546">
        <v>10</v>
      </c>
      <c r="Y227" s="546">
        <v>4.5999999999999999E-2</v>
      </c>
      <c r="Z227" s="1477">
        <v>60</v>
      </c>
      <c r="AA227" s="1878" t="s">
        <v>3789</v>
      </c>
      <c r="AB227" s="30"/>
      <c r="AC227" s="30"/>
      <c r="AD227" s="421"/>
      <c r="AE227" s="30"/>
      <c r="AF227" s="422">
        <v>700</v>
      </c>
      <c r="AG227" s="422">
        <v>0.12</v>
      </c>
      <c r="AH227" s="1886">
        <v>7</v>
      </c>
    </row>
    <row r="228" spans="1:34">
      <c r="A228" s="66"/>
      <c r="B228" s="497" t="str">
        <f>IF(Uebersetzung!$A$1=1,Bauteile!S228,Bauteile!AA228)</f>
        <v>Pâte de plâtre, lambda 0.58</v>
      </c>
      <c r="C228" s="497"/>
      <c r="D228" s="497"/>
      <c r="E228" s="497"/>
      <c r="F228" s="497"/>
      <c r="G228" s="498">
        <f>IF(Uebersetzung!$A$1=1,Bauteile!X228,Bauteile!AF228)</f>
        <v>1200</v>
      </c>
      <c r="H228" s="498">
        <f>IF(Uebersetzung!$A$1=1,Bauteile!Y228,Bauteile!AG228)</f>
        <v>0.57999999999999996</v>
      </c>
      <c r="I228" s="498">
        <f>IF(Uebersetzung!$A$1=1,Bauteile!Z228,Bauteile!AH228)</f>
        <v>10</v>
      </c>
      <c r="J228" s="27"/>
      <c r="K228" s="118" t="s">
        <v>1519</v>
      </c>
      <c r="L228" s="30"/>
      <c r="M228" s="546"/>
      <c r="N228" s="546"/>
      <c r="O228" s="30"/>
      <c r="P228" s="63">
        <v>5</v>
      </c>
      <c r="Q228" s="63">
        <v>0.08</v>
      </c>
      <c r="R228" s="62">
        <v>0.04</v>
      </c>
      <c r="S228" s="1882" t="s">
        <v>632</v>
      </c>
      <c r="T228" s="1877"/>
      <c r="U228" s="1877"/>
      <c r="V228" s="1877"/>
      <c r="W228" s="1877"/>
      <c r="X228" s="546"/>
      <c r="Y228" s="30"/>
      <c r="Z228" s="1885"/>
      <c r="AA228" s="1878" t="s">
        <v>3790</v>
      </c>
      <c r="AB228" s="30"/>
      <c r="AC228" s="30"/>
      <c r="AD228" s="421"/>
      <c r="AE228" s="30"/>
      <c r="AF228" s="422">
        <v>1200</v>
      </c>
      <c r="AG228" s="422">
        <v>0.57999999999999996</v>
      </c>
      <c r="AH228" s="1886">
        <v>10</v>
      </c>
    </row>
    <row r="229" spans="1:34">
      <c r="A229" s="66"/>
      <c r="B229" s="497" t="str">
        <f>IF(Uebersetzung!$A$1=1,Bauteile!S229,Bauteile!AA229)</f>
        <v>Pâte de plâtre, lambda 0.7</v>
      </c>
      <c r="C229" s="497"/>
      <c r="D229" s="497"/>
      <c r="E229" s="497"/>
      <c r="F229" s="497"/>
      <c r="G229" s="498">
        <f>IF(Uebersetzung!$A$1=1,Bauteile!X229,Bauteile!AF229)</f>
        <v>1400</v>
      </c>
      <c r="H229" s="498">
        <f>IF(Uebersetzung!$A$1=1,Bauteile!Y229,Bauteile!AG229)</f>
        <v>0.7</v>
      </c>
      <c r="I229" s="498">
        <f>IF(Uebersetzung!$A$1=1,Bauteile!Z229,Bauteile!AH229)</f>
        <v>20</v>
      </c>
      <c r="J229" s="27"/>
      <c r="K229" s="118" t="s">
        <v>1520</v>
      </c>
      <c r="L229" s="30"/>
      <c r="M229" s="546"/>
      <c r="N229" s="546"/>
      <c r="O229" s="30"/>
      <c r="P229" s="63">
        <v>5</v>
      </c>
      <c r="Q229" s="63">
        <v>0.08</v>
      </c>
      <c r="R229" s="62">
        <v>0.06</v>
      </c>
      <c r="S229" s="1893" t="s">
        <v>5620</v>
      </c>
      <c r="T229" s="1877"/>
      <c r="U229" s="1877"/>
      <c r="V229" s="1877"/>
      <c r="W229" s="1877"/>
      <c r="X229" s="546">
        <v>45</v>
      </c>
      <c r="Y229" s="63">
        <v>4.4999999999999998E-2</v>
      </c>
      <c r="Z229" s="1479">
        <v>150</v>
      </c>
      <c r="AA229" s="1878" t="s">
        <v>3791</v>
      </c>
      <c r="AB229" s="30"/>
      <c r="AC229" s="30"/>
      <c r="AD229" s="421"/>
      <c r="AE229" s="30"/>
      <c r="AF229" s="422">
        <v>1400</v>
      </c>
      <c r="AG229" s="422">
        <v>0.7</v>
      </c>
      <c r="AH229" s="1886">
        <v>20</v>
      </c>
    </row>
    <row r="230" spans="1:34">
      <c r="A230" s="66"/>
      <c r="B230" s="497" t="str">
        <f>IF(Uebersetzung!$A$1=1,Bauteile!S230,Bauteile!AA230)</f>
        <v>Perlite, vermiculite, en vrac (N)</v>
      </c>
      <c r="C230" s="497"/>
      <c r="D230" s="497"/>
      <c r="E230" s="497"/>
      <c r="F230" s="497"/>
      <c r="G230" s="498">
        <f>IF(Uebersetzung!$A$1=1,Bauteile!X230,Bauteile!AF230)</f>
        <v>90</v>
      </c>
      <c r="H230" s="498">
        <f>IF(Uebersetzung!$A$1=1,Bauteile!Y230,Bauteile!AG230)</f>
        <v>0.08</v>
      </c>
      <c r="I230" s="498">
        <f>IF(Uebersetzung!$A$1=1,Bauteile!Z230,Bauteile!AH230)</f>
        <v>1.5</v>
      </c>
      <c r="J230" s="27"/>
      <c r="K230" s="118" t="s">
        <v>1521</v>
      </c>
      <c r="L230" s="30"/>
      <c r="M230" s="546"/>
      <c r="N230" s="546"/>
      <c r="O230" s="30"/>
      <c r="P230" s="63">
        <v>5</v>
      </c>
      <c r="Q230" s="63">
        <v>0.08</v>
      </c>
      <c r="R230" s="62">
        <v>0.08</v>
      </c>
      <c r="S230" s="1893" t="s">
        <v>5621</v>
      </c>
      <c r="T230" s="1877"/>
      <c r="U230" s="1877"/>
      <c r="V230" s="1877"/>
      <c r="W230" s="1877"/>
      <c r="X230" s="546">
        <v>45</v>
      </c>
      <c r="Y230" s="63">
        <v>4.1000000000000002E-2</v>
      </c>
      <c r="Z230" s="1475">
        <v>150</v>
      </c>
      <c r="AA230" s="1878" t="s">
        <v>3792</v>
      </c>
      <c r="AB230" s="30"/>
      <c r="AC230" s="30"/>
      <c r="AD230" s="421"/>
      <c r="AE230" s="30"/>
      <c r="AF230" s="422">
        <v>90</v>
      </c>
      <c r="AG230" s="422">
        <v>0.08</v>
      </c>
      <c r="AH230" s="1895">
        <v>1.5</v>
      </c>
    </row>
    <row r="231" spans="1:34">
      <c r="A231" s="66"/>
      <c r="B231" s="497" t="str">
        <f>IF(Uebersetzung!$A$1=1,Bauteile!S231,Bauteile!AA231)</f>
        <v>Planches de roseaux (N)</v>
      </c>
      <c r="C231" s="497"/>
      <c r="D231" s="497"/>
      <c r="E231" s="497"/>
      <c r="F231" s="497"/>
      <c r="G231" s="498">
        <f>IF(Uebersetzung!$A$1=1,Bauteile!X231,Bauteile!AF231)</f>
        <v>175</v>
      </c>
      <c r="H231" s="498">
        <f>IF(Uebersetzung!$A$1=1,Bauteile!Y231,Bauteile!AG231)</f>
        <v>7.1999999999999995E-2</v>
      </c>
      <c r="I231" s="498">
        <f>IF(Uebersetzung!$A$1=1,Bauteile!Z231,Bauteile!AH231)</f>
        <v>1.5</v>
      </c>
      <c r="J231" s="27"/>
      <c r="K231" s="118" t="s">
        <v>2171</v>
      </c>
      <c r="L231" s="30"/>
      <c r="M231" s="546"/>
      <c r="N231" s="546"/>
      <c r="O231" s="30"/>
      <c r="P231" s="63">
        <v>5</v>
      </c>
      <c r="Q231" s="63">
        <v>0.05</v>
      </c>
      <c r="R231" s="62">
        <v>0.03</v>
      </c>
      <c r="S231" s="1893" t="s">
        <v>5622</v>
      </c>
      <c r="T231" s="1877"/>
      <c r="U231" s="1877"/>
      <c r="V231" s="1877"/>
      <c r="W231" s="1877"/>
      <c r="X231" s="546">
        <v>45</v>
      </c>
      <c r="Y231" s="63">
        <v>3.3000000000000002E-2</v>
      </c>
      <c r="Z231" s="1475">
        <v>150</v>
      </c>
      <c r="AA231" s="1878" t="s">
        <v>3793</v>
      </c>
      <c r="AB231" s="30"/>
      <c r="AC231" s="30"/>
      <c r="AD231" s="421"/>
      <c r="AE231" s="30"/>
      <c r="AF231" s="422">
        <v>175</v>
      </c>
      <c r="AG231" s="422">
        <v>7.1999999999999995E-2</v>
      </c>
      <c r="AH231" s="1895">
        <v>1.5</v>
      </c>
    </row>
    <row r="232" spans="1:34">
      <c r="A232" s="66"/>
      <c r="B232" s="497" t="str">
        <f>IF(Uebersetzung!$A$1=1,Bauteile!S232,Bauteile!AA232)</f>
        <v>Planelles céramiques</v>
      </c>
      <c r="C232" s="497"/>
      <c r="D232" s="497"/>
      <c r="E232" s="497"/>
      <c r="F232" s="497"/>
      <c r="G232" s="498">
        <f>IF(Uebersetzung!$A$1=1,Bauteile!X232,Bauteile!AF232)</f>
        <v>1900</v>
      </c>
      <c r="H232" s="498">
        <f>IF(Uebersetzung!$A$1=1,Bauteile!Y232,Bauteile!AG232)</f>
        <v>1</v>
      </c>
      <c r="I232" s="498">
        <f>IF(Uebersetzung!$A$1=1,Bauteile!Z232,Bauteile!AH232)</f>
        <v>200</v>
      </c>
      <c r="J232" s="27"/>
      <c r="K232" s="118" t="s">
        <v>1508</v>
      </c>
      <c r="L232" s="30"/>
      <c r="M232" s="546"/>
      <c r="N232" s="546"/>
      <c r="O232" s="30"/>
      <c r="P232" s="63">
        <v>5</v>
      </c>
      <c r="Q232" s="63">
        <v>0.05</v>
      </c>
      <c r="R232" s="62">
        <v>0.04</v>
      </c>
      <c r="S232" s="1880"/>
      <c r="T232" s="1877"/>
      <c r="U232" s="1877"/>
      <c r="V232" s="1877"/>
      <c r="W232" s="1877"/>
      <c r="X232" s="546"/>
      <c r="Y232" s="63"/>
      <c r="Z232" s="1475"/>
      <c r="AA232" s="1878" t="s">
        <v>3794</v>
      </c>
      <c r="AB232" s="30"/>
      <c r="AC232" s="30"/>
      <c r="AD232" s="421"/>
      <c r="AE232" s="30"/>
      <c r="AF232" s="422">
        <v>1900</v>
      </c>
      <c r="AG232" s="422">
        <v>1</v>
      </c>
      <c r="AH232" s="1886">
        <v>200</v>
      </c>
    </row>
    <row r="233" spans="1:34">
      <c r="A233" s="66"/>
      <c r="B233" s="497" t="str">
        <f>IF(Uebersetzung!$A$1=1,Bauteile!S233,Bauteile!AA233)</f>
        <v>Planelles de klinker</v>
      </c>
      <c r="C233" s="497"/>
      <c r="D233" s="497"/>
      <c r="E233" s="497"/>
      <c r="F233" s="497"/>
      <c r="G233" s="498">
        <f>IF(Uebersetzung!$A$1=1,Bauteile!X233,Bauteile!AF233)</f>
        <v>1900</v>
      </c>
      <c r="H233" s="498">
        <f>IF(Uebersetzung!$A$1=1,Bauteile!Y233,Bauteile!AG233)</f>
        <v>1.05</v>
      </c>
      <c r="I233" s="498">
        <f>IF(Uebersetzung!$A$1=1,Bauteile!Z233,Bauteile!AH233)</f>
        <v>100</v>
      </c>
      <c r="J233" s="27"/>
      <c r="K233" s="118" t="s">
        <v>1509</v>
      </c>
      <c r="L233" s="30"/>
      <c r="M233" s="546"/>
      <c r="N233" s="546"/>
      <c r="O233" s="30"/>
      <c r="P233" s="63">
        <v>5</v>
      </c>
      <c r="Q233" s="63">
        <v>0.05</v>
      </c>
      <c r="R233" s="62">
        <v>0.06</v>
      </c>
      <c r="S233" s="1882" t="s">
        <v>633</v>
      </c>
      <c r="T233" s="1877"/>
      <c r="U233" s="1877"/>
      <c r="V233" s="1877"/>
      <c r="W233" s="1877"/>
      <c r="X233" s="546"/>
      <c r="Y233" s="30"/>
      <c r="Z233" s="1885"/>
      <c r="AA233" s="1878" t="s">
        <v>3795</v>
      </c>
      <c r="AB233" s="30"/>
      <c r="AC233" s="30"/>
      <c r="AD233" s="421"/>
      <c r="AE233" s="30"/>
      <c r="AF233" s="422">
        <v>1900</v>
      </c>
      <c r="AG233" s="422">
        <v>1.05</v>
      </c>
      <c r="AH233" s="1886">
        <v>100</v>
      </c>
    </row>
    <row r="234" spans="1:34">
      <c r="A234" s="66"/>
      <c r="B234" s="497" t="str">
        <f>IF(Uebersetzung!$A$1=1,Bauteile!S234,Bauteile!AA234)</f>
        <v>Planelles isolantes</v>
      </c>
      <c r="C234" s="497"/>
      <c r="D234" s="497"/>
      <c r="E234" s="497"/>
      <c r="F234" s="497"/>
      <c r="G234" s="498">
        <f>IF(Uebersetzung!$A$1=1,Bauteile!X234,Bauteile!AF234)</f>
        <v>1100</v>
      </c>
      <c r="H234" s="498">
        <f>IF(Uebersetzung!$A$1=1,Bauteile!Y234,Bauteile!AG234)</f>
        <v>0.44</v>
      </c>
      <c r="I234" s="498">
        <f>IF(Uebersetzung!$A$1=1,Bauteile!Z234,Bauteile!AH234)</f>
        <v>5</v>
      </c>
      <c r="J234" s="27"/>
      <c r="K234" s="118" t="s">
        <v>1510</v>
      </c>
      <c r="L234" s="30"/>
      <c r="M234" s="546"/>
      <c r="N234" s="546"/>
      <c r="O234" s="30"/>
      <c r="P234" s="63">
        <v>5</v>
      </c>
      <c r="Q234" s="63">
        <v>0.05</v>
      </c>
      <c r="R234" s="62">
        <v>0.08</v>
      </c>
      <c r="S234" s="1893" t="s">
        <v>5625</v>
      </c>
      <c r="T234" s="1877"/>
      <c r="U234" s="1877"/>
      <c r="V234" s="1877"/>
      <c r="W234" s="1877"/>
      <c r="X234" s="546">
        <v>30</v>
      </c>
      <c r="Y234" s="63">
        <v>0.03</v>
      </c>
      <c r="Z234" s="2044">
        <v>60</v>
      </c>
      <c r="AA234" s="1878" t="s">
        <v>3796</v>
      </c>
      <c r="AB234" s="30"/>
      <c r="AC234" s="30"/>
      <c r="AD234" s="421"/>
      <c r="AE234" s="30"/>
      <c r="AF234" s="422">
        <v>1100</v>
      </c>
      <c r="AG234" s="422">
        <v>0.44</v>
      </c>
      <c r="AH234" s="1886">
        <v>5</v>
      </c>
    </row>
    <row r="235" spans="1:34">
      <c r="A235" s="66"/>
      <c r="B235" s="497" t="str">
        <f>IF(Uebersetzung!$A$1=1,Bauteile!S235,Bauteile!AA235)</f>
        <v>Plaques de béton</v>
      </c>
      <c r="C235" s="497"/>
      <c r="D235" s="497"/>
      <c r="E235" s="497"/>
      <c r="F235" s="497"/>
      <c r="G235" s="498">
        <f>IF(Uebersetzung!$A$1=1,Bauteile!X235,Bauteile!AF235)</f>
        <v>2400</v>
      </c>
      <c r="H235" s="498">
        <f>IF(Uebersetzung!$A$1=1,Bauteile!Y235,Bauteile!AG235)</f>
        <v>1.48</v>
      </c>
      <c r="I235" s="498">
        <f>IF(Uebersetzung!$A$1=1,Bauteile!Z235,Bauteile!AH235)</f>
        <v>8</v>
      </c>
      <c r="J235" s="27"/>
      <c r="K235" s="118" t="s">
        <v>2329</v>
      </c>
      <c r="L235" s="30"/>
      <c r="M235" s="546"/>
      <c r="N235" s="546"/>
      <c r="O235" s="30"/>
      <c r="P235" s="63">
        <v>8</v>
      </c>
      <c r="Q235" s="63">
        <v>0.1</v>
      </c>
      <c r="R235" s="62">
        <v>3.5000000000000003E-2</v>
      </c>
      <c r="S235" s="1880" t="s">
        <v>625</v>
      </c>
      <c r="T235" s="1877"/>
      <c r="U235" s="1877"/>
      <c r="V235" s="1877"/>
      <c r="W235" s="1877"/>
      <c r="X235" s="546">
        <v>30</v>
      </c>
      <c r="Y235" s="63">
        <v>2.5999999999999999E-2</v>
      </c>
      <c r="Z235" s="2044">
        <v>60</v>
      </c>
      <c r="AA235" s="1878" t="s">
        <v>3797</v>
      </c>
      <c r="AB235" s="30"/>
      <c r="AC235" s="30"/>
      <c r="AD235" s="421"/>
      <c r="AE235" s="30"/>
      <c r="AF235" s="422">
        <v>2400</v>
      </c>
      <c r="AG235" s="422">
        <v>1.48</v>
      </c>
      <c r="AH235" s="1886">
        <v>8</v>
      </c>
    </row>
    <row r="236" spans="1:34">
      <c r="A236" s="66"/>
      <c r="B236" s="497" t="str">
        <f>IF(Uebersetzung!$A$1=1,Bauteile!S236,Bauteile!AA236)</f>
        <v>Plaques de marbre</v>
      </c>
      <c r="C236" s="497"/>
      <c r="D236" s="497"/>
      <c r="E236" s="497"/>
      <c r="F236" s="497"/>
      <c r="G236" s="498">
        <f>IF(Uebersetzung!$A$1=1,Bauteile!X236,Bauteile!AF236)</f>
        <v>2700</v>
      </c>
      <c r="H236" s="498">
        <f>IF(Uebersetzung!$A$1=1,Bauteile!Y236,Bauteile!AG236)</f>
        <v>3.5</v>
      </c>
      <c r="I236" s="498">
        <f>IF(Uebersetzung!$A$1=1,Bauteile!Z236,Bauteile!AH236)</f>
        <v>100</v>
      </c>
      <c r="J236" s="27"/>
      <c r="K236" s="118" t="s">
        <v>1534</v>
      </c>
      <c r="L236" s="30"/>
      <c r="M236" s="546"/>
      <c r="N236" s="546"/>
      <c r="O236" s="30"/>
      <c r="P236" s="63">
        <v>8</v>
      </c>
      <c r="Q236" s="63">
        <v>0.1</v>
      </c>
      <c r="R236" s="62">
        <v>0.04</v>
      </c>
      <c r="S236" s="1878" t="s">
        <v>5626</v>
      </c>
      <c r="T236" s="30"/>
      <c r="U236" s="30"/>
      <c r="V236" s="545"/>
      <c r="W236" s="30"/>
      <c r="X236" s="546">
        <v>30</v>
      </c>
      <c r="Y236" s="546">
        <v>3.5000000000000003E-2</v>
      </c>
      <c r="Z236" s="2044">
        <v>100</v>
      </c>
      <c r="AA236" s="1878" t="s">
        <v>3798</v>
      </c>
      <c r="AB236" s="30"/>
      <c r="AC236" s="30"/>
      <c r="AD236" s="421"/>
      <c r="AE236" s="30"/>
      <c r="AF236" s="422">
        <v>2700</v>
      </c>
      <c r="AG236" s="422">
        <v>3.5</v>
      </c>
      <c r="AH236" s="1886">
        <v>100</v>
      </c>
    </row>
    <row r="237" spans="1:34">
      <c r="B237" s="497" t="str">
        <f>IF(Uebersetzung!$A$1=1,Bauteile!S237,Bauteile!AA237)</f>
        <v>Plâtre (densité 600)</v>
      </c>
      <c r="C237" s="497"/>
      <c r="D237" s="497"/>
      <c r="E237" s="497"/>
      <c r="F237" s="497"/>
      <c r="G237" s="498">
        <f>IF(Uebersetzung!$A$1=1,Bauteile!X237,Bauteile!AF237)</f>
        <v>600</v>
      </c>
      <c r="H237" s="498">
        <f>IF(Uebersetzung!$A$1=1,Bauteile!Y237,Bauteile!AG237)</f>
        <v>0.18</v>
      </c>
      <c r="I237" s="498">
        <f>IF(Uebersetzung!$A$1=1,Bauteile!Z237,Bauteile!AH237)</f>
        <v>10</v>
      </c>
      <c r="J237" s="27"/>
      <c r="K237" s="118" t="s">
        <v>2159</v>
      </c>
      <c r="L237" s="30"/>
      <c r="M237" s="546"/>
      <c r="N237" s="546"/>
      <c r="O237" s="30"/>
      <c r="P237" s="63">
        <v>8</v>
      </c>
      <c r="Q237" s="63">
        <v>0.1</v>
      </c>
      <c r="R237" s="62">
        <v>0.06</v>
      </c>
      <c r="S237" s="1878" t="s">
        <v>626</v>
      </c>
      <c r="T237" s="30"/>
      <c r="U237" s="30"/>
      <c r="V237" s="545"/>
      <c r="W237" s="30"/>
      <c r="X237" s="546">
        <v>30</v>
      </c>
      <c r="Y237" s="546">
        <v>3.2000000000000001E-2</v>
      </c>
      <c r="Z237" s="2044">
        <v>100</v>
      </c>
      <c r="AA237" s="1878" t="s">
        <v>3799</v>
      </c>
      <c r="AB237" s="30"/>
      <c r="AC237" s="30"/>
      <c r="AD237" s="421"/>
      <c r="AE237" s="30"/>
      <c r="AF237" s="422">
        <v>600</v>
      </c>
      <c r="AG237" s="422">
        <v>0.18</v>
      </c>
      <c r="AH237" s="1897">
        <v>10</v>
      </c>
    </row>
    <row r="238" spans="1:34">
      <c r="B238" s="497" t="str">
        <f>IF(Uebersetzung!$A$1=1,Bauteile!S238,Bauteile!AA238)</f>
        <v>Plâtre (densité 900)</v>
      </c>
      <c r="C238" s="497"/>
      <c r="D238" s="497"/>
      <c r="E238" s="497"/>
      <c r="F238" s="497"/>
      <c r="G238" s="498">
        <f>IF(Uebersetzung!$A$1=1,Bauteile!X238,Bauteile!AF238)</f>
        <v>900</v>
      </c>
      <c r="H238" s="498">
        <f>IF(Uebersetzung!$A$1=1,Bauteile!Y238,Bauteile!AG238)</f>
        <v>0.3</v>
      </c>
      <c r="I238" s="498">
        <f>IF(Uebersetzung!$A$1=1,Bauteile!Z238,Bauteile!AH238)</f>
        <v>10</v>
      </c>
      <c r="J238" s="27"/>
      <c r="K238" s="118" t="s">
        <v>2160</v>
      </c>
      <c r="L238" s="30"/>
      <c r="M238" s="546"/>
      <c r="N238" s="546"/>
      <c r="O238" s="30"/>
      <c r="P238" s="63">
        <v>8</v>
      </c>
      <c r="Q238" s="63">
        <v>0.1</v>
      </c>
      <c r="R238" s="62">
        <v>0.08</v>
      </c>
      <c r="S238" s="1880"/>
      <c r="T238" s="1877"/>
      <c r="U238" s="1877"/>
      <c r="V238" s="1877"/>
      <c r="W238" s="1877"/>
      <c r="X238" s="546"/>
      <c r="Y238" s="63"/>
      <c r="Z238" s="1475"/>
      <c r="AA238" s="1878" t="s">
        <v>3800</v>
      </c>
      <c r="AB238" s="30"/>
      <c r="AC238" s="30"/>
      <c r="AD238" s="421"/>
      <c r="AE238" s="30"/>
      <c r="AF238" s="422">
        <v>900</v>
      </c>
      <c r="AG238" s="422">
        <v>0.3</v>
      </c>
      <c r="AH238" s="1897">
        <v>10</v>
      </c>
    </row>
    <row r="239" spans="1:34">
      <c r="B239" s="497" t="str">
        <f>IF(Uebersetzung!$A$1=1,Bauteile!S239,Bauteile!AA239)</f>
        <v>Plâtre (densité 1200)</v>
      </c>
      <c r="C239" s="497"/>
      <c r="D239" s="497"/>
      <c r="E239" s="497"/>
      <c r="F239" s="497"/>
      <c r="G239" s="498">
        <f>IF(Uebersetzung!$A$1=1,Bauteile!X239,Bauteile!AF239)</f>
        <v>1200</v>
      </c>
      <c r="H239" s="498">
        <f>IF(Uebersetzung!$A$1=1,Bauteile!Y239,Bauteile!AG239)</f>
        <v>0.43</v>
      </c>
      <c r="I239" s="498">
        <f>IF(Uebersetzung!$A$1=1,Bauteile!Z239,Bauteile!AH239)</f>
        <v>10</v>
      </c>
      <c r="J239" s="27"/>
      <c r="K239" s="118" t="s">
        <v>2330</v>
      </c>
      <c r="L239" s="30"/>
      <c r="M239" s="546"/>
      <c r="N239" s="546"/>
      <c r="O239" s="30"/>
      <c r="P239" s="63">
        <v>8</v>
      </c>
      <c r="Q239" s="63">
        <v>0.08</v>
      </c>
      <c r="R239" s="62">
        <v>0.03</v>
      </c>
      <c r="S239" s="1880"/>
      <c r="T239" s="1877"/>
      <c r="U239" s="1877"/>
      <c r="V239" s="1877"/>
      <c r="W239" s="1877"/>
      <c r="X239" s="546"/>
      <c r="Y239" s="63"/>
      <c r="Z239" s="1475"/>
      <c r="AA239" s="1878" t="s">
        <v>3801</v>
      </c>
      <c r="AB239" s="30"/>
      <c r="AC239" s="30"/>
      <c r="AD239" s="421"/>
      <c r="AE239" s="30"/>
      <c r="AF239" s="422">
        <v>1200</v>
      </c>
      <c r="AG239" s="422">
        <v>0.43</v>
      </c>
      <c r="AH239" s="1897">
        <v>10</v>
      </c>
    </row>
    <row r="240" spans="1:34">
      <c r="B240" s="497" t="str">
        <f>IF(Uebersetzung!$A$1=1,Bauteile!S240,Bauteile!AA240)</f>
        <v>Plâtre (densité 1500)</v>
      </c>
      <c r="C240" s="497"/>
      <c r="D240" s="497"/>
      <c r="E240" s="497"/>
      <c r="F240" s="497"/>
      <c r="G240" s="498">
        <f>IF(Uebersetzung!$A$1=1,Bauteile!X240,Bauteile!AF240)</f>
        <v>1500</v>
      </c>
      <c r="H240" s="498">
        <f>IF(Uebersetzung!$A$1=1,Bauteile!Y240,Bauteile!AG240)</f>
        <v>0.56000000000000005</v>
      </c>
      <c r="I240" s="498">
        <f>IF(Uebersetzung!$A$1=1,Bauteile!Z240,Bauteile!AH240)</f>
        <v>10</v>
      </c>
      <c r="J240" s="27"/>
      <c r="K240" s="118" t="s">
        <v>1522</v>
      </c>
      <c r="L240" s="30"/>
      <c r="M240" s="546"/>
      <c r="N240" s="546"/>
      <c r="O240" s="30"/>
      <c r="P240" s="63">
        <v>8</v>
      </c>
      <c r="Q240" s="63">
        <v>0.08</v>
      </c>
      <c r="R240" s="62">
        <v>0.04</v>
      </c>
      <c r="S240" s="1880" t="s">
        <v>102</v>
      </c>
      <c r="T240" s="1877"/>
      <c r="U240" s="1877"/>
      <c r="V240" s="1877"/>
      <c r="W240" s="1877"/>
      <c r="X240" s="546">
        <v>1400</v>
      </c>
      <c r="Y240" s="63">
        <v>1</v>
      </c>
      <c r="Z240" s="1475">
        <v>35000</v>
      </c>
      <c r="AA240" s="1878" t="s">
        <v>3802</v>
      </c>
      <c r="AB240" s="30"/>
      <c r="AC240" s="30"/>
      <c r="AD240" s="421"/>
      <c r="AE240" s="30"/>
      <c r="AF240" s="422">
        <v>1500</v>
      </c>
      <c r="AG240" s="422">
        <v>0.56000000000000005</v>
      </c>
      <c r="AH240" s="1897">
        <v>10</v>
      </c>
    </row>
    <row r="241" spans="1:34">
      <c r="B241" s="497" t="str">
        <f>IF(Uebersetzung!$A$1=1,Bauteile!S241,Bauteile!AA241)</f>
        <v>Placoplâtre</v>
      </c>
      <c r="C241" s="497"/>
      <c r="D241" s="497"/>
      <c r="E241" s="497"/>
      <c r="F241" s="497"/>
      <c r="G241" s="498">
        <f>IF(Uebersetzung!$A$1=1,Bauteile!X241,Bauteile!AF241)</f>
        <v>900</v>
      </c>
      <c r="H241" s="498">
        <f>IF(Uebersetzung!$A$1=1,Bauteile!Y241,Bauteile!AG241)</f>
        <v>0.21</v>
      </c>
      <c r="I241" s="498">
        <f>IF(Uebersetzung!$A$1=1,Bauteile!Z241,Bauteile!AH241)</f>
        <v>7.5</v>
      </c>
      <c r="J241" s="27"/>
      <c r="K241" s="118" t="s">
        <v>1523</v>
      </c>
      <c r="L241" s="30"/>
      <c r="M241" s="546"/>
      <c r="N241" s="546"/>
      <c r="O241" s="30"/>
      <c r="P241" s="63">
        <v>8</v>
      </c>
      <c r="Q241" s="63">
        <v>0.08</v>
      </c>
      <c r="R241" s="62">
        <v>0.06</v>
      </c>
      <c r="S241" s="1878" t="s">
        <v>1607</v>
      </c>
      <c r="T241" s="30"/>
      <c r="U241" s="30"/>
      <c r="V241" s="545"/>
      <c r="W241" s="30"/>
      <c r="X241" s="546">
        <v>1400</v>
      </c>
      <c r="Y241" s="546">
        <v>0.22</v>
      </c>
      <c r="Z241" s="1472">
        <v>10000</v>
      </c>
      <c r="AA241" s="1878" t="s">
        <v>3803</v>
      </c>
      <c r="AB241" s="30"/>
      <c r="AC241" s="30"/>
      <c r="AD241" s="421"/>
      <c r="AE241" s="30"/>
      <c r="AF241" s="422">
        <v>900</v>
      </c>
      <c r="AG241" s="422">
        <v>0.21</v>
      </c>
      <c r="AH241" s="1886">
        <v>7.5</v>
      </c>
    </row>
    <row r="242" spans="1:34">
      <c r="A242" s="66"/>
      <c r="B242" s="497" t="str">
        <f>IF(Uebersetzung!$A$1=1,Bauteile!S242,Bauteile!AA242)</f>
        <v>Panneau en Plâtre</v>
      </c>
      <c r="C242" s="497"/>
      <c r="D242" s="497"/>
      <c r="E242" s="497"/>
      <c r="F242" s="497"/>
      <c r="G242" s="498">
        <f>IF(Uebersetzung!$A$1=1,Bauteile!X242,Bauteile!AF242)</f>
        <v>1000</v>
      </c>
      <c r="H242" s="498">
        <f>IF(Uebersetzung!$A$1=1,Bauteile!Y242,Bauteile!AG242)</f>
        <v>0.4</v>
      </c>
      <c r="I242" s="498">
        <f>IF(Uebersetzung!$A$1=1,Bauteile!Z242,Bauteile!AH242)</f>
        <v>7.5</v>
      </c>
      <c r="J242" s="27"/>
      <c r="K242" s="118" t="s">
        <v>1524</v>
      </c>
      <c r="L242" s="30"/>
      <c r="M242" s="546"/>
      <c r="N242" s="546"/>
      <c r="O242" s="30"/>
      <c r="P242" s="63">
        <v>8</v>
      </c>
      <c r="Q242" s="63">
        <v>0.08</v>
      </c>
      <c r="R242" s="62">
        <v>0.08</v>
      </c>
      <c r="S242" s="1878" t="s">
        <v>1176</v>
      </c>
      <c r="T242" s="30"/>
      <c r="U242" s="30"/>
      <c r="V242" s="545"/>
      <c r="W242" s="30"/>
      <c r="X242" s="546">
        <v>800</v>
      </c>
      <c r="Y242" s="546">
        <v>0.12</v>
      </c>
      <c r="Z242" s="1472">
        <v>3000</v>
      </c>
      <c r="AA242" s="1878" t="s">
        <v>3804</v>
      </c>
      <c r="AB242" s="30"/>
      <c r="AC242" s="30"/>
      <c r="AD242" s="421"/>
      <c r="AE242" s="30"/>
      <c r="AF242" s="422">
        <v>1000</v>
      </c>
      <c r="AG242" s="422">
        <v>0.4</v>
      </c>
      <c r="AH242" s="1886">
        <v>7.5</v>
      </c>
    </row>
    <row r="243" spans="1:34">
      <c r="A243" s="66"/>
      <c r="B243" s="497" t="str">
        <f>IF(Uebersetzung!$A$1=1,Bauteile!S243,Bauteile!AA243)</f>
        <v>Plomb</v>
      </c>
      <c r="C243" s="497"/>
      <c r="D243" s="497"/>
      <c r="E243" s="497"/>
      <c r="F243" s="497"/>
      <c r="G243" s="498">
        <f>IF(Uebersetzung!$A$1=1,Bauteile!X243,Bauteile!AF243)</f>
        <v>11300</v>
      </c>
      <c r="H243" s="498">
        <f>IF(Uebersetzung!$A$1=1,Bauteile!Y243,Bauteile!AG243)</f>
        <v>35</v>
      </c>
      <c r="I243" s="498">
        <f>IF(Uebersetzung!$A$1=1,Bauteile!Z243,Bauteile!AH243)</f>
        <v>500000</v>
      </c>
      <c r="J243" s="27"/>
      <c r="K243" s="118" t="s">
        <v>2331</v>
      </c>
      <c r="L243" s="30"/>
      <c r="M243" s="546"/>
      <c r="N243" s="546"/>
      <c r="O243" s="30"/>
      <c r="P243" s="63">
        <v>8</v>
      </c>
      <c r="Q243" s="63">
        <v>0.05</v>
      </c>
      <c r="R243" s="62">
        <v>0.03</v>
      </c>
      <c r="S243" s="1878" t="s">
        <v>81</v>
      </c>
      <c r="T243" s="30"/>
      <c r="U243" s="30"/>
      <c r="V243" s="545"/>
      <c r="W243" s="30"/>
      <c r="X243" s="546">
        <v>1400</v>
      </c>
      <c r="Y243" s="546">
        <v>0.22</v>
      </c>
      <c r="Z243" s="1472">
        <v>30000</v>
      </c>
      <c r="AA243" s="1878" t="s">
        <v>3805</v>
      </c>
      <c r="AB243" s="30"/>
      <c r="AC243" s="30"/>
      <c r="AD243" s="421"/>
      <c r="AE243" s="30"/>
      <c r="AF243" s="422">
        <v>11300</v>
      </c>
      <c r="AG243" s="422">
        <v>35</v>
      </c>
      <c r="AH243" s="1897">
        <v>500000</v>
      </c>
    </row>
    <row r="244" spans="1:34">
      <c r="A244" s="66"/>
      <c r="B244" s="497" t="str">
        <f>IF(Uebersetzung!$A$1=1,Bauteile!S244,Bauteile!AA244)</f>
        <v>****Polyisocyanate (PIR)****</v>
      </c>
      <c r="C244" s="497"/>
      <c r="D244" s="497"/>
      <c r="E244" s="497"/>
      <c r="F244" s="497"/>
      <c r="G244" s="498">
        <f>IF(Uebersetzung!$A$1=1,Bauteile!X244,Bauteile!AF244)</f>
        <v>0</v>
      </c>
      <c r="H244" s="498">
        <f>IF(Uebersetzung!$A$1=1,Bauteile!Y244,Bauteile!AG244)</f>
        <v>0</v>
      </c>
      <c r="I244" s="498">
        <f>IF(Uebersetzung!$A$1=1,Bauteile!Z244,Bauteile!AH244)</f>
        <v>0</v>
      </c>
      <c r="J244" s="27"/>
      <c r="K244" s="118" t="s">
        <v>1768</v>
      </c>
      <c r="L244" s="30"/>
      <c r="M244" s="546"/>
      <c r="N244" s="546"/>
      <c r="O244" s="30"/>
      <c r="P244" s="63">
        <v>8</v>
      </c>
      <c r="Q244" s="63">
        <v>0.05</v>
      </c>
      <c r="R244" s="62">
        <v>0.04</v>
      </c>
      <c r="S244" s="603" t="s">
        <v>1390</v>
      </c>
      <c r="T244" s="30"/>
      <c r="U244" s="30"/>
      <c r="V244" s="545"/>
      <c r="W244" s="30"/>
      <c r="X244" s="546"/>
      <c r="Y244" s="546"/>
      <c r="Z244" s="1476"/>
      <c r="AA244" s="1882" t="s">
        <v>3806</v>
      </c>
      <c r="AB244" s="422"/>
      <c r="AC244" s="422"/>
      <c r="AD244" s="422"/>
      <c r="AE244" s="422"/>
      <c r="AF244" s="422"/>
      <c r="AG244" s="30"/>
      <c r="AH244" s="1898"/>
    </row>
    <row r="245" spans="1:34">
      <c r="A245" s="66"/>
      <c r="B245" s="497" t="str">
        <f>IF(Uebersetzung!$A$1=1,Bauteile!S245,Bauteile!AA245)</f>
        <v>PIR, Pentan, étanché (N), lambda 0.03</v>
      </c>
      <c r="C245" s="497"/>
      <c r="D245" s="497"/>
      <c r="E245" s="497"/>
      <c r="F245" s="497"/>
      <c r="G245" s="498">
        <f>IF(Uebersetzung!$A$1=1,Bauteile!X245,Bauteile!AF245)</f>
        <v>40</v>
      </c>
      <c r="H245" s="498">
        <f>IF(Uebersetzung!$A$1=1,Bauteile!Y245,Bauteile!AG245)</f>
        <v>0.03</v>
      </c>
      <c r="I245" s="498">
        <f>IF(Uebersetzung!$A$1=1,Bauteile!Z245,Bauteile!AH245)</f>
        <v>60</v>
      </c>
      <c r="J245" s="27"/>
      <c r="K245" s="118" t="s">
        <v>1769</v>
      </c>
      <c r="L245" s="30"/>
      <c r="M245" s="546"/>
      <c r="N245" s="546"/>
      <c r="O245" s="30"/>
      <c r="P245" s="63">
        <v>8</v>
      </c>
      <c r="Q245" s="63">
        <v>0.05</v>
      </c>
      <c r="R245" s="62">
        <v>0.06</v>
      </c>
      <c r="S245" s="1878" t="s">
        <v>1937</v>
      </c>
      <c r="T245" s="30"/>
      <c r="U245" s="30"/>
      <c r="V245" s="545"/>
      <c r="W245" s="30"/>
      <c r="X245" s="546">
        <v>1200</v>
      </c>
      <c r="Y245" s="546">
        <v>0.35</v>
      </c>
      <c r="Z245" s="1474">
        <v>10</v>
      </c>
      <c r="AA245" s="1893" t="s">
        <v>5628</v>
      </c>
      <c r="AB245" s="1894"/>
      <c r="AC245" s="1894"/>
      <c r="AD245" s="1894"/>
      <c r="AE245" s="1894"/>
      <c r="AF245" s="422">
        <v>40</v>
      </c>
      <c r="AG245" s="63">
        <v>0.03</v>
      </c>
      <c r="AH245" s="2044">
        <v>60</v>
      </c>
    </row>
    <row r="246" spans="1:34">
      <c r="A246" s="66"/>
      <c r="B246" s="497" t="str">
        <f>IF(Uebersetzung!$A$1=1,Bauteile!S246,Bauteile!AA246)</f>
        <v>PIR, Pentan, étanché (U), lambda 0.027</v>
      </c>
      <c r="C246" s="497"/>
      <c r="D246" s="497"/>
      <c r="E246" s="497"/>
      <c r="F246" s="497"/>
      <c r="G246" s="498">
        <f>IF(Uebersetzung!$A$1=1,Bauteile!X246,Bauteile!AF246)</f>
        <v>40</v>
      </c>
      <c r="H246" s="498">
        <f>IF(Uebersetzung!$A$1=1,Bauteile!Y246,Bauteile!AG246)</f>
        <v>2.5999999999999999E-2</v>
      </c>
      <c r="I246" s="498">
        <f>IF(Uebersetzung!$A$1=1,Bauteile!Z246,Bauteile!AH246)</f>
        <v>60</v>
      </c>
      <c r="J246" s="27"/>
      <c r="K246" s="118" t="s">
        <v>1834</v>
      </c>
      <c r="L246" s="30"/>
      <c r="M246" s="546"/>
      <c r="N246" s="546"/>
      <c r="O246" s="30"/>
      <c r="P246" s="63">
        <v>8</v>
      </c>
      <c r="Q246" s="63">
        <v>0.05</v>
      </c>
      <c r="R246" s="62">
        <v>0.08</v>
      </c>
      <c r="S246" s="1878" t="s">
        <v>1938</v>
      </c>
      <c r="T246" s="30"/>
      <c r="U246" s="30"/>
      <c r="V246" s="545"/>
      <c r="W246" s="30"/>
      <c r="X246" s="546">
        <v>1100</v>
      </c>
      <c r="Y246" s="546">
        <v>0.7</v>
      </c>
      <c r="Z246" s="1474">
        <v>50</v>
      </c>
      <c r="AA246" s="1893" t="s">
        <v>3807</v>
      </c>
      <c r="AB246" s="1894"/>
      <c r="AC246" s="1894"/>
      <c r="AD246" s="1894"/>
      <c r="AE246" s="1894"/>
      <c r="AF246" s="422">
        <v>40</v>
      </c>
      <c r="AG246" s="63">
        <v>2.5999999999999999E-2</v>
      </c>
      <c r="AH246" s="2044">
        <v>60</v>
      </c>
    </row>
    <row r="247" spans="1:34">
      <c r="A247" s="66"/>
      <c r="B247" s="497" t="str">
        <f>IF(Uebersetzung!$A$1=1,Bauteile!S247,Bauteile!AA247)</f>
        <v>PIR, Pentan, ouvert (N), lambda 0.035</v>
      </c>
      <c r="C247" s="497"/>
      <c r="D247" s="497"/>
      <c r="E247" s="497"/>
      <c r="F247" s="497"/>
      <c r="G247" s="498">
        <f>IF(Uebersetzung!$A$1=1,Bauteile!X247,Bauteile!AF247)</f>
        <v>40</v>
      </c>
      <c r="H247" s="498">
        <f>IF(Uebersetzung!$A$1=1,Bauteile!Y247,Bauteile!AG247)</f>
        <v>3.5000000000000003E-2</v>
      </c>
      <c r="I247" s="498">
        <f>IF(Uebersetzung!$A$1=1,Bauteile!Z247,Bauteile!AH247)</f>
        <v>100</v>
      </c>
      <c r="J247" s="27"/>
      <c r="K247" s="118" t="str">
        <f>"B = "&amp;P247&amp;" m, D = "&amp;Q247&amp;" m, l = "&amp;R247</f>
        <v>B = 4 m, D = 0.1 m, l = 0.06</v>
      </c>
      <c r="L247" s="30"/>
      <c r="M247" s="30"/>
      <c r="N247" s="30"/>
      <c r="O247" s="30"/>
      <c r="P247" s="1332">
        <v>4</v>
      </c>
      <c r="Q247" s="1328">
        <v>0.1</v>
      </c>
      <c r="R247" s="1329">
        <v>0.06</v>
      </c>
      <c r="S247" s="1878" t="s">
        <v>1939</v>
      </c>
      <c r="T247" s="30"/>
      <c r="U247" s="30"/>
      <c r="V247" s="545"/>
      <c r="W247" s="30"/>
      <c r="X247" s="546">
        <v>1600</v>
      </c>
      <c r="Y247" s="546">
        <v>0.9</v>
      </c>
      <c r="Z247" s="1474">
        <v>140</v>
      </c>
      <c r="AA247" s="1878" t="s">
        <v>5627</v>
      </c>
      <c r="AB247" s="30"/>
      <c r="AC247" s="30"/>
      <c r="AD247" s="1894"/>
      <c r="AE247" s="1894"/>
      <c r="AF247" s="422">
        <v>40</v>
      </c>
      <c r="AG247" s="422">
        <v>3.5000000000000003E-2</v>
      </c>
      <c r="AH247" s="2044">
        <v>100</v>
      </c>
    </row>
    <row r="248" spans="1:34">
      <c r="A248" s="66"/>
      <c r="B248" s="497" t="str">
        <f>IF(Uebersetzung!$A$1=1,Bauteile!S248,Bauteile!AA248)</f>
        <v>PIR, Pentan, ouvert (U), lambda 0.032</v>
      </c>
      <c r="C248" s="497"/>
      <c r="D248" s="497"/>
      <c r="E248" s="497"/>
      <c r="F248" s="497"/>
      <c r="G248" s="498">
        <f>IF(Uebersetzung!$A$1=1,Bauteile!X248,Bauteile!AF248)</f>
        <v>40</v>
      </c>
      <c r="H248" s="498">
        <f>IF(Uebersetzung!$A$1=1,Bauteile!Y248,Bauteile!AG248)</f>
        <v>3.2000000000000001E-2</v>
      </c>
      <c r="I248" s="498">
        <f>IF(Uebersetzung!$A$1=1,Bauteile!Z248,Bauteile!AH248)</f>
        <v>100</v>
      </c>
      <c r="J248" s="27"/>
      <c r="K248" s="118" t="str">
        <f>"B = "&amp;P248&amp;" m, D = "&amp;Q248&amp;" m, l = "&amp;R248</f>
        <v>B = 3 m, D = 0.1 m, l = 0.06</v>
      </c>
      <c r="L248" s="30"/>
      <c r="M248" s="30"/>
      <c r="N248" s="30"/>
      <c r="O248" s="30"/>
      <c r="P248" s="1332">
        <v>3</v>
      </c>
      <c r="Q248" s="1328">
        <v>0.1</v>
      </c>
      <c r="R248" s="1329">
        <v>0.06</v>
      </c>
      <c r="S248" s="1878" t="s">
        <v>1940</v>
      </c>
      <c r="T248" s="30"/>
      <c r="U248" s="30"/>
      <c r="V248" s="545"/>
      <c r="W248" s="30"/>
      <c r="X248" s="546">
        <v>1100</v>
      </c>
      <c r="Y248" s="546">
        <v>0.7</v>
      </c>
      <c r="Z248" s="1474">
        <v>200</v>
      </c>
      <c r="AA248" s="1878" t="s">
        <v>3808</v>
      </c>
      <c r="AB248" s="30"/>
      <c r="AC248" s="30"/>
      <c r="AD248" s="1894"/>
      <c r="AE248" s="1894"/>
      <c r="AF248" s="422">
        <v>40</v>
      </c>
      <c r="AG248" s="422">
        <v>3.2000000000000001E-2</v>
      </c>
      <c r="AH248" s="2044">
        <v>100</v>
      </c>
    </row>
    <row r="249" spans="1:34">
      <c r="A249" s="66"/>
      <c r="B249" s="497">
        <f>IF(Uebersetzung!$A$1=1,Bauteile!S249,Bauteile!AA249)</f>
        <v>0</v>
      </c>
      <c r="C249" s="497"/>
      <c r="D249" s="497"/>
      <c r="E249" s="497"/>
      <c r="F249" s="497"/>
      <c r="G249" s="498">
        <f>IF(Uebersetzung!$A$1=1,Bauteile!X249,Bauteile!AF249)</f>
        <v>0</v>
      </c>
      <c r="H249" s="498">
        <f>IF(Uebersetzung!$A$1=1,Bauteile!Y249,Bauteile!AG249)</f>
        <v>0</v>
      </c>
      <c r="I249" s="498">
        <f>IF(Uebersetzung!$A$1=1,Bauteile!Z249,Bauteile!AH249)</f>
        <v>0</v>
      </c>
      <c r="J249" s="27"/>
      <c r="K249" s="1335" t="str">
        <f>"B = "&amp;P249&amp;" m, D = "&amp;Q249&amp;" m, l = "&amp;R249</f>
        <v>B = 2.5 m, D = 0.5 m, l = 0.06</v>
      </c>
      <c r="L249" s="1334"/>
      <c r="M249" s="1334"/>
      <c r="N249" s="1334"/>
      <c r="O249" s="30"/>
      <c r="P249" s="1332">
        <v>2.5</v>
      </c>
      <c r="Q249" s="1328">
        <v>0.5</v>
      </c>
      <c r="R249" s="1329">
        <v>0.06</v>
      </c>
      <c r="S249" s="1878" t="s">
        <v>1941</v>
      </c>
      <c r="T249" s="30"/>
      <c r="U249" s="30"/>
      <c r="V249" s="545"/>
      <c r="W249" s="30"/>
      <c r="X249" s="546">
        <v>1000</v>
      </c>
      <c r="Y249" s="546">
        <v>0.4</v>
      </c>
      <c r="Z249" s="1474">
        <v>15</v>
      </c>
      <c r="AA249" s="1878"/>
      <c r="AB249" s="30"/>
      <c r="AC249" s="30"/>
      <c r="AD249" s="421"/>
      <c r="AE249" s="30"/>
      <c r="AF249" s="422"/>
      <c r="AG249" s="422"/>
      <c r="AH249" s="1900"/>
    </row>
    <row r="250" spans="1:34">
      <c r="A250" s="66"/>
      <c r="B250" s="497">
        <f>IF(Uebersetzung!$A$1=1,Bauteile!S250,Bauteile!AA250)</f>
        <v>0</v>
      </c>
      <c r="C250" s="497"/>
      <c r="D250" s="497"/>
      <c r="E250" s="497"/>
      <c r="F250" s="497"/>
      <c r="G250" s="498">
        <f>IF(Uebersetzung!$A$1=1,Bauteile!X250,Bauteile!AF250)</f>
        <v>0</v>
      </c>
      <c r="H250" s="498">
        <f>IF(Uebersetzung!$A$1=1,Bauteile!Y250,Bauteile!AG250)</f>
        <v>0</v>
      </c>
      <c r="I250" s="498">
        <f>IF(Uebersetzung!$A$1=1,Bauteile!Z250,Bauteile!AH250)</f>
        <v>0</v>
      </c>
      <c r="J250" s="27"/>
      <c r="K250" s="1327"/>
      <c r="L250" s="491"/>
      <c r="M250" s="491"/>
      <c r="N250" s="491"/>
      <c r="O250" s="30"/>
      <c r="P250" s="1332"/>
      <c r="Q250" s="1328"/>
      <c r="R250" s="1329"/>
      <c r="S250" s="1878" t="s">
        <v>1942</v>
      </c>
      <c r="T250" s="30"/>
      <c r="U250" s="30"/>
      <c r="V250" s="545"/>
      <c r="W250" s="30"/>
      <c r="X250" s="546">
        <v>1000</v>
      </c>
      <c r="Y250" s="546">
        <v>0.4</v>
      </c>
      <c r="Z250" s="1474">
        <v>20</v>
      </c>
      <c r="AA250" s="1878"/>
      <c r="AB250" s="30"/>
      <c r="AC250" s="30"/>
      <c r="AD250" s="421"/>
      <c r="AE250" s="30"/>
      <c r="AF250" s="422"/>
      <c r="AG250" s="422"/>
      <c r="AH250" s="1900"/>
    </row>
    <row r="251" spans="1:34">
      <c r="A251" s="66"/>
      <c r="B251" s="497" t="str">
        <f>IF(Uebersetzung!$A$1=1,Bauteile!S251,Bauteile!AA251)</f>
        <v>****Polystyrène (EPS) expansé****</v>
      </c>
      <c r="C251" s="497"/>
      <c r="D251" s="497"/>
      <c r="E251" s="497"/>
      <c r="F251" s="497"/>
      <c r="G251" s="498">
        <f>IF(Uebersetzung!$A$1=1,Bauteile!X251,Bauteile!AF251)</f>
        <v>0</v>
      </c>
      <c r="H251" s="498">
        <f>IF(Uebersetzung!$A$1=1,Bauteile!Y251,Bauteile!AG251)</f>
        <v>0</v>
      </c>
      <c r="I251" s="498">
        <f>IF(Uebersetzung!$A$1=1,Bauteile!Z251,Bauteile!AH251)</f>
        <v>0</v>
      </c>
      <c r="J251" s="27"/>
      <c r="K251" s="967"/>
      <c r="L251" s="968"/>
      <c r="M251" s="968"/>
      <c r="N251" s="968"/>
      <c r="O251" s="31"/>
      <c r="P251" s="1333"/>
      <c r="Q251" s="1330"/>
      <c r="R251" s="1331"/>
      <c r="S251" s="1878" t="s">
        <v>1943</v>
      </c>
      <c r="T251" s="30"/>
      <c r="U251" s="30"/>
      <c r="V251" s="545"/>
      <c r="W251" s="30"/>
      <c r="X251" s="546">
        <v>1400</v>
      </c>
      <c r="Y251" s="546">
        <v>0.78</v>
      </c>
      <c r="Z251" s="1474">
        <v>10</v>
      </c>
      <c r="AA251" s="1882" t="s">
        <v>3809</v>
      </c>
      <c r="AB251" s="422"/>
      <c r="AC251" s="422"/>
      <c r="AD251" s="422"/>
      <c r="AE251" s="422"/>
      <c r="AF251" s="422"/>
      <c r="AG251" s="30"/>
      <c r="AH251" s="1898"/>
    </row>
    <row r="252" spans="1:34">
      <c r="A252" s="66"/>
      <c r="B252" s="497" t="str">
        <f>IF(Uebersetzung!$A$1=1,Bauteile!S252,Bauteile!AA252)</f>
        <v>Polystyrène (EPS) expansé, densité 15-40 (N)</v>
      </c>
      <c r="C252" s="497"/>
      <c r="D252" s="497"/>
      <c r="E252" s="497"/>
      <c r="F252" s="497"/>
      <c r="G252" s="498">
        <f>IF(Uebersetzung!$A$1=1,Bauteile!X252,Bauteile!AF252)</f>
        <v>20</v>
      </c>
      <c r="H252" s="498">
        <f>IF(Uebersetzung!$A$1=1,Bauteile!Y252,Bauteile!AG252)</f>
        <v>4.4999999999999998E-2</v>
      </c>
      <c r="I252" s="498">
        <f>IF(Uebersetzung!$A$1=1,Bauteile!Z252,Bauteile!AH252)</f>
        <v>60</v>
      </c>
      <c r="J252" s="27"/>
      <c r="K252" s="121"/>
      <c r="L252" s="122"/>
      <c r="M252" s="122"/>
      <c r="N252" s="122"/>
      <c r="O252" s="122"/>
      <c r="P252" s="122"/>
      <c r="Q252" s="122"/>
      <c r="R252" s="172"/>
      <c r="S252" s="1878" t="s">
        <v>1944</v>
      </c>
      <c r="T252" s="30"/>
      <c r="U252" s="30"/>
      <c r="V252" s="545"/>
      <c r="W252" s="30"/>
      <c r="X252" s="546">
        <v>1800</v>
      </c>
      <c r="Y252" s="546">
        <v>0.8</v>
      </c>
      <c r="Z252" s="1472">
        <v>15</v>
      </c>
      <c r="AA252" s="1878" t="s">
        <v>3810</v>
      </c>
      <c r="AB252" s="422"/>
      <c r="AC252" s="422"/>
      <c r="AD252" s="422"/>
      <c r="AE252" s="422"/>
      <c r="AF252" s="422">
        <v>20</v>
      </c>
      <c r="AG252" s="63">
        <v>4.4999999999999998E-2</v>
      </c>
      <c r="AH252" s="1899">
        <v>60</v>
      </c>
    </row>
    <row r="253" spans="1:34">
      <c r="A253" s="66"/>
      <c r="B253" s="497" t="str">
        <f>IF(Uebersetzung!$A$1=1,Bauteile!S253,Bauteile!AA253)</f>
        <v>Polystyrène (EPS) expansé, densité 15-40 (U)</v>
      </c>
      <c r="C253" s="497"/>
      <c r="D253" s="497"/>
      <c r="E253" s="497"/>
      <c r="F253" s="497"/>
      <c r="G253" s="498">
        <f>IF(Uebersetzung!$A$1=1,Bauteile!X253,Bauteile!AF253)</f>
        <v>20</v>
      </c>
      <c r="H253" s="498">
        <f>IF(Uebersetzung!$A$1=1,Bauteile!Y253,Bauteile!AG253)</f>
        <v>4.1000000000000002E-2</v>
      </c>
      <c r="I253" s="498">
        <f>IF(Uebersetzung!$A$1=1,Bauteile!Z253,Bauteile!AH253)</f>
        <v>60</v>
      </c>
      <c r="J253" s="27"/>
      <c r="K253" s="118"/>
      <c r="L253" s="30"/>
      <c r="M253" s="30"/>
      <c r="N253" s="30"/>
      <c r="O253" s="30"/>
      <c r="P253" s="30"/>
      <c r="Q253" s="30"/>
      <c r="R253" s="57"/>
      <c r="S253" s="1878" t="s">
        <v>1945</v>
      </c>
      <c r="T253" s="30"/>
      <c r="U253" s="30"/>
      <c r="V253" s="545"/>
      <c r="W253" s="30"/>
      <c r="X253" s="546">
        <v>1800</v>
      </c>
      <c r="Y253" s="546">
        <v>0.8</v>
      </c>
      <c r="Z253" s="1472">
        <v>35</v>
      </c>
      <c r="AA253" s="1878" t="s">
        <v>3811</v>
      </c>
      <c r="AB253" s="422"/>
      <c r="AC253" s="422"/>
      <c r="AD253" s="422"/>
      <c r="AE253" s="422"/>
      <c r="AF253" s="422">
        <v>20</v>
      </c>
      <c r="AG253" s="63">
        <v>4.1000000000000002E-2</v>
      </c>
      <c r="AH253" s="1899">
        <v>60</v>
      </c>
    </row>
    <row r="254" spans="1:34">
      <c r="A254" s="66"/>
      <c r="B254" s="497" t="str">
        <f>IF(Uebersetzung!$A$1=1,Bauteile!S254,Bauteile!AA254)</f>
        <v>Polystyrène (EPS) expansé, densité &lt;15 (N)</v>
      </c>
      <c r="C254" s="497"/>
      <c r="D254" s="497"/>
      <c r="E254" s="497"/>
      <c r="F254" s="497"/>
      <c r="G254" s="498">
        <f>IF(Uebersetzung!$A$1=1,Bauteile!X254,Bauteile!AF254)</f>
        <v>10</v>
      </c>
      <c r="H254" s="498">
        <f>IF(Uebersetzung!$A$1=1,Bauteile!Y254,Bauteile!AG254)</f>
        <v>0.05</v>
      </c>
      <c r="I254" s="498">
        <f>IF(Uebersetzung!$A$1=1,Bauteile!Z254,Bauteile!AH254)</f>
        <v>60</v>
      </c>
      <c r="J254" s="27"/>
      <c r="K254" s="118"/>
      <c r="L254" s="30"/>
      <c r="M254" s="30"/>
      <c r="N254" s="30"/>
      <c r="O254" s="30"/>
      <c r="P254" s="30"/>
      <c r="Q254" s="30"/>
      <c r="R254" s="57"/>
      <c r="S254" s="1878" t="s">
        <v>1946</v>
      </c>
      <c r="T254" s="30"/>
      <c r="U254" s="30"/>
      <c r="V254" s="545"/>
      <c r="W254" s="30"/>
      <c r="X254" s="546">
        <v>1200</v>
      </c>
      <c r="Y254" s="546">
        <v>0.35</v>
      </c>
      <c r="Z254" s="1472">
        <v>5</v>
      </c>
      <c r="AA254" s="1878" t="s">
        <v>3812</v>
      </c>
      <c r="AB254" s="422"/>
      <c r="AC254" s="422"/>
      <c r="AD254" s="422"/>
      <c r="AE254" s="422"/>
      <c r="AF254" s="422">
        <v>10</v>
      </c>
      <c r="AG254" s="63">
        <v>0.05</v>
      </c>
      <c r="AH254" s="1899">
        <v>60</v>
      </c>
    </row>
    <row r="255" spans="1:34">
      <c r="A255" s="66"/>
      <c r="B255" s="497" t="str">
        <f>IF(Uebersetzung!$A$1=1,Bauteile!S255,Bauteile!AA255)</f>
        <v>Polystyrène (EPS) expansé, densité &lt;15 (U)</v>
      </c>
      <c r="C255" s="497"/>
      <c r="D255" s="497"/>
      <c r="E255" s="497"/>
      <c r="F255" s="497"/>
      <c r="G255" s="498">
        <f>IF(Uebersetzung!$A$1=1,Bauteile!X255,Bauteile!AF255)</f>
        <v>10</v>
      </c>
      <c r="H255" s="498">
        <f>IF(Uebersetzung!$A$1=1,Bauteile!Y255,Bauteile!AG255)</f>
        <v>4.5999999999999999E-2</v>
      </c>
      <c r="I255" s="498">
        <f>IF(Uebersetzung!$A$1=1,Bauteile!Z255,Bauteile!AH255)</f>
        <v>60</v>
      </c>
      <c r="J255" s="27"/>
      <c r="K255" s="118"/>
      <c r="L255" s="30"/>
      <c r="M255" s="30"/>
      <c r="N255" s="30"/>
      <c r="O255" s="30"/>
      <c r="P255" s="30"/>
      <c r="Q255" s="30"/>
      <c r="R255" s="57"/>
      <c r="S255" s="1878" t="s">
        <v>1947</v>
      </c>
      <c r="T255" s="30"/>
      <c r="U255" s="30"/>
      <c r="V255" s="545"/>
      <c r="W255" s="30"/>
      <c r="X255" s="546">
        <v>350</v>
      </c>
      <c r="Y255" s="546">
        <v>6.5000000000000002E-2</v>
      </c>
      <c r="Z255" s="1472">
        <v>8</v>
      </c>
      <c r="AA255" s="1878" t="s">
        <v>3813</v>
      </c>
      <c r="AB255" s="422"/>
      <c r="AC255" s="422"/>
      <c r="AD255" s="422"/>
      <c r="AE255" s="422"/>
      <c r="AF255" s="422">
        <v>10</v>
      </c>
      <c r="AG255" s="63">
        <v>4.5999999999999999E-2</v>
      </c>
      <c r="AH255" s="1899">
        <v>60</v>
      </c>
    </row>
    <row r="256" spans="1:34">
      <c r="A256" s="66"/>
      <c r="B256" s="497" t="str">
        <f>IF(Uebersetzung!$A$1=1,Bauteile!S256,Bauteile!AA256)</f>
        <v>****Polystyrène (XPS) extrudé****</v>
      </c>
      <c r="C256" s="497"/>
      <c r="D256" s="497"/>
      <c r="E256" s="497"/>
      <c r="F256" s="497"/>
      <c r="G256" s="498">
        <f>IF(Uebersetzung!$A$1=1,Bauteile!X256,Bauteile!AF256)</f>
        <v>0</v>
      </c>
      <c r="H256" s="498">
        <f>IF(Uebersetzung!$A$1=1,Bauteile!Y256,Bauteile!AG256)</f>
        <v>0</v>
      </c>
      <c r="I256" s="498">
        <f>IF(Uebersetzung!$A$1=1,Bauteile!Z256,Bauteile!AH256)</f>
        <v>0</v>
      </c>
      <c r="J256" s="27"/>
      <c r="K256" s="118"/>
      <c r="L256" s="30"/>
      <c r="M256" s="30"/>
      <c r="N256" s="30"/>
      <c r="O256" s="30"/>
      <c r="P256" s="30"/>
      <c r="Q256" s="30"/>
      <c r="R256" s="57"/>
      <c r="S256" s="1878" t="s">
        <v>1948</v>
      </c>
      <c r="T256" s="30"/>
      <c r="U256" s="30"/>
      <c r="V256" s="545"/>
      <c r="W256" s="30"/>
      <c r="X256" s="546">
        <v>1200</v>
      </c>
      <c r="Y256" s="546">
        <v>0.35</v>
      </c>
      <c r="Z256" s="1472">
        <v>20</v>
      </c>
      <c r="AA256" s="1882" t="s">
        <v>3814</v>
      </c>
      <c r="AB256" s="422"/>
      <c r="AC256" s="422"/>
      <c r="AD256" s="422"/>
      <c r="AE256" s="422"/>
      <c r="AF256" s="422"/>
      <c r="AG256" s="30"/>
      <c r="AH256" s="1898"/>
    </row>
    <row r="257" spans="1:34">
      <c r="A257" s="66"/>
      <c r="B257" s="497" t="str">
        <f>IF(Uebersetzung!$A$1=1,Bauteile!S257,Bauteile!AA257)</f>
        <v>XPS (N), lambda 0.045</v>
      </c>
      <c r="C257" s="497"/>
      <c r="D257" s="497"/>
      <c r="E257" s="497"/>
      <c r="F257" s="497"/>
      <c r="G257" s="498">
        <f>IF(Uebersetzung!$A$1=1,Bauteile!X257,Bauteile!AF257)</f>
        <v>45</v>
      </c>
      <c r="H257" s="498">
        <f>IF(Uebersetzung!$A$1=1,Bauteile!Y257,Bauteile!AG257)</f>
        <v>4.4999999999999998E-2</v>
      </c>
      <c r="I257" s="498">
        <f>IF(Uebersetzung!$A$1=1,Bauteile!Z257,Bauteile!AH257)</f>
        <v>150</v>
      </c>
      <c r="J257" s="27"/>
      <c r="K257" s="118"/>
      <c r="L257" s="30"/>
      <c r="M257" s="30"/>
      <c r="N257" s="30"/>
      <c r="O257" s="30"/>
      <c r="P257" s="30"/>
      <c r="Q257" s="30"/>
      <c r="R257" s="57"/>
      <c r="S257" s="1878"/>
      <c r="T257" s="30"/>
      <c r="U257" s="30"/>
      <c r="V257" s="545"/>
      <c r="W257" s="30"/>
      <c r="X257" s="546"/>
      <c r="Y257" s="546"/>
      <c r="Z257" s="1476"/>
      <c r="AA257" s="1893" t="s">
        <v>5620</v>
      </c>
      <c r="AB257" s="1894"/>
      <c r="AC257" s="1894"/>
      <c r="AD257" s="1894"/>
      <c r="AE257" s="1894"/>
      <c r="AF257" s="422">
        <v>45</v>
      </c>
      <c r="AG257" s="63">
        <v>4.4999999999999998E-2</v>
      </c>
      <c r="AH257" s="1899">
        <v>150</v>
      </c>
    </row>
    <row r="258" spans="1:34">
      <c r="A258" s="66"/>
      <c r="B258" s="497" t="str">
        <f>IF(Uebersetzung!$A$1=1,Bauteile!S258,Bauteile!AA258)</f>
        <v>XPS (U), lambda 0.041</v>
      </c>
      <c r="C258" s="497"/>
      <c r="D258" s="497"/>
      <c r="E258" s="497"/>
      <c r="F258" s="497"/>
      <c r="G258" s="498">
        <f>IF(Uebersetzung!$A$1=1,Bauteile!X258,Bauteile!AF258)</f>
        <v>45</v>
      </c>
      <c r="H258" s="498">
        <f>IF(Uebersetzung!$A$1=1,Bauteile!Y258,Bauteile!AG258)</f>
        <v>4.1000000000000002E-2</v>
      </c>
      <c r="I258" s="498">
        <f>IF(Uebersetzung!$A$1=1,Bauteile!Z258,Bauteile!AH258)</f>
        <v>150</v>
      </c>
      <c r="J258" s="27"/>
      <c r="K258" s="118"/>
      <c r="L258" s="30"/>
      <c r="M258" s="30"/>
      <c r="N258" s="30"/>
      <c r="O258" s="30"/>
      <c r="P258" s="30"/>
      <c r="Q258" s="30"/>
      <c r="R258" s="57"/>
      <c r="S258" s="1878" t="s">
        <v>142</v>
      </c>
      <c r="T258" s="30"/>
      <c r="U258" s="30"/>
      <c r="V258" s="545"/>
      <c r="W258" s="30"/>
      <c r="X258" s="546">
        <v>1400</v>
      </c>
      <c r="Y258" s="546">
        <v>0.9</v>
      </c>
      <c r="Z258" s="1474">
        <v>18</v>
      </c>
      <c r="AA258" s="1893" t="s">
        <v>5621</v>
      </c>
      <c r="AB258" s="1894"/>
      <c r="AC258" s="1894"/>
      <c r="AD258" s="1894"/>
      <c r="AE258" s="1894"/>
      <c r="AF258" s="422">
        <v>45</v>
      </c>
      <c r="AG258" s="63">
        <v>4.1000000000000002E-2</v>
      </c>
      <c r="AH258" s="1900">
        <v>150</v>
      </c>
    </row>
    <row r="259" spans="1:34">
      <c r="A259" s="66"/>
      <c r="B259" s="497" t="str">
        <f>IF(Uebersetzung!$A$1=1,Bauteile!S259,Bauteile!AA259)</f>
        <v>XPS (U), lambda 0.033</v>
      </c>
      <c r="C259" s="497"/>
      <c r="D259" s="497"/>
      <c r="E259" s="497"/>
      <c r="F259" s="497"/>
      <c r="G259" s="498">
        <f>IF(Uebersetzung!$A$1=1,Bauteile!X259,Bauteile!AF259)</f>
        <v>45</v>
      </c>
      <c r="H259" s="498">
        <f>IF(Uebersetzung!$A$1=1,Bauteile!Y259,Bauteile!AG259)</f>
        <v>3.3000000000000002E-2</v>
      </c>
      <c r="I259" s="498">
        <f>IF(Uebersetzung!$A$1=1,Bauteile!Z259,Bauteile!AH259)</f>
        <v>150</v>
      </c>
      <c r="J259" s="27"/>
      <c r="K259" s="118"/>
      <c r="L259" s="30"/>
      <c r="M259" s="30"/>
      <c r="N259" s="30"/>
      <c r="O259" s="30"/>
      <c r="P259" s="30"/>
      <c r="Q259" s="30"/>
      <c r="R259" s="57"/>
      <c r="S259" s="1879"/>
      <c r="T259" s="546"/>
      <c r="U259" s="546"/>
      <c r="V259" s="546"/>
      <c r="W259" s="546"/>
      <c r="X259" s="546"/>
      <c r="Y259" s="30"/>
      <c r="Z259" s="1885"/>
      <c r="AA259" s="1893" t="s">
        <v>5622</v>
      </c>
      <c r="AB259" s="1894"/>
      <c r="AC259" s="1894"/>
      <c r="AD259" s="1894"/>
      <c r="AE259" s="1894"/>
      <c r="AF259" s="422">
        <v>45</v>
      </c>
      <c r="AG259" s="63">
        <v>3.3000000000000002E-2</v>
      </c>
      <c r="AH259" s="1900">
        <v>150</v>
      </c>
    </row>
    <row r="260" spans="1:34">
      <c r="A260" s="66"/>
      <c r="B260" s="497">
        <f>IF(Uebersetzung!$A$1=1,Bauteile!S260,Bauteile!AA260)</f>
        <v>0</v>
      </c>
      <c r="C260" s="497"/>
      <c r="D260" s="497"/>
      <c r="E260" s="497"/>
      <c r="F260" s="497"/>
      <c r="G260" s="498">
        <f>IF(Uebersetzung!$A$1=1,Bauteile!X260,Bauteile!AF260)</f>
        <v>0</v>
      </c>
      <c r="H260" s="498">
        <f>IF(Uebersetzung!$A$1=1,Bauteile!Y260,Bauteile!AG260)</f>
        <v>0</v>
      </c>
      <c r="I260" s="498">
        <f>IF(Uebersetzung!$A$1=1,Bauteile!Z260,Bauteile!AH260)</f>
        <v>0</v>
      </c>
      <c r="J260" s="27"/>
      <c r="K260" s="118"/>
      <c r="L260" s="30"/>
      <c r="M260" s="30"/>
      <c r="N260" s="30"/>
      <c r="O260" s="30"/>
      <c r="P260" s="30"/>
      <c r="Q260" s="30"/>
      <c r="R260" s="57"/>
      <c r="S260" s="1878" t="s">
        <v>1604</v>
      </c>
      <c r="T260" s="30"/>
      <c r="U260" s="30"/>
      <c r="V260" s="545"/>
      <c r="W260" s="30"/>
      <c r="X260" s="546">
        <v>1900</v>
      </c>
      <c r="Y260" s="546">
        <v>0.7</v>
      </c>
      <c r="Z260" s="1482">
        <v>1</v>
      </c>
      <c r="AA260" s="1893"/>
      <c r="AB260" s="1894"/>
      <c r="AC260" s="1894"/>
      <c r="AD260" s="1894"/>
      <c r="AE260" s="1894"/>
      <c r="AF260" s="422"/>
      <c r="AG260" s="63"/>
      <c r="AH260" s="1900"/>
    </row>
    <row r="261" spans="1:34">
      <c r="A261" s="66"/>
      <c r="B261" s="497" t="str">
        <f>IF(Uebersetzung!$A$1=1,Bauteile!S261,Bauteile!AA261)</f>
        <v>****Polyuréthane (PUR)****</v>
      </c>
      <c r="C261" s="497"/>
      <c r="D261" s="497"/>
      <c r="E261" s="497"/>
      <c r="F261" s="497"/>
      <c r="G261" s="498">
        <f>IF(Uebersetzung!$A$1=1,Bauteile!X261,Bauteile!AF261)</f>
        <v>0</v>
      </c>
      <c r="H261" s="498">
        <f>IF(Uebersetzung!$A$1=1,Bauteile!Y261,Bauteile!AG261)</f>
        <v>0</v>
      </c>
      <c r="I261" s="498">
        <f>IF(Uebersetzung!$A$1=1,Bauteile!Z261,Bauteile!AH261)</f>
        <v>0</v>
      </c>
      <c r="J261" s="27"/>
      <c r="K261" s="118"/>
      <c r="L261" s="30"/>
      <c r="M261" s="30"/>
      <c r="N261" s="30"/>
      <c r="O261" s="30"/>
      <c r="P261" s="30"/>
      <c r="Q261" s="30"/>
      <c r="R261" s="57"/>
      <c r="S261" s="1878" t="s">
        <v>1600</v>
      </c>
      <c r="T261" s="30"/>
      <c r="U261" s="30"/>
      <c r="V261" s="545"/>
      <c r="W261" s="30"/>
      <c r="X261" s="546">
        <v>1800</v>
      </c>
      <c r="Y261" s="546">
        <v>1.4</v>
      </c>
      <c r="Z261" s="1483">
        <v>1</v>
      </c>
      <c r="AA261" s="1882" t="s">
        <v>3815</v>
      </c>
      <c r="AB261" s="422"/>
      <c r="AC261" s="422"/>
      <c r="AD261" s="422"/>
      <c r="AE261" s="422"/>
      <c r="AF261" s="422"/>
      <c r="AG261" s="30"/>
      <c r="AH261" s="1898"/>
    </row>
    <row r="262" spans="1:34">
      <c r="A262" s="66"/>
      <c r="B262" s="497" t="str">
        <f>IF(Uebersetzung!$A$1=1,Bauteile!S262,Bauteile!AA262)</f>
        <v>PUR, Pentan, étanché (N), lambda 0.03</v>
      </c>
      <c r="C262" s="497"/>
      <c r="D262" s="497"/>
      <c r="E262" s="497"/>
      <c r="F262" s="497"/>
      <c r="G262" s="498">
        <f>IF(Uebersetzung!$A$1=1,Bauteile!X262,Bauteile!AF262)</f>
        <v>40</v>
      </c>
      <c r="H262" s="498">
        <f>IF(Uebersetzung!$A$1=1,Bauteile!Y262,Bauteile!AG262)</f>
        <v>0.03</v>
      </c>
      <c r="I262" s="498">
        <f>IF(Uebersetzung!$A$1=1,Bauteile!Z262,Bauteile!AH262)</f>
        <v>60</v>
      </c>
      <c r="J262" s="27"/>
      <c r="K262" s="118"/>
      <c r="L262" s="30"/>
      <c r="M262" s="30"/>
      <c r="N262" s="30"/>
      <c r="O262" s="30"/>
      <c r="P262" s="30"/>
      <c r="Q262" s="30"/>
      <c r="R262" s="57"/>
      <c r="S262" s="1878" t="s">
        <v>1311</v>
      </c>
      <c r="T262" s="30"/>
      <c r="U262" s="30"/>
      <c r="V262" s="545"/>
      <c r="W262" s="30"/>
      <c r="X262" s="546">
        <v>2600</v>
      </c>
      <c r="Y262" s="546">
        <v>2.2999999999999998</v>
      </c>
      <c r="Z262" s="1483">
        <v>520</v>
      </c>
      <c r="AA262" s="1893" t="s">
        <v>5629</v>
      </c>
      <c r="AB262" s="1894"/>
      <c r="AC262" s="1894"/>
      <c r="AD262" s="1894"/>
      <c r="AE262" s="1894"/>
      <c r="AF262" s="422">
        <v>40</v>
      </c>
      <c r="AG262" s="63">
        <v>0.03</v>
      </c>
      <c r="AH262" s="2044">
        <v>60</v>
      </c>
    </row>
    <row r="263" spans="1:34">
      <c r="A263" s="66"/>
      <c r="B263" s="497" t="str">
        <f>IF(Uebersetzung!$A$1=1,Bauteile!S263,Bauteile!AA263)</f>
        <v>PUR, Pentan, étanché (U), lambda 0.026</v>
      </c>
      <c r="C263" s="497"/>
      <c r="D263" s="497"/>
      <c r="E263" s="497"/>
      <c r="F263" s="497"/>
      <c r="G263" s="498">
        <f>IF(Uebersetzung!$A$1=1,Bauteile!X263,Bauteile!AF263)</f>
        <v>40</v>
      </c>
      <c r="H263" s="498">
        <f>IF(Uebersetzung!$A$1=1,Bauteile!Y263,Bauteile!AG263)</f>
        <v>2.5999999999999999E-2</v>
      </c>
      <c r="I263" s="498">
        <f>IF(Uebersetzung!$A$1=1,Bauteile!Z263,Bauteile!AH263)</f>
        <v>60</v>
      </c>
      <c r="J263" s="27"/>
      <c r="K263" s="118"/>
      <c r="L263" s="30"/>
      <c r="M263" s="30"/>
      <c r="N263" s="30"/>
      <c r="O263" s="30"/>
      <c r="P263" s="30"/>
      <c r="Q263" s="30"/>
      <c r="R263" s="57"/>
      <c r="S263" s="1880" t="s">
        <v>1725</v>
      </c>
      <c r="T263" s="1877"/>
      <c r="U263" s="1877"/>
      <c r="V263" s="1877"/>
      <c r="W263" s="1877"/>
      <c r="X263" s="546">
        <v>40</v>
      </c>
      <c r="Y263" s="63">
        <v>0.05</v>
      </c>
      <c r="Z263" s="1481">
        <v>1.5</v>
      </c>
      <c r="AA263" s="1893" t="s">
        <v>3816</v>
      </c>
      <c r="AB263" s="1894"/>
      <c r="AC263" s="1894"/>
      <c r="AD263" s="1894"/>
      <c r="AE263" s="1894"/>
      <c r="AF263" s="422">
        <v>40</v>
      </c>
      <c r="AG263" s="63">
        <v>2.5999999999999999E-2</v>
      </c>
      <c r="AH263" s="2044">
        <v>60</v>
      </c>
    </row>
    <row r="264" spans="1:34">
      <c r="A264" s="66"/>
      <c r="B264" s="497" t="str">
        <f>IF(Uebersetzung!$A$1=1,Bauteile!S264,Bauteile!AA264)</f>
        <v>PUR, Pentan, ouvert (N), lambda 0.035</v>
      </c>
      <c r="C264" s="497"/>
      <c r="D264" s="497"/>
      <c r="E264" s="497"/>
      <c r="F264" s="497"/>
      <c r="G264" s="498">
        <f>IF(Uebersetzung!$A$1=1,Bauteile!X264,Bauteile!AF264)</f>
        <v>40</v>
      </c>
      <c r="H264" s="498">
        <f>IF(Uebersetzung!$A$1=1,Bauteile!Y264,Bauteile!AG264)</f>
        <v>3.5000000000000003E-2</v>
      </c>
      <c r="I264" s="498">
        <f>IF(Uebersetzung!$A$1=1,Bauteile!Z264,Bauteile!AH264)</f>
        <v>100</v>
      </c>
      <c r="J264" s="27"/>
      <c r="K264" s="118"/>
      <c r="L264" s="30"/>
      <c r="M264" s="30"/>
      <c r="N264" s="30"/>
      <c r="O264" s="30"/>
      <c r="P264" s="30"/>
      <c r="Q264" s="30"/>
      <c r="R264" s="57"/>
      <c r="S264" s="1880" t="s">
        <v>321</v>
      </c>
      <c r="T264" s="546"/>
      <c r="U264" s="546"/>
      <c r="V264" s="546"/>
      <c r="W264" s="546"/>
      <c r="X264" s="546">
        <v>300</v>
      </c>
      <c r="Y264" s="63">
        <v>9.4E-2</v>
      </c>
      <c r="Z264" s="1481">
        <v>5</v>
      </c>
      <c r="AA264" s="1878" t="s">
        <v>5630</v>
      </c>
      <c r="AB264" s="30"/>
      <c r="AC264" s="30"/>
      <c r="AD264" s="421"/>
      <c r="AE264" s="30"/>
      <c r="AF264" s="422">
        <v>40</v>
      </c>
      <c r="AG264" s="422">
        <v>3.5000000000000003E-2</v>
      </c>
      <c r="AH264" s="2044">
        <v>100</v>
      </c>
    </row>
    <row r="265" spans="1:34">
      <c r="A265" s="66"/>
      <c r="B265" s="497" t="str">
        <f>IF(Uebersetzung!$A$1=1,Bauteile!S265,Bauteile!AA265)</f>
        <v>PUR, Pentan, ouvert (U), lambda 0.032</v>
      </c>
      <c r="C265" s="497"/>
      <c r="D265" s="497"/>
      <c r="E265" s="497"/>
      <c r="F265" s="497"/>
      <c r="G265" s="498">
        <f>IF(Uebersetzung!$A$1=1,Bauteile!X265,Bauteile!AF265)</f>
        <v>40</v>
      </c>
      <c r="H265" s="498">
        <f>IF(Uebersetzung!$A$1=1,Bauteile!Y265,Bauteile!AG265)</f>
        <v>3.2000000000000001E-2</v>
      </c>
      <c r="I265" s="498">
        <f>IF(Uebersetzung!$A$1=1,Bauteile!Z265,Bauteile!AH265)</f>
        <v>100</v>
      </c>
      <c r="J265" s="27"/>
      <c r="K265" s="118"/>
      <c r="L265" s="30"/>
      <c r="M265" s="30"/>
      <c r="N265" s="30"/>
      <c r="O265" s="30"/>
      <c r="P265" s="30"/>
      <c r="Q265" s="30"/>
      <c r="R265" s="57"/>
      <c r="S265" s="1880" t="s">
        <v>320</v>
      </c>
      <c r="T265" s="546"/>
      <c r="U265" s="546"/>
      <c r="V265" s="546"/>
      <c r="W265" s="546"/>
      <c r="X265" s="546">
        <v>150</v>
      </c>
      <c r="Y265" s="63">
        <v>0.06</v>
      </c>
      <c r="Z265" s="1483">
        <v>5</v>
      </c>
      <c r="AA265" s="1878" t="s">
        <v>3817</v>
      </c>
      <c r="AB265" s="30"/>
      <c r="AC265" s="30"/>
      <c r="AD265" s="421"/>
      <c r="AE265" s="30"/>
      <c r="AF265" s="422">
        <v>40</v>
      </c>
      <c r="AG265" s="422">
        <v>3.2000000000000001E-2</v>
      </c>
      <c r="AH265" s="2044">
        <v>100</v>
      </c>
    </row>
    <row r="266" spans="1:34">
      <c r="A266" s="66"/>
      <c r="B266" s="497">
        <f>IF(Uebersetzung!$A$1=1,Bauteile!S266,Bauteile!AA266)</f>
        <v>0</v>
      </c>
      <c r="C266" s="497"/>
      <c r="D266" s="497"/>
      <c r="E266" s="497"/>
      <c r="F266" s="497"/>
      <c r="G266" s="498">
        <f>IF(Uebersetzung!$A$1=1,Bauteile!X266,Bauteile!AF266)</f>
        <v>0</v>
      </c>
      <c r="H266" s="498">
        <f>IF(Uebersetzung!$A$1=1,Bauteile!Y266,Bauteile!AG266)</f>
        <v>0</v>
      </c>
      <c r="I266" s="498">
        <f>IF(Uebersetzung!$A$1=1,Bauteile!Z266,Bauteile!AH266)</f>
        <v>0</v>
      </c>
      <c r="J266" s="27"/>
      <c r="K266" s="118"/>
      <c r="L266" s="30"/>
      <c r="M266" s="30"/>
      <c r="N266" s="30"/>
      <c r="O266" s="30"/>
      <c r="P266" s="30"/>
      <c r="Q266" s="30"/>
      <c r="R266" s="57"/>
      <c r="S266" s="1878" t="s">
        <v>319</v>
      </c>
      <c r="T266" s="30"/>
      <c r="U266" s="30"/>
      <c r="V266" s="545"/>
      <c r="W266" s="30"/>
      <c r="X266" s="546">
        <v>150</v>
      </c>
      <c r="Y266" s="546">
        <v>5.0999999999999997E-2</v>
      </c>
      <c r="Z266" s="1483">
        <v>5</v>
      </c>
      <c r="AA266" s="1878"/>
      <c r="AB266" s="30"/>
      <c r="AC266" s="30"/>
      <c r="AD266" s="421"/>
      <c r="AE266" s="30"/>
      <c r="AF266" s="422"/>
      <c r="AG266" s="422"/>
      <c r="AH266" s="1900"/>
    </row>
    <row r="267" spans="1:34">
      <c r="A267" s="66"/>
      <c r="B267" s="497">
        <f>IF(Uebersetzung!$A$1=1,Bauteile!S267,Bauteile!AA267)</f>
        <v>0</v>
      </c>
      <c r="C267" s="497"/>
      <c r="D267" s="497"/>
      <c r="E267" s="497"/>
      <c r="F267" s="497"/>
      <c r="G267" s="498">
        <f>IF(Uebersetzung!$A$1=1,Bauteile!X267,Bauteile!AF267)</f>
        <v>0</v>
      </c>
      <c r="H267" s="498">
        <f>IF(Uebersetzung!$A$1=1,Bauteile!Y267,Bauteile!AG267)</f>
        <v>0</v>
      </c>
      <c r="I267" s="498">
        <f>IF(Uebersetzung!$A$1=1,Bauteile!Z267,Bauteile!AH267)</f>
        <v>0</v>
      </c>
      <c r="J267" s="27"/>
      <c r="K267" s="118"/>
      <c r="L267" s="30"/>
      <c r="M267" s="30"/>
      <c r="N267" s="30"/>
      <c r="O267" s="30"/>
      <c r="P267" s="30"/>
      <c r="Q267" s="30"/>
      <c r="R267" s="57"/>
      <c r="S267" s="1878" t="s">
        <v>1722</v>
      </c>
      <c r="T267" s="30"/>
      <c r="U267" s="30"/>
      <c r="V267" s="545"/>
      <c r="W267" s="30"/>
      <c r="X267" s="546">
        <v>175</v>
      </c>
      <c r="Y267" s="546">
        <v>7.1999999999999995E-2</v>
      </c>
      <c r="Z267" s="1481">
        <v>1.5</v>
      </c>
      <c r="AA267" s="1878"/>
      <c r="AB267" s="30"/>
      <c r="AC267" s="30"/>
      <c r="AD267" s="421"/>
      <c r="AE267" s="30"/>
      <c r="AF267" s="422"/>
      <c r="AG267" s="422"/>
      <c r="AH267" s="1900"/>
    </row>
    <row r="268" spans="1:34">
      <c r="A268" s="66"/>
      <c r="B268" s="497" t="str">
        <f>IF(Uebersetzung!$A$1=1,Bauteile!S268,Bauteile!AA268)</f>
        <v>PVC en lés</v>
      </c>
      <c r="C268" s="497"/>
      <c r="D268" s="497"/>
      <c r="E268" s="497"/>
      <c r="F268" s="497"/>
      <c r="G268" s="498">
        <f>IF(Uebersetzung!$A$1=1,Bauteile!X268,Bauteile!AF268)</f>
        <v>40</v>
      </c>
      <c r="H268" s="498">
        <f>IF(Uebersetzung!$A$1=1,Bauteile!Y268,Bauteile!AG268)</f>
        <v>0.22</v>
      </c>
      <c r="I268" s="498">
        <f>IF(Uebersetzung!$A$1=1,Bauteile!Z268,Bauteile!AH268)</f>
        <v>65</v>
      </c>
      <c r="J268" s="27"/>
      <c r="K268" s="118"/>
      <c r="L268" s="30"/>
      <c r="M268" s="30"/>
      <c r="N268" s="30"/>
      <c r="O268" s="30"/>
      <c r="P268" s="30"/>
      <c r="Q268" s="30"/>
      <c r="R268" s="57"/>
      <c r="S268" s="1878" t="s">
        <v>1309</v>
      </c>
      <c r="T268" s="30"/>
      <c r="U268" s="30"/>
      <c r="V268" s="545"/>
      <c r="W268" s="30"/>
      <c r="X268" s="546">
        <v>2600</v>
      </c>
      <c r="Y268" s="546">
        <v>2.2999999999999998</v>
      </c>
      <c r="Z268" s="1483">
        <v>50</v>
      </c>
      <c r="AA268" s="1878" t="s">
        <v>3818</v>
      </c>
      <c r="AB268" s="30"/>
      <c r="AC268" s="30"/>
      <c r="AD268" s="421"/>
      <c r="AE268" s="30"/>
      <c r="AF268" s="422">
        <v>40</v>
      </c>
      <c r="AG268" s="422">
        <v>0.22</v>
      </c>
      <c r="AH268" s="1900">
        <v>65</v>
      </c>
    </row>
    <row r="269" spans="1:34">
      <c r="A269" s="66"/>
      <c r="B269" s="497">
        <f>IF(Uebersetzung!$A$1=1,Bauteile!S269,Bauteile!AA269)</f>
        <v>0</v>
      </c>
      <c r="C269" s="497"/>
      <c r="D269" s="497"/>
      <c r="E269" s="497"/>
      <c r="F269" s="497"/>
      <c r="G269" s="498">
        <f>IF(Uebersetzung!$A$1=1,Bauteile!X269,Bauteile!AF269)</f>
        <v>0</v>
      </c>
      <c r="H269" s="498">
        <f>IF(Uebersetzung!$A$1=1,Bauteile!Y269,Bauteile!AG269)</f>
        <v>0</v>
      </c>
      <c r="I269" s="498">
        <f>IF(Uebersetzung!$A$1=1,Bauteile!Z269,Bauteile!AH269)</f>
        <v>0</v>
      </c>
      <c r="J269" s="27"/>
      <c r="K269" s="118"/>
      <c r="L269" s="30"/>
      <c r="M269" s="30"/>
      <c r="N269" s="30"/>
      <c r="O269" s="30"/>
      <c r="P269" s="30"/>
      <c r="Q269" s="30"/>
      <c r="R269" s="57"/>
      <c r="S269" s="1878" t="s">
        <v>1291</v>
      </c>
      <c r="T269" s="30"/>
      <c r="U269" s="30"/>
      <c r="V269" s="545"/>
      <c r="W269" s="30"/>
      <c r="X269" s="546">
        <v>1400</v>
      </c>
      <c r="Y269" s="546">
        <v>0.52</v>
      </c>
      <c r="Z269" s="1483">
        <v>7</v>
      </c>
      <c r="AA269" s="1878"/>
      <c r="AB269" s="30"/>
      <c r="AC269" s="30"/>
      <c r="AD269" s="421"/>
      <c r="AE269" s="30"/>
      <c r="AF269" s="422"/>
      <c r="AG269" s="422"/>
      <c r="AH269" s="1901"/>
    </row>
    <row r="270" spans="1:34">
      <c r="A270" s="66"/>
      <c r="B270" s="497" t="str">
        <f>IF(Uebersetzung!$A$1=1,Bauteile!S270,Bauteile!AA270)</f>
        <v>Quarzabrieb</v>
      </c>
      <c r="C270" s="497"/>
      <c r="D270" s="497"/>
      <c r="E270" s="497"/>
      <c r="F270" s="497"/>
      <c r="G270" s="498">
        <f>IF(Uebersetzung!$A$1=1,Bauteile!X270,Bauteile!AF270)</f>
        <v>1400</v>
      </c>
      <c r="H270" s="498">
        <f>IF(Uebersetzung!$A$1=1,Bauteile!Y270,Bauteile!AG270)</f>
        <v>0.9</v>
      </c>
      <c r="I270" s="498">
        <f>IF(Uebersetzung!$A$1=1,Bauteile!Z270,Bauteile!AH270)</f>
        <v>18</v>
      </c>
      <c r="J270" s="27"/>
      <c r="K270" s="118"/>
      <c r="L270" s="30"/>
      <c r="M270" s="30"/>
      <c r="N270" s="30"/>
      <c r="O270" s="30"/>
      <c r="P270" s="30"/>
      <c r="Q270" s="30"/>
      <c r="R270" s="57"/>
      <c r="S270" s="1878" t="s">
        <v>1949</v>
      </c>
      <c r="T270" s="30"/>
      <c r="U270" s="30"/>
      <c r="V270" s="545"/>
      <c r="W270" s="30"/>
      <c r="X270" s="546">
        <v>1400</v>
      </c>
      <c r="Y270" s="546">
        <v>0.9</v>
      </c>
      <c r="Z270" s="1483">
        <v>30</v>
      </c>
      <c r="AA270" s="1878" t="s">
        <v>142</v>
      </c>
      <c r="AB270" s="30"/>
      <c r="AC270" s="30"/>
      <c r="AD270" s="421"/>
      <c r="AE270" s="30"/>
      <c r="AF270" s="422">
        <v>1400</v>
      </c>
      <c r="AG270" s="422">
        <v>0.9</v>
      </c>
      <c r="AH270" s="1899">
        <v>18</v>
      </c>
    </row>
    <row r="271" spans="1:34">
      <c r="A271" s="66"/>
      <c r="B271" s="497">
        <f>IF(Uebersetzung!$A$1=1,Bauteile!S271,Bauteile!AA271)</f>
        <v>0</v>
      </c>
      <c r="C271" s="497"/>
      <c r="D271" s="497"/>
      <c r="E271" s="497"/>
      <c r="F271" s="497"/>
      <c r="G271" s="498">
        <f>IF(Uebersetzung!$A$1=1,Bauteile!X271,Bauteile!AF271)</f>
        <v>0</v>
      </c>
      <c r="H271" s="498">
        <f>IF(Uebersetzung!$A$1=1,Bauteile!Y271,Bauteile!AG271)</f>
        <v>0</v>
      </c>
      <c r="I271" s="498">
        <f>IF(Uebersetzung!$A$1=1,Bauteile!Z271,Bauteile!AH271)</f>
        <v>0</v>
      </c>
      <c r="J271" s="27"/>
      <c r="K271" s="119"/>
      <c r="L271" s="31"/>
      <c r="M271" s="31"/>
      <c r="N271" s="31"/>
      <c r="O271" s="31"/>
      <c r="P271" s="31"/>
      <c r="Q271" s="31"/>
      <c r="R271" s="60"/>
      <c r="S271" s="1878" t="s">
        <v>1950</v>
      </c>
      <c r="T271" s="30"/>
      <c r="U271" s="30"/>
      <c r="V271" s="545"/>
      <c r="W271" s="30"/>
      <c r="X271" s="546">
        <v>1400</v>
      </c>
      <c r="Y271" s="546">
        <v>0.9</v>
      </c>
      <c r="Z271" s="1483">
        <v>55</v>
      </c>
      <c r="AA271" s="1887"/>
      <c r="AB271" s="422"/>
      <c r="AC271" s="422"/>
      <c r="AD271" s="422"/>
      <c r="AE271" s="422"/>
      <c r="AF271" s="422"/>
      <c r="AG271" s="30"/>
      <c r="AH271" s="1901"/>
    </row>
    <row r="272" spans="1:34">
      <c r="A272" s="66"/>
      <c r="B272" s="497" t="str">
        <f>IF(Uebersetzung!$A$1=1,Bauteile!S272,Bauteile!AA272)</f>
        <v>Roches cristallines et métamorphiques</v>
      </c>
      <c r="C272" s="497"/>
      <c r="D272" s="497"/>
      <c r="E272" s="497"/>
      <c r="F272" s="497"/>
      <c r="G272" s="498">
        <f>IF(Uebersetzung!$A$1=1,Bauteile!X272,Bauteile!AF272)</f>
        <v>2800</v>
      </c>
      <c r="H272" s="498">
        <f>IF(Uebersetzung!$A$1=1,Bauteile!Y272,Bauteile!AG272)</f>
        <v>3.5</v>
      </c>
      <c r="I272" s="498">
        <f>IF(Uebersetzung!$A$1=1,Bauteile!Z272,Bauteile!AH272)</f>
        <v>50</v>
      </c>
      <c r="J272" s="27"/>
      <c r="K272" s="27"/>
      <c r="L272" s="27"/>
      <c r="M272" s="27"/>
      <c r="N272" s="27"/>
      <c r="P272" s="27"/>
      <c r="S272" s="1878" t="s">
        <v>634</v>
      </c>
      <c r="T272" s="30"/>
      <c r="U272" s="30"/>
      <c r="V272" s="545"/>
      <c r="W272" s="30"/>
      <c r="X272" s="546">
        <v>300</v>
      </c>
      <c r="Y272" s="546">
        <v>0.09</v>
      </c>
      <c r="Z272" s="1483">
        <v>150</v>
      </c>
      <c r="AA272" s="1878" t="s">
        <v>3819</v>
      </c>
      <c r="AB272" s="30"/>
      <c r="AC272" s="30"/>
      <c r="AD272" s="421"/>
      <c r="AE272" s="30"/>
      <c r="AF272" s="422">
        <v>2800</v>
      </c>
      <c r="AG272" s="422">
        <v>3.5</v>
      </c>
      <c r="AH272" s="1899">
        <v>50</v>
      </c>
    </row>
    <row r="273" spans="1:34">
      <c r="A273" s="66"/>
      <c r="B273" s="497" t="str">
        <f>IF(Uebersetzung!$A$1=1,Bauteile!S273,Bauteile!AA273)</f>
        <v>Roches sédimentaires</v>
      </c>
      <c r="C273" s="497"/>
      <c r="D273" s="497"/>
      <c r="E273" s="497"/>
      <c r="F273" s="497"/>
      <c r="G273" s="498">
        <f>IF(Uebersetzung!$A$1=1,Bauteile!X273,Bauteile!AF273)</f>
        <v>2600</v>
      </c>
      <c r="H273" s="498">
        <f>IF(Uebersetzung!$A$1=1,Bauteile!Y273,Bauteile!AG273)</f>
        <v>2.2999999999999998</v>
      </c>
      <c r="I273" s="498">
        <f>IF(Uebersetzung!$A$1=1,Bauteile!Z273,Bauteile!AH273)</f>
        <v>50</v>
      </c>
      <c r="J273" s="27"/>
      <c r="K273" s="27"/>
      <c r="L273" s="27"/>
      <c r="M273" s="27"/>
      <c r="N273" s="27"/>
      <c r="P273" s="27"/>
      <c r="S273" s="1878" t="s">
        <v>635</v>
      </c>
      <c r="T273" s="30"/>
      <c r="U273" s="30"/>
      <c r="V273" s="545"/>
      <c r="W273" s="30"/>
      <c r="X273" s="546">
        <v>500</v>
      </c>
      <c r="Y273" s="546">
        <v>0.13</v>
      </c>
      <c r="Z273" s="1483">
        <v>200</v>
      </c>
      <c r="AA273" s="1878" t="s">
        <v>3820</v>
      </c>
      <c r="AB273" s="30"/>
      <c r="AC273" s="30"/>
      <c r="AD273" s="421"/>
      <c r="AE273" s="30"/>
      <c r="AF273" s="422">
        <v>2600</v>
      </c>
      <c r="AG273" s="422">
        <v>2.2999999999999998</v>
      </c>
      <c r="AH273" s="1900">
        <v>50</v>
      </c>
    </row>
    <row r="274" spans="1:34">
      <c r="A274" s="66"/>
      <c r="B274" s="497" t="str">
        <f>IF(Uebersetzung!$A$1=1,Bauteile!S274,Bauteile!AA274)</f>
        <v>****Revêtements de sol****</v>
      </c>
      <c r="C274" s="497"/>
      <c r="D274" s="497"/>
      <c r="E274" s="497"/>
      <c r="F274" s="497"/>
      <c r="G274" s="498">
        <f>IF(Uebersetzung!$A$1=1,Bauteile!X274,Bauteile!AF274)</f>
        <v>0</v>
      </c>
      <c r="H274" s="498">
        <f>IF(Uebersetzung!$A$1=1,Bauteile!Y274,Bauteile!AG274)</f>
        <v>0</v>
      </c>
      <c r="I274" s="498">
        <f>IF(Uebersetzung!$A$1=1,Bauteile!Z274,Bauteile!AH274)</f>
        <v>0</v>
      </c>
      <c r="J274" s="27"/>
      <c r="K274" s="27"/>
      <c r="L274" s="27"/>
      <c r="M274" s="27"/>
      <c r="N274" s="27"/>
      <c r="P274" s="27"/>
      <c r="S274" s="1878" t="s">
        <v>636</v>
      </c>
      <c r="T274" s="30"/>
      <c r="U274" s="30"/>
      <c r="V274" s="545"/>
      <c r="W274" s="30"/>
      <c r="X274" s="546">
        <v>700</v>
      </c>
      <c r="Y274" s="546">
        <v>0.17</v>
      </c>
      <c r="Z274" s="1483">
        <v>220</v>
      </c>
      <c r="AA274" s="603" t="s">
        <v>3821</v>
      </c>
      <c r="AB274" s="30"/>
      <c r="AC274" s="30"/>
      <c r="AD274" s="421"/>
      <c r="AE274" s="30"/>
      <c r="AF274" s="422"/>
      <c r="AG274" s="422"/>
      <c r="AH274" s="1901"/>
    </row>
    <row r="275" spans="1:34">
      <c r="A275" s="66"/>
      <c r="B275" s="497" t="str">
        <f>IF(Uebersetzung!$A$1=1,Bauteile!S275,Bauteile!AA275)</f>
        <v>Caoutchouc</v>
      </c>
      <c r="C275" s="497"/>
      <c r="D275" s="497"/>
      <c r="E275" s="497"/>
      <c r="F275" s="497"/>
      <c r="G275" s="498">
        <f>IF(Uebersetzung!$A$1=1,Bauteile!X275,Bauteile!AF275)</f>
        <v>1200</v>
      </c>
      <c r="H275" s="498">
        <f>IF(Uebersetzung!$A$1=1,Bauteile!Y275,Bauteile!AG275)</f>
        <v>0.17</v>
      </c>
      <c r="I275" s="498">
        <f>IF(Uebersetzung!$A$1=1,Bauteile!Z275,Bauteile!AH275)</f>
        <v>10000</v>
      </c>
      <c r="J275" s="27"/>
      <c r="K275" s="27"/>
      <c r="L275" s="27"/>
      <c r="M275" s="27"/>
      <c r="N275" s="27"/>
      <c r="P275" s="27"/>
      <c r="S275" s="1878" t="s">
        <v>637</v>
      </c>
      <c r="T275" s="30"/>
      <c r="U275" s="30"/>
      <c r="V275" s="545"/>
      <c r="W275" s="30"/>
      <c r="X275" s="546">
        <v>1000</v>
      </c>
      <c r="Y275" s="546">
        <v>0.24</v>
      </c>
      <c r="Z275" s="1483">
        <v>250</v>
      </c>
      <c r="AA275" s="1878" t="s">
        <v>3822</v>
      </c>
      <c r="AB275" s="30"/>
      <c r="AC275" s="30"/>
      <c r="AD275" s="421"/>
      <c r="AE275" s="30"/>
      <c r="AF275" s="422">
        <v>1200</v>
      </c>
      <c r="AG275" s="422">
        <v>0.17</v>
      </c>
      <c r="AH275" s="1899">
        <v>10000</v>
      </c>
    </row>
    <row r="276" spans="1:34">
      <c r="A276" s="66"/>
      <c r="B276" s="497" t="str">
        <f>IF(Uebersetzung!$A$1=1,Bauteile!S276,Bauteile!AA276)</f>
        <v>Plastique</v>
      </c>
      <c r="C276" s="497"/>
      <c r="D276" s="497"/>
      <c r="E276" s="497"/>
      <c r="F276" s="497"/>
      <c r="G276" s="498">
        <f>IF(Uebersetzung!$A$1=1,Bauteile!X276,Bauteile!AF276)</f>
        <v>1700</v>
      </c>
      <c r="H276" s="498">
        <f>IF(Uebersetzung!$A$1=1,Bauteile!Y276,Bauteile!AG276)</f>
        <v>0.25</v>
      </c>
      <c r="I276" s="498">
        <f>IF(Uebersetzung!$A$1=1,Bauteile!Z276,Bauteile!AH276)</f>
        <v>10000</v>
      </c>
      <c r="J276" s="27"/>
      <c r="K276" s="27"/>
      <c r="L276" s="27"/>
      <c r="M276" s="27"/>
      <c r="N276" s="27"/>
      <c r="P276" s="27"/>
      <c r="S276" s="1878" t="s">
        <v>1951</v>
      </c>
      <c r="T276" s="30"/>
      <c r="U276" s="30"/>
      <c r="V276" s="545"/>
      <c r="W276" s="30"/>
      <c r="X276" s="546">
        <v>1600</v>
      </c>
      <c r="Y276" s="546">
        <v>1</v>
      </c>
      <c r="Z276" s="1483">
        <v>15</v>
      </c>
      <c r="AA276" s="1878" t="s">
        <v>3823</v>
      </c>
      <c r="AB276" s="30"/>
      <c r="AC276" s="30"/>
      <c r="AD276" s="421"/>
      <c r="AE276" s="30"/>
      <c r="AF276" s="422">
        <v>1700</v>
      </c>
      <c r="AG276" s="422">
        <v>0.25</v>
      </c>
      <c r="AH276" s="1899">
        <v>10000</v>
      </c>
    </row>
    <row r="277" spans="1:34">
      <c r="A277" s="66"/>
      <c r="B277" s="497" t="str">
        <f>IF(Uebersetzung!$A$1=1,Bauteile!S277,Bauteile!AA277)</f>
        <v>Caoutchouc-mousse ou plastique cellulaire</v>
      </c>
      <c r="C277" s="497"/>
      <c r="D277" s="497"/>
      <c r="E277" s="497"/>
      <c r="F277" s="497"/>
      <c r="G277" s="498">
        <f>IF(Uebersetzung!$A$1=1,Bauteile!X277,Bauteile!AF277)</f>
        <v>270</v>
      </c>
      <c r="H277" s="498">
        <f>IF(Uebersetzung!$A$1=1,Bauteile!Y277,Bauteile!AG277)</f>
        <v>0.1</v>
      </c>
      <c r="I277" s="498">
        <f>IF(Uebersetzung!$A$1=1,Bauteile!Z277,Bauteile!AH277)</f>
        <v>10000</v>
      </c>
      <c r="K277" s="225"/>
      <c r="O277" s="66"/>
      <c r="P277" s="66"/>
      <c r="Q277" s="28"/>
      <c r="R277" s="474"/>
      <c r="S277" s="1878" t="s">
        <v>2125</v>
      </c>
      <c r="T277" s="30"/>
      <c r="U277" s="30"/>
      <c r="V277" s="545"/>
      <c r="W277" s="30"/>
      <c r="X277" s="546">
        <v>7800</v>
      </c>
      <c r="Y277" s="546">
        <v>50</v>
      </c>
      <c r="Z277" s="1483">
        <v>500000</v>
      </c>
      <c r="AA277" s="1878" t="s">
        <v>3824</v>
      </c>
      <c r="AB277" s="30"/>
      <c r="AC277" s="30"/>
      <c r="AD277" s="421"/>
      <c r="AE277" s="30"/>
      <c r="AF277" s="422">
        <v>270</v>
      </c>
      <c r="AG277" s="422">
        <v>0.1</v>
      </c>
      <c r="AH277" s="1899">
        <v>10000</v>
      </c>
    </row>
    <row r="278" spans="1:34">
      <c r="A278" s="66"/>
      <c r="B278" s="497" t="str">
        <f>IF(Uebersetzung!$A$1=1,Bauteile!S278,Bauteile!AA278)</f>
        <v>Feutre</v>
      </c>
      <c r="C278" s="497"/>
      <c r="D278" s="497"/>
      <c r="E278" s="497"/>
      <c r="F278" s="497"/>
      <c r="G278" s="498">
        <f>IF(Uebersetzung!$A$1=1,Bauteile!X278,Bauteile!AF278)</f>
        <v>120</v>
      </c>
      <c r="H278" s="498">
        <f>IF(Uebersetzung!$A$1=1,Bauteile!Y278,Bauteile!AG278)</f>
        <v>0.05</v>
      </c>
      <c r="I278" s="498">
        <f>IF(Uebersetzung!$A$1=1,Bauteile!Z278,Bauteile!AH278)</f>
        <v>20</v>
      </c>
      <c r="K278" s="121"/>
      <c r="L278" s="540"/>
      <c r="M278" s="420"/>
      <c r="N278" s="122"/>
      <c r="O278" s="541"/>
      <c r="P278" s="542"/>
      <c r="Q278" s="542"/>
      <c r="R278" s="543"/>
      <c r="S278" s="1878" t="s">
        <v>638</v>
      </c>
      <c r="T278" s="30"/>
      <c r="U278" s="30"/>
      <c r="V278" s="545"/>
      <c r="W278" s="30"/>
      <c r="X278" s="546">
        <v>7900</v>
      </c>
      <c r="Y278" s="546">
        <v>17</v>
      </c>
      <c r="Z278" s="1483">
        <v>500000</v>
      </c>
      <c r="AA278" s="1878" t="s">
        <v>3825</v>
      </c>
      <c r="AB278" s="30"/>
      <c r="AC278" s="30"/>
      <c r="AD278" s="421"/>
      <c r="AE278" s="30"/>
      <c r="AF278" s="422">
        <v>120</v>
      </c>
      <c r="AG278" s="422">
        <v>0.05</v>
      </c>
      <c r="AH278" s="1899">
        <v>20</v>
      </c>
    </row>
    <row r="279" spans="1:34" ht="15">
      <c r="A279" s="66"/>
      <c r="B279" s="497" t="str">
        <f>IF(Uebersetzung!$A$1=1,Bauteile!S279,Bauteile!AA279)</f>
        <v>Laine</v>
      </c>
      <c r="C279" s="497"/>
      <c r="D279" s="497"/>
      <c r="E279" s="497"/>
      <c r="F279" s="497"/>
      <c r="G279" s="498">
        <f>IF(Uebersetzung!$A$1=1,Bauteile!X279,Bauteile!AF279)</f>
        <v>200</v>
      </c>
      <c r="H279" s="498">
        <f>IF(Uebersetzung!$A$1=1,Bauteile!Y279,Bauteile!AG279)</f>
        <v>0.06</v>
      </c>
      <c r="I279" s="498">
        <f>IF(Uebersetzung!$A$1=1,Bauteile!Z279,Bauteile!AH279)</f>
        <v>20</v>
      </c>
      <c r="K279" s="621" t="str">
        <f>Uebersetzung!D590</f>
        <v>Transmission thermique alpha</v>
      </c>
      <c r="L279" s="544"/>
      <c r="M279" s="421"/>
      <c r="N279" s="30"/>
      <c r="O279" s="545"/>
      <c r="P279" s="546"/>
      <c r="Q279" s="546"/>
      <c r="R279" s="547"/>
      <c r="S279" s="1878" t="s">
        <v>639</v>
      </c>
      <c r="T279" s="30"/>
      <c r="U279" s="30"/>
      <c r="V279" s="545"/>
      <c r="W279" s="30"/>
      <c r="X279" s="546">
        <v>2300</v>
      </c>
      <c r="Y279" s="546">
        <v>2.2999999999999998</v>
      </c>
      <c r="Z279" s="1483">
        <v>130</v>
      </c>
      <c r="AA279" s="1878" t="s">
        <v>3826</v>
      </c>
      <c r="AB279" s="30"/>
      <c r="AC279" s="30"/>
      <c r="AD279" s="421"/>
      <c r="AE279" s="30"/>
      <c r="AF279" s="422">
        <v>200</v>
      </c>
      <c r="AG279" s="422">
        <v>0.06</v>
      </c>
      <c r="AH279" s="1899">
        <v>20</v>
      </c>
    </row>
    <row r="280" spans="1:34" ht="13.5">
      <c r="A280" s="66"/>
      <c r="B280" s="497" t="str">
        <f>IF(Uebersetzung!$A$1=1,Bauteile!S280,Bauteile!AA280)</f>
        <v>Liège</v>
      </c>
      <c r="C280" s="497"/>
      <c r="D280" s="497"/>
      <c r="E280" s="497"/>
      <c r="F280" s="497"/>
      <c r="G280" s="498">
        <f>IF(Uebersetzung!$A$1=1,Bauteile!X280,Bauteile!AF280)</f>
        <v>150</v>
      </c>
      <c r="H280" s="498">
        <f>IF(Uebersetzung!$A$1=1,Bauteile!Y280,Bauteile!AG280)</f>
        <v>0.05</v>
      </c>
      <c r="I280" s="498">
        <f>IF(Uebersetzung!$A$1=1,Bauteile!Z280,Bauteile!AH280)</f>
        <v>20</v>
      </c>
      <c r="K280" s="118"/>
      <c r="L280" s="548"/>
      <c r="M280" s="422" t="str">
        <f>Uebersetzung!D591</f>
        <v>Transmission thermique à l'intérieur</v>
      </c>
      <c r="N280" s="30"/>
      <c r="O280" s="545">
        <v>8</v>
      </c>
      <c r="P280" s="546" t="s">
        <v>249</v>
      </c>
      <c r="Q280" s="546"/>
      <c r="R280" s="547"/>
      <c r="S280" s="1878" t="s">
        <v>640</v>
      </c>
      <c r="T280" s="30"/>
      <c r="U280" s="30"/>
      <c r="V280" s="545"/>
      <c r="W280" s="30"/>
      <c r="X280" s="546">
        <v>2400</v>
      </c>
      <c r="Y280" s="546">
        <v>2.5</v>
      </c>
      <c r="Z280" s="1483">
        <v>130</v>
      </c>
      <c r="AA280" s="1878" t="s">
        <v>3827</v>
      </c>
      <c r="AB280" s="30"/>
      <c r="AC280" s="30"/>
      <c r="AD280" s="421"/>
      <c r="AE280" s="30"/>
      <c r="AF280" s="422">
        <v>150</v>
      </c>
      <c r="AG280" s="422">
        <v>0.05</v>
      </c>
      <c r="AH280" s="1899">
        <v>20</v>
      </c>
    </row>
    <row r="281" spans="1:34" ht="13.5">
      <c r="A281" s="66"/>
      <c r="B281" s="497" t="str">
        <f>IF(Uebersetzung!$A$1=1,Bauteile!S281,Bauteile!AA281)</f>
        <v>Plaques de liège</v>
      </c>
      <c r="C281" s="497"/>
      <c r="D281" s="497"/>
      <c r="E281" s="497"/>
      <c r="F281" s="497"/>
      <c r="G281" s="498">
        <f>IF(Uebersetzung!$A$1=1,Bauteile!X281,Bauteile!AF281)</f>
        <v>500</v>
      </c>
      <c r="H281" s="498">
        <f>IF(Uebersetzung!$A$1=1,Bauteile!Y281,Bauteile!AG281)</f>
        <v>6.5000000000000002E-2</v>
      </c>
      <c r="I281" s="498">
        <f>IF(Uebersetzung!$A$1=1,Bauteile!Z281,Bauteile!AH281)</f>
        <v>40</v>
      </c>
      <c r="K281" s="118"/>
      <c r="L281" s="548"/>
      <c r="M281" s="422" t="str">
        <f>Uebersetzung!D592</f>
        <v>Transmission thermique à l'extérieur</v>
      </c>
      <c r="N281" s="30"/>
      <c r="O281" s="545">
        <v>25</v>
      </c>
      <c r="P281" s="546" t="s">
        <v>249</v>
      </c>
      <c r="Q281" s="546"/>
      <c r="R281" s="547"/>
      <c r="S281" s="1878" t="s">
        <v>1382</v>
      </c>
      <c r="T281" s="30"/>
      <c r="U281" s="30"/>
      <c r="V281" s="545"/>
      <c r="W281" s="30"/>
      <c r="X281" s="546">
        <v>60</v>
      </c>
      <c r="Y281" s="546">
        <v>0.05</v>
      </c>
      <c r="Z281" s="1481">
        <v>1.5</v>
      </c>
      <c r="AA281" s="1878" t="s">
        <v>3828</v>
      </c>
      <c r="AB281" s="30"/>
      <c r="AC281" s="30"/>
      <c r="AD281" s="421"/>
      <c r="AE281" s="30"/>
      <c r="AF281" s="422">
        <v>500</v>
      </c>
      <c r="AG281" s="422">
        <v>6.5000000000000002E-2</v>
      </c>
      <c r="AH281" s="1899">
        <v>40</v>
      </c>
    </row>
    <row r="282" spans="1:34">
      <c r="A282" s="66"/>
      <c r="B282" s="497" t="str">
        <f>IF(Uebersetzung!$A$1=1,Bauteile!S282,Bauteile!AA282)</f>
        <v>Linoléum</v>
      </c>
      <c r="C282" s="497"/>
      <c r="D282" s="497"/>
      <c r="E282" s="497"/>
      <c r="F282" s="497"/>
      <c r="G282" s="498">
        <f>IF(Uebersetzung!$A$1=1,Bauteile!X282,Bauteile!AF282)</f>
        <v>1200</v>
      </c>
      <c r="H282" s="498">
        <f>IF(Uebersetzung!$A$1=1,Bauteile!Y282,Bauteile!AG282)</f>
        <v>0.17</v>
      </c>
      <c r="I282" s="498">
        <f>IF(Uebersetzung!$A$1=1,Bauteile!Z282,Bauteile!AH282)</f>
        <v>1000</v>
      </c>
      <c r="K282" s="118"/>
      <c r="L282" s="548"/>
      <c r="M282" s="421"/>
      <c r="N282" s="30"/>
      <c r="O282" s="545"/>
      <c r="P282" s="546"/>
      <c r="Q282" s="546"/>
      <c r="R282" s="547"/>
      <c r="S282" s="1878" t="s">
        <v>318</v>
      </c>
      <c r="T282" s="30"/>
      <c r="U282" s="30"/>
      <c r="V282" s="545"/>
      <c r="W282" s="30"/>
      <c r="X282" s="546">
        <v>60</v>
      </c>
      <c r="Y282" s="546">
        <v>0.05</v>
      </c>
      <c r="Z282" s="1483">
        <v>2</v>
      </c>
      <c r="AA282" s="1878" t="s">
        <v>3829</v>
      </c>
      <c r="AB282" s="30"/>
      <c r="AC282" s="30"/>
      <c r="AD282" s="421"/>
      <c r="AE282" s="30"/>
      <c r="AF282" s="422">
        <v>1200</v>
      </c>
      <c r="AG282" s="422">
        <v>0.17</v>
      </c>
      <c r="AH282" s="1899">
        <v>1000</v>
      </c>
    </row>
    <row r="283" spans="1:34" ht="15.75">
      <c r="A283" s="66"/>
      <c r="B283" s="497">
        <f>IF(Uebersetzung!$A$1=1,Bauteile!S283,Bauteile!AA283)</f>
        <v>0</v>
      </c>
      <c r="C283" s="497"/>
      <c r="D283" s="497"/>
      <c r="E283" s="497"/>
      <c r="F283" s="497"/>
      <c r="G283" s="498">
        <f>IF(Uebersetzung!$A$1=1,Bauteile!X283,Bauteile!AF283)</f>
        <v>0</v>
      </c>
      <c r="H283" s="498">
        <f>IF(Uebersetzung!$A$1=1,Bauteile!Y283,Bauteile!AG283)</f>
        <v>0</v>
      </c>
      <c r="I283" s="498">
        <f>IF(Uebersetzung!$A$1=1,Bauteile!Z283,Bauteile!AH283)</f>
        <v>0</v>
      </c>
      <c r="K283" s="119"/>
      <c r="L283" s="620"/>
      <c r="M283" s="550" t="str">
        <f>IF(Projekt!AE3="entech",Uebersetzung!D593,"")</f>
        <v/>
      </c>
      <c r="N283" s="607" t="s">
        <v>1081</v>
      </c>
      <c r="O283" s="622">
        <f>IF(Projekt!AE3="entech",UWert!T98,99)</f>
        <v>99</v>
      </c>
      <c r="P283" s="550" t="s">
        <v>1843</v>
      </c>
      <c r="Q283" s="550"/>
      <c r="R283" s="551"/>
      <c r="S283" s="1878" t="s">
        <v>317</v>
      </c>
      <c r="T283" s="30"/>
      <c r="U283" s="30"/>
      <c r="V283" s="545"/>
      <c r="W283" s="30"/>
      <c r="X283" s="546">
        <v>60</v>
      </c>
      <c r="Y283" s="546">
        <v>4.4999999999999998E-2</v>
      </c>
      <c r="Z283" s="1483">
        <v>2</v>
      </c>
      <c r="AA283" s="603"/>
      <c r="AB283" s="421"/>
      <c r="AC283" s="30"/>
      <c r="AD283" s="421"/>
      <c r="AE283" s="422"/>
      <c r="AF283" s="422"/>
      <c r="AG283" s="422"/>
      <c r="AH283" s="1902"/>
    </row>
    <row r="284" spans="1:34" ht="15">
      <c r="A284" s="66"/>
      <c r="B284" s="497" t="str">
        <f>IF(Uebersetzung!$A$1=1,Bauteile!S284,Bauteile!AA284)</f>
        <v>Sable</v>
      </c>
      <c r="C284" s="497"/>
      <c r="D284" s="497"/>
      <c r="E284" s="497"/>
      <c r="F284" s="497"/>
      <c r="G284" s="498">
        <f>IF(Uebersetzung!$A$1=1,Bauteile!X284,Bauteile!AF284)</f>
        <v>1900</v>
      </c>
      <c r="H284" s="498">
        <f>IF(Uebersetzung!$A$1=1,Bauteile!Y284,Bauteile!AG284)</f>
        <v>0.7</v>
      </c>
      <c r="I284" s="498">
        <f>IF(Uebersetzung!$A$1=1,Bauteile!Z284,Bauteile!AH284)</f>
        <v>1</v>
      </c>
      <c r="K284" s="621" t="str">
        <f>Uebersetzung!D594</f>
        <v>Façade, ventilée</v>
      </c>
      <c r="L284" s="421"/>
      <c r="M284" s="30"/>
      <c r="N284" s="545"/>
      <c r="O284" s="546"/>
      <c r="P284" s="546"/>
      <c r="Q284" s="546"/>
      <c r="R284" s="547"/>
      <c r="S284" s="1879"/>
      <c r="T284" s="546"/>
      <c r="U284" s="546"/>
      <c r="V284" s="546"/>
      <c r="W284" s="546"/>
      <c r="X284" s="546"/>
      <c r="Y284" s="30"/>
      <c r="Z284" s="1885"/>
      <c r="AA284" s="1878" t="s">
        <v>3830</v>
      </c>
      <c r="AB284" s="30"/>
      <c r="AC284" s="30"/>
      <c r="AD284" s="421"/>
      <c r="AE284" s="30"/>
      <c r="AF284" s="422">
        <v>1900</v>
      </c>
      <c r="AG284" s="422">
        <v>0.7</v>
      </c>
      <c r="AH284" s="1899">
        <v>1</v>
      </c>
    </row>
    <row r="285" spans="1:34">
      <c r="A285" s="66"/>
      <c r="B285" s="497" t="str">
        <f>IF(Uebersetzung!$A$1=1,Bauteile!S285,Bauteile!AA285)</f>
        <v>Sable calcaire coquiller</v>
      </c>
      <c r="C285" s="497"/>
      <c r="D285" s="497"/>
      <c r="E285" s="497"/>
      <c r="F285" s="497"/>
      <c r="G285" s="498">
        <f>IF(Uebersetzung!$A$1=1,Bauteile!X285,Bauteile!AF285)</f>
        <v>2600</v>
      </c>
      <c r="H285" s="498">
        <f>IF(Uebersetzung!$A$1=1,Bauteile!Y285,Bauteile!AG285)</f>
        <v>2.2999999999999998</v>
      </c>
      <c r="I285" s="498">
        <f>IF(Uebersetzung!$A$1=1,Bauteile!Z285,Bauteile!AH285)</f>
        <v>520</v>
      </c>
      <c r="K285" s="118"/>
      <c r="L285" s="552" t="str">
        <f>Uebersetzung!D595</f>
        <v>Façade, ventilée</v>
      </c>
      <c r="M285" s="546"/>
      <c r="N285" s="546"/>
      <c r="O285" s="553" t="s">
        <v>1081</v>
      </c>
      <c r="P285" s="546">
        <v>12.5</v>
      </c>
      <c r="Q285" s="546" t="s">
        <v>1843</v>
      </c>
      <c r="R285" s="547"/>
      <c r="S285" s="1878" t="s">
        <v>2126</v>
      </c>
      <c r="T285" s="30"/>
      <c r="U285" s="30"/>
      <c r="V285" s="545"/>
      <c r="W285" s="30"/>
      <c r="X285" s="546">
        <v>475</v>
      </c>
      <c r="Y285" s="546">
        <v>0.14000000000000001</v>
      </c>
      <c r="Z285" s="1474">
        <v>40</v>
      </c>
      <c r="AA285" s="1878" t="s">
        <v>3831</v>
      </c>
      <c r="AB285" s="30"/>
      <c r="AC285" s="30"/>
      <c r="AD285" s="421"/>
      <c r="AE285" s="30"/>
      <c r="AF285" s="422">
        <v>2600</v>
      </c>
      <c r="AG285" s="422">
        <v>2.2999999999999998</v>
      </c>
      <c r="AH285" s="1900">
        <v>520</v>
      </c>
    </row>
    <row r="286" spans="1:34">
      <c r="A286" s="66"/>
      <c r="B286" s="497" t="str">
        <f>IF(Uebersetzung!$A$1=1,Bauteile!S286,Bauteile!AA286)</f>
        <v>Silikonharzputz m=55</v>
      </c>
      <c r="C286" s="497"/>
      <c r="D286" s="497"/>
      <c r="E286" s="497"/>
      <c r="F286" s="497"/>
      <c r="G286" s="498">
        <f>IF(Uebersetzung!$A$1=1,Bauteile!X286,Bauteile!AF286)</f>
        <v>1400</v>
      </c>
      <c r="H286" s="498">
        <f>IF(Uebersetzung!$A$1=1,Bauteile!Y286,Bauteile!AG286)</f>
        <v>0.9</v>
      </c>
      <c r="I286" s="498">
        <f>IF(Uebersetzung!$A$1=1,Bauteile!Z286,Bauteile!AH286)</f>
        <v>55</v>
      </c>
      <c r="J286" s="27"/>
      <c r="K286" s="603"/>
      <c r="L286" s="552" t="str">
        <f>Uebersetzung!D596</f>
        <v>xxx suivant les région d'air dans la construction xxx</v>
      </c>
      <c r="M286" s="30"/>
      <c r="N286" s="545"/>
      <c r="O286" s="546"/>
      <c r="P286" s="546" t="s">
        <v>790</v>
      </c>
      <c r="Q286" s="546"/>
      <c r="R286" s="547"/>
      <c r="S286" s="1878" t="s">
        <v>1289</v>
      </c>
      <c r="T286" s="30"/>
      <c r="U286" s="30"/>
      <c r="V286" s="545"/>
      <c r="W286" s="30"/>
      <c r="X286" s="546">
        <v>1100</v>
      </c>
      <c r="Y286" s="546">
        <v>0.44</v>
      </c>
      <c r="Z286" s="1472">
        <v>5</v>
      </c>
      <c r="AA286" s="1878" t="s">
        <v>1950</v>
      </c>
      <c r="AB286" s="30"/>
      <c r="AC286" s="30"/>
      <c r="AD286" s="421"/>
      <c r="AE286" s="30"/>
      <c r="AF286" s="422">
        <v>1400</v>
      </c>
      <c r="AG286" s="422">
        <v>0.9</v>
      </c>
      <c r="AH286" s="1900">
        <v>55</v>
      </c>
    </row>
    <row r="287" spans="1:34">
      <c r="A287" s="66"/>
      <c r="B287" s="497" t="str">
        <f>IF(Uebersetzung!$A$1=1,Bauteile!S287,Bauteile!AA287)</f>
        <v xml:space="preserve">Spatule de plâtre </v>
      </c>
      <c r="C287" s="497"/>
      <c r="D287" s="497"/>
      <c r="E287" s="497"/>
      <c r="F287" s="497"/>
      <c r="G287" s="498">
        <f>IF(Uebersetzung!$A$1=1,Bauteile!X287,Bauteile!AF287)</f>
        <v>1050</v>
      </c>
      <c r="H287" s="498">
        <f>IF(Uebersetzung!$A$1=1,Bauteile!Y287,Bauteile!AG287)</f>
        <v>0.8</v>
      </c>
      <c r="I287" s="498">
        <f>IF(Uebersetzung!$A$1=1,Bauteile!Z287,Bauteile!AH287)</f>
        <v>20</v>
      </c>
      <c r="J287" s="27"/>
      <c r="K287" s="603"/>
      <c r="L287" s="552" t="str">
        <f>Uebersetzung!D597</f>
        <v>Région d'air horizontale 5mm, plafond</v>
      </c>
      <c r="M287" s="30"/>
      <c r="N287" s="545"/>
      <c r="O287" s="553" t="s">
        <v>1081</v>
      </c>
      <c r="P287" s="604">
        <v>9.1</v>
      </c>
      <c r="Q287" s="546" t="s">
        <v>1843</v>
      </c>
      <c r="R287" s="57"/>
      <c r="S287" s="1884" t="s">
        <v>5502</v>
      </c>
      <c r="T287" s="546"/>
      <c r="U287" s="546"/>
      <c r="V287" s="546"/>
      <c r="W287" s="546"/>
      <c r="X287" s="546">
        <v>180</v>
      </c>
      <c r="Y287" s="63">
        <v>0.02</v>
      </c>
      <c r="Z287" s="1472">
        <v>999</v>
      </c>
      <c r="AA287" s="1878" t="s">
        <v>3832</v>
      </c>
      <c r="AB287" s="30"/>
      <c r="AC287" s="30"/>
      <c r="AD287" s="421"/>
      <c r="AE287" s="30"/>
      <c r="AF287" s="422">
        <v>1050</v>
      </c>
      <c r="AG287" s="422">
        <v>0.8</v>
      </c>
      <c r="AH287" s="1903">
        <v>20</v>
      </c>
    </row>
    <row r="288" spans="1:34">
      <c r="A288" s="66"/>
      <c r="B288" s="497">
        <f>IF(Uebersetzung!$A$1=1,Bauteile!S288,Bauteile!AA288)</f>
        <v>0</v>
      </c>
      <c r="C288" s="497"/>
      <c r="D288" s="497"/>
      <c r="E288" s="497"/>
      <c r="F288" s="497"/>
      <c r="G288" s="498">
        <f>IF(Uebersetzung!$A$1=1,Bauteile!X288,Bauteile!AF288)</f>
        <v>0</v>
      </c>
      <c r="H288" s="498">
        <f>IF(Uebersetzung!$A$1=1,Bauteile!Y288,Bauteile!AG288)</f>
        <v>0</v>
      </c>
      <c r="I288" s="498">
        <f>IF(Uebersetzung!$A$1=1,Bauteile!Z288,Bauteile!AH288)</f>
        <v>0</v>
      </c>
      <c r="J288" s="27"/>
      <c r="K288" s="603"/>
      <c r="L288" s="552" t="str">
        <f>Uebersetzung!D598</f>
        <v>Région d'air horizontale 10mm, plafond</v>
      </c>
      <c r="M288" s="30"/>
      <c r="N288" s="545"/>
      <c r="O288" s="553" t="s">
        <v>1081</v>
      </c>
      <c r="P288" s="604">
        <v>6.7</v>
      </c>
      <c r="Q288" s="546" t="s">
        <v>1843</v>
      </c>
      <c r="R288" s="605"/>
      <c r="S288" s="1878" t="s">
        <v>2127</v>
      </c>
      <c r="T288" s="30"/>
      <c r="U288" s="30"/>
      <c r="V288" s="545"/>
      <c r="W288" s="30"/>
      <c r="X288" s="546">
        <v>1000</v>
      </c>
      <c r="Y288" s="546">
        <v>0.57999999999999996</v>
      </c>
      <c r="Z288" s="1474">
        <v>9.9999999999999997E-29</v>
      </c>
      <c r="AA288" s="1887"/>
      <c r="AB288" s="422"/>
      <c r="AC288" s="422"/>
      <c r="AD288" s="422"/>
      <c r="AE288" s="422"/>
      <c r="AF288" s="422"/>
      <c r="AG288" s="30"/>
      <c r="AH288" s="1901"/>
    </row>
    <row r="289" spans="1:34">
      <c r="A289" s="66"/>
      <c r="B289" s="497" t="str">
        <f>IF(Uebersetzung!$A$1=1,Bauteile!S289,Bauteile!AA289)</f>
        <v>Terre compacte, humidité naturelle</v>
      </c>
      <c r="C289" s="497"/>
      <c r="D289" s="497"/>
      <c r="E289" s="497"/>
      <c r="F289" s="497"/>
      <c r="G289" s="498">
        <f>IF(Uebersetzung!$A$1=1,Bauteile!X289,Bauteile!AF289)</f>
        <v>1700</v>
      </c>
      <c r="H289" s="498">
        <f>IF(Uebersetzung!$A$1=1,Bauteile!Y289,Bauteile!AG289)</f>
        <v>2.09</v>
      </c>
      <c r="I289" s="498">
        <f>IF(Uebersetzung!$A$1=1,Bauteile!Z289,Bauteile!AH289)</f>
        <v>50</v>
      </c>
      <c r="J289" s="27"/>
      <c r="K289" s="603"/>
      <c r="L289" s="552" t="str">
        <f>Uebersetzung!D599</f>
        <v>Région d'air horizontale &gt;15mm, plafond</v>
      </c>
      <c r="M289" s="30"/>
      <c r="N289" s="545"/>
      <c r="O289" s="553" t="s">
        <v>1081</v>
      </c>
      <c r="P289" s="604">
        <v>6.3</v>
      </c>
      <c r="Q289" s="546" t="s">
        <v>1843</v>
      </c>
      <c r="R289" s="605"/>
      <c r="S289" s="1879"/>
      <c r="T289" s="546"/>
      <c r="U289" s="546"/>
      <c r="V289" s="546"/>
      <c r="W289" s="546"/>
      <c r="X289" s="546"/>
      <c r="Y289" s="30"/>
      <c r="Z289" s="1885"/>
      <c r="AA289" s="1878" t="s">
        <v>3833</v>
      </c>
      <c r="AB289" s="30"/>
      <c r="AC289" s="30"/>
      <c r="AD289" s="421"/>
      <c r="AE289" s="30"/>
      <c r="AF289" s="422">
        <v>1700</v>
      </c>
      <c r="AG289" s="422">
        <v>2.09</v>
      </c>
      <c r="AH289" s="1899">
        <v>50</v>
      </c>
    </row>
    <row r="290" spans="1:34">
      <c r="A290" s="66"/>
      <c r="B290" s="497" t="str">
        <f>IF(Uebersetzung!$A$1=1,Bauteile!S290,Bauteile!AA290)</f>
        <v>Terre glaise, compacte</v>
      </c>
      <c r="C290" s="497"/>
      <c r="D290" s="497"/>
      <c r="E290" s="497"/>
      <c r="F290" s="497"/>
      <c r="G290" s="498">
        <f>IF(Uebersetzung!$A$1=1,Bauteile!X290,Bauteile!AF290)</f>
        <v>1700</v>
      </c>
      <c r="H290" s="498">
        <f>IF(Uebersetzung!$A$1=1,Bauteile!Y290,Bauteile!AG290)</f>
        <v>0.93</v>
      </c>
      <c r="I290" s="498">
        <f>IF(Uebersetzung!$A$1=1,Bauteile!Z290,Bauteile!AH290)</f>
        <v>8</v>
      </c>
      <c r="J290" s="27"/>
      <c r="K290" s="603"/>
      <c r="L290" s="552" t="str">
        <f>Uebersetzung!D600</f>
        <v>Région d'air verticale 5mm</v>
      </c>
      <c r="M290" s="30"/>
      <c r="N290" s="545"/>
      <c r="O290" s="553" t="s">
        <v>1081</v>
      </c>
      <c r="P290" s="604">
        <v>9.1</v>
      </c>
      <c r="Q290" s="546" t="s">
        <v>1843</v>
      </c>
      <c r="R290" s="605"/>
      <c r="S290" s="118" t="s">
        <v>1140</v>
      </c>
      <c r="T290" s="30"/>
      <c r="U290" s="30"/>
      <c r="V290" s="30"/>
      <c r="W290" s="30"/>
      <c r="X290" s="63">
        <v>50</v>
      </c>
      <c r="Y290" s="63">
        <v>0.06</v>
      </c>
      <c r="Z290" s="1480">
        <v>2</v>
      </c>
      <c r="AA290" s="1878" t="s">
        <v>3834</v>
      </c>
      <c r="AB290" s="30"/>
      <c r="AC290" s="30"/>
      <c r="AD290" s="421"/>
      <c r="AE290" s="30"/>
      <c r="AF290" s="422">
        <v>1700</v>
      </c>
      <c r="AG290" s="422">
        <v>0.93</v>
      </c>
      <c r="AH290" s="1900">
        <v>8</v>
      </c>
    </row>
    <row r="291" spans="1:34">
      <c r="A291" s="66"/>
      <c r="B291" s="497" t="str">
        <f>IF(Uebersetzung!$A$1=1,Bauteile!S291,Bauteile!AA291)</f>
        <v>Terre sableuse, humidité naturelle</v>
      </c>
      <c r="C291" s="497"/>
      <c r="D291" s="497"/>
      <c r="E291" s="497"/>
      <c r="F291" s="497"/>
      <c r="G291" s="498">
        <f>IF(Uebersetzung!$A$1=1,Bauteile!X291,Bauteile!AF291)</f>
        <v>1800</v>
      </c>
      <c r="H291" s="498">
        <f>IF(Uebersetzung!$A$1=1,Bauteile!Y291,Bauteile!AG291)</f>
        <v>1.4</v>
      </c>
      <c r="I291" s="498">
        <f>IF(Uebersetzung!$A$1=1,Bauteile!Z291,Bauteile!AH291)</f>
        <v>1</v>
      </c>
      <c r="J291" s="27"/>
      <c r="K291" s="603"/>
      <c r="L291" s="552" t="str">
        <f>Uebersetzung!D601</f>
        <v>Région d'air verticale 10mm</v>
      </c>
      <c r="M291" s="30"/>
      <c r="N291" s="545"/>
      <c r="O291" s="553" t="s">
        <v>1081</v>
      </c>
      <c r="P291" s="604">
        <v>6.7</v>
      </c>
      <c r="Q291" s="546" t="s">
        <v>1843</v>
      </c>
      <c r="R291" s="605"/>
      <c r="S291" s="118" t="s">
        <v>641</v>
      </c>
      <c r="T291" s="30"/>
      <c r="U291" s="30"/>
      <c r="V291" s="30"/>
      <c r="W291" s="30"/>
      <c r="X291" s="63">
        <v>50</v>
      </c>
      <c r="Y291" s="63">
        <v>4.4999999999999998E-2</v>
      </c>
      <c r="Z291" s="1480">
        <v>2</v>
      </c>
      <c r="AA291" s="1878" t="s">
        <v>3835</v>
      </c>
      <c r="AB291" s="30"/>
      <c r="AC291" s="30"/>
      <c r="AD291" s="421"/>
      <c r="AE291" s="30"/>
      <c r="AF291" s="422">
        <v>1800</v>
      </c>
      <c r="AG291" s="422">
        <v>1.4</v>
      </c>
      <c r="AH291" s="1900">
        <v>1</v>
      </c>
    </row>
    <row r="292" spans="1:34">
      <c r="A292" s="66"/>
      <c r="B292" s="497">
        <f>IF(Uebersetzung!$A$1=1,Bauteile!S292,Bauteile!AA292)</f>
        <v>0</v>
      </c>
      <c r="C292" s="497"/>
      <c r="D292" s="497"/>
      <c r="E292" s="497"/>
      <c r="F292" s="497"/>
      <c r="G292" s="498">
        <f>IF(Uebersetzung!$A$1=1,Bauteile!X292,Bauteile!AF292)</f>
        <v>0</v>
      </c>
      <c r="H292" s="498">
        <f>IF(Uebersetzung!$A$1=1,Bauteile!Y292,Bauteile!AG292)</f>
        <v>0</v>
      </c>
      <c r="I292" s="498">
        <f>IF(Uebersetzung!$A$1=1,Bauteile!Z292,Bauteile!AH292)</f>
        <v>0</v>
      </c>
      <c r="J292" s="27"/>
      <c r="K292" s="603"/>
      <c r="L292" s="552" t="str">
        <f>Uebersetzung!D602</f>
        <v>Région d'air verticale &gt;25mm</v>
      </c>
      <c r="M292" s="30"/>
      <c r="N292" s="545"/>
      <c r="O292" s="553" t="s">
        <v>1081</v>
      </c>
      <c r="P292" s="604">
        <v>5.6</v>
      </c>
      <c r="Q292" s="546" t="s">
        <v>1843</v>
      </c>
      <c r="R292" s="605"/>
      <c r="S292" s="118" t="s">
        <v>1383</v>
      </c>
      <c r="T292" s="30"/>
      <c r="U292" s="30"/>
      <c r="V292" s="30"/>
      <c r="W292" s="30"/>
      <c r="X292" s="63">
        <v>50</v>
      </c>
      <c r="Y292" s="63">
        <v>0.05</v>
      </c>
      <c r="Z292" s="1483">
        <v>2</v>
      </c>
      <c r="AA292" s="1887"/>
      <c r="AB292" s="422"/>
      <c r="AC292" s="422"/>
      <c r="AD292" s="422"/>
      <c r="AE292" s="422"/>
      <c r="AF292" s="422"/>
      <c r="AG292" s="30"/>
      <c r="AH292" s="1901"/>
    </row>
    <row r="293" spans="1:34">
      <c r="A293" s="66"/>
      <c r="B293" s="497" t="str">
        <f>IF(Uebersetzung!$A$1=1,Bauteile!S293,Bauteile!AA293)</f>
        <v>Verre</v>
      </c>
      <c r="C293" s="497"/>
      <c r="D293" s="497"/>
      <c r="E293" s="497"/>
      <c r="F293" s="497"/>
      <c r="G293" s="498">
        <f>IF(Uebersetzung!$A$1=1,Bauteile!X293,Bauteile!AF293)</f>
        <v>2500</v>
      </c>
      <c r="H293" s="498">
        <f>IF(Uebersetzung!$A$1=1,Bauteile!Y293,Bauteile!AG293)</f>
        <v>0.81</v>
      </c>
      <c r="I293" s="498">
        <f>IF(Uebersetzung!$A$1=1,Bauteile!Z293,Bauteile!AH293)</f>
        <v>900</v>
      </c>
      <c r="J293" s="27"/>
      <c r="K293" s="603"/>
      <c r="L293" s="552" t="str">
        <f>Uebersetzung!D603</f>
        <v>Région d'air horizontale 5mm, plancher</v>
      </c>
      <c r="M293" s="30"/>
      <c r="N293" s="545"/>
      <c r="O293" s="553" t="s">
        <v>1081</v>
      </c>
      <c r="P293" s="604">
        <v>9.1</v>
      </c>
      <c r="Q293" s="546" t="s">
        <v>1843</v>
      </c>
      <c r="R293" s="605"/>
      <c r="S293" s="118" t="s">
        <v>642</v>
      </c>
      <c r="T293" s="30"/>
      <c r="U293" s="30"/>
      <c r="V293" s="30"/>
      <c r="W293" s="30"/>
      <c r="X293" s="63">
        <v>50</v>
      </c>
      <c r="Y293" s="63">
        <v>4.8000000000000001E-2</v>
      </c>
      <c r="Z293" s="1483">
        <v>2</v>
      </c>
      <c r="AA293" s="1878" t="s">
        <v>3836</v>
      </c>
      <c r="AB293" s="30"/>
      <c r="AC293" s="30"/>
      <c r="AD293" s="421"/>
      <c r="AE293" s="30"/>
      <c r="AF293" s="422">
        <v>2500</v>
      </c>
      <c r="AG293" s="422">
        <v>0.81</v>
      </c>
      <c r="AH293" s="1899">
        <v>900</v>
      </c>
    </row>
    <row r="294" spans="1:34">
      <c r="A294" s="66"/>
      <c r="B294" s="497" t="str">
        <f>IF(Uebersetzung!$A$1=1,Bauteile!S294,Bauteile!AA294)</f>
        <v>Verre cellulaire, en vrac (N)</v>
      </c>
      <c r="C294" s="497"/>
      <c r="D294" s="497"/>
      <c r="E294" s="497"/>
      <c r="F294" s="497"/>
      <c r="G294" s="498">
        <f>IF(Uebersetzung!$A$1=1,Bauteile!X294,Bauteile!AF294)</f>
        <v>300</v>
      </c>
      <c r="H294" s="498">
        <f>IF(Uebersetzung!$A$1=1,Bauteile!Y294,Bauteile!AG294)</f>
        <v>9.4E-2</v>
      </c>
      <c r="I294" s="498">
        <f>IF(Uebersetzung!$A$1=1,Bauteile!Z294,Bauteile!AH294)</f>
        <v>1.5</v>
      </c>
      <c r="J294" s="27"/>
      <c r="K294" s="603"/>
      <c r="L294" s="552" t="str">
        <f>Uebersetzung!D604</f>
        <v>Région d'air horizontale 10mm, plancher</v>
      </c>
      <c r="M294" s="30"/>
      <c r="N294" s="545"/>
      <c r="O294" s="553" t="s">
        <v>1081</v>
      </c>
      <c r="P294" s="604">
        <v>6.7</v>
      </c>
      <c r="Q294" s="546" t="s">
        <v>1843</v>
      </c>
      <c r="R294" s="605"/>
      <c r="S294" s="1878" t="s">
        <v>1302</v>
      </c>
      <c r="T294" s="30"/>
      <c r="U294" s="30"/>
      <c r="V294" s="545"/>
      <c r="W294" s="30"/>
      <c r="X294" s="546">
        <v>1200</v>
      </c>
      <c r="Y294" s="546">
        <v>0.7</v>
      </c>
      <c r="Z294" s="1483">
        <v>12.5</v>
      </c>
      <c r="AA294" s="1893" t="s">
        <v>3837</v>
      </c>
      <c r="AB294" s="422"/>
      <c r="AC294" s="422"/>
      <c r="AD294" s="422"/>
      <c r="AE294" s="422"/>
      <c r="AF294" s="422">
        <v>300</v>
      </c>
      <c r="AG294" s="63">
        <v>9.4E-2</v>
      </c>
      <c r="AH294" s="1904">
        <v>1.5</v>
      </c>
    </row>
    <row r="295" spans="1:34">
      <c r="A295" s="66"/>
      <c r="B295" s="497" t="str">
        <f>IF(Uebersetzung!$A$1=1,Bauteile!S295,Bauteile!AA295)</f>
        <v>Verre cellulaire, panneaux (N)</v>
      </c>
      <c r="C295" s="497"/>
      <c r="D295" s="497"/>
      <c r="E295" s="497"/>
      <c r="F295" s="497"/>
      <c r="G295" s="498">
        <f>IF(Uebersetzung!$A$1=1,Bauteile!X295,Bauteile!AF295)</f>
        <v>150</v>
      </c>
      <c r="H295" s="498">
        <f>IF(Uebersetzung!$A$1=1,Bauteile!Y295,Bauteile!AG295)</f>
        <v>0.06</v>
      </c>
      <c r="I295" s="498">
        <f>IF(Uebersetzung!$A$1=1,Bauteile!Z295,Bauteile!AH295)</f>
        <v>2</v>
      </c>
      <c r="J295" s="27"/>
      <c r="K295" s="603"/>
      <c r="L295" s="552" t="str">
        <f>Uebersetzung!D605</f>
        <v>Région d'air horizontale 25mm, plancher</v>
      </c>
      <c r="M295" s="30"/>
      <c r="N295" s="545"/>
      <c r="O295" s="553" t="s">
        <v>1081</v>
      </c>
      <c r="P295" s="604">
        <v>5.3</v>
      </c>
      <c r="Q295" s="546" t="s">
        <v>1843</v>
      </c>
      <c r="R295" s="605"/>
      <c r="S295" s="1878" t="s">
        <v>1606</v>
      </c>
      <c r="T295" s="30"/>
      <c r="U295" s="30"/>
      <c r="V295" s="545"/>
      <c r="W295" s="30"/>
      <c r="X295" s="546">
        <v>2200</v>
      </c>
      <c r="Y295" s="546">
        <v>1.4</v>
      </c>
      <c r="Z295" s="1483">
        <v>25</v>
      </c>
      <c r="AA295" s="1893" t="s">
        <v>3838</v>
      </c>
      <c r="AB295" s="422"/>
      <c r="AC295" s="422"/>
      <c r="AD295" s="422"/>
      <c r="AE295" s="422"/>
      <c r="AF295" s="422">
        <v>150</v>
      </c>
      <c r="AG295" s="63">
        <v>0.06</v>
      </c>
      <c r="AH295" s="1900">
        <v>2</v>
      </c>
    </row>
    <row r="296" spans="1:34">
      <c r="A296" s="66"/>
      <c r="B296" s="497" t="str">
        <f>IF(Uebersetzung!$A$1=1,Bauteile!S296,Bauteile!AA296)</f>
        <v>Verre cellulaire, panneaux (U)</v>
      </c>
      <c r="C296" s="497"/>
      <c r="D296" s="497"/>
      <c r="E296" s="497"/>
      <c r="F296" s="497"/>
      <c r="G296" s="498">
        <f>IF(Uebersetzung!$A$1=1,Bauteile!X296,Bauteile!AF296)</f>
        <v>150</v>
      </c>
      <c r="H296" s="498">
        <f>IF(Uebersetzung!$A$1=1,Bauteile!Y296,Bauteile!AG296)</f>
        <v>5.0999999999999997E-2</v>
      </c>
      <c r="I296" s="498">
        <f>IF(Uebersetzung!$A$1=1,Bauteile!Z296,Bauteile!AH296)</f>
        <v>2</v>
      </c>
      <c r="J296" s="27"/>
      <c r="K296" s="606"/>
      <c r="L296" s="1876" t="str">
        <f>Uebersetzung!D606</f>
        <v>Région d'air horizontale 100mm, plancher</v>
      </c>
      <c r="M296" s="31"/>
      <c r="N296" s="549"/>
      <c r="O296" s="607" t="s">
        <v>1081</v>
      </c>
      <c r="P296" s="608">
        <v>4.5</v>
      </c>
      <c r="Q296" s="550" t="s">
        <v>1843</v>
      </c>
      <c r="R296" s="609"/>
      <c r="S296" s="1878" t="s">
        <v>1300</v>
      </c>
      <c r="T296" s="30"/>
      <c r="U296" s="30"/>
      <c r="V296" s="545"/>
      <c r="W296" s="30"/>
      <c r="X296" s="546">
        <v>2000</v>
      </c>
      <c r="Y296" s="546">
        <v>1.1000000000000001</v>
      </c>
      <c r="Z296" s="1483">
        <v>12.5</v>
      </c>
      <c r="AA296" s="1893" t="s">
        <v>3839</v>
      </c>
      <c r="AB296" s="30"/>
      <c r="AC296" s="30"/>
      <c r="AD296" s="421"/>
      <c r="AE296" s="30"/>
      <c r="AF296" s="422">
        <v>150</v>
      </c>
      <c r="AG296" s="422">
        <v>5.0999999999999997E-2</v>
      </c>
      <c r="AH296" s="1900">
        <v>2</v>
      </c>
    </row>
    <row r="297" spans="1:34">
      <c r="A297" s="66"/>
      <c r="B297" s="497">
        <f>IF(Uebersetzung!$A$1=1,Bauteile!S297,Bauteile!AA297)</f>
        <v>0</v>
      </c>
      <c r="C297" s="497"/>
      <c r="D297" s="497"/>
      <c r="E297" s="497"/>
      <c r="F297" s="497"/>
      <c r="G297" s="498">
        <f>IF(Uebersetzung!$A$1=1,Bauteile!X297,Bauteile!AF297)</f>
        <v>0</v>
      </c>
      <c r="H297" s="498">
        <f>IF(Uebersetzung!$A$1=1,Bauteile!Y297,Bauteile!AG297)</f>
        <v>0</v>
      </c>
      <c r="I297" s="498">
        <f>IF(Uebersetzung!$A$1=1,Bauteile!Z297,Bauteile!AH297)</f>
        <v>0</v>
      </c>
      <c r="J297" s="27"/>
      <c r="K297" s="71"/>
      <c r="L297" s="69"/>
      <c r="M297" s="27"/>
      <c r="N297" s="70"/>
      <c r="O297" s="66"/>
      <c r="P297" s="66"/>
      <c r="Q297" s="66"/>
      <c r="R297" s="225"/>
      <c r="S297" s="1878" t="s">
        <v>643</v>
      </c>
      <c r="T297" s="30"/>
      <c r="U297" s="30"/>
      <c r="V297" s="545"/>
      <c r="W297" s="30"/>
      <c r="X297" s="546">
        <v>7200</v>
      </c>
      <c r="Y297" s="546">
        <v>110</v>
      </c>
      <c r="Z297" s="1484">
        <v>500000</v>
      </c>
      <c r="AA297" s="1878"/>
      <c r="AB297" s="30"/>
      <c r="AC297" s="30"/>
      <c r="AD297" s="421"/>
      <c r="AE297" s="30"/>
      <c r="AF297" s="422"/>
      <c r="AG297" s="422"/>
      <c r="AH297" s="1902"/>
    </row>
    <row r="298" spans="1:34">
      <c r="A298" s="66"/>
      <c r="B298" s="497" t="str">
        <f>IF(Uebersetzung!$A$1=1,Bauteile!S298,Bauteile!AA298)</f>
        <v>Zinc</v>
      </c>
      <c r="C298" s="497"/>
      <c r="D298" s="497"/>
      <c r="E298" s="497"/>
      <c r="F298" s="497"/>
      <c r="G298" s="498">
        <f>IF(Uebersetzung!$A$1=1,Bauteile!X298,Bauteile!AF298)</f>
        <v>7200</v>
      </c>
      <c r="H298" s="498">
        <f>IF(Uebersetzung!$A$1=1,Bauteile!Y298,Bauteile!AG298)</f>
        <v>110</v>
      </c>
      <c r="I298" s="498">
        <f>IF(Uebersetzung!$A$1=1,Bauteile!Z298,Bauteile!AH298)</f>
        <v>50000</v>
      </c>
      <c r="J298" s="27"/>
      <c r="K298" s="27"/>
      <c r="L298" s="27"/>
      <c r="M298" s="27"/>
      <c r="N298" s="27"/>
      <c r="P298" s="27"/>
      <c r="S298" s="118"/>
      <c r="T298" s="30"/>
      <c r="U298" s="30"/>
      <c r="V298" s="30"/>
      <c r="W298" s="30"/>
      <c r="X298" s="30"/>
      <c r="Y298" s="30"/>
      <c r="Z298" s="57"/>
      <c r="AA298" s="1893" t="s">
        <v>3840</v>
      </c>
      <c r="AB298" s="422"/>
      <c r="AC298" s="422"/>
      <c r="AD298" s="422"/>
      <c r="AE298" s="422"/>
      <c r="AF298" s="422">
        <v>7200</v>
      </c>
      <c r="AG298" s="63">
        <v>110</v>
      </c>
      <c r="AH298" s="1900">
        <v>50000</v>
      </c>
    </row>
    <row r="299" spans="1:34">
      <c r="A299" s="68"/>
      <c r="B299" s="497">
        <f>IF(Uebersetzung!$A$1=1,Bauteile!S299,Bauteile!AA299)</f>
        <v>0</v>
      </c>
      <c r="C299" s="497"/>
      <c r="D299" s="497"/>
      <c r="E299" s="497"/>
      <c r="F299" s="497"/>
      <c r="G299" s="498">
        <f>IF(Uebersetzung!$A$1=1,Bauteile!X299,Bauteile!AF299)</f>
        <v>0</v>
      </c>
      <c r="H299" s="498">
        <f>IF(Uebersetzung!$A$1=1,Bauteile!Y299,Bauteile!AG299)</f>
        <v>0</v>
      </c>
      <c r="I299" s="498">
        <f>IF(Uebersetzung!$A$1=1,Bauteile!Z299,Bauteile!AH299)</f>
        <v>0</v>
      </c>
      <c r="J299" s="27"/>
      <c r="K299" s="27"/>
      <c r="L299" s="27"/>
      <c r="M299" s="27"/>
      <c r="N299" s="27"/>
      <c r="P299" s="27"/>
      <c r="AA299" s="71"/>
      <c r="AB299" s="69"/>
      <c r="AD299" s="69"/>
      <c r="AE299" s="971"/>
      <c r="AF299" s="971"/>
      <c r="AG299" s="971"/>
      <c r="AH299" s="971"/>
    </row>
    <row r="300" spans="1:34">
      <c r="A300" s="66"/>
      <c r="B300" s="69"/>
      <c r="C300" s="27"/>
      <c r="F300" s="27"/>
      <c r="I300" s="1473"/>
      <c r="J300" s="27"/>
      <c r="K300" s="27"/>
      <c r="L300" s="27"/>
      <c r="M300" s="27"/>
      <c r="N300" s="27"/>
      <c r="P300" s="27"/>
      <c r="AA300" s="71"/>
      <c r="AB300" s="69"/>
      <c r="AD300" s="69"/>
      <c r="AE300" s="971"/>
      <c r="AF300" s="971"/>
      <c r="AG300" s="971"/>
      <c r="AH300" s="971"/>
    </row>
    <row r="301" spans="1:34">
      <c r="A301" s="66"/>
      <c r="B301" s="352" t="str">
        <f>Uebersetzung!D611</f>
        <v>Produits spécifiés</v>
      </c>
      <c r="C301" s="66"/>
      <c r="D301" s="66"/>
      <c r="E301" s="27"/>
      <c r="F301" s="27"/>
      <c r="G301" s="1526" t="s">
        <v>1004</v>
      </c>
      <c r="H301" s="1526" t="s">
        <v>1005</v>
      </c>
      <c r="I301" s="1527" t="s">
        <v>808</v>
      </c>
      <c r="J301" s="27"/>
      <c r="K301" s="31"/>
      <c r="L301" s="31"/>
      <c r="M301" s="31"/>
      <c r="N301" s="31"/>
      <c r="O301" s="31"/>
      <c r="P301" s="31"/>
      <c r="Q301" s="31"/>
      <c r="AA301" s="352"/>
      <c r="AB301" s="971"/>
      <c r="AC301" s="971"/>
    </row>
    <row r="302" spans="1:34" ht="38.25">
      <c r="A302" s="66"/>
      <c r="B302" s="27"/>
      <c r="C302" s="27"/>
      <c r="E302" s="27"/>
      <c r="F302" s="27"/>
      <c r="G302" s="137" t="s">
        <v>2301</v>
      </c>
      <c r="H302" s="137" t="s">
        <v>1190</v>
      </c>
      <c r="I302" s="1527" t="s">
        <v>2325</v>
      </c>
      <c r="J302" s="27"/>
      <c r="K302" s="1336" t="str">
        <f>Uebersetzung!D607</f>
        <v>Bande de rive verticale</v>
      </c>
      <c r="L302" s="30"/>
      <c r="M302" s="200"/>
      <c r="N302" s="30"/>
      <c r="P302" s="969" t="str">
        <f>Uebersetzung!D608</f>
        <v>Hauteur m</v>
      </c>
      <c r="Q302" s="969" t="str">
        <f>Uebersetzung!D609</f>
        <v>Grosseur 
m</v>
      </c>
      <c r="R302" s="1302" t="str">
        <f>Uebersetzung!D610</f>
        <v>l
W/mK</v>
      </c>
    </row>
    <row r="303" spans="1:34">
      <c r="A303" s="66"/>
      <c r="B303" s="71" t="str">
        <f>Uebersetzung!D612</f>
        <v>**** Laine de roche ****</v>
      </c>
      <c r="D303" s="69"/>
      <c r="E303" s="69"/>
      <c r="F303" s="69"/>
      <c r="G303" s="69"/>
      <c r="H303" s="69"/>
      <c r="I303" s="69"/>
      <c r="J303" s="27"/>
      <c r="K303" s="118" t="str">
        <f>Uebersetzung!D228</f>
        <v>Pas de bandes de rive verticale</v>
      </c>
      <c r="L303" s="30"/>
      <c r="M303" s="30">
        <v>0</v>
      </c>
      <c r="N303" s="30">
        <v>0</v>
      </c>
      <c r="P303" s="30">
        <v>0</v>
      </c>
      <c r="Q303" s="30"/>
      <c r="R303" s="62"/>
      <c r="AB303" s="69"/>
      <c r="AC303" s="69"/>
      <c r="AD303" s="69"/>
      <c r="AE303" s="69"/>
    </row>
    <row r="304" spans="1:34">
      <c r="A304" s="66"/>
      <c r="B304" s="970" t="str">
        <f>IF(Uebersetzung!$A$1=1,'SIA2001'!E10,'SIA2001'!F10)</f>
        <v>FIBRANgeo B-040</v>
      </c>
      <c r="C304" s="970"/>
      <c r="D304" s="970"/>
      <c r="E304" s="970"/>
      <c r="F304" s="970"/>
      <c r="G304" s="971" t="str">
        <f>'SIA2001'!J10</f>
        <v>40</v>
      </c>
      <c r="H304" s="971" t="str">
        <f>'SIA2001'!K10</f>
        <v>0.036</v>
      </c>
      <c r="I304" s="972">
        <f>'SIA2001'!O10</f>
        <v>1</v>
      </c>
      <c r="J304" s="27"/>
      <c r="K304" s="118" t="s">
        <v>1015</v>
      </c>
      <c r="L304" s="30"/>
      <c r="M304" s="546"/>
      <c r="N304" s="546"/>
      <c r="P304" s="63">
        <v>1</v>
      </c>
      <c r="Q304" s="63">
        <v>0.1</v>
      </c>
      <c r="R304" s="62">
        <v>3.5000000000000003E-2</v>
      </c>
      <c r="AB304" s="69"/>
      <c r="AC304" s="69"/>
      <c r="AD304" s="69"/>
      <c r="AE304" s="69"/>
    </row>
    <row r="305" spans="1:31">
      <c r="A305" s="66"/>
      <c r="B305" s="970" t="str">
        <f>IF(Uebersetzung!$A$1=1,'SIA2001'!E11,'SIA2001'!F11)</f>
        <v>Panneau de sol Flumroc</v>
      </c>
      <c r="C305" s="970"/>
      <c r="D305" s="970"/>
      <c r="E305" s="970"/>
      <c r="F305" s="970"/>
      <c r="G305" s="971">
        <f>'SIA2001'!J11</f>
        <v>100</v>
      </c>
      <c r="H305" s="971">
        <f>'SIA2001'!K11</f>
        <v>3.4000000000000002E-2</v>
      </c>
      <c r="I305" s="972">
        <f>'SIA2001'!O11</f>
        <v>1</v>
      </c>
      <c r="J305" s="27"/>
      <c r="K305" s="118" t="s">
        <v>1065</v>
      </c>
      <c r="L305" s="30"/>
      <c r="M305" s="546"/>
      <c r="N305" s="546"/>
      <c r="P305" s="63">
        <v>1</v>
      </c>
      <c r="Q305" s="63">
        <v>0.1</v>
      </c>
      <c r="R305" s="62">
        <v>0.04</v>
      </c>
      <c r="AB305" s="970"/>
      <c r="AC305" s="970"/>
      <c r="AD305" s="970"/>
      <c r="AE305" s="970"/>
    </row>
    <row r="306" spans="1:31">
      <c r="A306" s="66"/>
      <c r="B306" s="970" t="str">
        <f>IF(Uebersetzung!$A$1=1,'SIA2001'!E12,'SIA2001'!F12)</f>
        <v>Panneau de sol Flumroc</v>
      </c>
      <c r="C306" s="970"/>
      <c r="D306" s="970"/>
      <c r="E306" s="970"/>
      <c r="F306" s="970"/>
      <c r="G306" s="971" t="str">
        <f>'SIA2001'!J12</f>
        <v>130</v>
      </c>
      <c r="H306" s="971">
        <f>'SIA2001'!K12</f>
        <v>3.4000000000000002E-2</v>
      </c>
      <c r="I306" s="972">
        <f>'SIA2001'!O12</f>
        <v>1</v>
      </c>
      <c r="J306" s="27"/>
      <c r="K306" s="118" t="s">
        <v>1066</v>
      </c>
      <c r="L306" s="30"/>
      <c r="M306" s="546"/>
      <c r="N306" s="546"/>
      <c r="P306" s="63">
        <v>1</v>
      </c>
      <c r="Q306" s="63">
        <v>0.1</v>
      </c>
      <c r="R306" s="62">
        <v>0.06</v>
      </c>
      <c r="AB306" s="970"/>
      <c r="AC306" s="970"/>
      <c r="AD306" s="970"/>
      <c r="AE306" s="970"/>
    </row>
    <row r="307" spans="1:31">
      <c r="A307" s="66"/>
      <c r="B307" s="970" t="str">
        <f>IF(Uebersetzung!$A$1=1,'SIA2001'!E13,'SIA2001'!F13)</f>
        <v>Panneau isolant Flumroc DECO</v>
      </c>
      <c r="C307" s="970"/>
      <c r="D307" s="970"/>
      <c r="E307" s="970"/>
      <c r="F307" s="970"/>
      <c r="G307" s="971">
        <f>'SIA2001'!J13</f>
        <v>90</v>
      </c>
      <c r="H307" s="971">
        <f>'SIA2001'!K13</f>
        <v>3.5000000000000003E-2</v>
      </c>
      <c r="I307" s="972">
        <f>'SIA2001'!O13</f>
        <v>1</v>
      </c>
      <c r="J307" s="27"/>
      <c r="K307" s="118" t="s">
        <v>1067</v>
      </c>
      <c r="L307" s="30"/>
      <c r="M307" s="546"/>
      <c r="N307" s="546"/>
      <c r="P307" s="63">
        <v>1</v>
      </c>
      <c r="Q307" s="63">
        <v>0.1</v>
      </c>
      <c r="R307" s="62">
        <v>0.08</v>
      </c>
      <c r="AB307" s="970"/>
      <c r="AC307" s="970"/>
      <c r="AD307" s="970"/>
      <c r="AE307" s="970"/>
    </row>
    <row r="308" spans="1:31">
      <c r="A308" s="66"/>
      <c r="B308" s="970" t="str">
        <f>IF(Uebersetzung!$A$1=1,'SIA2001'!E14,'SIA2001'!F14)</f>
        <v>Panneau isolant Flumroc 3</v>
      </c>
      <c r="C308" s="971"/>
      <c r="D308" s="971"/>
      <c r="E308" s="971"/>
      <c r="F308" s="69"/>
      <c r="G308" s="971">
        <f>'SIA2001'!J14</f>
        <v>60</v>
      </c>
      <c r="H308" s="971">
        <f>'SIA2001'!K14</f>
        <v>3.3000000000000002E-2</v>
      </c>
      <c r="I308" s="972">
        <f>'SIA2001'!O14</f>
        <v>1</v>
      </c>
      <c r="J308" s="27"/>
      <c r="K308" s="118" t="s">
        <v>1068</v>
      </c>
      <c r="L308" s="30"/>
      <c r="M308" s="546"/>
      <c r="N308" s="546"/>
      <c r="P308" s="63">
        <v>1</v>
      </c>
      <c r="Q308" s="63">
        <v>0.08</v>
      </c>
      <c r="R308" s="62">
        <v>0.03</v>
      </c>
      <c r="AB308" s="970"/>
      <c r="AC308" s="970"/>
      <c r="AD308" s="970"/>
      <c r="AE308" s="970"/>
    </row>
    <row r="309" spans="1:31">
      <c r="A309" s="66"/>
      <c r="B309" s="970" t="str">
        <f>IF(Uebersetzung!$A$1=1,'SIA2001'!E15,'SIA2001'!F15)</f>
        <v>Panneau isolant Flumroc 341</v>
      </c>
      <c r="C309" s="970"/>
      <c r="D309" s="970"/>
      <c r="E309" s="970"/>
      <c r="F309" s="970"/>
      <c r="G309" s="971">
        <f>'SIA2001'!J15</f>
        <v>150</v>
      </c>
      <c r="H309" s="971">
        <f>'SIA2001'!K15</f>
        <v>0.04</v>
      </c>
      <c r="I309" s="972">
        <f>'SIA2001'!O15</f>
        <v>1</v>
      </c>
      <c r="J309" s="27"/>
      <c r="K309" s="118" t="s">
        <v>1069</v>
      </c>
      <c r="L309" s="30"/>
      <c r="M309" s="546"/>
      <c r="N309" s="546"/>
      <c r="P309" s="63">
        <v>1</v>
      </c>
      <c r="Q309" s="63">
        <v>0.08</v>
      </c>
      <c r="R309" s="62">
        <v>0.04</v>
      </c>
      <c r="AB309" s="971"/>
      <c r="AC309" s="971"/>
      <c r="AD309" s="971"/>
      <c r="AE309" s="69"/>
    </row>
    <row r="310" spans="1:31">
      <c r="A310" s="66"/>
      <c r="B310" s="970" t="str">
        <f>IF(Uebersetzung!$A$1=1,'SIA2001'!E16,'SIA2001'!F16)</f>
        <v>Panneau isolant Flumroc DUO / DUO C / DUO D20</v>
      </c>
      <c r="C310" s="970"/>
      <c r="D310" s="970"/>
      <c r="E310" s="970"/>
      <c r="F310" s="970"/>
      <c r="G310" s="971">
        <f>'SIA2001'!J16</f>
        <v>48</v>
      </c>
      <c r="H310" s="971">
        <f>'SIA2001'!K16</f>
        <v>3.4000000000000002E-2</v>
      </c>
      <c r="I310" s="972">
        <f>'SIA2001'!O16</f>
        <v>1</v>
      </c>
      <c r="J310" s="27"/>
      <c r="K310" s="118" t="s">
        <v>1016</v>
      </c>
      <c r="L310" s="30"/>
      <c r="M310" s="546"/>
      <c r="N310" s="546"/>
      <c r="P310" s="63">
        <v>1</v>
      </c>
      <c r="Q310" s="63">
        <v>0.08</v>
      </c>
      <c r="R310" s="62">
        <v>0.06</v>
      </c>
      <c r="AB310" s="970"/>
      <c r="AC310" s="970"/>
      <c r="AD310" s="970"/>
      <c r="AE310" s="970"/>
    </row>
    <row r="311" spans="1:31">
      <c r="A311" s="66"/>
      <c r="B311" s="970" t="str">
        <f>IF(Uebersetzung!$A$1=1,'SIA2001'!E17,'SIA2001'!F17)</f>
        <v>Panneau isolant Flumroc ECCO</v>
      </c>
      <c r="D311" s="69"/>
      <c r="E311" s="69"/>
      <c r="F311" s="69"/>
      <c r="G311" s="971">
        <f>'SIA2001'!J17</f>
        <v>75</v>
      </c>
      <c r="H311" s="971">
        <f>'SIA2001'!K17</f>
        <v>3.5999999999999997E-2</v>
      </c>
      <c r="I311" s="972">
        <f>'SIA2001'!O17</f>
        <v>1</v>
      </c>
      <c r="J311" s="27"/>
      <c r="K311" s="118" t="s">
        <v>1070</v>
      </c>
      <c r="L311" s="30"/>
      <c r="M311" s="546"/>
      <c r="N311" s="546"/>
      <c r="P311" s="63">
        <v>1</v>
      </c>
      <c r="Q311" s="63">
        <v>0.08</v>
      </c>
      <c r="R311" s="62">
        <v>0.08</v>
      </c>
      <c r="AB311" s="970"/>
      <c r="AC311" s="970"/>
      <c r="AD311" s="970"/>
      <c r="AE311" s="970"/>
    </row>
    <row r="312" spans="1:31">
      <c r="A312" s="66"/>
      <c r="B312" s="970" t="str">
        <f>IF(Uebersetzung!$A$1=1,'SIA2001'!E18,'SIA2001'!F18)</f>
        <v>Panneau isolant Flumroc MEGA</v>
      </c>
      <c r="D312" s="69"/>
      <c r="E312" s="69"/>
      <c r="F312" s="69"/>
      <c r="G312" s="971">
        <f>'SIA2001'!J18</f>
        <v>160</v>
      </c>
      <c r="H312" s="971">
        <f>'SIA2001'!K18</f>
        <v>4.4999999999999998E-2</v>
      </c>
      <c r="I312" s="972">
        <f>'SIA2001'!O18</f>
        <v>1</v>
      </c>
      <c r="J312" s="27"/>
      <c r="K312" s="118" t="s">
        <v>1071</v>
      </c>
      <c r="L312" s="30"/>
      <c r="M312" s="546"/>
      <c r="N312" s="546"/>
      <c r="P312" s="63">
        <v>1</v>
      </c>
      <c r="Q312" s="63">
        <v>0.05</v>
      </c>
      <c r="R312" s="62">
        <v>0.03</v>
      </c>
      <c r="AB312" s="69"/>
      <c r="AC312" s="69"/>
      <c r="AD312" s="69"/>
      <c r="AE312" s="69"/>
    </row>
    <row r="313" spans="1:31">
      <c r="A313" s="66"/>
      <c r="B313" s="970" t="str">
        <f>IF(Uebersetzung!$A$1=1,'SIA2001'!E19,'SIA2001'!F19)</f>
        <v>Panneau isolant Flumroc MONO</v>
      </c>
      <c r="C313" s="970"/>
      <c r="D313" s="970"/>
      <c r="E313" s="970"/>
      <c r="F313" s="970"/>
      <c r="G313" s="971">
        <f>'SIA2001'!J19</f>
        <v>65</v>
      </c>
      <c r="H313" s="971">
        <f>'SIA2001'!K19</f>
        <v>3.3000000000000002E-2</v>
      </c>
      <c r="I313" s="972">
        <f>'SIA2001'!O19</f>
        <v>1</v>
      </c>
      <c r="J313" s="27"/>
      <c r="K313" s="118" t="s">
        <v>1072</v>
      </c>
      <c r="L313" s="30"/>
      <c r="M313" s="546"/>
      <c r="N313" s="546"/>
      <c r="P313" s="63">
        <v>1</v>
      </c>
      <c r="Q313" s="63">
        <v>0.05</v>
      </c>
      <c r="R313" s="62">
        <v>0.04</v>
      </c>
      <c r="AB313" s="69"/>
      <c r="AC313" s="69"/>
      <c r="AD313" s="69"/>
      <c r="AE313" s="69"/>
    </row>
    <row r="314" spans="1:31">
      <c r="A314" s="66"/>
      <c r="B314" s="970" t="str">
        <f>IF(Uebersetzung!$A$1=1,'SIA2001'!E20,'SIA2001'!F20)</f>
        <v>Panneau isolant Flumroc PARA</v>
      </c>
      <c r="C314" s="970"/>
      <c r="D314" s="970"/>
      <c r="E314" s="970"/>
      <c r="F314" s="970"/>
      <c r="G314" s="971">
        <f>'SIA2001'!J20</f>
        <v>90</v>
      </c>
      <c r="H314" s="971">
        <f>'SIA2001'!K20</f>
        <v>3.5000000000000003E-2</v>
      </c>
      <c r="I314" s="972">
        <f>'SIA2001'!O20</f>
        <v>1</v>
      </c>
      <c r="J314" s="27"/>
      <c r="K314" s="118" t="s">
        <v>1073</v>
      </c>
      <c r="L314" s="30"/>
      <c r="M314" s="546"/>
      <c r="N314" s="546"/>
      <c r="P314" s="63">
        <v>1</v>
      </c>
      <c r="Q314" s="63">
        <v>0.05</v>
      </c>
      <c r="R314" s="62">
        <v>0.06</v>
      </c>
      <c r="AB314" s="970"/>
      <c r="AC314" s="970"/>
      <c r="AD314" s="970"/>
      <c r="AE314" s="970"/>
    </row>
    <row r="315" spans="1:31">
      <c r="A315" s="66"/>
      <c r="B315" s="970" t="str">
        <f>IF(Uebersetzung!$A$1=1,'SIA2001'!E21,'SIA2001'!F21)</f>
        <v>Panneau isolant Flumroc PRIMA</v>
      </c>
      <c r="C315" s="971"/>
      <c r="D315" s="971"/>
      <c r="E315" s="971"/>
      <c r="F315" s="971"/>
      <c r="G315" s="971">
        <f>'SIA2001'!J21</f>
        <v>120</v>
      </c>
      <c r="H315" s="971">
        <f>'SIA2001'!K21</f>
        <v>3.7999999999999999E-2</v>
      </c>
      <c r="I315" s="972">
        <f>'SIA2001'!O21</f>
        <v>1</v>
      </c>
      <c r="J315" s="27"/>
      <c r="K315" s="118" t="s">
        <v>1990</v>
      </c>
      <c r="L315" s="30"/>
      <c r="M315" s="546"/>
      <c r="N315" s="546"/>
      <c r="P315" s="63">
        <v>1</v>
      </c>
      <c r="Q315" s="63">
        <v>0.05</v>
      </c>
      <c r="R315" s="62">
        <v>0.08</v>
      </c>
      <c r="AB315" s="970"/>
      <c r="AC315" s="970"/>
      <c r="AD315" s="970"/>
      <c r="AE315" s="970"/>
    </row>
    <row r="316" spans="1:31">
      <c r="A316" s="66"/>
      <c r="B316" s="970" t="str">
        <f>IF(Uebersetzung!$A$1=1,'SIA2001'!E22,'SIA2001'!F22)</f>
        <v>Panneau isolant Flumroc SIGMA</v>
      </c>
      <c r="C316" s="970"/>
      <c r="D316" s="970"/>
      <c r="E316" s="970"/>
      <c r="F316" s="970"/>
      <c r="G316" s="971">
        <f>'SIA2001'!J22</f>
        <v>100</v>
      </c>
      <c r="H316" s="971">
        <f>'SIA2001'!K22</f>
        <v>3.5999999999999997E-2</v>
      </c>
      <c r="I316" s="972">
        <f>'SIA2001'!O22</f>
        <v>1</v>
      </c>
      <c r="J316" s="27"/>
      <c r="K316" s="118" t="s">
        <v>1991</v>
      </c>
      <c r="L316" s="30"/>
      <c r="M316" s="546"/>
      <c r="N316" s="546"/>
      <c r="P316" s="63">
        <v>2</v>
      </c>
      <c r="Q316" s="63">
        <v>0.1</v>
      </c>
      <c r="R316" s="62">
        <v>3.5000000000000003E-2</v>
      </c>
      <c r="AB316" s="971"/>
      <c r="AC316" s="971"/>
      <c r="AD316" s="971"/>
      <c r="AE316" s="971"/>
    </row>
    <row r="317" spans="1:31">
      <c r="A317" s="66"/>
      <c r="B317" s="970" t="str">
        <f>IF(Uebersetzung!$A$1=1,'SIA2001'!E23,'SIA2001'!F23)</f>
        <v>Panneau isolant Flumroc 1</v>
      </c>
      <c r="C317" s="970"/>
      <c r="D317" s="970"/>
      <c r="E317" s="970"/>
      <c r="F317" s="970"/>
      <c r="G317" s="971">
        <f>'SIA2001'!J23</f>
        <v>38</v>
      </c>
      <c r="H317" s="971">
        <f>'SIA2001'!K23</f>
        <v>3.5000000000000003E-2</v>
      </c>
      <c r="I317" s="972">
        <f>'SIA2001'!O23</f>
        <v>1</v>
      </c>
      <c r="J317" s="27"/>
      <c r="K317" s="118" t="s">
        <v>1992</v>
      </c>
      <c r="L317" s="30"/>
      <c r="M317" s="546"/>
      <c r="N317" s="546"/>
      <c r="P317" s="63">
        <v>2</v>
      </c>
      <c r="Q317" s="63">
        <v>0.1</v>
      </c>
      <c r="R317" s="62">
        <v>0.04</v>
      </c>
      <c r="AB317" s="970"/>
      <c r="AC317" s="970"/>
      <c r="AD317" s="970"/>
      <c r="AE317" s="970"/>
    </row>
    <row r="318" spans="1:31">
      <c r="A318" s="66"/>
      <c r="B318" s="970" t="str">
        <f>IF(Uebersetzung!$A$1=1,'SIA2001'!E24,'SIA2001'!F24)</f>
        <v>Panneau isolant Flumroc SOLO</v>
      </c>
      <c r="C318" s="970"/>
      <c r="D318" s="970"/>
      <c r="E318" s="970"/>
      <c r="F318" s="970"/>
      <c r="G318" s="971">
        <f>'SIA2001'!J24</f>
        <v>38</v>
      </c>
      <c r="H318" s="971">
        <f>'SIA2001'!K24</f>
        <v>3.5000000000000003E-2</v>
      </c>
      <c r="I318" s="972">
        <f>'SIA2001'!O24</f>
        <v>1</v>
      </c>
      <c r="J318" s="27"/>
      <c r="K318" s="118" t="s">
        <v>1993</v>
      </c>
      <c r="L318" s="30"/>
      <c r="M318" s="546"/>
      <c r="N318" s="546"/>
      <c r="P318" s="63">
        <v>2</v>
      </c>
      <c r="Q318" s="63">
        <v>0.1</v>
      </c>
      <c r="R318" s="62">
        <v>0.06</v>
      </c>
      <c r="AB318" s="970"/>
      <c r="AC318" s="970"/>
      <c r="AD318" s="970"/>
      <c r="AE318" s="970"/>
    </row>
    <row r="319" spans="1:31">
      <c r="A319" s="66"/>
      <c r="B319" s="970" t="str">
        <f>IF(Uebersetzung!$A$1=1,'SIA2001'!E25,'SIA2001'!F25)</f>
        <v>Panneau isolant Flumroc FHW 80</v>
      </c>
      <c r="C319" s="970"/>
      <c r="D319" s="970"/>
      <c r="E319" s="970"/>
      <c r="F319" s="970"/>
      <c r="G319" s="971">
        <f>'SIA2001'!J25</f>
        <v>80</v>
      </c>
      <c r="H319" s="971">
        <f>'SIA2001'!K25</f>
        <v>3.4000000000000002E-2</v>
      </c>
      <c r="I319" s="972">
        <f>'SIA2001'!O25</f>
        <v>1</v>
      </c>
      <c r="J319" s="27"/>
      <c r="K319" s="118" t="s">
        <v>1994</v>
      </c>
      <c r="L319" s="30"/>
      <c r="M319" s="546"/>
      <c r="N319" s="546"/>
      <c r="P319" s="63">
        <v>2</v>
      </c>
      <c r="Q319" s="63">
        <v>0.1</v>
      </c>
      <c r="R319" s="62">
        <v>0.08</v>
      </c>
      <c r="AB319" s="970"/>
      <c r="AC319" s="970"/>
      <c r="AD319" s="970"/>
      <c r="AE319" s="970"/>
    </row>
    <row r="320" spans="1:31">
      <c r="A320" s="66"/>
      <c r="B320" s="970" t="str">
        <f>IF(Uebersetzung!$A$1=1,'SIA2001'!E26,'SIA2001'!F26)</f>
        <v>Panneau isolant Flumroc COMPACT PRO</v>
      </c>
      <c r="C320" s="970"/>
      <c r="D320" s="970"/>
      <c r="E320" s="970"/>
      <c r="F320" s="970"/>
      <c r="G320" s="971">
        <f>'SIA2001'!J26</f>
        <v>80</v>
      </c>
      <c r="H320" s="971">
        <f>'SIA2001'!K26</f>
        <v>3.4000000000000002E-2</v>
      </c>
      <c r="I320" s="972">
        <f>'SIA2001'!O26</f>
        <v>1</v>
      </c>
      <c r="J320" s="27"/>
      <c r="K320" s="118" t="s">
        <v>1995</v>
      </c>
      <c r="L320" s="30"/>
      <c r="M320" s="546"/>
      <c r="N320" s="546"/>
      <c r="P320" s="63">
        <v>2</v>
      </c>
      <c r="Q320" s="63">
        <v>0.08</v>
      </c>
      <c r="R320" s="62">
        <v>0.03</v>
      </c>
      <c r="AB320" s="970"/>
      <c r="AC320" s="970"/>
      <c r="AD320" s="970"/>
      <c r="AE320" s="970"/>
    </row>
    <row r="321" spans="1:31">
      <c r="A321" s="66"/>
      <c r="B321" s="970" t="str">
        <f>IF(Uebersetzung!$A$1=1,'SIA2001'!E27,'SIA2001'!F27)</f>
        <v>Élément pour sol de combles Flumroc ESTRA</v>
      </c>
      <c r="C321" s="970"/>
      <c r="D321" s="970"/>
      <c r="E321" s="970"/>
      <c r="F321" s="970"/>
      <c r="G321" s="971">
        <f>'SIA2001'!J27</f>
        <v>80</v>
      </c>
      <c r="H321" s="971">
        <f>'SIA2001'!K27</f>
        <v>3.4000000000000002E-2</v>
      </c>
      <c r="I321" s="972">
        <f>'SIA2001'!O27</f>
        <v>1</v>
      </c>
      <c r="J321" s="27"/>
      <c r="K321" s="118" t="s">
        <v>1996</v>
      </c>
      <c r="L321" s="30"/>
      <c r="M321" s="546"/>
      <c r="N321" s="546"/>
      <c r="P321" s="63">
        <v>2</v>
      </c>
      <c r="Q321" s="63">
        <v>0.08</v>
      </c>
      <c r="R321" s="62">
        <v>0.04</v>
      </c>
      <c r="AB321" s="970"/>
      <c r="AC321" s="970"/>
      <c r="AD321" s="970"/>
      <c r="AE321" s="970"/>
    </row>
    <row r="322" spans="1:31">
      <c r="A322" s="66"/>
      <c r="B322" s="970" t="str">
        <f>IF(Uebersetzung!$A$1=1,'SIA2001'!E28,'SIA2001'!F28)</f>
        <v>Panneau isolant Flumroc FUTURO 1</v>
      </c>
      <c r="D322" s="69"/>
      <c r="E322" s="69"/>
      <c r="F322" s="69"/>
      <c r="G322" s="971">
        <f>'SIA2001'!J28</f>
        <v>38</v>
      </c>
      <c r="H322" s="971">
        <f>'SIA2001'!K28</f>
        <v>3.5000000000000003E-2</v>
      </c>
      <c r="I322" s="972">
        <f>'SIA2001'!O28</f>
        <v>1</v>
      </c>
      <c r="J322" s="27"/>
      <c r="K322" s="118" t="s">
        <v>1564</v>
      </c>
      <c r="L322" s="30"/>
      <c r="M322" s="546"/>
      <c r="N322" s="546"/>
      <c r="P322" s="63">
        <v>2</v>
      </c>
      <c r="Q322" s="63">
        <v>0.08</v>
      </c>
      <c r="R322" s="62">
        <v>0.06</v>
      </c>
      <c r="AB322" s="970"/>
      <c r="AC322" s="970"/>
      <c r="AD322" s="970"/>
      <c r="AE322" s="970"/>
    </row>
    <row r="323" spans="1:31">
      <c r="A323" s="66"/>
      <c r="B323" s="970" t="str">
        <f>IF(Uebersetzung!$A$1=1,'SIA2001'!E29,'SIA2001'!F29)</f>
        <v>Panneau isolant Flumroc ROCA</v>
      </c>
      <c r="D323" s="69"/>
      <c r="E323" s="69"/>
      <c r="F323" s="69"/>
      <c r="G323" s="971">
        <f>'SIA2001'!J29</f>
        <v>80</v>
      </c>
      <c r="H323" s="971">
        <f>'SIA2001'!K29</f>
        <v>3.5000000000000003E-2</v>
      </c>
      <c r="I323" s="972">
        <f>'SIA2001'!O29</f>
        <v>1</v>
      </c>
      <c r="J323" s="27"/>
      <c r="K323" s="118" t="s">
        <v>1565</v>
      </c>
      <c r="L323" s="30"/>
      <c r="M323" s="546"/>
      <c r="N323" s="546"/>
      <c r="P323" s="63">
        <v>2</v>
      </c>
      <c r="Q323" s="63">
        <v>0.08</v>
      </c>
      <c r="R323" s="62">
        <v>0.08</v>
      </c>
      <c r="AB323" s="69"/>
      <c r="AC323" s="69"/>
      <c r="AD323" s="69"/>
      <c r="AE323" s="69"/>
    </row>
    <row r="324" spans="1:31">
      <c r="A324" s="66"/>
      <c r="B324" s="970" t="str">
        <f>IF(Uebersetzung!$A$1=1,'SIA2001'!E30,'SIA2001'!F30)</f>
        <v>Protect BSP 30</v>
      </c>
      <c r="D324" s="69"/>
      <c r="E324" s="69"/>
      <c r="F324" s="69"/>
      <c r="G324" s="971">
        <f>'SIA2001'!J30</f>
        <v>32</v>
      </c>
      <c r="H324" s="971">
        <f>'SIA2001'!K30</f>
        <v>3.6999999999999998E-2</v>
      </c>
      <c r="I324" s="972">
        <f>'SIA2001'!O30</f>
        <v>1</v>
      </c>
      <c r="J324" s="27"/>
      <c r="K324" s="118" t="s">
        <v>1566</v>
      </c>
      <c r="L324" s="30"/>
      <c r="M324" s="546"/>
      <c r="N324" s="546"/>
      <c r="P324" s="63">
        <v>2</v>
      </c>
      <c r="Q324" s="63">
        <v>0.05</v>
      </c>
      <c r="R324" s="62">
        <v>0.03</v>
      </c>
      <c r="AB324" s="69"/>
      <c r="AC324" s="69"/>
      <c r="AD324" s="69"/>
      <c r="AE324" s="69"/>
    </row>
    <row r="325" spans="1:31">
      <c r="A325" s="66"/>
      <c r="B325" s="970" t="str">
        <f>IF(Uebersetzung!$A$1=1,'SIA2001'!E31,'SIA2001'!F31)</f>
        <v>Protect BSP 50</v>
      </c>
      <c r="D325" s="69"/>
      <c r="E325" s="69"/>
      <c r="F325" s="69"/>
      <c r="G325" s="971">
        <f>'SIA2001'!J31</f>
        <v>54</v>
      </c>
      <c r="H325" s="971">
        <f>'SIA2001'!K31</f>
        <v>3.4000000000000002E-2</v>
      </c>
      <c r="I325" s="972">
        <f>'SIA2001'!O31</f>
        <v>1</v>
      </c>
      <c r="J325" s="27"/>
      <c r="K325" s="118" t="s">
        <v>1567</v>
      </c>
      <c r="L325" s="30"/>
      <c r="M325" s="546"/>
      <c r="N325" s="546"/>
      <c r="P325" s="63">
        <v>2</v>
      </c>
      <c r="Q325" s="63">
        <v>0.05</v>
      </c>
      <c r="R325" s="62">
        <v>0.04</v>
      </c>
      <c r="AA325" s="970"/>
      <c r="AB325" s="970"/>
      <c r="AC325" s="970"/>
      <c r="AD325" s="970"/>
      <c r="AE325" s="970"/>
    </row>
    <row r="326" spans="1:31">
      <c r="A326" s="66"/>
      <c r="B326" s="970" t="str">
        <f>IF(Uebersetzung!$A$1=1,'SIA2001'!E32,'SIA2001'!F32)</f>
        <v>COVERROCK II</v>
      </c>
      <c r="D326" s="69"/>
      <c r="E326" s="69"/>
      <c r="F326" s="69"/>
      <c r="G326" s="971">
        <v>120</v>
      </c>
      <c r="H326" s="971">
        <f>'SIA2001'!K32</f>
        <v>3.5000000000000003E-2</v>
      </c>
      <c r="I326" s="972">
        <f>'SIA2001'!O32</f>
        <v>1</v>
      </c>
      <c r="J326" s="27"/>
      <c r="K326" s="118" t="s">
        <v>1568</v>
      </c>
      <c r="L326" s="30"/>
      <c r="M326" s="546"/>
      <c r="N326" s="546"/>
      <c r="P326" s="63">
        <v>2</v>
      </c>
      <c r="Q326" s="63">
        <v>0.05</v>
      </c>
      <c r="R326" s="62">
        <v>0.06</v>
      </c>
      <c r="AA326" s="970"/>
      <c r="AB326" s="970"/>
      <c r="AC326" s="970"/>
      <c r="AD326" s="970"/>
      <c r="AE326" s="970"/>
    </row>
    <row r="327" spans="1:31">
      <c r="A327" s="66"/>
      <c r="B327" s="970" t="str">
        <f>IF(Uebersetzung!$A$1=1,'SIA2001'!E33,'SIA2001'!F33)</f>
        <v>COVERROCK 036</v>
      </c>
      <c r="D327" s="69"/>
      <c r="E327" s="69"/>
      <c r="F327" s="69"/>
      <c r="G327" s="971">
        <v>100</v>
      </c>
      <c r="H327" s="971">
        <f>'SIA2001'!K33</f>
        <v>3.5999999999999997E-2</v>
      </c>
      <c r="I327" s="972">
        <f>'SIA2001'!O33</f>
        <v>1</v>
      </c>
      <c r="J327" s="27"/>
      <c r="K327" s="118" t="s">
        <v>1569</v>
      </c>
      <c r="L327" s="30"/>
      <c r="M327" s="546"/>
      <c r="N327" s="546"/>
      <c r="P327" s="63">
        <v>2</v>
      </c>
      <c r="Q327" s="63">
        <v>0.05</v>
      </c>
      <c r="R327" s="62">
        <v>0.08</v>
      </c>
      <c r="AA327" s="970"/>
      <c r="AB327" s="970"/>
      <c r="AC327" s="970"/>
      <c r="AD327" s="970"/>
      <c r="AE327" s="970"/>
    </row>
    <row r="328" spans="1:31">
      <c r="A328" s="66"/>
      <c r="B328" s="970" t="str">
        <f>IF(Uebersetzung!$A$1=1,'SIA2001'!E34,'SIA2001'!F34)</f>
        <v>SONOROCK</v>
      </c>
      <c r="D328" s="69"/>
      <c r="E328" s="69"/>
      <c r="F328" s="69"/>
      <c r="G328" s="971">
        <v>31</v>
      </c>
      <c r="H328" s="971">
        <f>'SIA2001'!K34</f>
        <v>3.9E-2</v>
      </c>
      <c r="I328" s="972">
        <f>'SIA2001'!O34</f>
        <v>1</v>
      </c>
      <c r="J328" s="27"/>
      <c r="K328" s="118" t="s">
        <v>1570</v>
      </c>
      <c r="L328" s="30"/>
      <c r="M328" s="546"/>
      <c r="N328" s="546"/>
      <c r="P328" s="63">
        <v>3</v>
      </c>
      <c r="Q328" s="63">
        <v>0.1</v>
      </c>
      <c r="R328" s="62">
        <v>3.5000000000000003E-2</v>
      </c>
      <c r="AA328" s="970"/>
      <c r="AB328" s="970"/>
      <c r="AC328" s="970"/>
      <c r="AD328" s="970"/>
      <c r="AE328" s="970"/>
    </row>
    <row r="329" spans="1:31">
      <c r="A329" s="66"/>
      <c r="B329" s="970" t="str">
        <f>IF(Uebersetzung!$A$1=1,'SIA2001'!E35,'SIA2001'!F35)</f>
        <v>COVERROCK II</v>
      </c>
      <c r="D329" s="69"/>
      <c r="E329" s="69"/>
      <c r="F329" s="69"/>
      <c r="G329" s="971">
        <v>120</v>
      </c>
      <c r="H329" s="971">
        <f>'SIA2001'!K35</f>
        <v>3.5000000000000003E-2</v>
      </c>
      <c r="I329" s="972">
        <f>'SIA2001'!O35</f>
        <v>1</v>
      </c>
      <c r="J329" s="27"/>
      <c r="K329" s="118" t="s">
        <v>1696</v>
      </c>
      <c r="L329" s="30"/>
      <c r="M329" s="546"/>
      <c r="N329" s="546"/>
      <c r="P329" s="63">
        <v>3</v>
      </c>
      <c r="Q329" s="63">
        <v>0.1</v>
      </c>
      <c r="R329" s="62">
        <v>0.04</v>
      </c>
      <c r="AA329" s="970"/>
      <c r="AB329" s="970"/>
      <c r="AC329" s="970"/>
      <c r="AD329" s="970"/>
      <c r="AE329" s="970"/>
    </row>
    <row r="330" spans="1:31">
      <c r="A330" s="66"/>
      <c r="B330" s="970" t="str">
        <f>IF(Uebersetzung!$A$1=1,'SIA2001'!E36,'SIA2001'!F36)</f>
        <v>COVERROCK 036</v>
      </c>
      <c r="D330" s="69"/>
      <c r="E330" s="69"/>
      <c r="F330" s="69"/>
      <c r="G330" s="971">
        <v>100</v>
      </c>
      <c r="H330" s="971">
        <f>'SIA2001'!K36</f>
        <v>3.5999999999999997E-2</v>
      </c>
      <c r="I330" s="972">
        <f>'SIA2001'!O36</f>
        <v>1</v>
      </c>
      <c r="J330" s="27"/>
      <c r="K330" s="118" t="s">
        <v>1697</v>
      </c>
      <c r="L330" s="30"/>
      <c r="M330" s="546"/>
      <c r="N330" s="546"/>
      <c r="P330" s="63">
        <v>3</v>
      </c>
      <c r="Q330" s="63">
        <v>0.1</v>
      </c>
      <c r="R330" s="62">
        <v>0.06</v>
      </c>
      <c r="AA330" s="970"/>
      <c r="AB330" s="970"/>
      <c r="AC330" s="970"/>
      <c r="AD330" s="970"/>
      <c r="AE330" s="970"/>
    </row>
    <row r="331" spans="1:31">
      <c r="A331" s="66"/>
      <c r="B331" s="970" t="str">
        <f>IF(Uebersetzung!$A$1=1,'SIA2001'!E37,'SIA2001'!F37)</f>
        <v>SPEEDROCK II</v>
      </c>
      <c r="D331" s="69"/>
      <c r="E331" s="69"/>
      <c r="F331" s="69"/>
      <c r="G331" s="971">
        <f>'SIA2001'!J37</f>
        <v>75</v>
      </c>
      <c r="H331" s="971">
        <f>'SIA2001'!K37</f>
        <v>4.1000000000000002E-2</v>
      </c>
      <c r="I331" s="972">
        <f>'SIA2001'!O37</f>
        <v>1</v>
      </c>
      <c r="J331" s="27"/>
      <c r="K331" s="118" t="s">
        <v>1698</v>
      </c>
      <c r="L331" s="30"/>
      <c r="M331" s="546"/>
      <c r="N331" s="546"/>
      <c r="P331" s="63">
        <v>3</v>
      </c>
      <c r="Q331" s="63">
        <v>0.1</v>
      </c>
      <c r="R331" s="62">
        <v>0.08</v>
      </c>
      <c r="AA331" s="970"/>
      <c r="AB331" s="970"/>
      <c r="AC331" s="970"/>
      <c r="AD331" s="970"/>
      <c r="AE331" s="970"/>
    </row>
    <row r="332" spans="1:31">
      <c r="A332" s="66"/>
      <c r="B332" s="970" t="str">
        <f>IF(Uebersetzung!$A$1=1,'SIA2001'!E38,'SIA2001'!F38)</f>
        <v>RP-PL</v>
      </c>
      <c r="D332" s="69"/>
      <c r="E332" s="69"/>
      <c r="F332" s="69"/>
      <c r="G332" s="971">
        <f>'SIA2001'!J38</f>
        <v>75</v>
      </c>
      <c r="H332" s="971">
        <f>'SIA2001'!K38</f>
        <v>4.1000000000000002E-2</v>
      </c>
      <c r="I332" s="972">
        <f>'SIA2001'!O38</f>
        <v>1</v>
      </c>
      <c r="J332" s="27"/>
      <c r="K332" s="118" t="s">
        <v>2172</v>
      </c>
      <c r="L332" s="30"/>
      <c r="M332" s="546"/>
      <c r="N332" s="546"/>
      <c r="P332" s="63">
        <v>3</v>
      </c>
      <c r="Q332" s="63">
        <v>0.08</v>
      </c>
      <c r="R332" s="62">
        <v>0.03</v>
      </c>
      <c r="AA332" s="69"/>
      <c r="AB332" s="69"/>
      <c r="AC332" s="69"/>
      <c r="AD332" s="69"/>
      <c r="AE332" s="69"/>
    </row>
    <row r="333" spans="1:31">
      <c r="A333" s="66"/>
      <c r="B333" s="970" t="str">
        <f>IF(Uebersetzung!$A$1=1,'SIA2001'!E39,'SIA2001'!F39)</f>
        <v>ISOPANEL-AT</v>
      </c>
      <c r="D333" s="69"/>
      <c r="E333" s="69"/>
      <c r="F333" s="69"/>
      <c r="G333" s="971">
        <f>'SIA2001'!J39</f>
        <v>110</v>
      </c>
      <c r="H333" s="971">
        <f>'SIA2001'!K39</f>
        <v>3.5999999999999997E-2</v>
      </c>
      <c r="I333" s="972">
        <f>'SIA2001'!O39</f>
        <v>1</v>
      </c>
      <c r="J333" s="27"/>
      <c r="K333" s="118" t="s">
        <v>2173</v>
      </c>
      <c r="L333" s="30"/>
      <c r="M333" s="546"/>
      <c r="N333" s="546"/>
      <c r="P333" s="63">
        <v>3</v>
      </c>
      <c r="Q333" s="63">
        <v>0.08</v>
      </c>
      <c r="R333" s="62">
        <v>0.04</v>
      </c>
      <c r="AA333" s="69"/>
      <c r="AB333" s="69"/>
      <c r="AC333" s="69"/>
      <c r="AD333" s="69"/>
      <c r="AE333" s="69"/>
    </row>
    <row r="334" spans="1:31">
      <c r="A334" s="66"/>
      <c r="B334" s="970" t="str">
        <f>IF(Uebersetzung!$A$1=1,'SIA2001'!E40,'SIA2001'!F40)</f>
        <v>DDP-RT</v>
      </c>
      <c r="D334" s="69"/>
      <c r="E334" s="69"/>
      <c r="F334" s="69"/>
      <c r="G334" s="971">
        <f>'SIA2001'!J40</f>
        <v>125</v>
      </c>
      <c r="H334" s="971">
        <f>'SIA2001'!K40</f>
        <v>3.5999999999999997E-2</v>
      </c>
      <c r="I334" s="972">
        <f>'SIA2001'!O40</f>
        <v>1</v>
      </c>
      <c r="J334" s="27"/>
      <c r="K334" s="118" t="s">
        <v>2174</v>
      </c>
      <c r="L334" s="30"/>
      <c r="M334" s="546"/>
      <c r="N334" s="546"/>
      <c r="P334" s="63">
        <v>3</v>
      </c>
      <c r="Q334" s="63">
        <v>0.08</v>
      </c>
      <c r="R334" s="62">
        <v>0.06</v>
      </c>
      <c r="AA334" s="69"/>
      <c r="AB334" s="69"/>
      <c r="AC334" s="69"/>
      <c r="AD334" s="69"/>
      <c r="AE334" s="69"/>
    </row>
    <row r="335" spans="1:31">
      <c r="A335" s="66"/>
      <c r="B335" s="970" t="str">
        <f>IF(Uebersetzung!$A$1=1,'SIA2001'!E41,'SIA2001'!F41)</f>
        <v>DPF 40</v>
      </c>
      <c r="D335" s="69"/>
      <c r="E335" s="69"/>
      <c r="F335" s="69"/>
      <c r="G335" s="971">
        <f>'SIA2001'!J41</f>
        <v>42</v>
      </c>
      <c r="H335" s="971">
        <f>'SIA2001'!K41</f>
        <v>3.5999999999999997E-2</v>
      </c>
      <c r="I335" s="972">
        <f>'SIA2001'!O41</f>
        <v>1</v>
      </c>
      <c r="J335" s="27"/>
      <c r="K335" s="118" t="s">
        <v>2175</v>
      </c>
      <c r="L335" s="30"/>
      <c r="M335" s="546"/>
      <c r="N335" s="546"/>
      <c r="P335" s="63">
        <v>3</v>
      </c>
      <c r="Q335" s="63">
        <v>0.08</v>
      </c>
      <c r="R335" s="62">
        <v>0.08</v>
      </c>
      <c r="AA335" s="69"/>
      <c r="AB335" s="69"/>
      <c r="AC335" s="69"/>
      <c r="AD335" s="69"/>
      <c r="AE335" s="69"/>
    </row>
    <row r="336" spans="1:31">
      <c r="A336" s="66"/>
      <c r="B336" s="970" t="str">
        <f>IF(Uebersetzung!$A$1=1,'SIA2001'!E42,'SIA2001'!F42)</f>
        <v>FKD-S, FKD-S C1, FKD-S C2</v>
      </c>
      <c r="D336" s="69"/>
      <c r="E336" s="69"/>
      <c r="F336" s="69"/>
      <c r="G336" s="971">
        <f>'SIA2001'!J42</f>
        <v>100</v>
      </c>
      <c r="H336" s="971">
        <f>'SIA2001'!K42</f>
        <v>3.5999999999999997E-2</v>
      </c>
      <c r="I336" s="972">
        <f>'SIA2001'!O42</f>
        <v>1</v>
      </c>
      <c r="J336" s="27"/>
      <c r="K336" s="118" t="s">
        <v>2176</v>
      </c>
      <c r="L336" s="30"/>
      <c r="M336" s="546"/>
      <c r="N336" s="546"/>
      <c r="P336" s="63">
        <v>3</v>
      </c>
      <c r="Q336" s="63">
        <v>0.05</v>
      </c>
      <c r="R336" s="62">
        <v>0.03</v>
      </c>
      <c r="AA336" s="69"/>
      <c r="AB336" s="69"/>
      <c r="AC336" s="69"/>
      <c r="AD336" s="69"/>
      <c r="AE336" s="69"/>
    </row>
    <row r="337" spans="1:31">
      <c r="A337" s="66"/>
      <c r="B337" s="970" t="str">
        <f>IF(Uebersetzung!$A$1=1,'SIA2001'!E43,'SIA2001'!F43)</f>
        <v>FKD-T C2, FKD-T FB C2</v>
      </c>
      <c r="D337" s="69"/>
      <c r="E337" s="69"/>
      <c r="F337" s="69"/>
      <c r="G337" s="971">
        <f>'SIA2001'!J43</f>
        <v>100</v>
      </c>
      <c r="H337" s="971">
        <f>'SIA2001'!K43</f>
        <v>3.4000000000000002E-2</v>
      </c>
      <c r="I337" s="972">
        <f>'SIA2001'!O43</f>
        <v>1</v>
      </c>
      <c r="J337" s="27"/>
      <c r="K337" s="118" t="s">
        <v>2177</v>
      </c>
      <c r="L337" s="30"/>
      <c r="M337" s="546"/>
      <c r="N337" s="546"/>
      <c r="P337" s="63">
        <v>3</v>
      </c>
      <c r="Q337" s="63">
        <v>0.05</v>
      </c>
      <c r="R337" s="62">
        <v>0.04</v>
      </c>
      <c r="AA337" s="69"/>
      <c r="AB337" s="69"/>
      <c r="AC337" s="69"/>
      <c r="AD337" s="69"/>
      <c r="AE337" s="69"/>
    </row>
    <row r="338" spans="1:31">
      <c r="A338" s="66"/>
      <c r="B338" s="970" t="str">
        <f>IF(Uebersetzung!$A$1=1,'SIA2001'!E44,'SIA2001'!F44)</f>
        <v>FKD-U C2</v>
      </c>
      <c r="D338" s="69"/>
      <c r="E338" s="69"/>
      <c r="F338" s="69"/>
      <c r="G338" s="971">
        <f>'SIA2001'!J44</f>
        <v>110</v>
      </c>
      <c r="H338" s="971">
        <f>'SIA2001'!K44</f>
        <v>3.5000000000000003E-2</v>
      </c>
      <c r="I338" s="972">
        <f>'SIA2001'!O44</f>
        <v>1</v>
      </c>
      <c r="J338" s="27"/>
      <c r="K338" s="118" t="s">
        <v>2178</v>
      </c>
      <c r="L338" s="30"/>
      <c r="M338" s="546"/>
      <c r="N338" s="546"/>
      <c r="P338" s="63">
        <v>3</v>
      </c>
      <c r="Q338" s="63">
        <v>0.05</v>
      </c>
      <c r="R338" s="62">
        <v>0.06</v>
      </c>
      <c r="AA338" s="69"/>
      <c r="AB338" s="69"/>
      <c r="AC338" s="69"/>
      <c r="AD338" s="69"/>
      <c r="AE338" s="69"/>
    </row>
    <row r="339" spans="1:31">
      <c r="A339" s="66"/>
      <c r="B339" s="970" t="str">
        <f>IF(Uebersetzung!$A$1=1,'SIA2001'!E45,'SIA2001'!F45)</f>
        <v>FPS</v>
      </c>
      <c r="D339" s="69"/>
      <c r="E339" s="69"/>
      <c r="F339" s="69"/>
      <c r="G339" s="971">
        <f>'SIA2001'!J45</f>
        <v>65</v>
      </c>
      <c r="H339" s="971">
        <f>'SIA2001'!K45</f>
        <v>3.4000000000000002E-2</v>
      </c>
      <c r="I339" s="972">
        <f>'SIA2001'!O45</f>
        <v>1</v>
      </c>
      <c r="J339" s="27"/>
      <c r="K339" s="118" t="s">
        <v>1494</v>
      </c>
      <c r="L339" s="30"/>
      <c r="M339" s="546"/>
      <c r="N339" s="546"/>
      <c r="P339" s="63">
        <v>3</v>
      </c>
      <c r="Q339" s="63">
        <v>0.05</v>
      </c>
      <c r="R339" s="62">
        <v>0.08</v>
      </c>
      <c r="AA339" s="69"/>
      <c r="AB339" s="69"/>
      <c r="AC339" s="69"/>
      <c r="AD339" s="69"/>
      <c r="AE339" s="69"/>
    </row>
    <row r="340" spans="1:31">
      <c r="A340" s="66"/>
      <c r="B340" s="970" t="str">
        <f>IF(Uebersetzung!$A$1=1,'SIA2001'!E46,'SIA2001'!F46)</f>
        <v>KP-035/HB</v>
      </c>
      <c r="D340" s="69"/>
      <c r="E340" s="69"/>
      <c r="F340" s="69"/>
      <c r="G340" s="971">
        <f>'SIA2001'!J46</f>
        <v>52</v>
      </c>
      <c r="H340" s="971">
        <f>'SIA2001'!K46</f>
        <v>3.5000000000000003E-2</v>
      </c>
      <c r="I340" s="972">
        <f>'SIA2001'!O46</f>
        <v>1</v>
      </c>
      <c r="J340" s="27"/>
      <c r="K340" s="118" t="s">
        <v>1495</v>
      </c>
      <c r="L340" s="30"/>
      <c r="M340" s="546"/>
      <c r="N340" s="546"/>
      <c r="P340" s="63">
        <v>5</v>
      </c>
      <c r="Q340" s="63">
        <v>0.1</v>
      </c>
      <c r="R340" s="62">
        <v>3.5000000000000003E-2</v>
      </c>
      <c r="AA340" s="69"/>
      <c r="AB340" s="69"/>
      <c r="AC340" s="69"/>
      <c r="AD340" s="69"/>
      <c r="AE340" s="69"/>
    </row>
    <row r="341" spans="1:31">
      <c r="A341" s="66"/>
      <c r="B341" s="970" t="str">
        <f>IF(Uebersetzung!$A$1=1,'SIA2001'!E47,'SIA2001'!F47)</f>
        <v>KP-036/HB</v>
      </c>
      <c r="D341" s="69"/>
      <c r="E341" s="69"/>
      <c r="F341" s="69"/>
      <c r="G341" s="971">
        <f>'SIA2001'!J47</f>
        <v>42</v>
      </c>
      <c r="H341" s="971">
        <f>'SIA2001'!K47</f>
        <v>3.5999999999999997E-2</v>
      </c>
      <c r="I341" s="972">
        <f>'SIA2001'!O47</f>
        <v>1</v>
      </c>
      <c r="J341" s="27"/>
      <c r="K341" s="118" t="s">
        <v>553</v>
      </c>
      <c r="L341" s="30"/>
      <c r="M341" s="546"/>
      <c r="N341" s="546"/>
      <c r="P341" s="63">
        <v>5</v>
      </c>
      <c r="Q341" s="63">
        <v>0.1</v>
      </c>
      <c r="R341" s="62">
        <v>0.04</v>
      </c>
      <c r="AA341" s="69"/>
      <c r="AB341" s="69"/>
      <c r="AC341" s="69"/>
      <c r="AD341" s="69"/>
      <c r="AE341" s="69"/>
    </row>
    <row r="342" spans="1:31">
      <c r="A342" s="66"/>
      <c r="B342" s="970" t="str">
        <f>IF(Uebersetzung!$A$1=1,'SIA2001'!E48,'SIA2001'!F48)</f>
        <v>Quick White</v>
      </c>
      <c r="D342" s="69"/>
      <c r="E342" s="69"/>
      <c r="F342" s="69"/>
      <c r="G342" s="971">
        <f>'SIA2001'!J48</f>
        <v>90</v>
      </c>
      <c r="H342" s="971">
        <f>'SIA2001'!K48</f>
        <v>3.5000000000000003E-2</v>
      </c>
      <c r="I342" s="972">
        <f>'SIA2001'!O48</f>
        <v>1</v>
      </c>
      <c r="J342" s="27"/>
      <c r="K342" s="118" t="s">
        <v>2051</v>
      </c>
      <c r="L342" s="30"/>
      <c r="M342" s="546"/>
      <c r="N342" s="546"/>
      <c r="P342" s="63">
        <v>5</v>
      </c>
      <c r="Q342" s="63">
        <v>0.1</v>
      </c>
      <c r="R342" s="62">
        <v>0.06</v>
      </c>
      <c r="AA342" s="69"/>
      <c r="AB342" s="69"/>
      <c r="AC342" s="69"/>
      <c r="AD342" s="69"/>
      <c r="AE342" s="69"/>
    </row>
    <row r="343" spans="1:31">
      <c r="A343" s="66"/>
      <c r="B343" s="970" t="str">
        <f>IF(Uebersetzung!$A$1=1,'SIA2001'!E49,'SIA2001'!F49)</f>
        <v>SDP-035</v>
      </c>
      <c r="D343" s="69"/>
      <c r="E343" s="69"/>
      <c r="F343" s="69"/>
      <c r="G343" s="971">
        <f>'SIA2001'!J49</f>
        <v>110</v>
      </c>
      <c r="H343" s="971">
        <f>'SIA2001'!K49</f>
        <v>3.5000000000000003E-2</v>
      </c>
      <c r="I343" s="972">
        <f>'SIA2001'!O49</f>
        <v>1</v>
      </c>
      <c r="J343" s="27"/>
      <c r="K343" s="118" t="s">
        <v>2052</v>
      </c>
      <c r="L343" s="30"/>
      <c r="M343" s="546"/>
      <c r="N343" s="546"/>
      <c r="P343" s="63">
        <v>5</v>
      </c>
      <c r="Q343" s="63">
        <v>0.1</v>
      </c>
      <c r="R343" s="62">
        <v>0.08</v>
      </c>
      <c r="AA343" s="69"/>
      <c r="AB343" s="69"/>
      <c r="AC343" s="69"/>
      <c r="AD343" s="69"/>
      <c r="AE343" s="69"/>
    </row>
    <row r="344" spans="1:31">
      <c r="A344" s="66"/>
      <c r="B344" s="970" t="str">
        <f>IF(Uebersetzung!$A$1=1,'SIA2001'!E50,'SIA2001'!F50)</f>
        <v>SKP-035</v>
      </c>
      <c r="D344" s="69"/>
      <c r="E344" s="69"/>
      <c r="F344" s="69"/>
      <c r="G344" s="971">
        <f>'SIA2001'!J50</f>
        <v>52</v>
      </c>
      <c r="H344" s="971">
        <f>'SIA2001'!K50</f>
        <v>3.5000000000000003E-2</v>
      </c>
      <c r="I344" s="972">
        <f>'SIA2001'!O50</f>
        <v>1</v>
      </c>
      <c r="J344" s="27"/>
      <c r="K344" s="118" t="s">
        <v>2053</v>
      </c>
      <c r="L344" s="30"/>
      <c r="M344" s="546"/>
      <c r="N344" s="546"/>
      <c r="P344" s="63">
        <v>5</v>
      </c>
      <c r="Q344" s="63">
        <v>0.08</v>
      </c>
      <c r="R344" s="62">
        <v>0.03</v>
      </c>
      <c r="AA344" s="69"/>
      <c r="AB344" s="69"/>
      <c r="AC344" s="69"/>
      <c r="AD344" s="69"/>
      <c r="AE344" s="69"/>
    </row>
    <row r="345" spans="1:31">
      <c r="A345" s="66"/>
      <c r="B345" s="970" t="str">
        <f>IF(Uebersetzung!$A$1=1,'SIA2001'!E51,'SIA2001'!F51)</f>
        <v>TPD</v>
      </c>
      <c r="D345" s="69"/>
      <c r="E345" s="69"/>
      <c r="F345" s="69"/>
      <c r="G345" s="971">
        <f>'SIA2001'!J51</f>
        <v>155</v>
      </c>
      <c r="H345" s="971">
        <f>'SIA2001'!K51</f>
        <v>0.04</v>
      </c>
      <c r="I345" s="972">
        <f>'SIA2001'!O51</f>
        <v>1</v>
      </c>
      <c r="J345" s="27"/>
      <c r="K345" s="118" t="s">
        <v>2054</v>
      </c>
      <c r="L345" s="30"/>
      <c r="M345" s="546"/>
      <c r="N345" s="546"/>
      <c r="P345" s="63">
        <v>5</v>
      </c>
      <c r="Q345" s="63">
        <v>0.08</v>
      </c>
      <c r="R345" s="62">
        <v>0.04</v>
      </c>
      <c r="AA345" s="69"/>
      <c r="AB345" s="69"/>
      <c r="AC345" s="69"/>
      <c r="AD345" s="69"/>
      <c r="AE345" s="69"/>
    </row>
    <row r="346" spans="1:31">
      <c r="A346" s="66"/>
      <c r="B346" s="970" t="str">
        <f>IF(Uebersetzung!$A$1=1,'SIA2001'!E52,'SIA2001'!F52)</f>
        <v>TPE</v>
      </c>
      <c r="D346" s="69"/>
      <c r="E346" s="69"/>
      <c r="F346" s="69"/>
      <c r="G346" s="971">
        <f>'SIA2001'!J52</f>
        <v>130</v>
      </c>
      <c r="H346" s="971">
        <f>'SIA2001'!K52</f>
        <v>3.5000000000000003E-2</v>
      </c>
      <c r="I346" s="972">
        <f>'SIA2001'!O52</f>
        <v>1</v>
      </c>
      <c r="J346" s="27"/>
      <c r="K346" s="118" t="s">
        <v>2055</v>
      </c>
      <c r="L346" s="30"/>
      <c r="M346" s="546"/>
      <c r="N346" s="546"/>
      <c r="P346" s="63">
        <v>5</v>
      </c>
      <c r="Q346" s="63">
        <v>0.08</v>
      </c>
      <c r="R346" s="62">
        <v>0.06</v>
      </c>
      <c r="AA346" s="69"/>
      <c r="AB346" s="69"/>
      <c r="AC346" s="69"/>
      <c r="AD346" s="69"/>
      <c r="AE346" s="69"/>
    </row>
    <row r="347" spans="1:31">
      <c r="A347" s="66"/>
      <c r="B347" s="970" t="str">
        <f>IF(Uebersetzung!$A$1=1,'SIA2001'!E53,'SIA2001'!F53)</f>
        <v>TPS</v>
      </c>
      <c r="D347" s="69"/>
      <c r="E347" s="69"/>
      <c r="F347" s="69"/>
      <c r="G347" s="971">
        <f>'SIA2001'!J53</f>
        <v>115</v>
      </c>
      <c r="H347" s="971">
        <f>'SIA2001'!K53</f>
        <v>3.5000000000000003E-2</v>
      </c>
      <c r="I347" s="972">
        <f>'SIA2001'!O53</f>
        <v>1</v>
      </c>
      <c r="J347" s="27"/>
      <c r="K347" s="118" t="s">
        <v>2056</v>
      </c>
      <c r="L347" s="30"/>
      <c r="M347" s="546"/>
      <c r="N347" s="546"/>
      <c r="P347" s="63">
        <v>5</v>
      </c>
      <c r="Q347" s="63">
        <v>0.08</v>
      </c>
      <c r="R347" s="62">
        <v>0.08</v>
      </c>
      <c r="AA347" s="69"/>
      <c r="AB347" s="69"/>
      <c r="AC347" s="69"/>
      <c r="AD347" s="69"/>
      <c r="AE347" s="69"/>
    </row>
    <row r="348" spans="1:31">
      <c r="A348" s="66"/>
      <c r="B348" s="970" t="str">
        <f>IF(Uebersetzung!$A$1=1,'SIA2001'!E54,'SIA2001'!F54)</f>
        <v>TW</v>
      </c>
      <c r="D348" s="69"/>
      <c r="E348" s="69"/>
      <c r="F348" s="69"/>
      <c r="G348" s="971">
        <f>'SIA2001'!J54</f>
        <v>30</v>
      </c>
      <c r="H348" s="971">
        <f>'SIA2001'!K54</f>
        <v>0.04</v>
      </c>
      <c r="I348" s="972">
        <f>'SIA2001'!O54</f>
        <v>1</v>
      </c>
      <c r="J348" s="27"/>
      <c r="K348" s="118" t="s">
        <v>2057</v>
      </c>
      <c r="L348" s="30"/>
      <c r="M348" s="546"/>
      <c r="N348" s="546"/>
      <c r="P348" s="63">
        <v>5</v>
      </c>
      <c r="Q348" s="63">
        <v>0.05</v>
      </c>
      <c r="R348" s="62">
        <v>0.03</v>
      </c>
      <c r="AA348" s="970"/>
      <c r="AB348" s="971"/>
      <c r="AC348" s="971"/>
      <c r="AD348" s="971"/>
      <c r="AE348" s="971"/>
    </row>
    <row r="349" spans="1:31">
      <c r="A349" s="66"/>
      <c r="B349" s="970" t="str">
        <f>IF(Uebersetzung!$A$1=1,'SIA2001'!E55,'SIA2001'!F55)</f>
        <v>DDP2-U</v>
      </c>
      <c r="D349" s="69"/>
      <c r="E349" s="69"/>
      <c r="F349" s="69"/>
      <c r="G349" s="971">
        <f>'SIA2001'!J55</f>
        <v>125</v>
      </c>
      <c r="H349" s="971">
        <f>'SIA2001'!K55</f>
        <v>3.6999999999999998E-2</v>
      </c>
      <c r="I349" s="972">
        <f>'SIA2001'!O55</f>
        <v>1</v>
      </c>
      <c r="J349" s="27"/>
      <c r="K349" s="118" t="s">
        <v>2058</v>
      </c>
      <c r="L349" s="30"/>
      <c r="M349" s="546"/>
      <c r="N349" s="546"/>
      <c r="P349" s="63">
        <v>5</v>
      </c>
      <c r="Q349" s="63">
        <v>0.05</v>
      </c>
      <c r="R349" s="62">
        <v>0.04</v>
      </c>
      <c r="AA349" s="970"/>
      <c r="AB349" s="971"/>
      <c r="AC349" s="971"/>
      <c r="AD349" s="971"/>
      <c r="AE349" s="971"/>
    </row>
    <row r="350" spans="1:31">
      <c r="A350" s="66"/>
      <c r="B350" s="970" t="str">
        <f>IF(Uebersetzung!$A$1=1,'SIA2001'!E56,'SIA2001'!F56)</f>
        <v>basic plus</v>
      </c>
      <c r="D350" s="69"/>
      <c r="E350" s="69"/>
      <c r="F350" s="69"/>
      <c r="G350" s="971">
        <f>'SIA2001'!J56</f>
        <v>100</v>
      </c>
      <c r="H350" s="971">
        <f>'SIA2001'!K56</f>
        <v>3.4000000000000002E-2</v>
      </c>
      <c r="I350" s="972">
        <f>'SIA2001'!O56</f>
        <v>1</v>
      </c>
      <c r="J350" s="27"/>
      <c r="K350" s="118" t="s">
        <v>2059</v>
      </c>
      <c r="L350" s="30"/>
      <c r="M350" s="546"/>
      <c r="N350" s="546"/>
      <c r="P350" s="63">
        <v>5</v>
      </c>
      <c r="Q350" s="63">
        <v>0.05</v>
      </c>
      <c r="R350" s="62">
        <v>0.06</v>
      </c>
      <c r="AA350" s="970"/>
      <c r="AB350" s="971"/>
      <c r="AC350" s="971"/>
      <c r="AD350" s="971"/>
      <c r="AE350" s="971"/>
    </row>
    <row r="351" spans="1:31">
      <c r="A351" s="66"/>
      <c r="B351" s="970" t="str">
        <f>IF(Uebersetzung!$A$1=1,'SIA2001'!E57,'SIA2001'!F57)</f>
        <v>DDP-X</v>
      </c>
      <c r="D351" s="69"/>
      <c r="E351" s="69"/>
      <c r="F351" s="69"/>
      <c r="G351" s="971">
        <v>160</v>
      </c>
      <c r="H351" s="971">
        <f>'SIA2001'!K57</f>
        <v>0.04</v>
      </c>
      <c r="I351" s="972">
        <f>'SIA2001'!O57</f>
        <v>1</v>
      </c>
      <c r="J351" s="27"/>
      <c r="K351" s="118" t="s">
        <v>2060</v>
      </c>
      <c r="L351" s="30"/>
      <c r="M351" s="546"/>
      <c r="N351" s="546"/>
      <c r="P351" s="63">
        <v>5</v>
      </c>
      <c r="Q351" s="63">
        <v>0.05</v>
      </c>
      <c r="R351" s="62">
        <v>0.08</v>
      </c>
      <c r="AA351" s="970"/>
      <c r="AB351" s="971"/>
      <c r="AC351" s="971"/>
      <c r="AD351" s="971"/>
      <c r="AE351" s="971"/>
    </row>
    <row r="352" spans="1:31">
      <c r="A352" s="66"/>
      <c r="B352" s="970" t="str">
        <f>IF(Uebersetzung!$A$1=1,'SIA2001'!E58,'SIA2001'!F58)</f>
        <v>PAROC FAS 2, FAS 2cc (LINIO 10, LINIO 10cc)</v>
      </c>
      <c r="D352" s="69"/>
      <c r="E352" s="69"/>
      <c r="F352" s="69"/>
      <c r="G352" s="971">
        <v>95</v>
      </c>
      <c r="H352" s="971">
        <f>'SIA2001'!K58</f>
        <v>3.5000000000000003E-2</v>
      </c>
      <c r="I352" s="972">
        <f>'SIA2001'!O58</f>
        <v>1</v>
      </c>
      <c r="J352" s="27"/>
      <c r="K352" s="118" t="s">
        <v>439</v>
      </c>
      <c r="L352" s="30"/>
      <c r="M352" s="546"/>
      <c r="N352" s="546"/>
      <c r="P352" s="63">
        <v>8</v>
      </c>
      <c r="Q352" s="63">
        <v>0.1</v>
      </c>
      <c r="R352" s="62">
        <v>3.5000000000000003E-2</v>
      </c>
      <c r="AA352" s="69"/>
      <c r="AB352" s="69"/>
      <c r="AC352" s="69"/>
      <c r="AD352" s="69"/>
      <c r="AE352" s="69"/>
    </row>
    <row r="353" spans="1:31">
      <c r="A353" s="66"/>
      <c r="B353" s="970" t="str">
        <f>IF(Uebersetzung!$A$1=1,'SIA2001'!E59,'SIA2001'!F59)</f>
        <v>Sillatherm WVP 1-035</v>
      </c>
      <c r="D353" s="69"/>
      <c r="E353" s="69"/>
      <c r="F353" s="69"/>
      <c r="G353" s="971">
        <f>'SIA2001'!J59</f>
        <v>120</v>
      </c>
      <c r="H353" s="971">
        <f>'SIA2001'!K59</f>
        <v>3.4000000000000002E-2</v>
      </c>
      <c r="I353" s="972">
        <f>'SIA2001'!O59</f>
        <v>1</v>
      </c>
      <c r="J353" s="27"/>
      <c r="K353" s="118" t="s">
        <v>440</v>
      </c>
      <c r="L353" s="30"/>
      <c r="M353" s="546"/>
      <c r="N353" s="546"/>
      <c r="P353" s="63">
        <v>8</v>
      </c>
      <c r="Q353" s="63">
        <v>0.1</v>
      </c>
      <c r="R353" s="62">
        <v>0.04</v>
      </c>
      <c r="AA353" s="71"/>
      <c r="AB353" s="69"/>
      <c r="AC353" s="69"/>
      <c r="AD353" s="69"/>
      <c r="AE353" s="69"/>
    </row>
    <row r="354" spans="1:31">
      <c r="A354" s="66"/>
      <c r="B354" s="970" t="str">
        <f>IF(Uebersetzung!$A$1=1,'SIA2001'!E60,'SIA2001'!F60)</f>
        <v>swissporROC Type 1</v>
      </c>
      <c r="D354" s="69"/>
      <c r="E354" s="69"/>
      <c r="F354" s="69"/>
      <c r="G354" s="971">
        <f>'SIA2001'!J60</f>
        <v>30</v>
      </c>
      <c r="H354" s="971">
        <f>'SIA2001'!K60</f>
        <v>3.5999999999999997E-2</v>
      </c>
      <c r="I354" s="972">
        <f>'SIA2001'!O60</f>
        <v>1</v>
      </c>
      <c r="J354" s="27"/>
      <c r="K354" s="118" t="s">
        <v>1960</v>
      </c>
      <c r="L354" s="30"/>
      <c r="M354" s="546"/>
      <c r="N354" s="546"/>
      <c r="P354" s="63">
        <v>8</v>
      </c>
      <c r="Q354" s="63">
        <v>0.1</v>
      </c>
      <c r="R354" s="62">
        <v>0.06</v>
      </c>
      <c r="AA354" s="69"/>
      <c r="AB354" s="69"/>
      <c r="AC354" s="69"/>
      <c r="AD354" s="69"/>
      <c r="AE354" s="69"/>
    </row>
    <row r="355" spans="1:31">
      <c r="A355" s="66"/>
      <c r="B355" s="970" t="str">
        <f>IF(Uebersetzung!$A$1=1,'SIA2001'!E61,'SIA2001'!F61)</f>
        <v>swissporROC Type 3</v>
      </c>
      <c r="D355" s="69"/>
      <c r="E355" s="69"/>
      <c r="F355" s="69"/>
      <c r="G355" s="971">
        <f>'SIA2001'!J61</f>
        <v>60</v>
      </c>
      <c r="H355" s="971">
        <f>'SIA2001'!K61</f>
        <v>3.4000000000000002E-2</v>
      </c>
      <c r="I355" s="972">
        <f>'SIA2001'!O61</f>
        <v>1</v>
      </c>
      <c r="J355" s="27"/>
      <c r="K355" s="118" t="s">
        <v>1961</v>
      </c>
      <c r="L355" s="30"/>
      <c r="M355" s="546"/>
      <c r="N355" s="546"/>
      <c r="P355" s="63">
        <v>8</v>
      </c>
      <c r="Q355" s="63">
        <v>0.1</v>
      </c>
      <c r="R355" s="62">
        <v>0.08</v>
      </c>
      <c r="AA355" s="69"/>
      <c r="AB355" s="69"/>
      <c r="AC355" s="69"/>
      <c r="AD355" s="69"/>
      <c r="AE355" s="69"/>
    </row>
    <row r="356" spans="1:31">
      <c r="A356" s="66"/>
      <c r="B356" s="970" t="str">
        <f>IF(Uebersetzung!$A$1=1,'SIA2001'!E62,'SIA2001'!F62)</f>
        <v>swissporROC Type 150</v>
      </c>
      <c r="D356" s="69"/>
      <c r="E356" s="69"/>
      <c r="F356" s="69"/>
      <c r="G356" s="971">
        <f>'SIA2001'!J62</f>
        <v>150</v>
      </c>
      <c r="H356" s="971">
        <f>'SIA2001'!K62</f>
        <v>0.04</v>
      </c>
      <c r="I356" s="972">
        <f>'SIA2001'!O62</f>
        <v>1</v>
      </c>
      <c r="J356" s="27"/>
      <c r="K356" s="118" t="s">
        <v>563</v>
      </c>
      <c r="L356" s="30"/>
      <c r="M356" s="546"/>
      <c r="N356" s="546"/>
      <c r="P356" s="63">
        <v>8</v>
      </c>
      <c r="Q356" s="63">
        <v>0.08</v>
      </c>
      <c r="R356" s="62">
        <v>0.03</v>
      </c>
      <c r="AA356" s="970"/>
      <c r="AB356" s="971"/>
      <c r="AC356" s="971"/>
      <c r="AD356" s="971"/>
      <c r="AE356" s="971"/>
    </row>
    <row r="357" spans="1:31">
      <c r="A357" s="66"/>
      <c r="B357" s="970" t="str">
        <f>IF(Uebersetzung!$A$1=1,'SIA2001'!E63,'SIA2001'!F63)</f>
        <v>swissporROC Panneau à crépir</v>
      </c>
      <c r="D357" s="69"/>
      <c r="E357" s="69"/>
      <c r="F357" s="69"/>
      <c r="G357" s="971">
        <f>'SIA2001'!J63</f>
        <v>90</v>
      </c>
      <c r="H357" s="971">
        <f>'SIA2001'!K63</f>
        <v>3.5000000000000003E-2</v>
      </c>
      <c r="I357" s="972">
        <f>'SIA2001'!O63</f>
        <v>1</v>
      </c>
      <c r="J357" s="27"/>
      <c r="K357" s="118" t="s">
        <v>564</v>
      </c>
      <c r="L357" s="30"/>
      <c r="M357" s="546"/>
      <c r="N357" s="546"/>
      <c r="P357" s="63">
        <v>8</v>
      </c>
      <c r="Q357" s="63">
        <v>0.08</v>
      </c>
      <c r="R357" s="62">
        <v>0.04</v>
      </c>
      <c r="AA357" s="970"/>
      <c r="AB357" s="971"/>
      <c r="AC357" s="971"/>
      <c r="AD357" s="971"/>
      <c r="AE357" s="971"/>
    </row>
    <row r="358" spans="1:31">
      <c r="A358" s="66"/>
      <c r="B358" s="970" t="str">
        <f>IF(Uebersetzung!$A$1=1,'SIA2001'!E64,'SIA2001'!F64)</f>
        <v>swissporROC Panneau de sol TS</v>
      </c>
      <c r="D358" s="69"/>
      <c r="E358" s="69"/>
      <c r="F358" s="69"/>
      <c r="G358" s="971">
        <f>'SIA2001'!J64</f>
        <v>100</v>
      </c>
      <c r="H358" s="971">
        <f>'SIA2001'!K64</f>
        <v>3.6999999999999998E-2</v>
      </c>
      <c r="I358" s="972">
        <f>'SIA2001'!O64</f>
        <v>1</v>
      </c>
      <c r="J358" s="27"/>
      <c r="K358" s="118" t="s">
        <v>565</v>
      </c>
      <c r="L358" s="30"/>
      <c r="M358" s="546"/>
      <c r="N358" s="546"/>
      <c r="P358" s="63">
        <v>8</v>
      </c>
      <c r="Q358" s="63">
        <v>0.08</v>
      </c>
      <c r="R358" s="62">
        <v>0.06</v>
      </c>
      <c r="AA358" s="970"/>
      <c r="AB358" s="971"/>
      <c r="AC358" s="971"/>
      <c r="AD358" s="971"/>
      <c r="AE358" s="971"/>
    </row>
    <row r="359" spans="1:31">
      <c r="A359" s="66"/>
      <c r="B359" s="970" t="str">
        <f>IF(Uebersetzung!$A$1=1,'SIA2001'!E65,'SIA2001'!F65)</f>
        <v>swissporROC Élément coupe-feu</v>
      </c>
      <c r="D359" s="69"/>
      <c r="E359" s="69"/>
      <c r="F359" s="69"/>
      <c r="G359" s="971">
        <f>'SIA2001'!J65</f>
        <v>90</v>
      </c>
      <c r="H359" s="971">
        <f>'SIA2001'!K65</f>
        <v>3.5999999999999997E-2</v>
      </c>
      <c r="I359" s="972">
        <f>'SIA2001'!O65</f>
        <v>1</v>
      </c>
      <c r="J359" s="27"/>
      <c r="K359" s="118" t="s">
        <v>566</v>
      </c>
      <c r="L359" s="30"/>
      <c r="M359" s="546"/>
      <c r="N359" s="546"/>
      <c r="P359" s="63">
        <v>8</v>
      </c>
      <c r="Q359" s="63">
        <v>0.08</v>
      </c>
      <c r="R359" s="62">
        <v>0.08</v>
      </c>
      <c r="AA359" s="970"/>
      <c r="AB359" s="971"/>
      <c r="AC359" s="971"/>
      <c r="AD359" s="971"/>
      <c r="AE359" s="971"/>
    </row>
    <row r="360" spans="1:31">
      <c r="A360" s="66"/>
      <c r="B360" s="970" t="str">
        <f>IF(Uebersetzung!$A$1=1,'SIA2001'!E66,'SIA2001'!F66)</f>
        <v>swissporROC Lamellen WVL</v>
      </c>
      <c r="D360" s="69"/>
      <c r="E360" s="69"/>
      <c r="F360" s="69"/>
      <c r="G360" s="971">
        <f>'SIA2001'!J66</f>
        <v>90</v>
      </c>
      <c r="H360" s="971">
        <f>'SIA2001'!K66</f>
        <v>4.1000000000000002E-2</v>
      </c>
      <c r="I360" s="972">
        <f>'SIA2001'!O66</f>
        <v>1</v>
      </c>
      <c r="J360" s="27"/>
      <c r="K360" s="118" t="s">
        <v>567</v>
      </c>
      <c r="L360" s="30"/>
      <c r="M360" s="546"/>
      <c r="N360" s="546"/>
      <c r="P360" s="63">
        <v>8</v>
      </c>
      <c r="Q360" s="63">
        <v>0.05</v>
      </c>
      <c r="R360" s="62">
        <v>0.03</v>
      </c>
      <c r="AA360" s="970"/>
      <c r="AB360" s="971"/>
      <c r="AC360" s="971"/>
      <c r="AD360" s="971"/>
      <c r="AE360" s="971"/>
    </row>
    <row r="361" spans="1:31">
      <c r="A361" s="66"/>
      <c r="B361" s="970" t="str">
        <f>IF(Uebersetzung!$A$1=1,'SIA2001'!E67,'SIA2001'!F67)</f>
        <v>swissporROC Panneau de cloison</v>
      </c>
      <c r="D361" s="69"/>
      <c r="E361" s="69"/>
      <c r="F361" s="69"/>
      <c r="G361" s="971">
        <f>'SIA2001'!J67</f>
        <v>30</v>
      </c>
      <c r="H361" s="971">
        <f>'SIA2001'!K67</f>
        <v>3.9E-2</v>
      </c>
      <c r="I361" s="972">
        <f>'SIA2001'!O67</f>
        <v>1</v>
      </c>
      <c r="J361" s="27"/>
      <c r="K361" s="118" t="s">
        <v>568</v>
      </c>
      <c r="L361" s="30"/>
      <c r="M361" s="546"/>
      <c r="N361" s="546"/>
      <c r="P361" s="63">
        <v>8</v>
      </c>
      <c r="Q361" s="63">
        <v>0.05</v>
      </c>
      <c r="R361" s="62">
        <v>0.04</v>
      </c>
      <c r="AA361" s="970"/>
      <c r="AB361" s="971"/>
      <c r="AC361" s="971"/>
      <c r="AD361" s="971"/>
      <c r="AE361" s="971"/>
    </row>
    <row r="362" spans="1:31">
      <c r="A362" s="66"/>
      <c r="B362" s="970" t="str">
        <f>IF(Uebersetzung!$A$1=1,'SIA2001'!E68,'SIA2001'!F68)</f>
        <v>swissporROC panneau à crépir 034</v>
      </c>
      <c r="D362" s="69"/>
      <c r="E362" s="69"/>
      <c r="F362" s="69"/>
      <c r="G362" s="971">
        <f>'SIA2001'!J68</f>
        <v>120</v>
      </c>
      <c r="H362" s="971">
        <f>'SIA2001'!K68</f>
        <v>3.4000000000000002E-2</v>
      </c>
      <c r="I362" s="972">
        <f>'SIA2001'!O68</f>
        <v>1</v>
      </c>
      <c r="J362" s="27"/>
      <c r="K362" s="118" t="s">
        <v>969</v>
      </c>
      <c r="L362" s="30"/>
      <c r="M362" s="546"/>
      <c r="N362" s="546"/>
      <c r="P362" s="63">
        <v>8</v>
      </c>
      <c r="Q362" s="63">
        <v>0.05</v>
      </c>
      <c r="R362" s="62">
        <v>0.06</v>
      </c>
      <c r="AA362" s="970"/>
      <c r="AB362" s="971"/>
      <c r="AC362" s="971"/>
      <c r="AD362" s="971"/>
      <c r="AE362" s="971"/>
    </row>
    <row r="363" spans="1:31">
      <c r="A363" s="66"/>
      <c r="B363" s="970" t="str">
        <f>IF(Uebersetzung!$A$1=1,'SIA2001'!E69,'SIA2001'!F69)</f>
        <v>swissporTETTO ROC</v>
      </c>
      <c r="D363" s="69"/>
      <c r="E363" s="69"/>
      <c r="F363" s="69"/>
      <c r="G363" s="971">
        <f>'SIA2001'!J69</f>
        <v>120</v>
      </c>
      <c r="H363" s="971">
        <f>'SIA2001'!K69</f>
        <v>3.4000000000000002E-2</v>
      </c>
      <c r="I363" s="972">
        <f>'SIA2001'!O69</f>
        <v>1</v>
      </c>
      <c r="J363" s="27"/>
      <c r="K363" s="118" t="s">
        <v>649</v>
      </c>
      <c r="L363" s="30"/>
      <c r="M363" s="546"/>
      <c r="N363" s="546"/>
      <c r="P363" s="63">
        <v>8</v>
      </c>
      <c r="Q363" s="63">
        <v>0.05</v>
      </c>
      <c r="R363" s="62">
        <v>0.08</v>
      </c>
      <c r="AA363" s="970"/>
      <c r="AB363" s="971"/>
      <c r="AC363" s="971"/>
      <c r="AD363" s="971"/>
      <c r="AE363" s="971"/>
    </row>
    <row r="364" spans="1:31">
      <c r="A364" s="66"/>
      <c r="B364" s="970" t="str">
        <f>IF(Uebersetzung!$A$1=1,'SIA2001'!E70,'SIA2001'!F70)</f>
        <v>ISOLOOSE</v>
      </c>
      <c r="D364" s="69"/>
      <c r="E364" s="69"/>
      <c r="F364" s="69"/>
      <c r="G364" s="971">
        <v>65</v>
      </c>
      <c r="H364" s="971">
        <f>'SIA2001'!K70</f>
        <v>3.9E-2</v>
      </c>
      <c r="I364" s="972">
        <v>1</v>
      </c>
      <c r="J364" s="27"/>
      <c r="K364" s="118" t="str">
        <f>"H = "&amp;P364&amp;" m, D = "&amp;Q364&amp;" m, l = "&amp;R364</f>
        <v>H = 4 m, D = 0.1 m, l = 0.06</v>
      </c>
      <c r="L364" s="27"/>
      <c r="M364" s="27"/>
      <c r="N364" s="27"/>
      <c r="P364" s="1332">
        <v>4</v>
      </c>
      <c r="Q364" s="1328">
        <v>0.1</v>
      </c>
      <c r="R364" s="1329">
        <v>0.06</v>
      </c>
      <c r="AA364" s="970"/>
      <c r="AB364" s="971"/>
      <c r="AC364" s="971"/>
      <c r="AD364" s="971"/>
      <c r="AE364" s="971"/>
    </row>
    <row r="365" spans="1:31">
      <c r="A365" s="66"/>
      <c r="B365" s="970" t="str">
        <f>IF(Uebersetzung!$A$1=1,'SIA2001'!E71&amp;"     "&amp;'SIA2001'!H71,'SIA2001'!F71&amp;"     "&amp;'SIA2001'!H71)</f>
        <v>ProtectFill     Knauf Insulation GmbH</v>
      </c>
      <c r="D365" s="69"/>
      <c r="E365" s="69"/>
      <c r="F365" s="69"/>
      <c r="G365" s="971">
        <v>100</v>
      </c>
      <c r="H365" s="971">
        <f>'SIA2001'!K71</f>
        <v>3.7999999999999999E-2</v>
      </c>
      <c r="I365" s="972">
        <v>1</v>
      </c>
      <c r="J365" s="27"/>
      <c r="K365" s="118" t="str">
        <f>"H = "&amp;P365&amp;" m, D = "&amp;Q365&amp;" m, l = "&amp;R365</f>
        <v>H = 3 m, D = 0.1 m, l = 0.06</v>
      </c>
      <c r="L365" s="27"/>
      <c r="M365" s="27"/>
      <c r="N365" s="27"/>
      <c r="P365" s="1332">
        <v>3</v>
      </c>
      <c r="Q365" s="1328">
        <v>0.1</v>
      </c>
      <c r="R365" s="1329">
        <v>0.06</v>
      </c>
      <c r="AA365" s="970"/>
      <c r="AB365" s="971"/>
      <c r="AC365" s="971"/>
      <c r="AD365" s="971"/>
      <c r="AE365" s="971"/>
    </row>
    <row r="366" spans="1:31">
      <c r="A366" s="66"/>
      <c r="B366" s="970" t="str">
        <f>IF(Uebersetzung!$A$1=1,'SIA2001'!E72&amp;"     "&amp;'SIA2001'!H72,'SIA2001'!F72&amp;"     "&amp;'SIA2001'!H72)</f>
        <v>steinwool-Mineralwolle-Flocken     Steinbacher Dämmstoff GmbH</v>
      </c>
      <c r="D366" s="69"/>
      <c r="E366" s="69"/>
      <c r="F366" s="69"/>
      <c r="G366" s="971">
        <v>100</v>
      </c>
      <c r="H366" s="971">
        <f>'SIA2001'!K72</f>
        <v>0.04</v>
      </c>
      <c r="I366" s="972">
        <v>1</v>
      </c>
      <c r="J366" s="27"/>
      <c r="K366" s="1335" t="str">
        <f>"H = "&amp;P366&amp;" m, D = "&amp;Q366&amp;" m, l = "&amp;R366</f>
        <v>H = 2.5 m, D = 0.05 m, l = 0.06</v>
      </c>
      <c r="L366" s="1334"/>
      <c r="M366" s="1334"/>
      <c r="N366" s="1334"/>
      <c r="P366" s="1332">
        <v>2.5</v>
      </c>
      <c r="Q366" s="1328">
        <v>0.05</v>
      </c>
      <c r="R366" s="1329">
        <v>0.06</v>
      </c>
      <c r="AA366" s="970"/>
      <c r="AB366" s="971"/>
      <c r="AC366" s="971"/>
      <c r="AD366" s="971"/>
      <c r="AE366" s="971"/>
    </row>
    <row r="367" spans="1:31">
      <c r="A367" s="66"/>
      <c r="B367" s="970" t="str">
        <f>IF(Uebersetzung!$A$1=1,'SIA2001'!E73&amp;"     "&amp;'SIA2001'!H73,'SIA2001'!F73&amp;"     "&amp;'SIA2001'!H73)</f>
        <v>Mineralwolle-Flocken     Austroflex Rohr-Isoliersysteme GmbH</v>
      </c>
      <c r="D367" s="69"/>
      <c r="E367" s="69"/>
      <c r="F367" s="69"/>
      <c r="G367" s="971">
        <v>100</v>
      </c>
      <c r="H367" s="971">
        <f>'SIA2001'!K73</f>
        <v>3.9E-2</v>
      </c>
      <c r="I367" s="972">
        <v>1</v>
      </c>
      <c r="J367" s="27"/>
      <c r="K367" s="966"/>
      <c r="L367" s="491"/>
      <c r="M367" s="491"/>
      <c r="N367" s="491"/>
      <c r="P367" s="1332"/>
      <c r="Q367" s="1328"/>
      <c r="R367" s="1329"/>
      <c r="AA367" s="970"/>
      <c r="AB367" s="971"/>
      <c r="AC367" s="971"/>
      <c r="AD367" s="971"/>
      <c r="AE367" s="971"/>
    </row>
    <row r="368" spans="1:31">
      <c r="A368" s="66"/>
      <c r="B368" s="970"/>
      <c r="D368" s="69"/>
      <c r="E368" s="69"/>
      <c r="F368" s="69"/>
      <c r="G368" s="971"/>
      <c r="H368" s="971"/>
      <c r="I368" s="972"/>
      <c r="J368" s="27"/>
      <c r="K368" s="967"/>
      <c r="L368" s="968"/>
      <c r="M368" s="968"/>
      <c r="N368" s="968"/>
      <c r="O368" s="31"/>
      <c r="P368" s="1333"/>
      <c r="Q368" s="1330"/>
      <c r="R368" s="1331"/>
      <c r="AA368" s="970"/>
      <c r="AB368" s="971"/>
      <c r="AC368" s="971"/>
      <c r="AD368" s="971"/>
      <c r="AE368" s="971"/>
    </row>
    <row r="369" spans="1:31">
      <c r="A369" s="66"/>
      <c r="B369" s="71" t="str">
        <f>Uebersetzung!D633</f>
        <v>**** Laine de verre ****</v>
      </c>
      <c r="D369" s="69"/>
      <c r="E369" s="69"/>
      <c r="F369" s="69"/>
      <c r="G369" s="971"/>
      <c r="H369" s="971"/>
      <c r="I369" s="973"/>
      <c r="J369" s="27"/>
      <c r="K369" s="121"/>
      <c r="L369" s="122"/>
      <c r="M369" s="122"/>
      <c r="N369" s="122"/>
      <c r="O369" s="122"/>
      <c r="P369" s="122"/>
      <c r="Q369" s="122"/>
      <c r="R369" s="172"/>
      <c r="AA369" s="970"/>
      <c r="AB369" s="971"/>
      <c r="AC369" s="971"/>
      <c r="AD369" s="971"/>
      <c r="AE369" s="971"/>
    </row>
    <row r="370" spans="1:31">
      <c r="A370" s="66"/>
      <c r="B370" s="970" t="str">
        <f>IF(Uebersetzung!$A$1=1,'SIA2001'!E76,'SIA2001'!F76)</f>
        <v>climowool DF1, DF1-H, DF1/V, HRF1</v>
      </c>
      <c r="D370" s="69"/>
      <c r="E370" s="69"/>
      <c r="F370" s="69"/>
      <c r="G370" s="971">
        <f>'SIA2001'!J76</f>
        <v>13</v>
      </c>
      <c r="H370" s="971">
        <f>'SIA2001'!K76</f>
        <v>3.9E-2</v>
      </c>
      <c r="I370" s="972">
        <f>'SIA2001'!O76</f>
        <v>1</v>
      </c>
      <c r="J370" s="27"/>
      <c r="K370" s="118"/>
      <c r="L370" s="30"/>
      <c r="M370" s="30"/>
      <c r="N370" s="30"/>
      <c r="O370" s="30"/>
      <c r="P370" s="30"/>
      <c r="Q370" s="30"/>
      <c r="R370" s="57"/>
      <c r="AA370" s="970"/>
      <c r="AB370" s="971"/>
      <c r="AC370" s="971"/>
      <c r="AD370" s="971"/>
      <c r="AE370" s="971"/>
    </row>
    <row r="371" spans="1:31">
      <c r="A371" s="66"/>
      <c r="B371" s="970" t="str">
        <f>IF(Uebersetzung!$A$1=1,'SIA2001'!E77,'SIA2001'!F77)</f>
        <v>climowool SSP1/V, TW1, TWR1, WKP1, WKP1/V</v>
      </c>
      <c r="D371" s="69"/>
      <c r="E371" s="69"/>
      <c r="F371" s="69"/>
      <c r="G371" s="971">
        <v>15</v>
      </c>
      <c r="H371" s="971">
        <f>'SIA2001'!K77</f>
        <v>3.6999999999999998E-2</v>
      </c>
      <c r="I371" s="972">
        <f>'SIA2001'!O77</f>
        <v>1</v>
      </c>
      <c r="J371" s="27"/>
      <c r="K371" s="118"/>
      <c r="L371" s="30"/>
      <c r="M371" s="30"/>
      <c r="N371" s="30"/>
      <c r="O371" s="30"/>
      <c r="P371" s="30"/>
      <c r="Q371" s="30"/>
      <c r="R371" s="57"/>
      <c r="AA371" s="970"/>
      <c r="AB371" s="971"/>
      <c r="AC371" s="971"/>
      <c r="AD371" s="971"/>
      <c r="AE371" s="971"/>
    </row>
    <row r="372" spans="1:31">
      <c r="A372" s="66"/>
      <c r="B372" s="970" t="str">
        <f>IF(Uebersetzung!$A$1=1,'SIA2001'!E78,'SIA2001'!F78)</f>
        <v>climowool FD1/V, KD1/V, KF1</v>
      </c>
      <c r="D372" s="69"/>
      <c r="E372" s="69"/>
      <c r="F372" s="69"/>
      <c r="G372" s="971">
        <v>15</v>
      </c>
      <c r="H372" s="971">
        <f>'SIA2001'!K78</f>
        <v>3.6999999999999998E-2</v>
      </c>
      <c r="I372" s="972">
        <f>'SIA2001'!O78</f>
        <v>1</v>
      </c>
      <c r="J372" s="27"/>
      <c r="K372" s="118"/>
      <c r="L372" s="30"/>
      <c r="M372" s="30"/>
      <c r="N372" s="30"/>
      <c r="O372" s="30"/>
      <c r="P372" s="30"/>
      <c r="Q372" s="30"/>
      <c r="R372" s="57"/>
      <c r="AA372" s="69"/>
      <c r="AB372" s="69"/>
      <c r="AC372" s="69"/>
      <c r="AD372" s="69"/>
      <c r="AE372" s="69"/>
    </row>
    <row r="373" spans="1:31">
      <c r="A373" s="66"/>
      <c r="B373" s="970" t="str">
        <f>IF(Uebersetzung!$A$1=1,'SIA2001'!E79,'SIA2001'!F79)</f>
        <v>climowool TW2, WKP2, WKP2/V</v>
      </c>
      <c r="D373" s="69"/>
      <c r="E373" s="69"/>
      <c r="F373" s="69"/>
      <c r="G373" s="971">
        <v>20</v>
      </c>
      <c r="H373" s="971">
        <f>'SIA2001'!K79</f>
        <v>3.4000000000000002E-2</v>
      </c>
      <c r="I373" s="972">
        <f>'SIA2001'!O79</f>
        <v>1</v>
      </c>
      <c r="J373" s="27"/>
      <c r="K373" s="118"/>
      <c r="L373" s="30"/>
      <c r="M373" s="30"/>
      <c r="N373" s="30"/>
      <c r="O373" s="30"/>
      <c r="P373" s="30"/>
      <c r="Q373" s="30"/>
      <c r="R373" s="57"/>
      <c r="AA373" s="71"/>
      <c r="AB373" s="69"/>
      <c r="AC373" s="69"/>
      <c r="AD373" s="69"/>
      <c r="AE373" s="69"/>
    </row>
    <row r="374" spans="1:31">
      <c r="A374" s="66"/>
      <c r="B374" s="970" t="str">
        <f>IF(Uebersetzung!$A$1=1,'SIA2001'!E80,'SIA2001'!F80)</f>
        <v>climowool KD2/V, KF2, KF2/V, KF2-H</v>
      </c>
      <c r="D374" s="69"/>
      <c r="E374" s="69"/>
      <c r="F374" s="69"/>
      <c r="G374" s="971">
        <v>20</v>
      </c>
      <c r="H374" s="971">
        <f>'SIA2001'!K80</f>
        <v>3.4000000000000002E-2</v>
      </c>
      <c r="I374" s="972">
        <f>'SIA2001'!O80</f>
        <v>1</v>
      </c>
      <c r="J374" s="27"/>
      <c r="K374" s="118"/>
      <c r="L374" s="30"/>
      <c r="M374" s="30"/>
      <c r="N374" s="30"/>
      <c r="O374" s="30"/>
      <c r="P374" s="30"/>
      <c r="Q374" s="30"/>
      <c r="R374" s="57"/>
      <c r="AA374" s="69"/>
      <c r="AB374" s="69"/>
      <c r="AC374" s="69"/>
      <c r="AD374" s="69"/>
      <c r="AE374" s="69"/>
    </row>
    <row r="375" spans="1:31">
      <c r="A375" s="66"/>
      <c r="B375" s="970" t="str">
        <f>IF(Uebersetzung!$A$1=1,'SIA2001'!E81,'SIA2001'!F81)</f>
        <v>climowool DF2, DF2-H, DF2/V, HRF2, FD2/V</v>
      </c>
      <c r="D375" s="69"/>
      <c r="E375" s="69"/>
      <c r="F375" s="69"/>
      <c r="G375" s="971">
        <v>20</v>
      </c>
      <c r="H375" s="971">
        <f>'SIA2001'!K81</f>
        <v>3.4000000000000002E-2</v>
      </c>
      <c r="I375" s="972">
        <f>'SIA2001'!O81</f>
        <v>1</v>
      </c>
      <c r="J375" s="27"/>
      <c r="K375" s="118"/>
      <c r="L375" s="30"/>
      <c r="M375" s="30"/>
      <c r="N375" s="30"/>
      <c r="O375" s="30"/>
      <c r="P375" s="30"/>
      <c r="Q375" s="30"/>
      <c r="R375" s="57"/>
      <c r="AA375" s="69"/>
      <c r="AB375" s="69"/>
      <c r="AC375" s="69"/>
      <c r="AD375" s="69"/>
      <c r="AE375" s="69"/>
    </row>
    <row r="376" spans="1:31">
      <c r="A376" s="66"/>
      <c r="B376" s="970" t="str">
        <f>IF(Uebersetzung!$A$1=1,'SIA2001'!E82,'SIA2001'!F82)</f>
        <v>climowool KD3/V, KF3, KF3/V, TFP, TW3, UF3/V, WKP3</v>
      </c>
      <c r="D376" s="69"/>
      <c r="E376" s="69"/>
      <c r="F376" s="69"/>
      <c r="G376" s="971">
        <v>50</v>
      </c>
      <c r="H376" s="971">
        <f>'SIA2001'!K82</f>
        <v>3.2000000000000001E-2</v>
      </c>
      <c r="I376" s="972">
        <f>'SIA2001'!O82</f>
        <v>1</v>
      </c>
      <c r="J376" s="27"/>
      <c r="K376" s="118"/>
      <c r="L376" s="30"/>
      <c r="M376" s="30"/>
      <c r="N376" s="30"/>
      <c r="O376" s="30"/>
      <c r="P376" s="30"/>
      <c r="Q376" s="30"/>
      <c r="R376" s="57"/>
      <c r="AA376" s="69"/>
      <c r="AB376" s="69"/>
      <c r="AC376" s="69"/>
      <c r="AD376" s="69"/>
      <c r="AE376" s="69"/>
    </row>
    <row r="377" spans="1:31">
      <c r="A377" s="66"/>
      <c r="B377" s="970" t="str">
        <f>IF(Uebersetzung!$A$1=1,'SIA2001'!E83,'SIA2001'!F83)</f>
        <v>climowool DF3, DF3-H, DF3/V, EP, FD3/V</v>
      </c>
      <c r="D377" s="69"/>
      <c r="E377" s="69"/>
      <c r="F377" s="69"/>
      <c r="G377" s="971">
        <v>50</v>
      </c>
      <c r="H377" s="971">
        <f>'SIA2001'!K83</f>
        <v>3.2000000000000001E-2</v>
      </c>
      <c r="I377" s="972">
        <f>'SIA2001'!O83</f>
        <v>1</v>
      </c>
      <c r="J377" s="27"/>
      <c r="K377" s="118"/>
      <c r="L377" s="30"/>
      <c r="M377" s="30"/>
      <c r="N377" s="30"/>
      <c r="O377" s="30"/>
      <c r="P377" s="30"/>
      <c r="Q377" s="30"/>
      <c r="R377" s="57"/>
      <c r="AA377" s="69"/>
      <c r="AB377" s="69"/>
      <c r="AC377" s="69"/>
      <c r="AD377" s="69"/>
      <c r="AE377" s="69"/>
    </row>
    <row r="378" spans="1:31">
      <c r="A378" s="66"/>
      <c r="B378" s="970" t="str">
        <f>IF(Uebersetzung!$A$1=1,'SIA2001'!E84,'SIA2001'!F84)</f>
        <v>TI 432 U</v>
      </c>
      <c r="D378" s="69"/>
      <c r="E378" s="69"/>
      <c r="F378" s="69"/>
      <c r="G378" s="971">
        <f>'SIA2001'!J84</f>
        <v>32</v>
      </c>
      <c r="H378" s="971">
        <f>'SIA2001'!K84</f>
        <v>3.2000000000000001E-2</v>
      </c>
      <c r="I378" s="972">
        <f>'SIA2001'!O84</f>
        <v>1</v>
      </c>
      <c r="J378" s="27"/>
      <c r="K378" s="118"/>
      <c r="L378" s="30"/>
      <c r="M378" s="30"/>
      <c r="N378" s="30"/>
      <c r="O378" s="30"/>
      <c r="P378" s="30"/>
      <c r="Q378" s="30"/>
      <c r="R378" s="57"/>
      <c r="AA378" s="69"/>
      <c r="AB378" s="69"/>
      <c r="AC378" s="69"/>
      <c r="AD378" s="69"/>
      <c r="AE378" s="69"/>
    </row>
    <row r="379" spans="1:31">
      <c r="A379" s="66"/>
      <c r="B379" s="970" t="str">
        <f>IF(Uebersetzung!$A$1=1,'SIA2001'!E85,'SIA2001'!F85)</f>
        <v>MW 35</v>
      </c>
      <c r="D379" s="69"/>
      <c r="E379" s="69"/>
      <c r="F379" s="69"/>
      <c r="G379" s="971">
        <f>'SIA2001'!J85</f>
        <v>20</v>
      </c>
      <c r="H379" s="971">
        <f>'SIA2001'!K85</f>
        <v>3.5000000000000003E-2</v>
      </c>
      <c r="I379" s="972">
        <f>'SIA2001'!O85</f>
        <v>1</v>
      </c>
      <c r="J379" s="27"/>
      <c r="K379" s="118"/>
      <c r="L379" s="30"/>
      <c r="M379" s="30"/>
      <c r="N379" s="30"/>
      <c r="O379" s="30"/>
      <c r="P379" s="30"/>
      <c r="Q379" s="30"/>
      <c r="R379" s="57"/>
      <c r="AA379" s="69"/>
      <c r="AB379" s="69"/>
      <c r="AC379" s="69"/>
      <c r="AD379" s="69"/>
      <c r="AE379" s="69"/>
    </row>
    <row r="380" spans="1:31">
      <c r="A380" s="66"/>
      <c r="B380" s="970" t="str">
        <f>IF(Uebersetzung!$A$1=1,'SIA2001'!E86,'SIA2001'!F86)</f>
        <v>TI 132 U</v>
      </c>
      <c r="D380" s="69"/>
      <c r="E380" s="69"/>
      <c r="F380" s="69"/>
      <c r="G380" s="971">
        <f>'SIA2001'!J86</f>
        <v>32</v>
      </c>
      <c r="H380" s="971">
        <f>'SIA2001'!K86</f>
        <v>3.2000000000000001E-2</v>
      </c>
      <c r="I380" s="972">
        <f>'SIA2001'!O86</f>
        <v>1</v>
      </c>
      <c r="J380" s="27"/>
      <c r="K380" s="118"/>
      <c r="L380" s="30"/>
      <c r="M380" s="30"/>
      <c r="N380" s="30"/>
      <c r="O380" s="30"/>
      <c r="P380" s="30"/>
      <c r="Q380" s="30"/>
      <c r="R380" s="57"/>
      <c r="AA380" s="69"/>
      <c r="AB380" s="69"/>
      <c r="AC380" s="69"/>
      <c r="AD380" s="69"/>
      <c r="AE380" s="69"/>
    </row>
    <row r="381" spans="1:31">
      <c r="A381" s="66"/>
      <c r="B381" s="970" t="str">
        <f>IF(Uebersetzung!$A$1=1,'SIA2001'!E87,'SIA2001'!F87)</f>
        <v>TP KD 432, TP 432 B</v>
      </c>
      <c r="D381" s="69"/>
      <c r="E381" s="69"/>
      <c r="F381" s="69"/>
      <c r="G381" s="971">
        <f>'SIA2001'!J87</f>
        <v>32</v>
      </c>
      <c r="H381" s="971">
        <f>'SIA2001'!K87</f>
        <v>3.2000000000000001E-2</v>
      </c>
      <c r="I381" s="972">
        <f>'SIA2001'!O87</f>
        <v>1</v>
      </c>
      <c r="J381" s="27"/>
      <c r="K381" s="118"/>
      <c r="L381" s="30"/>
      <c r="M381" s="30"/>
      <c r="N381" s="30"/>
      <c r="O381" s="30"/>
      <c r="P381" s="30"/>
      <c r="Q381" s="30"/>
      <c r="R381" s="57"/>
      <c r="AA381" s="69"/>
      <c r="AB381" s="69"/>
      <c r="AC381" s="69"/>
      <c r="AD381" s="69"/>
      <c r="AE381" s="69"/>
    </row>
    <row r="382" spans="1:31">
      <c r="A382" s="66"/>
      <c r="B382" s="970" t="str">
        <f>IF(Uebersetzung!$A$1=1,'SIA2001'!E88,'SIA2001'!F88)</f>
        <v>TP KD 430, TP 120 A</v>
      </c>
      <c r="D382" s="69"/>
      <c r="E382" s="69"/>
      <c r="F382" s="69"/>
      <c r="G382" s="971">
        <f>'SIA2001'!J88</f>
        <v>25</v>
      </c>
      <c r="H382" s="971">
        <f>'SIA2001'!K88</f>
        <v>3.4000000000000002E-2</v>
      </c>
      <c r="I382" s="972">
        <f>'SIA2001'!O88</f>
        <v>1</v>
      </c>
      <c r="J382" s="27"/>
      <c r="K382" s="118"/>
      <c r="L382" s="30"/>
      <c r="M382" s="30"/>
      <c r="N382" s="30"/>
      <c r="O382" s="30"/>
      <c r="P382" s="30"/>
      <c r="Q382" s="30"/>
      <c r="R382" s="57"/>
      <c r="AA382" s="69"/>
      <c r="AB382" s="69"/>
      <c r="AC382" s="69"/>
      <c r="AD382" s="69"/>
      <c r="AE382" s="69"/>
    </row>
    <row r="383" spans="1:31">
      <c r="A383" s="66"/>
      <c r="B383" s="970" t="str">
        <f>IF(Uebersetzung!$A$1=1,'SIA2001'!E89,'SIA2001'!F89)</f>
        <v>TI 135 U, Naturoll 035</v>
      </c>
      <c r="D383" s="69"/>
      <c r="E383" s="69"/>
      <c r="F383" s="69"/>
      <c r="G383" s="971">
        <f>'SIA2001'!J89</f>
        <v>20</v>
      </c>
      <c r="H383" s="971">
        <f>'SIA2001'!K89</f>
        <v>3.5000000000000003E-2</v>
      </c>
      <c r="I383" s="972">
        <f>'SIA2001'!O89</f>
        <v>1</v>
      </c>
      <c r="J383" s="27"/>
      <c r="K383" s="118"/>
      <c r="L383" s="30"/>
      <c r="M383" s="30"/>
      <c r="N383" s="30"/>
      <c r="O383" s="30"/>
      <c r="P383" s="30"/>
      <c r="Q383" s="30"/>
      <c r="R383" s="57"/>
      <c r="AA383" s="69"/>
      <c r="AB383" s="69"/>
      <c r="AC383" s="69"/>
      <c r="AD383" s="69"/>
      <c r="AE383" s="69"/>
    </row>
    <row r="384" spans="1:31">
      <c r="A384" s="66"/>
      <c r="B384" s="970" t="str">
        <f>IF(Uebersetzung!$A$1=1,'SIA2001'!E90,'SIA2001'!F90)</f>
        <v>TI 140 W, TP 115</v>
      </c>
      <c r="D384" s="69"/>
      <c r="E384" s="69"/>
      <c r="F384" s="69"/>
      <c r="G384" s="971">
        <f>'SIA2001'!J90</f>
        <v>15</v>
      </c>
      <c r="H384" s="971">
        <f>'SIA2001'!K90</f>
        <v>3.6999999999999998E-2</v>
      </c>
      <c r="I384" s="972">
        <f>'SIA2001'!O90</f>
        <v>1</v>
      </c>
      <c r="J384" s="27"/>
      <c r="K384" s="118"/>
      <c r="L384" s="30"/>
      <c r="M384" s="30"/>
      <c r="N384" s="30"/>
      <c r="O384" s="30"/>
      <c r="P384" s="30"/>
      <c r="Q384" s="30"/>
      <c r="R384" s="57"/>
      <c r="AA384" s="69"/>
      <c r="AB384" s="69"/>
      <c r="AC384" s="69"/>
      <c r="AD384" s="69"/>
      <c r="AE384" s="69"/>
    </row>
    <row r="385" spans="1:31">
      <c r="A385" s="66"/>
      <c r="B385" s="970" t="str">
        <f>IF(Uebersetzung!$A$1=1,'SIA2001'!E91,'SIA2001'!F91)</f>
        <v>SAGLAN (030) FA 50 Carbolane</v>
      </c>
      <c r="D385" s="69"/>
      <c r="E385" s="69"/>
      <c r="F385" s="69"/>
      <c r="G385" s="971">
        <v>47</v>
      </c>
      <c r="H385" s="971">
        <f>'SIA2001'!K91</f>
        <v>0.03</v>
      </c>
      <c r="I385" s="972">
        <f>'SIA2001'!O91</f>
        <v>1</v>
      </c>
      <c r="J385" s="27"/>
      <c r="K385" s="118"/>
      <c r="L385" s="30"/>
      <c r="M385" s="30"/>
      <c r="N385" s="30"/>
      <c r="O385" s="30"/>
      <c r="P385" s="30"/>
      <c r="Q385" s="30"/>
      <c r="R385" s="57"/>
      <c r="AA385" s="69"/>
      <c r="AB385" s="69"/>
      <c r="AC385" s="69"/>
      <c r="AD385" s="69"/>
      <c r="AE385" s="69"/>
    </row>
    <row r="386" spans="1:31">
      <c r="A386" s="66"/>
      <c r="B386" s="970" t="str">
        <f>IF(Uebersetzung!$A$1=1,'SIA2001'!E92,'SIA2001'!F92)</f>
        <v>SAGLAN (033) TW 33 / TWR 33</v>
      </c>
      <c r="D386" s="69"/>
      <c r="E386" s="69"/>
      <c r="F386" s="69"/>
      <c r="G386" s="971">
        <f>'SIA2001'!J92</f>
        <v>25</v>
      </c>
      <c r="H386" s="971">
        <f>'SIA2001'!K92</f>
        <v>3.3000000000000002E-2</v>
      </c>
      <c r="I386" s="972">
        <f>'SIA2001'!O92</f>
        <v>1</v>
      </c>
      <c r="J386" s="27"/>
      <c r="K386" s="118"/>
      <c r="L386" s="30"/>
      <c r="M386" s="30"/>
      <c r="N386" s="30"/>
      <c r="O386" s="30"/>
      <c r="P386" s="30"/>
      <c r="Q386" s="30"/>
      <c r="R386" s="57"/>
      <c r="AA386" s="69"/>
      <c r="AB386" s="69"/>
      <c r="AC386" s="69"/>
      <c r="AD386" s="69"/>
      <c r="AE386" s="69"/>
    </row>
    <row r="387" spans="1:31">
      <c r="A387" s="66"/>
      <c r="B387" s="970" t="str">
        <f>IF(Uebersetzung!$A$1=1,'SIA2001'!E93,'SIA2001'!F93)</f>
        <v>SAGLAN (038) DF 100</v>
      </c>
      <c r="D387" s="69"/>
      <c r="E387" s="69"/>
      <c r="F387" s="69"/>
      <c r="G387" s="971">
        <f>'SIA2001'!J93</f>
        <v>100</v>
      </c>
      <c r="H387" s="971">
        <f>'SIA2001'!K93</f>
        <v>3.7999999999999999E-2</v>
      </c>
      <c r="I387" s="972">
        <f>'SIA2001'!O93</f>
        <v>1</v>
      </c>
      <c r="J387" s="27"/>
      <c r="K387" s="118"/>
      <c r="L387" s="30"/>
      <c r="M387" s="30"/>
      <c r="N387" s="30"/>
      <c r="O387" s="30"/>
      <c r="P387" s="30"/>
      <c r="Q387" s="30"/>
      <c r="R387" s="57"/>
      <c r="AA387" s="69"/>
      <c r="AB387" s="69"/>
      <c r="AC387" s="69"/>
      <c r="AD387" s="69"/>
      <c r="AE387" s="69"/>
    </row>
    <row r="388" spans="1:31">
      <c r="A388" s="66"/>
      <c r="B388" s="970" t="str">
        <f>IF(Uebersetzung!$A$1=1,'SIA2001'!E94,'SIA2001'!F94)</f>
        <v>SAGLAN (032) ST 100</v>
      </c>
      <c r="D388" s="69"/>
      <c r="E388" s="69"/>
      <c r="F388" s="69"/>
      <c r="G388" s="971">
        <v>100</v>
      </c>
      <c r="H388" s="971">
        <f>'SIA2001'!K94</f>
        <v>3.2000000000000001E-2</v>
      </c>
      <c r="I388" s="972">
        <f>'SIA2001'!O94</f>
        <v>1</v>
      </c>
      <c r="J388" s="27"/>
      <c r="K388" s="119"/>
      <c r="L388" s="31"/>
      <c r="M388" s="31"/>
      <c r="N388" s="31"/>
      <c r="O388" s="31"/>
      <c r="P388" s="31"/>
      <c r="Q388" s="31"/>
      <c r="R388" s="60"/>
      <c r="AA388" s="69"/>
      <c r="AB388" s="69"/>
      <c r="AC388" s="69"/>
      <c r="AD388" s="69"/>
      <c r="AE388" s="69"/>
    </row>
    <row r="389" spans="1:31">
      <c r="A389" s="66"/>
      <c r="B389" s="970" t="str">
        <f>IF(Uebersetzung!$A$1=1,'SIA2001'!E95,'SIA2001'!F95)</f>
        <v>SAGLAN (034) SBR / SBR chevrons / SAGLAN T-P HT 400 KA</v>
      </c>
      <c r="D389" s="69"/>
      <c r="E389" s="69"/>
      <c r="F389" s="69"/>
      <c r="G389" s="971">
        <v>20</v>
      </c>
      <c r="H389" s="971">
        <f>'SIA2001'!K95</f>
        <v>3.4000000000000002E-2</v>
      </c>
      <c r="I389" s="972">
        <f>'SIA2001'!O95</f>
        <v>1</v>
      </c>
      <c r="J389" s="27"/>
      <c r="K389" s="27"/>
      <c r="L389" s="27"/>
      <c r="M389" s="27"/>
      <c r="N389" s="27"/>
      <c r="P389" s="27"/>
      <c r="AA389" s="69"/>
      <c r="AB389" s="69"/>
      <c r="AC389" s="69"/>
      <c r="AD389" s="69"/>
      <c r="AE389" s="69"/>
    </row>
    <row r="390" spans="1:31">
      <c r="A390" s="66"/>
      <c r="B390" s="970" t="str">
        <f>IF(Uebersetzung!$A$1=1,'SIA2001'!E96,'SIA2001'!F96)</f>
        <v>SAGLAN (034) SB 22</v>
      </c>
      <c r="D390" s="69"/>
      <c r="E390" s="69"/>
      <c r="F390" s="69"/>
      <c r="G390" s="971">
        <v>19</v>
      </c>
      <c r="H390" s="971">
        <f>'SIA2001'!K96</f>
        <v>3.4000000000000002E-2</v>
      </c>
      <c r="I390" s="972">
        <f>'SIA2001'!O96</f>
        <v>1</v>
      </c>
      <c r="J390" s="27"/>
      <c r="K390" s="27"/>
      <c r="L390" s="27"/>
      <c r="M390" s="27"/>
      <c r="N390" s="27"/>
      <c r="P390" s="27"/>
      <c r="AA390" s="69"/>
      <c r="AB390" s="69"/>
      <c r="AC390" s="69"/>
      <c r="AD390" s="69"/>
      <c r="AE390" s="69"/>
    </row>
    <row r="391" spans="1:31">
      <c r="A391" s="66"/>
      <c r="B391" s="970" t="str">
        <f>IF(Uebersetzung!$A$1=1,'SIA2001'!E97,'SIA2001'!F97)</f>
        <v>SAGLAN (035) SR 22 / TC 22</v>
      </c>
      <c r="D391" s="69"/>
      <c r="E391" s="69"/>
      <c r="F391" s="69"/>
      <c r="G391" s="971">
        <v>19</v>
      </c>
      <c r="H391" s="971">
        <f>'SIA2001'!K97</f>
        <v>3.5000000000000003E-2</v>
      </c>
      <c r="I391" s="972">
        <f>'SIA2001'!O97</f>
        <v>1</v>
      </c>
      <c r="J391" s="27"/>
      <c r="K391" s="27"/>
      <c r="L391" s="27"/>
      <c r="M391" s="27"/>
      <c r="N391" s="27"/>
      <c r="P391" s="27"/>
      <c r="AA391" s="69"/>
      <c r="AB391" s="69"/>
      <c r="AC391" s="69"/>
      <c r="AD391" s="69"/>
      <c r="AE391" s="69"/>
    </row>
    <row r="392" spans="1:31">
      <c r="A392" s="66"/>
      <c r="B392" s="970" t="str">
        <f>IF(Uebersetzung!$A$1=1,'SIA2001'!E98,'SIA2001'!F98)</f>
        <v>SAGLAN (031) ST</v>
      </c>
      <c r="D392" s="69"/>
      <c r="E392" s="69"/>
      <c r="F392" s="69"/>
      <c r="G392" s="971">
        <f>'SIA2001'!J98</f>
        <v>80</v>
      </c>
      <c r="H392" s="971">
        <f>'SIA2001'!K98</f>
        <v>3.1E-2</v>
      </c>
      <c r="I392" s="972">
        <f>'SIA2001'!O98</f>
        <v>1</v>
      </c>
      <c r="J392" s="27"/>
      <c r="K392" s="27"/>
      <c r="L392" s="27"/>
      <c r="M392" s="27"/>
      <c r="N392" s="27"/>
      <c r="P392" s="27"/>
      <c r="AA392" s="69"/>
      <c r="AB392" s="69"/>
      <c r="AC392" s="69"/>
      <c r="AD392" s="69"/>
      <c r="AE392" s="69"/>
    </row>
    <row r="393" spans="1:31">
      <c r="A393" s="66"/>
      <c r="B393" s="970" t="str">
        <f>IF(Uebersetzung!$A$1=1,'SIA2001'!E99,'SIA2001'!F99)</f>
        <v>SAGLAN (031) SB 55 / SB 55 K / SA 55 Vs</v>
      </c>
      <c r="D393" s="69"/>
      <c r="E393" s="69"/>
      <c r="F393" s="69"/>
      <c r="G393" s="971">
        <v>53</v>
      </c>
      <c r="H393" s="971">
        <f>'SIA2001'!K99</f>
        <v>3.1E-2</v>
      </c>
      <c r="I393" s="972">
        <f>'SIA2001'!O99</f>
        <v>1</v>
      </c>
      <c r="J393" s="27"/>
      <c r="K393" s="27"/>
      <c r="L393" s="27"/>
      <c r="M393" s="27"/>
      <c r="N393" s="27"/>
      <c r="P393" s="27"/>
      <c r="AA393" s="69"/>
      <c r="AB393" s="69"/>
      <c r="AC393" s="69"/>
      <c r="AD393" s="69"/>
      <c r="AE393" s="69"/>
    </row>
    <row r="394" spans="1:31">
      <c r="A394" s="66"/>
      <c r="B394" s="970" t="str">
        <f>IF(Uebersetzung!$A$1=1,'SIA2001'!E100,'SIA2001'!F100)</f>
        <v>SAGLAN (032) SB 40 / SR 40 / SA 40 A / SK 40 Vs</v>
      </c>
      <c r="D394" s="69"/>
      <c r="E394" s="69"/>
      <c r="F394" s="69"/>
      <c r="G394" s="971">
        <f>'SIA2001'!J100</f>
        <v>38</v>
      </c>
      <c r="H394" s="971">
        <f>'SIA2001'!K100</f>
        <v>3.2000000000000001E-2</v>
      </c>
      <c r="I394" s="972">
        <f>'SIA2001'!O100</f>
        <v>1</v>
      </c>
      <c r="J394" s="27"/>
      <c r="K394" s="27"/>
      <c r="L394" s="27"/>
      <c r="M394" s="27"/>
      <c r="N394" s="27"/>
      <c r="P394" s="27"/>
      <c r="AA394" s="69"/>
      <c r="AB394" s="69"/>
      <c r="AC394" s="69"/>
      <c r="AD394" s="69"/>
      <c r="AE394" s="69"/>
    </row>
    <row r="395" spans="1:31">
      <c r="A395" s="66"/>
      <c r="B395" s="970" t="str">
        <f>IF(Uebersetzung!$A$1=1,'SIA2001'!E101,'SIA2001'!F101)</f>
        <v>SAGLAN (032) SR 30 / SI 30 / SK 32 / SKN 32</v>
      </c>
      <c r="D395" s="69"/>
      <c r="E395" s="69"/>
      <c r="F395" s="69"/>
      <c r="G395" s="971">
        <f>'SIA2001'!J101</f>
        <v>30</v>
      </c>
      <c r="H395" s="971">
        <f>'SIA2001'!K101</f>
        <v>3.2000000000000001E-2</v>
      </c>
      <c r="I395" s="972">
        <f>'SIA2001'!O101</f>
        <v>1</v>
      </c>
      <c r="J395" s="27"/>
      <c r="K395" s="27"/>
      <c r="L395" s="27"/>
      <c r="M395" s="27"/>
      <c r="N395" s="27"/>
      <c r="P395" s="27"/>
      <c r="AA395" s="69"/>
      <c r="AB395" s="69"/>
      <c r="AC395" s="69"/>
      <c r="AD395" s="69"/>
      <c r="AE395" s="69"/>
    </row>
    <row r="396" spans="1:31">
      <c r="A396" s="66"/>
      <c r="B396" s="970" t="str">
        <f>IF(Uebersetzung!$A$1=1,'SIA2001'!E102,'SIA2001'!F102)</f>
        <v>SAGLAN (032) FA 40 / FA 40 Vg / FA 40 Vs</v>
      </c>
      <c r="D396" s="69"/>
      <c r="E396" s="69"/>
      <c r="F396" s="69"/>
      <c r="G396" s="971">
        <f>'SIA2001'!J102</f>
        <v>38</v>
      </c>
      <c r="H396" s="971">
        <f>'SIA2001'!K102</f>
        <v>3.2000000000000001E-2</v>
      </c>
      <c r="I396" s="972">
        <f>'SIA2001'!O102</f>
        <v>1</v>
      </c>
      <c r="J396" s="27"/>
      <c r="K396" s="27"/>
      <c r="L396" s="27"/>
      <c r="M396" s="27"/>
      <c r="N396" s="27"/>
      <c r="P396" s="27"/>
      <c r="AA396" s="69"/>
      <c r="AB396" s="69"/>
      <c r="AC396" s="69"/>
      <c r="AD396" s="69"/>
      <c r="AE396" s="69"/>
    </row>
    <row r="397" spans="1:31">
      <c r="A397" s="66"/>
      <c r="B397" s="970" t="s">
        <v>5613</v>
      </c>
      <c r="D397" s="69"/>
      <c r="E397" s="69"/>
      <c r="F397" s="69"/>
      <c r="G397" s="971">
        <v>30</v>
      </c>
      <c r="H397" s="971">
        <f>'SIA2001'!K103</f>
        <v>3.2000000000000001E-2</v>
      </c>
      <c r="I397" s="972">
        <f>'SIA2001'!O103</f>
        <v>1</v>
      </c>
      <c r="J397" s="27"/>
      <c r="K397" s="27"/>
      <c r="L397" s="27"/>
      <c r="M397" s="27"/>
      <c r="N397" s="27"/>
      <c r="P397" s="27"/>
      <c r="AA397" s="69"/>
      <c r="AB397" s="971"/>
      <c r="AC397" s="971"/>
      <c r="AD397" s="971"/>
      <c r="AE397" s="971"/>
    </row>
    <row r="398" spans="1:31">
      <c r="A398" s="66"/>
      <c r="B398" s="970" t="str">
        <f>IF(Uebersetzung!$A$1=1,'SIA2001'!E104,'SIA2001'!F104)</f>
        <v>SAGLAN (032) SBR plus Vgl / SBR plus Vgl Sparren</v>
      </c>
      <c r="D398" s="69"/>
      <c r="E398" s="69"/>
      <c r="F398" s="69"/>
      <c r="G398" s="971">
        <f>'SIA2001'!J104</f>
        <v>30</v>
      </c>
      <c r="H398" s="971">
        <f>'SIA2001'!K104</f>
        <v>3.2000000000000001E-2</v>
      </c>
      <c r="I398" s="972">
        <f>'SIA2001'!O104</f>
        <v>1</v>
      </c>
      <c r="J398" s="27"/>
      <c r="K398" s="27"/>
      <c r="L398" s="27"/>
      <c r="M398" s="27"/>
      <c r="N398" s="27"/>
      <c r="P398" s="27"/>
      <c r="AA398" s="970"/>
      <c r="AB398" s="970"/>
      <c r="AC398" s="970"/>
      <c r="AD398" s="970"/>
      <c r="AE398" s="970"/>
    </row>
    <row r="399" spans="1:31">
      <c r="A399" s="66"/>
      <c r="B399" s="970" t="str">
        <f>IF(Uebersetzung!$A$1=1,'SIA2001'!E105,'SIA2001'!F105)</f>
        <v>SAGLAN (035) SA 25 / SA 25 Vs / Si 25 / Si 25 A</v>
      </c>
      <c r="D399" s="69"/>
      <c r="E399" s="69"/>
      <c r="F399" s="69"/>
      <c r="G399" s="971">
        <f>'SIA2001'!J105</f>
        <v>25</v>
      </c>
      <c r="H399" s="971">
        <f>'SIA2001'!K105</f>
        <v>3.5000000000000003E-2</v>
      </c>
      <c r="I399" s="972">
        <f>'SIA2001'!O105</f>
        <v>1</v>
      </c>
      <c r="J399" s="27"/>
      <c r="K399" s="27"/>
      <c r="L399" s="27"/>
      <c r="M399" s="27"/>
      <c r="N399" s="27"/>
      <c r="P399" s="27"/>
      <c r="AA399" s="970"/>
      <c r="AB399" s="970"/>
      <c r="AC399" s="970"/>
      <c r="AD399" s="970"/>
      <c r="AE399" s="970"/>
    </row>
    <row r="400" spans="1:31">
      <c r="A400" s="66"/>
      <c r="B400" s="970" t="str">
        <f>IF(Uebersetzung!$A$1=1,'SIA2001'!E106,'SIA2001'!F106)</f>
        <v>SAGLAN (035) DF70</v>
      </c>
      <c r="D400" s="69"/>
      <c r="E400" s="69"/>
      <c r="F400" s="69"/>
      <c r="G400" s="971">
        <f>'SIA2001'!J106</f>
        <v>70</v>
      </c>
      <c r="H400" s="971">
        <f>'SIA2001'!K106</f>
        <v>3.5000000000000003E-2</v>
      </c>
      <c r="I400" s="972">
        <f>'SIA2001'!O106</f>
        <v>1</v>
      </c>
      <c r="J400" s="27"/>
      <c r="K400" s="27"/>
      <c r="L400" s="27"/>
      <c r="M400" s="27"/>
      <c r="N400" s="27"/>
      <c r="P400" s="27"/>
      <c r="AA400" s="970"/>
      <c r="AB400" s="970"/>
      <c r="AC400" s="970"/>
      <c r="AD400" s="970"/>
      <c r="AE400" s="970"/>
    </row>
    <row r="401" spans="1:31">
      <c r="A401" s="66"/>
      <c r="B401" s="970" t="str">
        <f>IF(Uebersetzung!$A$1=1,'SIA2001'!E107,'SIA2001'!F107)</f>
        <v>SAGLAN (038) R 300 / (038) 300</v>
      </c>
      <c r="D401" s="69"/>
      <c r="E401" s="69"/>
      <c r="F401" s="69"/>
      <c r="G401" s="971">
        <f>'SIA2001'!J107</f>
        <v>14</v>
      </c>
      <c r="H401" s="971">
        <f>'SIA2001'!K107</f>
        <v>3.7999999999999999E-2</v>
      </c>
      <c r="I401" s="972">
        <f>'SIA2001'!O107</f>
        <v>1</v>
      </c>
      <c r="J401" s="27"/>
      <c r="K401" s="27"/>
      <c r="L401" s="27"/>
      <c r="M401" s="27"/>
      <c r="N401" s="27"/>
      <c r="P401" s="27"/>
      <c r="AA401" s="970"/>
      <c r="AB401" s="970"/>
      <c r="AC401" s="970"/>
      <c r="AD401" s="970"/>
      <c r="AE401" s="970"/>
    </row>
    <row r="402" spans="1:31">
      <c r="A402" s="66"/>
      <c r="B402" s="970" t="str">
        <f>IF(Uebersetzung!$A$1=1,'SIA2001'!E108,'SIA2001'!F108)</f>
        <v>THERMO-PLUS / THERMO-PLUS COLOR</v>
      </c>
      <c r="D402" s="69"/>
      <c r="E402" s="69"/>
      <c r="F402" s="69"/>
      <c r="G402" s="971">
        <f>'SIA2001'!J108</f>
        <v>49</v>
      </c>
      <c r="H402" s="971">
        <f>'SIA2001'!K108</f>
        <v>3.1E-2</v>
      </c>
      <c r="I402" s="972">
        <f>'SIA2001'!O108</f>
        <v>1</v>
      </c>
      <c r="J402" s="27"/>
      <c r="K402" s="27"/>
      <c r="L402" s="27"/>
      <c r="M402" s="27"/>
      <c r="N402" s="27"/>
      <c r="P402" s="27"/>
      <c r="AA402" s="970"/>
      <c r="AB402" s="970"/>
      <c r="AC402" s="970"/>
      <c r="AD402" s="970"/>
      <c r="AE402" s="970"/>
    </row>
    <row r="403" spans="1:31">
      <c r="A403" s="66"/>
      <c r="B403" s="970" t="str">
        <f>IF(Uebersetzung!$A$1=1,'SIA2001'!E109,'SIA2001'!F109)</f>
        <v>ISOVER PBS 50</v>
      </c>
      <c r="D403" s="69"/>
      <c r="E403" s="69"/>
      <c r="F403" s="69"/>
      <c r="G403" s="971">
        <f>'SIA2001'!J109</f>
        <v>49</v>
      </c>
      <c r="H403" s="971">
        <f>'SIA2001'!K109</f>
        <v>3.1E-2</v>
      </c>
      <c r="I403" s="972">
        <f>'SIA2001'!O109</f>
        <v>1</v>
      </c>
      <c r="J403" s="27"/>
      <c r="K403" s="27"/>
      <c r="L403" s="27"/>
      <c r="M403" s="27"/>
      <c r="N403" s="27"/>
      <c r="P403" s="27"/>
      <c r="AA403" s="970"/>
      <c r="AB403" s="970"/>
      <c r="AC403" s="970"/>
      <c r="AD403" s="970"/>
      <c r="AE403" s="970"/>
    </row>
    <row r="404" spans="1:31">
      <c r="A404" s="66"/>
      <c r="B404" s="970" t="str">
        <f>IF(Uebersetzung!$A$1=1,'SIA2001'!E110,'SIA2001'!F110)</f>
        <v>ISOVER PB A 031</v>
      </c>
      <c r="D404" s="69"/>
      <c r="E404" s="69"/>
      <c r="F404" s="69"/>
      <c r="G404" s="971">
        <f>'SIA2001'!J110</f>
        <v>49</v>
      </c>
      <c r="H404" s="971">
        <f>'SIA2001'!K110</f>
        <v>3.1E-2</v>
      </c>
      <c r="I404" s="972">
        <f>'SIA2001'!O110</f>
        <v>1</v>
      </c>
      <c r="J404" s="27"/>
      <c r="K404" s="27"/>
      <c r="L404" s="27"/>
      <c r="M404" s="27"/>
      <c r="N404" s="27"/>
      <c r="P404" s="27"/>
      <c r="AA404" s="970"/>
      <c r="AB404" s="970"/>
      <c r="AC404" s="970"/>
      <c r="AD404" s="970"/>
      <c r="AE404" s="970"/>
    </row>
    <row r="405" spans="1:31">
      <c r="A405" s="66"/>
      <c r="B405" s="970" t="str">
        <f>IF(Uebersetzung!$A$1=1,'SIA2001'!E111,'SIA2001'!F111)</f>
        <v>ISOVER PB F 032</v>
      </c>
      <c r="D405" s="69"/>
      <c r="E405" s="69"/>
      <c r="F405" s="69"/>
      <c r="G405" s="971">
        <f>'SIA2001'!J111</f>
        <v>35</v>
      </c>
      <c r="H405" s="971">
        <f>'SIA2001'!K111</f>
        <v>3.2000000000000001E-2</v>
      </c>
      <c r="I405" s="972">
        <f>'SIA2001'!O111</f>
        <v>1</v>
      </c>
      <c r="J405" s="27"/>
      <c r="K405" s="27"/>
      <c r="L405" s="27"/>
      <c r="M405" s="27"/>
      <c r="N405" s="27"/>
      <c r="P405" s="27"/>
      <c r="AA405" s="970"/>
      <c r="AB405" s="69"/>
      <c r="AC405" s="69"/>
      <c r="AD405" s="69"/>
      <c r="AE405" s="69"/>
    </row>
    <row r="406" spans="1:31">
      <c r="A406" s="66"/>
      <c r="B406" s="970" t="str">
        <f>IF(Uebersetzung!$A$1=1,'SIA2001'!E112,'SIA2001'!F112)</f>
        <v>ISOVER FM</v>
      </c>
      <c r="D406" s="69"/>
      <c r="E406" s="69"/>
      <c r="F406" s="69"/>
      <c r="G406" s="971">
        <f>'SIA2001'!J112</f>
        <v>20</v>
      </c>
      <c r="H406" s="971">
        <f>'SIA2001'!K112</f>
        <v>3.5000000000000003E-2</v>
      </c>
      <c r="I406" s="972">
        <f>'SIA2001'!O112</f>
        <v>1</v>
      </c>
      <c r="J406" s="27"/>
      <c r="K406" s="27"/>
      <c r="L406" s="27"/>
      <c r="M406" s="27"/>
      <c r="N406" s="27"/>
      <c r="P406" s="27"/>
      <c r="AA406" s="970"/>
      <c r="AB406" s="69"/>
      <c r="AC406" s="69"/>
      <c r="AD406" s="69"/>
      <c r="AE406" s="69"/>
    </row>
    <row r="407" spans="1:31">
      <c r="A407" s="66"/>
      <c r="B407" s="970" t="str">
        <f>IF(Uebersetzung!$A$1=1,'SIA2001'!E113,'SIA2001'!F113)</f>
        <v>ISOVER PB M 035</v>
      </c>
      <c r="D407" s="69"/>
      <c r="E407" s="69"/>
      <c r="F407" s="69"/>
      <c r="G407" s="971">
        <f>'SIA2001'!J113</f>
        <v>20</v>
      </c>
      <c r="H407" s="971">
        <f>'SIA2001'!K113</f>
        <v>3.5000000000000003E-2</v>
      </c>
      <c r="I407" s="972">
        <f>'SIA2001'!O113</f>
        <v>1</v>
      </c>
      <c r="J407" s="27"/>
      <c r="K407" s="27"/>
      <c r="L407" s="27"/>
      <c r="M407" s="27"/>
      <c r="N407" s="27"/>
      <c r="P407" s="27"/>
      <c r="AA407" s="970"/>
      <c r="AB407" s="69"/>
      <c r="AC407" s="69"/>
      <c r="AD407" s="69"/>
      <c r="AE407" s="69"/>
    </row>
    <row r="408" spans="1:31">
      <c r="A408" s="66"/>
      <c r="B408" s="970" t="str">
        <f>IF(Uebersetzung!$A$1=1,'SIA2001'!E114,'SIA2001'!F114)</f>
        <v>ISOVER PB M KRAFT 035</v>
      </c>
      <c r="D408" s="69"/>
      <c r="E408" s="69"/>
      <c r="F408" s="69"/>
      <c r="G408" s="971">
        <f>'SIA2001'!J114</f>
        <v>20</v>
      </c>
      <c r="H408" s="971">
        <f>'SIA2001'!K114</f>
        <v>3.5000000000000003E-2</v>
      </c>
      <c r="I408" s="972">
        <f>'SIA2001'!O114</f>
        <v>1</v>
      </c>
      <c r="J408" s="27"/>
      <c r="K408" s="27"/>
      <c r="L408" s="27"/>
      <c r="M408" s="27"/>
      <c r="N408" s="27"/>
      <c r="P408" s="27"/>
      <c r="AA408" s="970"/>
      <c r="AB408" s="971"/>
      <c r="AC408" s="971"/>
      <c r="AD408" s="971"/>
      <c r="AE408" s="971"/>
    </row>
    <row r="409" spans="1:31">
      <c r="A409" s="66"/>
      <c r="B409" s="970" t="str">
        <f>IF(Uebersetzung!$A$1=1,'SIA2001'!E115,'SIA2001'!F115)</f>
        <v>ISOVER ISOVOX</v>
      </c>
      <c r="D409" s="69"/>
      <c r="E409" s="69"/>
      <c r="F409" s="69"/>
      <c r="G409" s="971">
        <f>'SIA2001'!J115</f>
        <v>20</v>
      </c>
      <c r="H409" s="971">
        <f>'SIA2001'!K115</f>
        <v>3.5000000000000003E-2</v>
      </c>
      <c r="I409" s="972">
        <f>'SIA2001'!O115</f>
        <v>1</v>
      </c>
      <c r="J409" s="27"/>
      <c r="K409" s="27"/>
      <c r="L409" s="27"/>
      <c r="M409" s="27"/>
      <c r="N409" s="27"/>
      <c r="P409" s="27"/>
      <c r="AA409" s="970"/>
      <c r="AB409" s="971"/>
      <c r="AC409" s="971"/>
      <c r="AD409" s="971"/>
      <c r="AE409" s="971"/>
    </row>
    <row r="410" spans="1:31">
      <c r="A410" s="66"/>
      <c r="B410" s="970" t="str">
        <f>IF(Uebersetzung!$A$1=1,'SIA2001'!E116,'SIA2001'!F116)</f>
        <v>RIS GREEN</v>
      </c>
      <c r="D410" s="69"/>
      <c r="E410" s="69"/>
      <c r="F410" s="69"/>
      <c r="G410" s="971">
        <f>'SIA2001'!J116</f>
        <v>20</v>
      </c>
      <c r="H410" s="971">
        <f>'SIA2001'!K116</f>
        <v>3.5000000000000003E-2</v>
      </c>
      <c r="I410" s="972">
        <f>'SIA2001'!O116</f>
        <v>1</v>
      </c>
      <c r="J410" s="27"/>
      <c r="K410" s="27"/>
      <c r="L410" s="27"/>
      <c r="M410" s="27"/>
      <c r="N410" s="27"/>
      <c r="P410" s="27"/>
      <c r="AA410" s="970"/>
      <c r="AB410" s="971"/>
      <c r="AC410" s="971"/>
      <c r="AD410" s="971"/>
      <c r="AE410" s="971"/>
    </row>
    <row r="411" spans="1:31">
      <c r="A411" s="66"/>
      <c r="B411" s="970" t="str">
        <f>IF(Uebersetzung!$A$1=1,'SIA2001'!E117,'SIA2001'!F117)</f>
        <v>ISOVER UNIROLL 035 / UNIROLL 035 PR</v>
      </c>
      <c r="D411" s="69"/>
      <c r="E411" s="69"/>
      <c r="F411" s="69"/>
      <c r="G411" s="971">
        <f>'SIA2001'!J117</f>
        <v>20</v>
      </c>
      <c r="H411" s="971">
        <f>'SIA2001'!K117</f>
        <v>3.5000000000000003E-2</v>
      </c>
      <c r="I411" s="972">
        <f>'SIA2001'!O117</f>
        <v>1</v>
      </c>
      <c r="J411" s="27"/>
      <c r="K411" s="27"/>
      <c r="L411" s="27"/>
      <c r="M411" s="27"/>
      <c r="N411" s="27"/>
      <c r="P411" s="27"/>
      <c r="AA411" s="970"/>
      <c r="AB411" s="971"/>
      <c r="AC411" s="971"/>
      <c r="AD411" s="971"/>
      <c r="AE411" s="971"/>
    </row>
    <row r="412" spans="1:31">
      <c r="A412" s="66"/>
      <c r="B412" s="970" t="str">
        <f>IF(Uebersetzung!$A$1=1,'SIA2001'!E118,'SIA2001'!F118)</f>
        <v>ISOVER ISOFIX 035</v>
      </c>
      <c r="D412" s="69"/>
      <c r="E412" s="69"/>
      <c r="F412" s="69"/>
      <c r="G412" s="971">
        <f>'SIA2001'!J118</f>
        <v>20</v>
      </c>
      <c r="H412" s="971">
        <f>'SIA2001'!K118</f>
        <v>3.5000000000000003E-2</v>
      </c>
      <c r="I412" s="972">
        <f>'SIA2001'!O118</f>
        <v>1</v>
      </c>
      <c r="J412" s="27"/>
      <c r="K412" s="27"/>
      <c r="L412" s="27"/>
      <c r="M412" s="27"/>
      <c r="N412" s="27"/>
      <c r="P412" s="27"/>
      <c r="AA412" s="970"/>
      <c r="AB412" s="971"/>
      <c r="AC412" s="971"/>
      <c r="AD412" s="971"/>
      <c r="AE412" s="971"/>
    </row>
    <row r="413" spans="1:31">
      <c r="A413" s="66"/>
      <c r="B413" s="970" t="str">
        <f>IF(Uebersetzung!$A$1=1,'SIA2001'!E119,'SIA2001'!F119)</f>
        <v>ISOVER PB M R 035</v>
      </c>
      <c r="D413" s="69"/>
      <c r="E413" s="69"/>
      <c r="F413" s="69"/>
      <c r="G413" s="971">
        <f>'SIA2001'!J119</f>
        <v>20</v>
      </c>
      <c r="H413" s="971">
        <f>'SIA2001'!K119</f>
        <v>3.5000000000000003E-2</v>
      </c>
      <c r="I413" s="972">
        <f>'SIA2001'!O119</f>
        <v>1</v>
      </c>
      <c r="J413" s="27"/>
      <c r="K413" s="27"/>
      <c r="L413" s="27"/>
      <c r="M413" s="27"/>
      <c r="N413" s="27"/>
      <c r="P413" s="27"/>
      <c r="AA413" s="970"/>
      <c r="AB413" s="970"/>
      <c r="AC413" s="970"/>
      <c r="AD413" s="970"/>
      <c r="AE413" s="970"/>
    </row>
    <row r="414" spans="1:31">
      <c r="A414" s="66"/>
      <c r="B414" s="970" t="str">
        <f>IF(Uebersetzung!$A$1=1,'SIA2001'!E120,'SIA2001'!F120)</f>
        <v>ISOVER DP-BASWA</v>
      </c>
      <c r="D414" s="69"/>
      <c r="E414" s="69"/>
      <c r="F414" s="69"/>
      <c r="G414" s="971">
        <f>'SIA2001'!J120</f>
        <v>80</v>
      </c>
      <c r="H414" s="971">
        <f>'SIA2001'!K120</f>
        <v>3.5000000000000003E-2</v>
      </c>
      <c r="I414" s="972">
        <f>'SIA2001'!O120</f>
        <v>1</v>
      </c>
      <c r="J414" s="27"/>
      <c r="K414" s="27"/>
      <c r="L414" s="27"/>
      <c r="M414" s="27"/>
      <c r="N414" s="27"/>
      <c r="P414" s="27"/>
      <c r="AA414" s="970"/>
      <c r="AB414" s="970"/>
      <c r="AC414" s="970"/>
      <c r="AD414" s="970"/>
      <c r="AE414" s="970"/>
    </row>
    <row r="415" spans="1:31">
      <c r="A415" s="66"/>
      <c r="B415" s="970" t="str">
        <f>IF(Uebersetzung!$A$1=1,'SIA2001'!E121,'SIA2001'!F121)</f>
        <v>ISOVER ISOCALOR</v>
      </c>
      <c r="D415" s="69"/>
      <c r="E415" s="69"/>
      <c r="F415" s="69"/>
      <c r="G415" s="971">
        <f>'SIA2001'!J121</f>
        <v>80</v>
      </c>
      <c r="H415" s="971">
        <f>'SIA2001'!K121</f>
        <v>3.5000000000000003E-2</v>
      </c>
      <c r="I415" s="972">
        <f>'SIA2001'!O121</f>
        <v>1</v>
      </c>
      <c r="J415" s="27"/>
      <c r="K415" s="27"/>
      <c r="L415" s="27"/>
      <c r="M415" s="27"/>
      <c r="N415" s="27"/>
      <c r="P415" s="27"/>
      <c r="AA415" s="970"/>
      <c r="AB415" s="970"/>
      <c r="AC415" s="970"/>
      <c r="AD415" s="970"/>
      <c r="AE415" s="970"/>
    </row>
    <row r="416" spans="1:31">
      <c r="A416" s="66"/>
      <c r="B416" s="970" t="str">
        <f>IF(Uebersetzung!$A$1=1,'SIA2001'!E122,'SIA2001'!F122)</f>
        <v>ISOVER PS C</v>
      </c>
      <c r="D416" s="69"/>
      <c r="E416" s="69"/>
      <c r="F416" s="69"/>
      <c r="G416" s="971">
        <f>'SIA2001'!J122</f>
        <v>85</v>
      </c>
      <c r="H416" s="971">
        <f>'SIA2001'!K122</f>
        <v>3.5000000000000003E-2</v>
      </c>
      <c r="I416" s="972">
        <f>'SIA2001'!O122</f>
        <v>1</v>
      </c>
      <c r="J416" s="27"/>
      <c r="K416" s="27"/>
      <c r="L416" s="27"/>
      <c r="M416" s="27"/>
      <c r="N416" s="27"/>
      <c r="P416" s="27"/>
      <c r="AA416" s="970"/>
      <c r="AB416" s="970"/>
      <c r="AC416" s="970"/>
      <c r="AD416" s="970"/>
      <c r="AE416" s="970"/>
    </row>
    <row r="417" spans="1:31">
      <c r="A417" s="66"/>
      <c r="B417" s="970" t="str">
        <f>IF(Uebersetzung!$A$1=1,'SIA2001'!E123,'SIA2001'!F123)</f>
        <v>ISOVER ISOTHERM 035</v>
      </c>
      <c r="D417" s="69"/>
      <c r="E417" s="69"/>
      <c r="F417" s="69"/>
      <c r="G417" s="971">
        <f>'SIA2001'!J123</f>
        <v>67</v>
      </c>
      <c r="H417" s="971">
        <f>'SIA2001'!K123</f>
        <v>3.5000000000000003E-2</v>
      </c>
      <c r="I417" s="972">
        <f>'SIA2001'!O123</f>
        <v>1</v>
      </c>
      <c r="J417" s="27"/>
      <c r="K417" s="27"/>
      <c r="L417" s="27"/>
      <c r="M417" s="27"/>
      <c r="N417" s="27"/>
      <c r="P417" s="27"/>
      <c r="AA417" s="970"/>
      <c r="AB417" s="970"/>
      <c r="AC417" s="970"/>
      <c r="AD417" s="970"/>
      <c r="AE417" s="970"/>
    </row>
    <row r="418" spans="1:31">
      <c r="A418" s="66"/>
      <c r="B418" s="970" t="str">
        <f>IF(Uebersetzung!$A$1=1,'SIA2001'!E124,'SIA2001'!F124)</f>
        <v>ISOVER LURO 814</v>
      </c>
      <c r="D418" s="69"/>
      <c r="E418" s="69"/>
      <c r="F418" s="69"/>
      <c r="G418" s="971">
        <f>'SIA2001'!J124</f>
        <v>80</v>
      </c>
      <c r="H418" s="971">
        <f>'SIA2001'!K124</f>
        <v>3.5000000000000003E-2</v>
      </c>
      <c r="I418" s="972">
        <f>'SIA2001'!O124</f>
        <v>1</v>
      </c>
      <c r="J418" s="27"/>
      <c r="K418" s="27"/>
      <c r="L418" s="27"/>
      <c r="M418" s="27"/>
      <c r="N418" s="27"/>
      <c r="P418" s="27"/>
      <c r="AA418" s="970"/>
      <c r="AB418" s="970"/>
      <c r="AC418" s="970"/>
      <c r="AD418" s="970"/>
      <c r="AE418" s="970"/>
    </row>
    <row r="419" spans="1:31">
      <c r="A419" s="66"/>
      <c r="B419" s="970" t="str">
        <f>IF(Uebersetzung!$A$1=1,'SIA2001'!E125,'SIA2001'!F125)</f>
        <v>ISOVER HDF 814</v>
      </c>
      <c r="D419" s="69"/>
      <c r="E419" s="69"/>
      <c r="F419" s="69"/>
      <c r="G419" s="971">
        <f>'SIA2001'!J125</f>
        <v>80</v>
      </c>
      <c r="H419" s="971">
        <f>'SIA2001'!K125</f>
        <v>3.5000000000000003E-2</v>
      </c>
      <c r="I419" s="972">
        <f>'SIA2001'!O125</f>
        <v>1</v>
      </c>
      <c r="J419" s="27"/>
      <c r="K419" s="27"/>
      <c r="L419" s="27"/>
      <c r="M419" s="27"/>
      <c r="N419" s="27"/>
      <c r="P419" s="27"/>
      <c r="AA419" s="970"/>
      <c r="AB419" s="971"/>
      <c r="AC419" s="971"/>
      <c r="AD419" s="971"/>
      <c r="AE419" s="971"/>
    </row>
    <row r="420" spans="1:31">
      <c r="A420" s="66"/>
      <c r="B420" s="970" t="str">
        <f>IF(Uebersetzung!$A$1=1,'SIA2001'!E126,'SIA2001'!F126)</f>
        <v>RIS GREEN CONFORT</v>
      </c>
      <c r="D420" s="69"/>
      <c r="E420" s="69"/>
      <c r="F420" s="69"/>
      <c r="G420" s="971">
        <f>'SIA2001'!J126</f>
        <v>15</v>
      </c>
      <c r="H420" s="971">
        <f>'SIA2001'!K126</f>
        <v>3.9E-2</v>
      </c>
      <c r="I420" s="972">
        <f>'SIA2001'!O126</f>
        <v>1</v>
      </c>
      <c r="J420" s="27"/>
      <c r="K420" s="27"/>
      <c r="L420" s="27"/>
      <c r="M420" s="27"/>
      <c r="N420" s="27"/>
      <c r="P420" s="27"/>
      <c r="AA420" s="970"/>
      <c r="AB420" s="971"/>
      <c r="AC420" s="971"/>
      <c r="AD420" s="971"/>
      <c r="AE420" s="971"/>
    </row>
    <row r="421" spans="1:31">
      <c r="A421" s="66"/>
      <c r="B421" s="970" t="str">
        <f>IF(Uebersetzung!$A$1=1,'SIA2001'!E127,'SIA2001'!F127)</f>
        <v>ISOVER ISOVOX R CONFORT</v>
      </c>
      <c r="D421" s="69"/>
      <c r="E421" s="69"/>
      <c r="F421" s="69"/>
      <c r="G421" s="971">
        <f>'SIA2001'!J127</f>
        <v>15</v>
      </c>
      <c r="H421" s="971">
        <f>'SIA2001'!K127</f>
        <v>3.9E-2</v>
      </c>
      <c r="I421" s="972">
        <f>'SIA2001'!O127</f>
        <v>1</v>
      </c>
      <c r="J421" s="27"/>
      <c r="K421" s="27"/>
      <c r="L421" s="27"/>
      <c r="M421" s="27"/>
      <c r="N421" s="27"/>
      <c r="P421" s="27"/>
      <c r="AA421" s="970"/>
      <c r="AB421" s="971"/>
      <c r="AC421" s="971"/>
      <c r="AD421" s="971"/>
      <c r="AE421" s="971"/>
    </row>
    <row r="422" spans="1:31">
      <c r="A422" s="66"/>
      <c r="B422" s="970" t="str">
        <f>IF(Uebersetzung!$A$1=1,'SIA2001'!E128,'SIA2001'!F128)</f>
        <v>ISOVER PS C</v>
      </c>
      <c r="D422" s="69"/>
      <c r="E422" s="69"/>
      <c r="F422" s="69"/>
      <c r="G422" s="971">
        <f>'SIA2001'!J128</f>
        <v>80</v>
      </c>
      <c r="H422" s="971">
        <f>'SIA2001'!K128</f>
        <v>3.3000000000000002E-2</v>
      </c>
      <c r="I422" s="972">
        <f>'SIA2001'!O128</f>
        <v>1</v>
      </c>
      <c r="J422" s="27"/>
      <c r="K422" s="27"/>
      <c r="L422" s="27"/>
      <c r="M422" s="27"/>
      <c r="N422" s="27"/>
      <c r="P422" s="27"/>
      <c r="AA422" s="970"/>
      <c r="AB422" s="971"/>
      <c r="AC422" s="971"/>
      <c r="AD422" s="971"/>
      <c r="AE422" s="971"/>
    </row>
    <row r="423" spans="1:31">
      <c r="A423" s="66"/>
      <c r="B423" s="970" t="str">
        <f>IF(Uebersetzung!$A$1=1,'SIA2001'!E129,'SIA2001'!F129)</f>
        <v>ISOVER ISORESIST 1000 034</v>
      </c>
      <c r="D423" s="69"/>
      <c r="E423" s="69"/>
      <c r="F423" s="69"/>
      <c r="G423" s="971">
        <f>'SIA2001'!J129</f>
        <v>26</v>
      </c>
      <c r="H423" s="971">
        <f>'SIA2001'!K129</f>
        <v>3.4000000000000002E-2</v>
      </c>
      <c r="I423" s="972">
        <f>'SIA2001'!O129</f>
        <v>1</v>
      </c>
      <c r="J423" s="27"/>
      <c r="K423" s="27"/>
      <c r="L423" s="27"/>
      <c r="M423" s="27"/>
      <c r="N423" s="27"/>
      <c r="P423" s="27"/>
      <c r="AA423" s="970"/>
      <c r="AB423" s="971"/>
      <c r="AC423" s="971"/>
      <c r="AD423" s="971"/>
      <c r="AE423" s="971"/>
    </row>
    <row r="424" spans="1:31">
      <c r="A424" s="66"/>
      <c r="B424" s="970" t="str">
        <f>IF(Uebersetzung!$A$1=1,'SIA2001'!E130,'SIA2001'!F130)</f>
        <v>ISOVER ISORESIST 1000 034 F</v>
      </c>
      <c r="D424" s="69"/>
      <c r="E424" s="69"/>
      <c r="F424" s="69"/>
      <c r="G424" s="971">
        <f>'SIA2001'!J130</f>
        <v>26</v>
      </c>
      <c r="H424" s="971">
        <f>'SIA2001'!K130</f>
        <v>3.4000000000000002E-2</v>
      </c>
      <c r="I424" s="972">
        <f>'SIA2001'!O130</f>
        <v>1</v>
      </c>
      <c r="J424" s="27"/>
      <c r="K424" s="27"/>
      <c r="L424" s="27"/>
      <c r="M424" s="27"/>
      <c r="N424" s="27"/>
      <c r="P424" s="27"/>
      <c r="AA424" s="970"/>
      <c r="AB424" s="971"/>
      <c r="AC424" s="971"/>
      <c r="AD424" s="971"/>
      <c r="AE424" s="971"/>
    </row>
    <row r="425" spans="1:31">
      <c r="A425" s="66"/>
      <c r="B425" s="970" t="str">
        <f>IF(Uebersetzung!$A$1=1,'SIA2001'!E131,'SIA2001'!F131)</f>
        <v>ISOVER ISORESIST 1000 036 / 1000 036 PR</v>
      </c>
      <c r="D425" s="69"/>
      <c r="E425" s="69"/>
      <c r="F425" s="69"/>
      <c r="G425" s="971">
        <f>'SIA2001'!J131</f>
        <v>20</v>
      </c>
      <c r="H425" s="971">
        <f>'SIA2001'!K131</f>
        <v>3.5999999999999997E-2</v>
      </c>
      <c r="I425" s="972">
        <f>'SIA2001'!O131</f>
        <v>1</v>
      </c>
      <c r="J425" s="27"/>
      <c r="K425" s="27"/>
      <c r="L425" s="27"/>
      <c r="M425" s="27"/>
      <c r="N425" s="27"/>
      <c r="P425" s="27"/>
      <c r="AA425" s="970"/>
      <c r="AB425" s="971"/>
      <c r="AC425" s="971"/>
      <c r="AD425" s="971"/>
      <c r="AE425" s="971"/>
    </row>
    <row r="426" spans="1:31">
      <c r="A426" s="66"/>
      <c r="B426" s="970" t="str">
        <f>IF(Uebersetzung!$A$1=1,'SIA2001'!E132,'SIA2001'!F132)</f>
        <v>ISOVER ISORESIST PIANO PLUS / PIANO PLUS P</v>
      </c>
      <c r="D426" s="69"/>
      <c r="E426" s="69"/>
      <c r="F426" s="69"/>
      <c r="G426" s="971">
        <f>'SIA2001'!J132</f>
        <v>20</v>
      </c>
      <c r="H426" s="971">
        <f>'SIA2001'!K132</f>
        <v>3.5999999999999997E-2</v>
      </c>
      <c r="I426" s="972">
        <f>'SIA2001'!O132</f>
        <v>1</v>
      </c>
      <c r="J426" s="27"/>
      <c r="K426" s="27"/>
      <c r="L426" s="27"/>
      <c r="M426" s="27"/>
      <c r="N426" s="27"/>
      <c r="P426" s="27"/>
      <c r="AA426" s="970"/>
      <c r="AB426" s="971"/>
      <c r="AC426" s="971"/>
      <c r="AD426" s="971"/>
      <c r="AE426" s="971"/>
    </row>
    <row r="427" spans="1:31">
      <c r="A427" s="66"/>
      <c r="B427" s="970" t="str">
        <f>IF(Uebersetzung!$A$1=1,'SIA2001'!E133,'SIA2001'!F133)</f>
        <v>ISOVER ISORESIST 1000 039</v>
      </c>
      <c r="D427" s="69"/>
      <c r="E427" s="69"/>
      <c r="F427" s="69"/>
      <c r="G427" s="971">
        <f>'SIA2001'!J133</f>
        <v>16</v>
      </c>
      <c r="H427" s="971">
        <f>'SIA2001'!K133</f>
        <v>3.9E-2</v>
      </c>
      <c r="I427" s="972">
        <f>'SIA2001'!O133</f>
        <v>1</v>
      </c>
      <c r="J427" s="27"/>
      <c r="K427" s="27"/>
      <c r="L427" s="27"/>
      <c r="M427" s="27"/>
      <c r="N427" s="27"/>
      <c r="P427" s="27"/>
      <c r="AA427" s="970"/>
      <c r="AB427" s="971"/>
      <c r="AC427" s="971"/>
      <c r="AD427" s="971"/>
      <c r="AE427" s="971"/>
    </row>
    <row r="428" spans="1:31">
      <c r="A428" s="66"/>
      <c r="B428" s="970" t="str">
        <f>IF(Uebersetzung!$A$1=1,'SIA2001'!E134,'SIA2001'!F134)</f>
        <v>ISOVER ISORESIST PIANO</v>
      </c>
      <c r="D428" s="69"/>
      <c r="E428" s="69"/>
      <c r="F428" s="69"/>
      <c r="G428" s="971">
        <f>'SIA2001'!J134</f>
        <v>16</v>
      </c>
      <c r="H428" s="971">
        <f>'SIA2001'!K134</f>
        <v>3.9E-2</v>
      </c>
      <c r="I428" s="972">
        <f>'SIA2001'!O134</f>
        <v>1</v>
      </c>
      <c r="J428" s="27"/>
      <c r="K428" s="27"/>
      <c r="L428" s="27"/>
      <c r="M428" s="27"/>
      <c r="N428" s="27"/>
      <c r="P428" s="27"/>
      <c r="AA428" s="970"/>
      <c r="AB428" s="971"/>
      <c r="AC428" s="971"/>
      <c r="AD428" s="971"/>
      <c r="AE428" s="971"/>
    </row>
    <row r="429" spans="1:31">
      <c r="A429" s="66"/>
      <c r="B429" s="970" t="str">
        <f>IF(Uebersetzung!$A$1=1,'SIA2001'!E135,'SIA2001'!F135)</f>
        <v>ISOVER PB M 032</v>
      </c>
      <c r="D429" s="69"/>
      <c r="E429" s="69"/>
      <c r="F429" s="69"/>
      <c r="G429" s="971">
        <f>'SIA2001'!J135</f>
        <v>29</v>
      </c>
      <c r="H429" s="971">
        <f>'SIA2001'!K135</f>
        <v>3.2000000000000001E-2</v>
      </c>
      <c r="I429" s="972">
        <f>'SIA2001'!O135</f>
        <v>1</v>
      </c>
      <c r="J429" s="27"/>
      <c r="K429" s="27"/>
      <c r="L429" s="27"/>
      <c r="M429" s="27"/>
      <c r="N429" s="27"/>
      <c r="P429" s="27"/>
      <c r="AA429" s="970"/>
      <c r="AB429" s="970"/>
      <c r="AC429" s="970"/>
      <c r="AD429" s="970"/>
      <c r="AE429" s="970"/>
    </row>
    <row r="430" spans="1:31">
      <c r="A430" s="66"/>
      <c r="B430" s="970" t="str">
        <f>IF(Uebersetzung!$A$1=1,'SIA2001'!E136,'SIA2001'!F136)</f>
        <v>ISOVER PB M KRAFT 032</v>
      </c>
      <c r="D430" s="69"/>
      <c r="E430" s="69"/>
      <c r="F430" s="69"/>
      <c r="G430" s="971">
        <f>'SIA2001'!J136</f>
        <v>29</v>
      </c>
      <c r="H430" s="971">
        <f>'SIA2001'!K136</f>
        <v>3.2000000000000001E-2</v>
      </c>
      <c r="I430" s="972">
        <f>'SIA2001'!O136</f>
        <v>1</v>
      </c>
      <c r="J430" s="27"/>
      <c r="K430" s="27"/>
      <c r="L430" s="27"/>
      <c r="M430" s="27"/>
      <c r="N430" s="27"/>
      <c r="P430" s="27"/>
      <c r="AA430" s="970"/>
      <c r="AB430" s="970"/>
      <c r="AC430" s="970"/>
      <c r="AD430" s="970"/>
      <c r="AE430" s="970"/>
    </row>
    <row r="431" spans="1:31">
      <c r="A431" s="66"/>
      <c r="B431" s="970" t="str">
        <f>IF(Uebersetzung!$A$1=1,'SIA2001'!E137,'SIA2001'!F137)</f>
        <v>ISOVER PANNEAUX CHEVRONS 032 PR</v>
      </c>
      <c r="D431" s="69"/>
      <c r="E431" s="69"/>
      <c r="F431" s="69"/>
      <c r="G431" s="971">
        <f>'SIA2001'!J137</f>
        <v>29</v>
      </c>
      <c r="H431" s="971">
        <f>'SIA2001'!K137</f>
        <v>3.2000000000000001E-2</v>
      </c>
      <c r="I431" s="972">
        <f>'SIA2001'!O137</f>
        <v>1</v>
      </c>
      <c r="J431" s="27"/>
      <c r="K431" s="27"/>
      <c r="L431" s="27"/>
      <c r="M431" s="27"/>
      <c r="N431" s="27"/>
      <c r="P431" s="27"/>
      <c r="AA431" s="970"/>
      <c r="AB431" s="970"/>
      <c r="AC431" s="970"/>
      <c r="AD431" s="970"/>
      <c r="AE431" s="970"/>
    </row>
    <row r="432" spans="1:31">
      <c r="A432" s="66"/>
      <c r="B432" s="970" t="str">
        <f>IF(Uebersetzung!$A$1=1,'SIA2001'!E138,'SIA2001'!F138)</f>
        <v>ISOVER CLADIROLL 032</v>
      </c>
      <c r="D432" s="69"/>
      <c r="E432" s="69"/>
      <c r="F432" s="69"/>
      <c r="G432" s="971">
        <f>'SIA2001'!J138</f>
        <v>29</v>
      </c>
      <c r="H432" s="971">
        <f>'SIA2001'!K138</f>
        <v>3.2000000000000001E-2</v>
      </c>
      <c r="I432" s="972">
        <f>'SIA2001'!O138</f>
        <v>1</v>
      </c>
      <c r="J432" s="27"/>
      <c r="K432" s="27"/>
      <c r="L432" s="27"/>
      <c r="M432" s="27"/>
      <c r="N432" s="27"/>
      <c r="P432" s="27"/>
      <c r="AA432" s="970"/>
      <c r="AB432" s="970"/>
      <c r="AC432" s="970"/>
      <c r="AD432" s="970"/>
      <c r="AE432" s="970"/>
    </row>
    <row r="433" spans="1:31">
      <c r="A433" s="66"/>
      <c r="B433" s="970" t="str">
        <f>IF(Uebersetzung!$A$1=1,'SIA2001'!E139,'SIA2001'!F139)</f>
        <v>ISOVER ISOCONFORT 032 / ISOCONFORT 032 PR</v>
      </c>
      <c r="D433" s="69"/>
      <c r="E433" s="69"/>
      <c r="F433" s="69"/>
      <c r="G433" s="971">
        <f>'SIA2001'!J139</f>
        <v>29</v>
      </c>
      <c r="H433" s="971">
        <f>'SIA2001'!K139</f>
        <v>3.2000000000000001E-2</v>
      </c>
      <c r="I433" s="972">
        <f>'SIA2001'!O139</f>
        <v>1</v>
      </c>
      <c r="J433" s="27"/>
      <c r="K433" s="27"/>
      <c r="L433" s="27"/>
      <c r="M433" s="27"/>
      <c r="N433" s="27"/>
      <c r="P433" s="27"/>
      <c r="AA433" s="970"/>
      <c r="AB433" s="970"/>
      <c r="AC433" s="970"/>
      <c r="AD433" s="970"/>
      <c r="AE433" s="970"/>
    </row>
    <row r="434" spans="1:31">
      <c r="A434" s="66"/>
      <c r="B434" s="970" t="str">
        <f>IF(Uebersetzung!$A$1=1,'SIA2001'!E140,'SIA2001'!F140)</f>
        <v>ISOVER CLADISOL 032</v>
      </c>
      <c r="D434" s="69"/>
      <c r="E434" s="69"/>
      <c r="F434" s="69"/>
      <c r="G434" s="971">
        <f>'SIA2001'!J140</f>
        <v>29</v>
      </c>
      <c r="H434" s="971">
        <f>'SIA2001'!K140</f>
        <v>3.2000000000000001E-2</v>
      </c>
      <c r="I434" s="972">
        <f>'SIA2001'!O140</f>
        <v>1</v>
      </c>
      <c r="J434" s="27"/>
      <c r="K434" s="27"/>
      <c r="L434" s="27"/>
      <c r="M434" s="27"/>
      <c r="N434" s="27"/>
      <c r="P434" s="27"/>
      <c r="AA434" s="970"/>
      <c r="AB434" s="970"/>
      <c r="AC434" s="970"/>
      <c r="AD434" s="970"/>
      <c r="AE434" s="970"/>
    </row>
    <row r="435" spans="1:31">
      <c r="A435" s="66"/>
      <c r="B435" s="970" t="str">
        <f>IF(Uebersetzung!$A$1=1,'SIA2001'!E141,'SIA2001'!F141)</f>
        <v>ISOVER PS 81</v>
      </c>
      <c r="D435" s="69"/>
      <c r="E435" s="69"/>
      <c r="F435" s="69"/>
      <c r="G435" s="971">
        <f>'SIA2001'!J141</f>
        <v>80</v>
      </c>
      <c r="H435" s="971">
        <f>'SIA2001'!K141</f>
        <v>3.2000000000000001E-2</v>
      </c>
      <c r="I435" s="972">
        <f>'SIA2001'!O141</f>
        <v>1</v>
      </c>
      <c r="J435" s="27"/>
      <c r="K435" s="27"/>
      <c r="L435" s="27"/>
      <c r="M435" s="27"/>
      <c r="N435" s="27"/>
      <c r="P435" s="27"/>
      <c r="AA435" s="970"/>
      <c r="AB435" s="971"/>
      <c r="AC435" s="971"/>
      <c r="AD435" s="971"/>
      <c r="AE435" s="971"/>
    </row>
    <row r="436" spans="1:31">
      <c r="A436" s="66"/>
      <c r="B436" s="970" t="str">
        <f>IF(Uebersetzung!$A$1=1,'SIA2001'!E142,'SIA2001'!F142)</f>
        <v>ISOVER PBS 80</v>
      </c>
      <c r="D436" s="69"/>
      <c r="E436" s="69"/>
      <c r="F436" s="69"/>
      <c r="G436" s="971">
        <f>'SIA2001'!J142</f>
        <v>80</v>
      </c>
      <c r="H436" s="971">
        <f>'SIA2001'!K142</f>
        <v>3.2000000000000001E-2</v>
      </c>
      <c r="I436" s="972">
        <f>'SIA2001'!O142</f>
        <v>1</v>
      </c>
      <c r="J436" s="27"/>
      <c r="K436" s="27"/>
      <c r="L436" s="27"/>
      <c r="M436" s="27"/>
      <c r="N436" s="27"/>
      <c r="P436" s="27"/>
      <c r="AA436" s="970"/>
      <c r="AB436" s="971"/>
      <c r="AC436" s="971"/>
      <c r="AD436" s="971"/>
      <c r="AE436" s="971"/>
    </row>
    <row r="437" spans="1:31">
      <c r="A437" s="66"/>
      <c r="B437" s="970" t="str">
        <f>IF(Uebersetzung!$A$1=1,'SIA2001'!E143,'SIA2001'!F143)</f>
        <v>ISOVER ISOPONTE 032</v>
      </c>
      <c r="D437" s="69"/>
      <c r="E437" s="69"/>
      <c r="F437" s="69"/>
      <c r="G437" s="971">
        <f>'SIA2001'!J143</f>
        <v>80</v>
      </c>
      <c r="H437" s="971">
        <f>'SIA2001'!K143</f>
        <v>3.2000000000000001E-2</v>
      </c>
      <c r="I437" s="972">
        <f>'SIA2001'!O143</f>
        <v>1</v>
      </c>
      <c r="J437" s="27"/>
      <c r="K437" s="27"/>
      <c r="L437" s="27"/>
      <c r="M437" s="27"/>
      <c r="N437" s="27"/>
      <c r="P437" s="27"/>
      <c r="AA437" s="970"/>
      <c r="AB437" s="971"/>
      <c r="AC437" s="971"/>
      <c r="AD437" s="971"/>
      <c r="AE437" s="971"/>
    </row>
    <row r="438" spans="1:31">
      <c r="A438" s="66"/>
      <c r="B438" s="970" t="str">
        <f>IF(Uebersetzung!$A$1=1,'SIA2001'!E144,'SIA2001'!F144)</f>
        <v>ISOVER ISOLENE P 032</v>
      </c>
      <c r="D438" s="69"/>
      <c r="E438" s="69"/>
      <c r="F438" s="69"/>
      <c r="G438" s="971">
        <f>'SIA2001'!J144</f>
        <v>60</v>
      </c>
      <c r="H438" s="971">
        <f>'SIA2001'!K144</f>
        <v>3.2000000000000001E-2</v>
      </c>
      <c r="I438" s="972">
        <f>'SIA2001'!O144</f>
        <v>1</v>
      </c>
      <c r="J438" s="27"/>
      <c r="K438" s="27"/>
      <c r="L438" s="27"/>
      <c r="M438" s="27"/>
      <c r="N438" s="27"/>
      <c r="P438" s="27"/>
      <c r="AA438" s="970"/>
      <c r="AB438" s="971"/>
      <c r="AC438" s="971"/>
      <c r="AD438" s="971"/>
      <c r="AE438" s="971"/>
    </row>
    <row r="439" spans="1:31">
      <c r="A439" s="66"/>
      <c r="B439" s="970" t="str">
        <f>IF(Uebersetzung!$A$1=1,'SIA2001'!E145,'SIA2001'!F145)</f>
        <v>ISOVER PHOENIX 032</v>
      </c>
      <c r="D439" s="69"/>
      <c r="E439" s="69"/>
      <c r="F439" s="69"/>
      <c r="G439" s="971">
        <f>'SIA2001'!J145</f>
        <v>29</v>
      </c>
      <c r="H439" s="971">
        <f>'SIA2001'!K145</f>
        <v>3.2000000000000001E-2</v>
      </c>
      <c r="I439" s="972">
        <f>'SIA2001'!O145</f>
        <v>1</v>
      </c>
      <c r="J439" s="27"/>
      <c r="K439" s="27"/>
      <c r="L439" s="27"/>
      <c r="M439" s="27"/>
      <c r="N439" s="27"/>
      <c r="P439" s="27"/>
      <c r="AA439" s="970"/>
      <c r="AB439" s="971"/>
      <c r="AC439" s="971"/>
      <c r="AD439" s="971"/>
      <c r="AE439" s="971"/>
    </row>
    <row r="440" spans="1:31">
      <c r="A440" s="66"/>
      <c r="B440" s="970" t="str">
        <f>IF(Uebersetzung!$A$1=1,'SIA2001'!E146,'SIA2001'!F146)</f>
        <v>ISOVER PB F ECO 032</v>
      </c>
      <c r="D440" s="69"/>
      <c r="E440" s="69"/>
      <c r="F440" s="69"/>
      <c r="G440" s="971">
        <f>'SIA2001'!J146</f>
        <v>29</v>
      </c>
      <c r="H440" s="971">
        <f>'SIA2001'!K146</f>
        <v>3.2000000000000001E-2</v>
      </c>
      <c r="I440" s="972">
        <f>'SIA2001'!O146</f>
        <v>1</v>
      </c>
      <c r="J440" s="27"/>
      <c r="K440" s="27"/>
      <c r="L440" s="27"/>
      <c r="M440" s="27"/>
      <c r="N440" s="27"/>
      <c r="P440" s="27"/>
      <c r="AA440" s="970"/>
      <c r="AB440" s="971"/>
      <c r="AC440" s="971"/>
      <c r="AD440" s="971"/>
      <c r="AE440" s="971"/>
    </row>
    <row r="441" spans="1:31">
      <c r="A441" s="66"/>
      <c r="B441" s="970" t="str">
        <f>IF(Uebersetzung!$A$1=1,'SIA2001'!E147,'SIA2001'!F147)</f>
        <v>ISOVER PB F EXTRA 032</v>
      </c>
      <c r="D441" s="69"/>
      <c r="E441" s="69"/>
      <c r="F441" s="69"/>
      <c r="G441" s="971">
        <f>'SIA2001'!J147</f>
        <v>29</v>
      </c>
      <c r="H441" s="971">
        <f>'SIA2001'!K147</f>
        <v>3.2000000000000001E-2</v>
      </c>
      <c r="I441" s="972">
        <f>'SIA2001'!O147</f>
        <v>1</v>
      </c>
      <c r="J441" s="27"/>
      <c r="K441" s="27"/>
      <c r="L441" s="27"/>
      <c r="M441" s="27"/>
      <c r="N441" s="27"/>
      <c r="P441" s="27"/>
      <c r="AA441" s="970"/>
      <c r="AB441" s="971"/>
      <c r="AC441" s="971"/>
      <c r="AD441" s="971"/>
      <c r="AE441" s="971"/>
    </row>
    <row r="442" spans="1:31">
      <c r="A442" s="66"/>
      <c r="B442" s="970" t="str">
        <f>IF(Uebersetzung!$A$1=1,'SIA2001'!E148,'SIA2001'!F148)</f>
        <v>ISOVER PB F 030 / PB F MARMOR 030</v>
      </c>
      <c r="D442" s="69"/>
      <c r="E442" s="69"/>
      <c r="F442" s="69"/>
      <c r="G442" s="971">
        <f>'SIA2001'!J148</f>
        <v>38</v>
      </c>
      <c r="H442" s="971">
        <f>'SIA2001'!K148</f>
        <v>0.03</v>
      </c>
      <c r="I442" s="972">
        <f>'SIA2001'!O148</f>
        <v>1</v>
      </c>
      <c r="J442" s="27"/>
      <c r="K442" s="27"/>
      <c r="L442" s="27"/>
      <c r="M442" s="27"/>
      <c r="N442" s="27"/>
      <c r="P442" s="27"/>
      <c r="AA442" s="970"/>
      <c r="AB442" s="971"/>
      <c r="AC442" s="971"/>
      <c r="AD442" s="971"/>
      <c r="AE442" s="971"/>
    </row>
    <row r="443" spans="1:31">
      <c r="A443" s="66"/>
      <c r="B443" s="970" t="str">
        <f>IF(Uebersetzung!$A$1=1,'SIA2001'!E149,'SIA2001'!F149)</f>
        <v>ISOVER ISOCOMPACT 035</v>
      </c>
      <c r="D443" s="69"/>
      <c r="E443" s="69"/>
      <c r="F443" s="69"/>
      <c r="G443" s="971">
        <f>'SIA2001'!J149</f>
        <v>80</v>
      </c>
      <c r="H443" s="971">
        <f>'SIA2001'!K149</f>
        <v>3.5000000000000003E-2</v>
      </c>
      <c r="I443" s="972">
        <f>'SIA2001'!O149</f>
        <v>1</v>
      </c>
      <c r="J443" s="27"/>
      <c r="K443" s="27"/>
      <c r="L443" s="27"/>
      <c r="M443" s="27"/>
      <c r="N443" s="27"/>
      <c r="P443" s="27"/>
      <c r="AA443" s="970"/>
      <c r="AB443" s="971"/>
      <c r="AC443" s="971"/>
      <c r="AD443" s="971"/>
      <c r="AE443" s="971"/>
    </row>
    <row r="444" spans="1:31">
      <c r="A444" s="66"/>
      <c r="B444" s="970" t="str">
        <f>IF(Uebersetzung!$A$1=1,'SIA2001'!E150,'SIA2001'!F150)</f>
        <v>ULTIMATE U HFU-040</v>
      </c>
      <c r="D444" s="69"/>
      <c r="E444" s="69"/>
      <c r="F444" s="69"/>
      <c r="G444" s="971">
        <f>'SIA2001'!J150</f>
        <v>14</v>
      </c>
      <c r="H444" s="971">
        <f>'SIA2001'!K150</f>
        <v>3.9E-2</v>
      </c>
      <c r="I444" s="972">
        <f>'SIA2001'!O150</f>
        <v>1</v>
      </c>
      <c r="J444" s="27"/>
      <c r="K444" s="27"/>
      <c r="L444" s="27"/>
      <c r="M444" s="27"/>
      <c r="N444" s="27"/>
      <c r="P444" s="27"/>
      <c r="AA444" s="970"/>
      <c r="AB444" s="971"/>
      <c r="AC444" s="971"/>
      <c r="AD444" s="971"/>
      <c r="AE444" s="971"/>
    </row>
    <row r="445" spans="1:31">
      <c r="A445" s="66"/>
      <c r="B445" s="970" t="str">
        <f>IF(Uebersetzung!$A$1=1,'SIA2001'!E151,'SIA2001'!F151)</f>
        <v>ULTIMATE U Holzbaufilz-040</v>
      </c>
      <c r="D445" s="69"/>
      <c r="E445" s="69"/>
      <c r="F445" s="69"/>
      <c r="G445" s="971">
        <f>'SIA2001'!J151</f>
        <v>16</v>
      </c>
      <c r="H445" s="971">
        <f>'SIA2001'!K151</f>
        <v>3.9E-2</v>
      </c>
      <c r="I445" s="972">
        <f>'SIA2001'!O151</f>
        <v>1</v>
      </c>
      <c r="J445" s="27"/>
      <c r="K445" s="27"/>
      <c r="L445" s="27"/>
      <c r="M445" s="27"/>
      <c r="N445" s="27"/>
      <c r="P445" s="27"/>
      <c r="AA445" s="970"/>
      <c r="AB445" s="971"/>
      <c r="AC445" s="971"/>
      <c r="AD445" s="971"/>
      <c r="AE445" s="971"/>
    </row>
    <row r="446" spans="1:31">
      <c r="A446" s="66"/>
      <c r="B446" s="970" t="str">
        <f>IF(Uebersetzung!$A$1=1,'SIA2001'!E152,'SIA2001'!F152)</f>
        <v>ULTIMATE U Holzbaufilz-035</v>
      </c>
      <c r="D446" s="69"/>
      <c r="E446" s="69"/>
      <c r="F446" s="69"/>
      <c r="G446" s="971">
        <f>'SIA2001'!J152</f>
        <v>24</v>
      </c>
      <c r="H446" s="971">
        <f>'SIA2001'!K152</f>
        <v>3.4000000000000002E-2</v>
      </c>
      <c r="I446" s="972">
        <f>'SIA2001'!O152</f>
        <v>1</v>
      </c>
      <c r="J446" s="27"/>
      <c r="K446" s="27"/>
      <c r="L446" s="27"/>
      <c r="M446" s="27"/>
      <c r="N446" s="27"/>
      <c r="P446" s="27"/>
      <c r="AA446" s="970"/>
      <c r="AB446" s="971"/>
      <c r="AC446" s="971"/>
      <c r="AD446" s="971"/>
      <c r="AE446" s="971"/>
    </row>
    <row r="447" spans="1:31">
      <c r="A447" s="66"/>
      <c r="B447" s="970" t="str">
        <f>IF(Uebersetzung!$A$1=1,'SIA2001'!E153,'SIA2001'!F153)</f>
        <v>Kontur FSP 1-032</v>
      </c>
      <c r="D447" s="69"/>
      <c r="E447" s="69"/>
      <c r="F447" s="69"/>
      <c r="G447" s="971">
        <f>'SIA2001'!J153</f>
        <v>30</v>
      </c>
      <c r="H447" s="971">
        <f>'SIA2001'!K153</f>
        <v>3.2000000000000001E-2</v>
      </c>
      <c r="I447" s="972">
        <f>'SIA2001'!O153</f>
        <v>1</v>
      </c>
      <c r="J447" s="27"/>
      <c r="K447" s="27"/>
      <c r="L447" s="27"/>
      <c r="M447" s="27"/>
      <c r="N447" s="27"/>
      <c r="P447" s="27"/>
      <c r="AA447" s="140"/>
      <c r="AB447" s="970"/>
      <c r="AC447" s="970"/>
      <c r="AD447" s="970"/>
      <c r="AE447" s="970"/>
    </row>
    <row r="448" spans="1:31">
      <c r="A448" s="66"/>
      <c r="B448" s="970" t="str">
        <f>IF(Uebersetzung!$A$1=1,'SIA2001'!E154,'SIA2001'!F154)</f>
        <v>Metac WF-032</v>
      </c>
      <c r="D448" s="69"/>
      <c r="E448" s="69"/>
      <c r="F448" s="69"/>
      <c r="G448" s="971">
        <f>'SIA2001'!J154</f>
        <v>30</v>
      </c>
      <c r="H448" s="971">
        <f>'SIA2001'!K154</f>
        <v>3.2000000000000001E-2</v>
      </c>
      <c r="I448" s="972">
        <f>'SIA2001'!O154</f>
        <v>1</v>
      </c>
      <c r="J448" s="27"/>
      <c r="K448" s="27"/>
      <c r="L448" s="27"/>
      <c r="M448" s="27"/>
      <c r="N448" s="27"/>
      <c r="P448" s="27"/>
      <c r="AA448" s="140"/>
      <c r="AB448" s="970"/>
      <c r="AC448" s="970"/>
      <c r="AD448" s="970"/>
      <c r="AE448" s="69"/>
    </row>
    <row r="449" spans="1:31">
      <c r="A449" s="66"/>
      <c r="B449" s="970" t="str">
        <f>IF(Uebersetzung!$A$1=1,'SIA2001'!E155,'SIA2001'!F155)</f>
        <v>Metac UF-032</v>
      </c>
      <c r="D449" s="69"/>
      <c r="E449" s="69"/>
      <c r="F449" s="69"/>
      <c r="G449" s="971">
        <f>'SIA2001'!J155</f>
        <v>30</v>
      </c>
      <c r="H449" s="971">
        <f>'SIA2001'!K155</f>
        <v>3.2000000000000001E-2</v>
      </c>
      <c r="I449" s="972">
        <f>'SIA2001'!O155</f>
        <v>1</v>
      </c>
      <c r="J449" s="27"/>
      <c r="K449" s="27"/>
      <c r="L449" s="27"/>
      <c r="M449" s="27"/>
      <c r="N449" s="27"/>
      <c r="P449" s="27"/>
      <c r="AA449" s="970"/>
      <c r="AB449" s="970"/>
      <c r="AC449" s="970"/>
      <c r="AD449" s="970"/>
      <c r="AE449" s="69"/>
    </row>
    <row r="450" spans="1:31">
      <c r="A450" s="66"/>
      <c r="B450" s="970" t="str">
        <f>IF(Uebersetzung!$A$1=1,'SIA2001'!E156,'SIA2001'!F156)</f>
        <v>Metac UF-035</v>
      </c>
      <c r="D450" s="69"/>
      <c r="E450" s="69"/>
      <c r="F450" s="69"/>
      <c r="G450" s="971">
        <f>'SIA2001'!J156</f>
        <v>20</v>
      </c>
      <c r="H450" s="971">
        <f>'SIA2001'!K156</f>
        <v>3.5000000000000003E-2</v>
      </c>
      <c r="I450" s="972">
        <f>'SIA2001'!O156</f>
        <v>1</v>
      </c>
      <c r="J450" s="27"/>
      <c r="K450" s="27"/>
      <c r="L450" s="27"/>
      <c r="M450" s="27"/>
      <c r="N450" s="27"/>
      <c r="P450" s="27"/>
      <c r="AA450" s="970"/>
      <c r="AB450" s="970"/>
      <c r="AC450" s="970"/>
      <c r="AD450" s="970"/>
      <c r="AE450" s="69"/>
    </row>
    <row r="451" spans="1:31">
      <c r="A451" s="66"/>
      <c r="B451" s="970" t="str">
        <f>IF(Uebersetzung!$A$1=1,'SIA2001'!E157,'SIA2001'!F157)</f>
        <v>Metac UF-040</v>
      </c>
      <c r="D451" s="69"/>
      <c r="E451" s="69"/>
      <c r="F451" s="69"/>
      <c r="G451" s="971">
        <f>'SIA2001'!J157</f>
        <v>14</v>
      </c>
      <c r="H451" s="971">
        <f>'SIA2001'!K157</f>
        <v>3.9E-2</v>
      </c>
      <c r="I451" s="972">
        <f>'SIA2001'!O157</f>
        <v>1</v>
      </c>
      <c r="J451" s="27"/>
      <c r="K451" s="27"/>
      <c r="L451" s="27"/>
      <c r="M451" s="27"/>
      <c r="N451" s="27"/>
      <c r="P451" s="27"/>
      <c r="AA451" s="970"/>
      <c r="AB451" s="970"/>
      <c r="AC451" s="970"/>
      <c r="AD451" s="970"/>
      <c r="AE451" s="69"/>
    </row>
    <row r="452" spans="1:31">
      <c r="A452" s="66"/>
      <c r="B452" s="970" t="str">
        <f>IF(Uebersetzung!$A$1=1,'SIA2001'!E158,'SIA2001'!F158)</f>
        <v>Integra ZKF 1-035</v>
      </c>
      <c r="D452" s="69"/>
      <c r="E452" s="69"/>
      <c r="F452" s="69"/>
      <c r="G452" s="971">
        <f>'SIA2001'!J158</f>
        <v>20</v>
      </c>
      <c r="H452" s="971">
        <f>'SIA2001'!K158</f>
        <v>3.5000000000000003E-2</v>
      </c>
      <c r="I452" s="972">
        <f>'SIA2001'!O158</f>
        <v>1</v>
      </c>
      <c r="J452" s="27"/>
      <c r="K452" s="27"/>
      <c r="L452" s="27"/>
      <c r="M452" s="27"/>
      <c r="N452" s="27"/>
      <c r="P452" s="27"/>
      <c r="AA452" s="970"/>
      <c r="AB452" s="970"/>
      <c r="AC452" s="970"/>
      <c r="AD452" s="970"/>
      <c r="AE452" s="69"/>
    </row>
    <row r="453" spans="1:31">
      <c r="A453" s="66"/>
      <c r="B453" s="970" t="str">
        <f>IF(Uebersetzung!$A$1=1,'SIA2001'!E159,'SIA2001'!F159)</f>
        <v>Integra ZKF 1-040</v>
      </c>
      <c r="D453" s="69"/>
      <c r="E453" s="69"/>
      <c r="F453" s="69"/>
      <c r="G453" s="971">
        <f>'SIA2001'!J159</f>
        <v>14</v>
      </c>
      <c r="H453" s="971">
        <f>'SIA2001'!K159</f>
        <v>3.9E-2</v>
      </c>
      <c r="I453" s="972">
        <f>'SIA2001'!O159</f>
        <v>1</v>
      </c>
      <c r="J453" s="27"/>
      <c r="K453" s="27"/>
      <c r="L453" s="27"/>
      <c r="M453" s="27"/>
      <c r="N453" s="27"/>
      <c r="P453" s="27"/>
      <c r="AA453" s="970"/>
      <c r="AB453" s="970"/>
      <c r="AC453" s="970"/>
      <c r="AD453" s="970"/>
      <c r="AE453" s="69"/>
    </row>
    <row r="454" spans="1:31">
      <c r="A454" s="66"/>
      <c r="B454" s="970" t="str">
        <f>IF(Uebersetzung!$A$1=1,'SIA2001'!E160,'SIA2001'!F160)</f>
        <v>Akustic EP 1</v>
      </c>
      <c r="D454" s="69"/>
      <c r="E454" s="69"/>
      <c r="F454" s="69"/>
      <c r="G454" s="971">
        <v>70</v>
      </c>
      <c r="H454" s="971">
        <f>'SIA2001'!K160</f>
        <v>3.2000000000000001E-2</v>
      </c>
      <c r="I454" s="972">
        <f>'SIA2001'!O160</f>
        <v>1</v>
      </c>
      <c r="J454" s="27"/>
      <c r="K454" s="27"/>
      <c r="L454" s="27"/>
      <c r="M454" s="27"/>
      <c r="N454" s="27"/>
      <c r="P454" s="27"/>
      <c r="AA454" s="970"/>
      <c r="AB454" s="970"/>
      <c r="AC454" s="970"/>
      <c r="AD454" s="970"/>
      <c r="AE454" s="69"/>
    </row>
    <row r="455" spans="1:31">
      <c r="A455" s="66"/>
      <c r="B455" s="970" t="str">
        <f>IF(Uebersetzung!$A$1=1,'SIA2001'!E161,'SIA2001'!F161)</f>
        <v>TWP 1, TWP 1 HOME, Pure 40 PN Trennwandplatte</v>
      </c>
      <c r="D455" s="69"/>
      <c r="E455" s="69"/>
      <c r="F455" s="69"/>
      <c r="G455" s="971">
        <v>16</v>
      </c>
      <c r="H455" s="971">
        <f>'SIA2001'!K161</f>
        <v>3.7999999999999999E-2</v>
      </c>
      <c r="I455" s="972">
        <f>'SIA2001'!O161</f>
        <v>1</v>
      </c>
      <c r="J455" s="27"/>
      <c r="K455" s="27"/>
      <c r="L455" s="27"/>
      <c r="M455" s="27"/>
      <c r="N455" s="27"/>
      <c r="P455" s="27"/>
      <c r="AA455" s="970"/>
      <c r="AB455" s="970"/>
      <c r="AC455" s="970"/>
      <c r="AD455" s="970"/>
      <c r="AE455" s="69"/>
    </row>
    <row r="456" spans="1:31">
      <c r="A456" s="66"/>
      <c r="B456" s="970" t="s">
        <v>5612</v>
      </c>
      <c r="D456" s="69"/>
      <c r="E456" s="69"/>
      <c r="F456" s="69"/>
      <c r="G456" s="971">
        <v>40</v>
      </c>
      <c r="H456" s="971">
        <f>'SIA2001'!K162</f>
        <v>3.1E-2</v>
      </c>
      <c r="I456" s="972">
        <f>'SIA2001'!O162</f>
        <v>1</v>
      </c>
      <c r="J456" s="27"/>
      <c r="K456" s="27"/>
      <c r="L456" s="27"/>
      <c r="M456" s="27"/>
      <c r="N456" s="27"/>
      <c r="P456" s="27"/>
      <c r="AA456" s="970"/>
      <c r="AB456" s="970"/>
      <c r="AC456" s="970"/>
      <c r="AD456" s="970"/>
      <c r="AE456" s="69"/>
    </row>
    <row r="457" spans="1:31">
      <c r="A457" s="66"/>
      <c r="B457" s="970" t="s">
        <v>5607</v>
      </c>
      <c r="D457" s="69"/>
      <c r="E457" s="69"/>
      <c r="F457" s="69"/>
      <c r="G457" s="971">
        <v>40</v>
      </c>
      <c r="H457" s="971">
        <f>'SIA2001'!K163</f>
        <v>3.1E-2</v>
      </c>
      <c r="I457" s="972">
        <f>'SIA2001'!O163</f>
        <v>1</v>
      </c>
      <c r="J457" s="27"/>
      <c r="K457" s="27"/>
      <c r="L457" s="27"/>
      <c r="M457" s="27"/>
      <c r="N457" s="27"/>
      <c r="P457" s="27"/>
      <c r="AA457" s="970"/>
      <c r="AB457" s="970"/>
      <c r="AC457" s="970"/>
      <c r="AD457" s="970"/>
      <c r="AE457" s="69"/>
    </row>
    <row r="458" spans="1:31">
      <c r="A458" s="66"/>
      <c r="B458" s="970" t="s">
        <v>5608</v>
      </c>
      <c r="D458" s="69"/>
      <c r="E458" s="69"/>
      <c r="F458" s="69"/>
      <c r="G458" s="971">
        <v>40</v>
      </c>
      <c r="H458" s="971">
        <f>'SIA2001'!K164</f>
        <v>3.1E-2</v>
      </c>
      <c r="I458" s="972">
        <f>'SIA2001'!O164</f>
        <v>1</v>
      </c>
      <c r="J458" s="27"/>
      <c r="K458" s="27"/>
      <c r="L458" s="27"/>
      <c r="M458" s="27"/>
      <c r="N458" s="27"/>
      <c r="P458" s="27"/>
      <c r="AA458" s="970"/>
      <c r="AB458" s="970"/>
      <c r="AC458" s="970"/>
      <c r="AD458" s="970"/>
      <c r="AE458" s="69"/>
    </row>
    <row r="459" spans="1:31">
      <c r="A459" s="66"/>
      <c r="B459" s="970" t="str">
        <f>IF(Uebersetzung!$A$1=1,'SIA2001'!E165,'SIA2001'!F165)</f>
        <v>URSA TFP, TSP, TEP</v>
      </c>
      <c r="D459" s="69"/>
      <c r="E459" s="69"/>
      <c r="F459" s="69"/>
      <c r="G459" s="971">
        <v>90</v>
      </c>
      <c r="H459" s="971">
        <f>'SIA2001'!K165</f>
        <v>3.3000000000000002E-2</v>
      </c>
      <c r="I459" s="972">
        <f>'SIA2001'!O165</f>
        <v>1</v>
      </c>
      <c r="J459" s="27"/>
      <c r="K459" s="27"/>
      <c r="L459" s="27"/>
      <c r="M459" s="27"/>
      <c r="N459" s="27"/>
      <c r="P459" s="27"/>
      <c r="AA459" s="970"/>
      <c r="AB459" s="970"/>
      <c r="AC459" s="970"/>
      <c r="AD459" s="970"/>
      <c r="AE459" s="69"/>
    </row>
    <row r="460" spans="1:31">
      <c r="A460" s="66"/>
      <c r="B460" s="970" t="s">
        <v>5619</v>
      </c>
      <c r="D460" s="69"/>
      <c r="E460" s="69"/>
      <c r="F460" s="69"/>
      <c r="G460" s="971">
        <v>25</v>
      </c>
      <c r="H460" s="971">
        <f>'SIA2001'!K166</f>
        <v>3.4000000000000002E-2</v>
      </c>
      <c r="I460" s="972">
        <f>'SIA2001'!O166</f>
        <v>1</v>
      </c>
      <c r="J460" s="27"/>
      <c r="K460" s="27"/>
      <c r="L460" s="27"/>
      <c r="M460" s="27"/>
      <c r="N460" s="27"/>
      <c r="P460" s="27"/>
      <c r="AA460" s="970"/>
      <c r="AB460" s="970"/>
      <c r="AC460" s="970"/>
      <c r="AD460" s="970"/>
      <c r="AE460" s="69"/>
    </row>
    <row r="461" spans="1:31">
      <c r="A461" s="66"/>
      <c r="B461" s="970" t="s">
        <v>5618</v>
      </c>
      <c r="D461" s="69"/>
      <c r="E461" s="69"/>
      <c r="F461" s="69"/>
      <c r="G461" s="971">
        <v>16</v>
      </c>
      <c r="H461" s="971">
        <f>'SIA2001'!K167</f>
        <v>3.9E-2</v>
      </c>
      <c r="I461" s="972">
        <f>'SIA2001'!O167</f>
        <v>1</v>
      </c>
      <c r="J461" s="27"/>
      <c r="K461" s="27"/>
      <c r="L461" s="27"/>
      <c r="M461" s="27"/>
      <c r="N461" s="27"/>
      <c r="P461" s="27"/>
      <c r="AA461" s="970"/>
      <c r="AB461" s="970"/>
      <c r="AC461" s="970"/>
      <c r="AD461" s="970"/>
      <c r="AE461" s="69"/>
    </row>
    <row r="462" spans="1:31">
      <c r="A462" s="66"/>
      <c r="B462" s="970" t="s">
        <v>5609</v>
      </c>
      <c r="D462" s="69"/>
      <c r="E462" s="69"/>
      <c r="F462" s="69"/>
      <c r="G462" s="971">
        <v>34</v>
      </c>
      <c r="H462" s="971">
        <f>'SIA2001'!K168</f>
        <v>3.1E-2</v>
      </c>
      <c r="I462" s="972">
        <f>'SIA2001'!O168</f>
        <v>1</v>
      </c>
      <c r="J462" s="27"/>
      <c r="K462" s="27"/>
      <c r="L462" s="27"/>
      <c r="M462" s="27"/>
      <c r="N462" s="27"/>
      <c r="P462" s="27"/>
      <c r="AA462" s="970"/>
      <c r="AB462" s="970"/>
      <c r="AC462" s="970"/>
      <c r="AD462" s="970"/>
      <c r="AE462" s="69"/>
    </row>
    <row r="463" spans="1:31">
      <c r="A463" s="66"/>
      <c r="B463" s="970" t="s">
        <v>5610</v>
      </c>
      <c r="D463" s="69"/>
      <c r="E463" s="69"/>
      <c r="F463" s="69"/>
      <c r="G463" s="971">
        <v>24</v>
      </c>
      <c r="H463" s="971">
        <f>'SIA2001'!K169</f>
        <v>3.4000000000000002E-2</v>
      </c>
      <c r="I463" s="972">
        <f>'SIA2001'!O169</f>
        <v>1</v>
      </c>
      <c r="J463" s="27"/>
      <c r="K463" s="27"/>
      <c r="L463" s="27"/>
      <c r="M463" s="27"/>
      <c r="N463" s="27"/>
      <c r="P463" s="27"/>
      <c r="AA463" s="970"/>
      <c r="AB463" s="970"/>
      <c r="AC463" s="970"/>
      <c r="AD463" s="970"/>
      <c r="AE463" s="69"/>
    </row>
    <row r="464" spans="1:31">
      <c r="A464" s="66"/>
      <c r="B464" s="970" t="s">
        <v>5611</v>
      </c>
      <c r="D464" s="69"/>
      <c r="E464" s="69"/>
      <c r="F464" s="69"/>
      <c r="G464" s="971">
        <v>16</v>
      </c>
      <c r="H464" s="971">
        <f>'SIA2001'!K170</f>
        <v>3.9E-2</v>
      </c>
      <c r="I464" s="972">
        <f>'SIA2001'!O170</f>
        <v>1</v>
      </c>
      <c r="J464" s="27"/>
      <c r="K464" s="27"/>
      <c r="L464" s="27"/>
      <c r="M464" s="27"/>
      <c r="N464" s="27"/>
      <c r="P464" s="27"/>
      <c r="AA464" s="970"/>
      <c r="AB464" s="970"/>
      <c r="AC464" s="970"/>
      <c r="AD464" s="970"/>
      <c r="AE464" s="69"/>
    </row>
    <row r="465" spans="1:31">
      <c r="A465" s="66"/>
      <c r="B465" s="970">
        <f>IF(Uebersetzung!$A$1=1,'SIA2001'!E171,'SIA2001'!F171)</f>
        <v>0</v>
      </c>
      <c r="D465" s="69"/>
      <c r="E465" s="69"/>
      <c r="F465" s="69"/>
      <c r="G465" s="971">
        <f>'SIA2001'!J171</f>
        <v>0</v>
      </c>
      <c r="H465" s="971">
        <f>'SIA2001'!K171</f>
        <v>0</v>
      </c>
      <c r="I465" s="972">
        <f>'SIA2001'!O171</f>
        <v>0</v>
      </c>
      <c r="J465" s="27"/>
      <c r="K465" s="27"/>
      <c r="L465" s="27"/>
      <c r="M465" s="27"/>
      <c r="N465" s="27"/>
      <c r="P465" s="27"/>
      <c r="AA465" s="970"/>
      <c r="AB465" s="970"/>
      <c r="AC465" s="970"/>
      <c r="AD465" s="970"/>
      <c r="AE465" s="69"/>
    </row>
    <row r="466" spans="1:31">
      <c r="A466" s="66"/>
      <c r="B466" s="970" t="str">
        <f>IF(Uebersetzung!$A$1=1,'SIA2001'!E172,'SIA2001'!F172)</f>
        <v>Supafil Timber Frame</v>
      </c>
      <c r="D466" s="69"/>
      <c r="E466" s="69"/>
      <c r="F466" s="69"/>
      <c r="G466" s="971">
        <v>35</v>
      </c>
      <c r="H466" s="971">
        <f>'SIA2001'!K172</f>
        <v>3.4000000000000002E-2</v>
      </c>
      <c r="I466" s="972">
        <v>1</v>
      </c>
      <c r="J466" s="27"/>
      <c r="K466" s="27"/>
      <c r="L466" s="27"/>
      <c r="M466" s="27"/>
      <c r="N466" s="27"/>
      <c r="P466" s="27"/>
      <c r="AA466" s="970"/>
      <c r="AB466" s="970"/>
      <c r="AC466" s="970"/>
      <c r="AD466" s="970"/>
      <c r="AE466" s="69"/>
    </row>
    <row r="467" spans="1:31">
      <c r="A467" s="66"/>
      <c r="B467" s="970" t="str">
        <f>IF(Uebersetzung!$A$1=1,'SIA2001'!E173,'SIA2001'!F173)</f>
        <v>Supafil Cavity Wall</v>
      </c>
      <c r="D467" s="69"/>
      <c r="E467" s="69"/>
      <c r="F467" s="69"/>
      <c r="G467" s="971">
        <v>35</v>
      </c>
      <c r="H467" s="971">
        <f>'SIA2001'!K173</f>
        <v>3.4000000000000002E-2</v>
      </c>
      <c r="I467" s="972">
        <v>1</v>
      </c>
      <c r="J467" s="27"/>
      <c r="K467" s="27"/>
      <c r="L467" s="27"/>
      <c r="M467" s="27"/>
      <c r="N467" s="27"/>
      <c r="P467" s="27"/>
      <c r="AA467" s="970"/>
      <c r="AB467" s="970"/>
      <c r="AC467" s="970"/>
      <c r="AD467" s="970"/>
      <c r="AE467" s="69"/>
    </row>
    <row r="468" spans="1:31">
      <c r="A468" s="66"/>
      <c r="B468" s="970" t="str">
        <f>IF(Uebersetzung!$A$1=1,'SIA2001'!E174,'SIA2001'!F174)</f>
        <v>ISOVER LAINE TRIV</v>
      </c>
      <c r="D468" s="69"/>
      <c r="E468" s="69"/>
      <c r="F468" s="69"/>
      <c r="G468" s="971">
        <f>'SIA2001'!J174</f>
        <v>40</v>
      </c>
      <c r="H468" s="971">
        <f>'SIA2001'!K174</f>
        <v>3.9E-2</v>
      </c>
      <c r="I468" s="972">
        <v>1</v>
      </c>
      <c r="J468" s="27"/>
      <c r="K468" s="27"/>
      <c r="L468" s="27"/>
      <c r="M468" s="27"/>
      <c r="N468" s="27"/>
      <c r="P468" s="27"/>
      <c r="AA468" s="970"/>
      <c r="AB468" s="970"/>
      <c r="AC468" s="970"/>
      <c r="AD468" s="970"/>
      <c r="AE468" s="69"/>
    </row>
    <row r="469" spans="1:31">
      <c r="A469" s="66"/>
      <c r="B469" s="970">
        <f>IF(Uebersetzung!$A$1=1,'SIA2001'!E175,'SIA2001'!F175)</f>
        <v>0</v>
      </c>
      <c r="D469" s="69"/>
      <c r="E469" s="69"/>
      <c r="F469" s="69"/>
      <c r="G469" s="971">
        <f>'SIA2001'!J175</f>
        <v>0</v>
      </c>
      <c r="H469" s="971">
        <f>'SIA2001'!K175</f>
        <v>0</v>
      </c>
      <c r="I469" s="972">
        <f>'SIA2001'!O175</f>
        <v>0</v>
      </c>
      <c r="J469" s="27"/>
      <c r="K469" s="27"/>
      <c r="L469" s="27"/>
      <c r="M469" s="27"/>
      <c r="N469" s="27"/>
      <c r="P469" s="27"/>
      <c r="AA469" s="970"/>
      <c r="AB469" s="970"/>
      <c r="AC469" s="970"/>
      <c r="AD469" s="970"/>
      <c r="AE469" s="69"/>
    </row>
    <row r="470" spans="1:31">
      <c r="A470" s="66"/>
      <c r="B470" s="71" t="str">
        <f>Uebersetzung!D632</f>
        <v>**** Verre cellulaire ****</v>
      </c>
      <c r="D470" s="69"/>
      <c r="E470" s="69"/>
      <c r="F470" s="69"/>
      <c r="G470" s="971"/>
      <c r="H470" s="971"/>
      <c r="I470" s="973"/>
      <c r="J470" s="27"/>
      <c r="K470" s="27"/>
      <c r="L470" s="27"/>
      <c r="M470" s="27"/>
      <c r="N470" s="27"/>
      <c r="P470" s="27"/>
      <c r="AA470" s="970"/>
      <c r="AB470" s="970"/>
      <c r="AC470" s="970"/>
      <c r="AD470" s="970"/>
      <c r="AE470" s="69"/>
    </row>
    <row r="471" spans="1:31">
      <c r="A471" s="66"/>
      <c r="B471" s="970" t="str">
        <f>IF(Uebersetzung!$A$1=1,'SIA2001'!E177,'SIA2001'!F177)</f>
        <v>FOAMGLAS T3+</v>
      </c>
      <c r="D471" s="69"/>
      <c r="E471" s="69"/>
      <c r="F471" s="69"/>
      <c r="G471" s="971">
        <f>'SIA2001'!J177</f>
        <v>100</v>
      </c>
      <c r="H471" s="971">
        <f>'SIA2001'!K177</f>
        <v>3.5999999999999997E-2</v>
      </c>
      <c r="I471" s="972">
        <f>'SIA2001'!O177</f>
        <v>99999</v>
      </c>
      <c r="J471" s="27"/>
      <c r="K471" s="27"/>
      <c r="L471" s="27"/>
      <c r="M471" s="27"/>
      <c r="N471" s="27"/>
      <c r="P471" s="27"/>
      <c r="AA471" s="970"/>
      <c r="AB471" s="970"/>
      <c r="AC471" s="970"/>
      <c r="AD471" s="970"/>
      <c r="AE471" s="69"/>
    </row>
    <row r="472" spans="1:31">
      <c r="A472" s="66"/>
      <c r="B472" s="970" t="str">
        <f>IF(Uebersetzung!$A$1=1,'SIA2001'!E178,'SIA2001'!F178)</f>
        <v>FOAMGLAS Tapered T3+</v>
      </c>
      <c r="D472" s="69"/>
      <c r="E472" s="69"/>
      <c r="F472" s="69"/>
      <c r="G472" s="971">
        <f>'SIA2001'!J178</f>
        <v>100</v>
      </c>
      <c r="H472" s="971">
        <f>'SIA2001'!K178</f>
        <v>3.5999999999999997E-2</v>
      </c>
      <c r="I472" s="972">
        <f>'SIA2001'!O178</f>
        <v>99999</v>
      </c>
      <c r="J472" s="27"/>
      <c r="K472" s="27"/>
      <c r="L472" s="27"/>
      <c r="M472" s="27"/>
      <c r="N472" s="27"/>
      <c r="P472" s="27"/>
      <c r="AA472" s="970"/>
      <c r="AB472" s="970"/>
      <c r="AC472" s="970"/>
      <c r="AD472" s="970"/>
      <c r="AE472" s="69"/>
    </row>
    <row r="473" spans="1:31">
      <c r="A473" s="66"/>
      <c r="B473" s="970" t="str">
        <f>IF(Uebersetzung!$A$1=1,'SIA2001'!E179,'SIA2001'!F179)</f>
        <v>FOAMGLAS W+F</v>
      </c>
      <c r="D473" s="69"/>
      <c r="E473" s="69"/>
      <c r="F473" s="69"/>
      <c r="G473" s="971">
        <f>'SIA2001'!J179</f>
        <v>100</v>
      </c>
      <c r="H473" s="971">
        <f>'SIA2001'!K179</f>
        <v>3.7999999999999999E-2</v>
      </c>
      <c r="I473" s="972">
        <f>'SIA2001'!O179</f>
        <v>99999</v>
      </c>
      <c r="J473" s="27"/>
      <c r="K473" s="27"/>
      <c r="L473" s="27"/>
      <c r="M473" s="27"/>
      <c r="N473" s="27"/>
      <c r="P473" s="27"/>
      <c r="AA473" s="971"/>
      <c r="AB473" s="971"/>
      <c r="AC473" s="971"/>
      <c r="AD473" s="971"/>
      <c r="AE473" s="69"/>
    </row>
    <row r="474" spans="1:31">
      <c r="A474" s="355"/>
      <c r="B474" s="970" t="str">
        <f>IF(Uebersetzung!$A$1=1,'SIA2001'!E180,'SIA2001'!F180)</f>
        <v>FOAMGLAS Wall Board W+F</v>
      </c>
      <c r="D474" s="69"/>
      <c r="E474" s="69"/>
      <c r="F474" s="69"/>
      <c r="G474" s="971">
        <f>'SIA2001'!J180</f>
        <v>100</v>
      </c>
      <c r="H474" s="971">
        <f>'SIA2001'!K180</f>
        <v>3.7999999999999999E-2</v>
      </c>
      <c r="I474" s="972">
        <f>'SIA2001'!O180</f>
        <v>99999</v>
      </c>
      <c r="J474" s="27"/>
      <c r="K474" s="27"/>
      <c r="L474" s="27"/>
      <c r="M474" s="27"/>
      <c r="N474" s="27"/>
      <c r="P474" s="27"/>
      <c r="AA474" s="356"/>
      <c r="AB474" s="971"/>
      <c r="AC474" s="971"/>
      <c r="AD474" s="971"/>
      <c r="AE474" s="69"/>
    </row>
    <row r="475" spans="1:31">
      <c r="A475" s="66"/>
      <c r="B475" s="970" t="str">
        <f>IF(Uebersetzung!$A$1=1,'SIA2001'!E181,'SIA2001'!F181)</f>
        <v>FOAMGLAS T4+</v>
      </c>
      <c r="D475" s="69"/>
      <c r="E475" s="69"/>
      <c r="F475" s="69"/>
      <c r="G475" s="971">
        <f>'SIA2001'!J181</f>
        <v>115</v>
      </c>
      <c r="H475" s="971">
        <f>'SIA2001'!K181</f>
        <v>4.1000000000000002E-2</v>
      </c>
      <c r="I475" s="972">
        <f>'SIA2001'!O181</f>
        <v>99999</v>
      </c>
      <c r="J475" s="27"/>
      <c r="K475" s="27"/>
      <c r="L475" s="27"/>
      <c r="M475" s="27"/>
      <c r="N475" s="27"/>
      <c r="P475" s="27"/>
      <c r="AA475" s="140"/>
      <c r="AB475" s="971"/>
      <c r="AC475" s="971"/>
      <c r="AD475" s="971"/>
      <c r="AE475" s="69"/>
    </row>
    <row r="476" spans="1:31">
      <c r="A476" s="66"/>
      <c r="B476" s="970" t="str">
        <f>IF(Uebersetzung!$A$1=1,'SIA2001'!E182,'SIA2001'!F182)</f>
        <v>FOAMGLAS Tapered T4+</v>
      </c>
      <c r="D476" s="69"/>
      <c r="E476" s="69"/>
      <c r="F476" s="69"/>
      <c r="G476" s="971">
        <f>'SIA2001'!J182</f>
        <v>115</v>
      </c>
      <c r="H476" s="971">
        <f>'SIA2001'!K182</f>
        <v>4.1000000000000002E-2</v>
      </c>
      <c r="I476" s="972">
        <f>'SIA2001'!O182</f>
        <v>99999</v>
      </c>
      <c r="J476" s="27"/>
      <c r="K476" s="27"/>
      <c r="L476" s="27"/>
      <c r="M476" s="27"/>
      <c r="N476" s="27"/>
      <c r="P476" s="27"/>
      <c r="AA476" s="140"/>
      <c r="AB476" s="971"/>
      <c r="AC476" s="971"/>
      <c r="AD476" s="971"/>
      <c r="AE476" s="69"/>
    </row>
    <row r="477" spans="1:31">
      <c r="A477" s="66"/>
      <c r="B477" s="970" t="str">
        <f>IF(Uebersetzung!$A$1=1,'SIA2001'!E183,'SIA2001'!F183)</f>
        <v>FOAMGLAS Ready Block T4+</v>
      </c>
      <c r="D477" s="69"/>
      <c r="E477" s="69"/>
      <c r="F477" s="69"/>
      <c r="G477" s="971">
        <f>'SIA2001'!J183</f>
        <v>115</v>
      </c>
      <c r="H477" s="971">
        <f>'SIA2001'!K183</f>
        <v>4.1000000000000002E-2</v>
      </c>
      <c r="I477" s="972">
        <f>'SIA2001'!O183</f>
        <v>99999</v>
      </c>
      <c r="J477" s="27"/>
      <c r="K477" s="27"/>
      <c r="L477" s="27"/>
      <c r="M477" s="27"/>
      <c r="N477" s="27"/>
      <c r="P477" s="27"/>
      <c r="AA477" s="140"/>
      <c r="AB477" s="971"/>
      <c r="AC477" s="971"/>
      <c r="AD477" s="971"/>
      <c r="AE477" s="69"/>
    </row>
    <row r="478" spans="1:31">
      <c r="A478" s="66"/>
      <c r="B478" s="970" t="str">
        <f>IF(Uebersetzung!$A$1=1,'SIA2001'!E184,'SIA2001'!F184)</f>
        <v>FOAMGLAS Ready Board T4+</v>
      </c>
      <c r="D478" s="69"/>
      <c r="E478" s="69"/>
      <c r="F478" s="69"/>
      <c r="G478" s="971">
        <f>'SIA2001'!J184</f>
        <v>115</v>
      </c>
      <c r="H478" s="971">
        <f>'SIA2001'!K184</f>
        <v>4.1000000000000002E-2</v>
      </c>
      <c r="I478" s="972">
        <f>'SIA2001'!O184</f>
        <v>99999</v>
      </c>
      <c r="J478" s="27"/>
      <c r="K478" s="27"/>
      <c r="L478" s="27"/>
      <c r="M478" s="27"/>
      <c r="N478" s="27"/>
      <c r="P478" s="27"/>
      <c r="AA478" s="140"/>
      <c r="AB478" s="971"/>
      <c r="AC478" s="971"/>
      <c r="AD478" s="971"/>
      <c r="AE478" s="69"/>
    </row>
    <row r="479" spans="1:31">
      <c r="A479" s="66"/>
      <c r="B479" s="970" t="str">
        <f>IF(Uebersetzung!$A$1=1,'SIA2001'!E185,'SIA2001'!F185)</f>
        <v>FOAMGLAS Floor Board T4+</v>
      </c>
      <c r="D479" s="69"/>
      <c r="E479" s="69"/>
      <c r="F479" s="69"/>
      <c r="G479" s="971">
        <f>'SIA2001'!J185</f>
        <v>115</v>
      </c>
      <c r="H479" s="971">
        <f>'SIA2001'!K185</f>
        <v>4.1000000000000002E-2</v>
      </c>
      <c r="I479" s="972">
        <f>'SIA2001'!O185</f>
        <v>99999</v>
      </c>
      <c r="J479" s="27"/>
      <c r="K479" s="27"/>
      <c r="L479" s="27"/>
      <c r="M479" s="27"/>
      <c r="N479" s="27"/>
      <c r="P479" s="27"/>
      <c r="AA479" s="140"/>
      <c r="AB479" s="971"/>
      <c r="AC479" s="971"/>
      <c r="AD479" s="971"/>
      <c r="AE479" s="69"/>
    </row>
    <row r="480" spans="1:31">
      <c r="A480" s="66"/>
      <c r="B480" s="970" t="str">
        <f>IF(Uebersetzung!$A$1=1,'SIA2001'!E186,'SIA2001'!F186)</f>
        <v>FOAMGLAS S3</v>
      </c>
      <c r="D480" s="69"/>
      <c r="E480" s="69"/>
      <c r="F480" s="69"/>
      <c r="G480" s="971">
        <f>'SIA2001'!J186</f>
        <v>135</v>
      </c>
      <c r="H480" s="971">
        <f>'SIA2001'!K186</f>
        <v>4.4999999999999998E-2</v>
      </c>
      <c r="I480" s="972">
        <f>'SIA2001'!O186</f>
        <v>99999</v>
      </c>
      <c r="J480" s="27"/>
      <c r="K480" s="27"/>
      <c r="L480" s="27"/>
      <c r="M480" s="27"/>
      <c r="N480" s="27"/>
      <c r="P480" s="27"/>
      <c r="AA480" s="140"/>
      <c r="AB480" s="971"/>
      <c r="AC480" s="971"/>
      <c r="AD480" s="971"/>
      <c r="AE480" s="69"/>
    </row>
    <row r="481" spans="1:31">
      <c r="A481" s="66"/>
      <c r="B481" s="970" t="str">
        <f>IF(Uebersetzung!$A$1=1,'SIA2001'!E187,'SIA2001'!F187)</f>
        <v>FOAMGLAS Tapered S3</v>
      </c>
      <c r="D481" s="69"/>
      <c r="E481" s="69"/>
      <c r="F481" s="69"/>
      <c r="G481" s="971">
        <f>'SIA2001'!J187</f>
        <v>135</v>
      </c>
      <c r="H481" s="971">
        <f>'SIA2001'!K187</f>
        <v>4.4999999999999998E-2</v>
      </c>
      <c r="I481" s="972">
        <f>'SIA2001'!O187</f>
        <v>99999</v>
      </c>
      <c r="J481" s="27"/>
      <c r="K481" s="27"/>
      <c r="L481" s="27"/>
      <c r="M481" s="27"/>
      <c r="N481" s="27"/>
      <c r="P481" s="27"/>
      <c r="AA481" s="140"/>
      <c r="AB481" s="971"/>
      <c r="AC481" s="971"/>
      <c r="AD481" s="971"/>
      <c r="AE481" s="69"/>
    </row>
    <row r="482" spans="1:31">
      <c r="A482" s="66"/>
      <c r="B482" s="970" t="str">
        <f>IF(Uebersetzung!$A$1=1,'SIA2001'!E188,'SIA2001'!F188)</f>
        <v>FOAMGLAS Ready Board S3</v>
      </c>
      <c r="D482" s="69"/>
      <c r="E482" s="69"/>
      <c r="F482" s="69"/>
      <c r="G482" s="971">
        <f>'SIA2001'!J188</f>
        <v>135</v>
      </c>
      <c r="H482" s="971">
        <f>'SIA2001'!K188</f>
        <v>4.4999999999999998E-2</v>
      </c>
      <c r="I482" s="972">
        <f>'SIA2001'!O188</f>
        <v>99999</v>
      </c>
      <c r="J482" s="27"/>
      <c r="K482" s="27"/>
      <c r="L482" s="27"/>
      <c r="M482" s="27"/>
      <c r="N482" s="27"/>
      <c r="P482" s="27"/>
      <c r="AA482" s="140"/>
      <c r="AB482" s="971"/>
      <c r="AC482" s="971"/>
      <c r="AD482" s="971"/>
      <c r="AE482" s="69"/>
    </row>
    <row r="483" spans="1:31">
      <c r="A483" s="66"/>
      <c r="B483" s="970" t="str">
        <f>IF(Uebersetzung!$A$1=1,'SIA2001'!E189,'SIA2001'!F189)</f>
        <v>FOAMGLAS Floor Board S3</v>
      </c>
      <c r="D483" s="69"/>
      <c r="E483" s="69"/>
      <c r="F483" s="69"/>
      <c r="G483" s="971">
        <f>'SIA2001'!J189</f>
        <v>135</v>
      </c>
      <c r="H483" s="971">
        <f>'SIA2001'!K189</f>
        <v>4.4999999999999998E-2</v>
      </c>
      <c r="I483" s="972">
        <f>'SIA2001'!O189</f>
        <v>99999</v>
      </c>
      <c r="J483" s="27"/>
      <c r="K483" s="27"/>
      <c r="L483" s="27"/>
      <c r="M483" s="27"/>
      <c r="N483" s="27"/>
      <c r="P483" s="27"/>
      <c r="AA483" s="140"/>
      <c r="AB483" s="971"/>
      <c r="AC483" s="971"/>
      <c r="AD483" s="971"/>
      <c r="AE483" s="69"/>
    </row>
    <row r="484" spans="1:31">
      <c r="A484" s="66"/>
      <c r="B484" s="970" t="str">
        <f>IF(Uebersetzung!$A$1=1,'SIA2001'!E190,'SIA2001'!F190)</f>
        <v>FOAMGLAS F</v>
      </c>
      <c r="D484" s="69"/>
      <c r="E484" s="69"/>
      <c r="F484" s="69"/>
      <c r="G484" s="971">
        <f>'SIA2001'!J190</f>
        <v>165</v>
      </c>
      <c r="H484" s="971">
        <f>'SIA2001'!K190</f>
        <v>0.05</v>
      </c>
      <c r="I484" s="972">
        <f>'SIA2001'!O190</f>
        <v>99999</v>
      </c>
      <c r="J484" s="27"/>
      <c r="K484" s="27"/>
      <c r="L484" s="27"/>
      <c r="M484" s="27"/>
      <c r="N484" s="27"/>
      <c r="P484" s="27"/>
      <c r="AA484" s="140"/>
      <c r="AB484" s="971"/>
      <c r="AC484" s="971"/>
      <c r="AD484" s="971"/>
      <c r="AE484" s="69"/>
    </row>
    <row r="485" spans="1:31">
      <c r="A485" s="66"/>
      <c r="B485" s="970" t="str">
        <f>IF(Uebersetzung!$A$1=1,'SIA2001'!E191,'SIA2001'!F191)</f>
        <v>FOAMGLAS Tapered F</v>
      </c>
      <c r="D485" s="69"/>
      <c r="E485" s="69"/>
      <c r="F485" s="69"/>
      <c r="G485" s="971">
        <f>'SIA2001'!J191</f>
        <v>165</v>
      </c>
      <c r="H485" s="971">
        <f>'SIA2001'!K191</f>
        <v>0.05</v>
      </c>
      <c r="I485" s="972">
        <f>'SIA2001'!O191</f>
        <v>99999</v>
      </c>
      <c r="J485" s="27"/>
      <c r="K485" s="27"/>
      <c r="L485" s="27"/>
      <c r="M485" s="27"/>
      <c r="N485" s="27"/>
      <c r="P485" s="27"/>
      <c r="AA485" s="140"/>
      <c r="AB485" s="971"/>
      <c r="AC485" s="971"/>
      <c r="AD485" s="971"/>
      <c r="AE485" s="69"/>
    </row>
    <row r="486" spans="1:31">
      <c r="A486" s="66"/>
      <c r="B486" s="970" t="str">
        <f>IF(Uebersetzung!$A$1=1,'SIA2001'!E192,'SIA2001'!F192)</f>
        <v>FOAMGLAS Ready Board F</v>
      </c>
      <c r="D486" s="69"/>
      <c r="E486" s="69"/>
      <c r="F486" s="69"/>
      <c r="G486" s="971">
        <f>'SIA2001'!J192</f>
        <v>165</v>
      </c>
      <c r="H486" s="971">
        <f>'SIA2001'!K192</f>
        <v>0.05</v>
      </c>
      <c r="I486" s="972">
        <f>'SIA2001'!O192</f>
        <v>99999</v>
      </c>
      <c r="J486" s="27"/>
      <c r="K486" s="27"/>
      <c r="L486" s="27"/>
      <c r="M486" s="27"/>
      <c r="N486" s="27"/>
      <c r="P486" s="27"/>
      <c r="AA486" s="140"/>
      <c r="AB486" s="970"/>
      <c r="AC486" s="970"/>
      <c r="AD486" s="970"/>
      <c r="AE486" s="970"/>
    </row>
    <row r="487" spans="1:31">
      <c r="A487" s="66"/>
      <c r="B487" s="970" t="str">
        <f>IF(Uebersetzung!$A$1=1,'SIA2001'!E193,'SIA2001'!F193)</f>
        <v>FOAMGLAS Floor Board F</v>
      </c>
      <c r="D487" s="69"/>
      <c r="E487" s="69"/>
      <c r="F487" s="69"/>
      <c r="G487" s="971">
        <f>'SIA2001'!J193</f>
        <v>165</v>
      </c>
      <c r="H487" s="971">
        <f>'SIA2001'!K193</f>
        <v>0.05</v>
      </c>
      <c r="I487" s="972">
        <f>'SIA2001'!O193</f>
        <v>99999</v>
      </c>
      <c r="J487" s="27"/>
      <c r="K487" s="27"/>
      <c r="L487" s="27"/>
      <c r="M487" s="27"/>
      <c r="N487" s="27"/>
      <c r="P487" s="27"/>
      <c r="AA487" s="970"/>
      <c r="AB487" s="970"/>
      <c r="AC487" s="970"/>
      <c r="AD487" s="970"/>
      <c r="AE487" s="970"/>
    </row>
    <row r="488" spans="1:31">
      <c r="A488" s="66"/>
      <c r="B488" s="970" t="str">
        <f>IF(Uebersetzung!$A$1=1,'SIA2001'!E194,'SIA2001'!F194)</f>
        <v>FOAMGLAS Perinsul S</v>
      </c>
      <c r="D488" s="69"/>
      <c r="E488" s="69"/>
      <c r="F488" s="69"/>
      <c r="G488" s="971">
        <f>'SIA2001'!J194</f>
        <v>165</v>
      </c>
      <c r="H488" s="971">
        <f>'SIA2001'!K194</f>
        <v>0.05</v>
      </c>
      <c r="I488" s="972">
        <f>'SIA2001'!O194</f>
        <v>99999</v>
      </c>
      <c r="J488" s="27"/>
      <c r="K488" s="27"/>
      <c r="L488" s="27"/>
      <c r="M488" s="27"/>
      <c r="N488" s="27"/>
      <c r="P488" s="27"/>
      <c r="AA488" s="970"/>
      <c r="AB488" s="970"/>
      <c r="AC488" s="970"/>
      <c r="AD488" s="970"/>
      <c r="AE488" s="970"/>
    </row>
    <row r="489" spans="1:31">
      <c r="A489" s="66"/>
      <c r="B489" s="970"/>
      <c r="D489" s="69"/>
      <c r="E489" s="69"/>
      <c r="F489" s="69"/>
      <c r="G489" s="971"/>
      <c r="H489" s="971"/>
      <c r="I489" s="972"/>
      <c r="J489" s="27"/>
      <c r="K489" s="27"/>
      <c r="L489" s="27"/>
      <c r="M489" s="27"/>
      <c r="N489" s="27"/>
      <c r="P489" s="27"/>
      <c r="AA489" s="970"/>
      <c r="AB489" s="970"/>
      <c r="AC489" s="970"/>
      <c r="AD489" s="970"/>
      <c r="AE489" s="970"/>
    </row>
    <row r="490" spans="1:31">
      <c r="A490" s="66"/>
      <c r="B490" s="970" t="str">
        <f>IF(Uebersetzung!$A$1=1,'SIA2001'!E196,'SIA2001'!F196)</f>
        <v>Misapor 10/75</v>
      </c>
      <c r="D490" s="69"/>
      <c r="E490" s="69"/>
      <c r="F490" s="69"/>
      <c r="G490" s="971">
        <v>150</v>
      </c>
      <c r="H490" s="971">
        <v>8.1000000000000003E-2</v>
      </c>
      <c r="I490" s="972">
        <v>2</v>
      </c>
      <c r="J490" s="27"/>
      <c r="K490" s="27"/>
      <c r="L490" s="27"/>
      <c r="M490" s="27"/>
      <c r="N490" s="27"/>
      <c r="P490" s="27"/>
      <c r="AA490" s="970"/>
      <c r="AB490" s="970"/>
      <c r="AC490" s="970"/>
      <c r="AD490" s="970"/>
      <c r="AE490" s="970"/>
    </row>
    <row r="491" spans="1:31">
      <c r="A491" s="66"/>
      <c r="B491" s="970" t="str">
        <f>IF(Uebersetzung!$A$1=1,'SIA2001'!E197,'SIA2001'!F197)</f>
        <v>MISAPOR 10/50</v>
      </c>
      <c r="D491" s="69"/>
      <c r="E491" s="69"/>
      <c r="F491" s="69"/>
      <c r="G491" s="971">
        <v>180</v>
      </c>
      <c r="H491" s="971">
        <v>8.5000000000000006E-2</v>
      </c>
      <c r="I491" s="972">
        <v>2</v>
      </c>
      <c r="J491" s="27"/>
      <c r="K491" s="27"/>
      <c r="L491" s="27"/>
      <c r="M491" s="27"/>
      <c r="N491" s="27"/>
      <c r="P491" s="27"/>
      <c r="AA491" s="970"/>
      <c r="AB491" s="970"/>
      <c r="AC491" s="970"/>
      <c r="AD491" s="970"/>
      <c r="AE491" s="970"/>
    </row>
    <row r="492" spans="1:31">
      <c r="A492" s="66"/>
      <c r="B492" s="970" t="str">
        <f>IF(Uebersetzung!$A$1=1,'SIA2001'!E198,'SIA2001'!F198)</f>
        <v>ecoglas</v>
      </c>
      <c r="D492" s="69"/>
      <c r="E492" s="69"/>
      <c r="F492" s="69"/>
      <c r="G492" s="971">
        <v>170</v>
      </c>
      <c r="H492" s="971">
        <v>8.7999999999999995E-2</v>
      </c>
      <c r="I492" s="972">
        <v>2</v>
      </c>
      <c r="J492" s="27"/>
      <c r="K492" s="27"/>
      <c r="L492" s="27"/>
      <c r="M492" s="27"/>
      <c r="N492" s="27"/>
      <c r="P492" s="27"/>
      <c r="AA492" s="970"/>
      <c r="AB492" s="970"/>
      <c r="AC492" s="970"/>
      <c r="AD492" s="970"/>
      <c r="AE492" s="970"/>
    </row>
    <row r="493" spans="1:31">
      <c r="A493" s="66"/>
      <c r="B493" s="970" t="str">
        <f>IF(Uebersetzung!$A$1=1,'SIA2001'!E199,'SIA2001'!F199)</f>
        <v>Perlite, vermiculite: en vrac; non controlé</v>
      </c>
      <c r="D493" s="69"/>
      <c r="E493" s="69"/>
      <c r="F493" s="69"/>
      <c r="G493" s="971">
        <v>170</v>
      </c>
      <c r="H493" s="971">
        <f>'SIA2001'!K199</f>
        <v>0.08</v>
      </c>
      <c r="I493" s="972">
        <f>'SIA2001'!O199</f>
        <v>2</v>
      </c>
      <c r="J493" s="27"/>
      <c r="K493" s="27"/>
      <c r="L493" s="27"/>
      <c r="M493" s="27"/>
      <c r="N493" s="27"/>
      <c r="P493" s="27"/>
      <c r="AA493" s="140"/>
      <c r="AB493" s="971"/>
      <c r="AC493" s="971"/>
      <c r="AD493" s="971"/>
      <c r="AE493" s="69"/>
    </row>
    <row r="494" spans="1:31">
      <c r="A494" s="66"/>
      <c r="B494" s="970"/>
      <c r="D494" s="69"/>
      <c r="E494" s="69"/>
      <c r="F494" s="69"/>
      <c r="G494" s="971"/>
      <c r="H494" s="971"/>
      <c r="I494" s="972"/>
      <c r="J494" s="27"/>
      <c r="K494" s="27"/>
      <c r="L494" s="27"/>
      <c r="M494" s="27"/>
      <c r="N494" s="27"/>
      <c r="P494" s="27"/>
      <c r="AA494" s="140"/>
      <c r="AB494" s="971"/>
      <c r="AC494" s="971"/>
      <c r="AD494" s="971"/>
      <c r="AE494" s="69"/>
    </row>
    <row r="495" spans="1:31">
      <c r="A495" s="66"/>
      <c r="B495" s="970" t="str">
        <f>IF(Uebersetzung!$A$1=1,'SIA2001'!E201,'SIA2001'!F201)</f>
        <v>BACHL DS Perlit Dämmschüttung</v>
      </c>
      <c r="D495" s="69"/>
      <c r="E495" s="69"/>
      <c r="F495" s="69"/>
      <c r="G495" s="971">
        <f>'SIA2001'!J201</f>
        <v>90</v>
      </c>
      <c r="H495" s="971">
        <f>'SIA2001'!K201</f>
        <v>0.05</v>
      </c>
      <c r="I495" s="972">
        <v>2</v>
      </c>
      <c r="J495" s="27"/>
      <c r="K495" s="27"/>
      <c r="L495" s="27"/>
      <c r="M495" s="27"/>
      <c r="N495" s="27"/>
      <c r="P495" s="27"/>
      <c r="AA495" s="140"/>
      <c r="AB495" s="69"/>
      <c r="AC495" s="69"/>
      <c r="AD495" s="69"/>
      <c r="AE495" s="69"/>
    </row>
    <row r="496" spans="1:31">
      <c r="A496" s="66"/>
      <c r="B496" s="970" t="str">
        <f>IF(Uebersetzung!$A$1=1,'SIA2001'!E202,'SIA2001'!F202)</f>
        <v>BACHL ES Perlit Dämmschüttung</v>
      </c>
      <c r="D496" s="69"/>
      <c r="E496" s="69"/>
      <c r="F496" s="69"/>
      <c r="G496" s="971">
        <f>'SIA2001'!J202</f>
        <v>90</v>
      </c>
      <c r="H496" s="971">
        <f>'SIA2001'!K202</f>
        <v>0.05</v>
      </c>
      <c r="I496" s="972">
        <v>2</v>
      </c>
      <c r="J496" s="27"/>
      <c r="K496" s="27"/>
      <c r="L496" s="27"/>
      <c r="M496" s="27"/>
      <c r="N496" s="27"/>
      <c r="P496" s="27"/>
      <c r="AA496" s="140"/>
      <c r="AB496" s="69"/>
      <c r="AC496" s="69"/>
      <c r="AD496" s="69"/>
      <c r="AE496" s="69"/>
    </row>
    <row r="497" spans="1:31">
      <c r="A497" s="66"/>
      <c r="B497" s="970" t="str">
        <f>IF(Uebersetzung!$A$1=1,'SIA2001'!E203,'SIA2001'!F203)</f>
        <v>BACHL HY Perlit Dämmschüttung</v>
      </c>
      <c r="D497" s="69"/>
      <c r="E497" s="69"/>
      <c r="F497" s="69"/>
      <c r="G497" s="971">
        <f>'SIA2001'!J203</f>
        <v>90</v>
      </c>
      <c r="H497" s="971">
        <f>'SIA2001'!K203</f>
        <v>0.05</v>
      </c>
      <c r="I497" s="972">
        <v>2</v>
      </c>
      <c r="J497" s="27"/>
      <c r="K497" s="27"/>
      <c r="L497" s="27"/>
      <c r="M497" s="27"/>
      <c r="N497" s="27"/>
      <c r="P497" s="27"/>
      <c r="AA497" s="140"/>
      <c r="AB497" s="69"/>
      <c r="AC497" s="69"/>
      <c r="AD497" s="69"/>
      <c r="AE497" s="69"/>
    </row>
    <row r="498" spans="1:31">
      <c r="A498" s="66"/>
      <c r="B498" s="970"/>
      <c r="D498" s="69"/>
      <c r="E498" s="69"/>
      <c r="F498" s="69"/>
      <c r="G498" s="971"/>
      <c r="H498" s="971"/>
      <c r="I498" s="972"/>
      <c r="J498" s="27"/>
      <c r="K498" s="27"/>
      <c r="L498" s="27"/>
      <c r="M498" s="27"/>
      <c r="N498" s="27"/>
      <c r="P498" s="27"/>
      <c r="AA498" s="140"/>
      <c r="AB498" s="69"/>
      <c r="AC498" s="69"/>
      <c r="AD498" s="69"/>
      <c r="AE498" s="69"/>
    </row>
    <row r="499" spans="1:31">
      <c r="A499" s="66"/>
      <c r="B499" s="970"/>
      <c r="D499" s="69"/>
      <c r="E499" s="69"/>
      <c r="F499" s="69"/>
      <c r="G499" s="971"/>
      <c r="H499" s="971"/>
      <c r="I499" s="972"/>
      <c r="J499" s="27"/>
      <c r="K499" s="27"/>
      <c r="L499" s="27"/>
      <c r="M499" s="27"/>
      <c r="N499" s="27"/>
      <c r="P499" s="27"/>
      <c r="AA499" s="140"/>
      <c r="AB499" s="69"/>
      <c r="AC499" s="69"/>
      <c r="AD499" s="69"/>
      <c r="AE499" s="69"/>
    </row>
    <row r="500" spans="1:31">
      <c r="A500" s="66"/>
      <c r="B500" s="356" t="str">
        <f>Uebersetzung!D634</f>
        <v>**** Polystyrène expansé (EPS) ****</v>
      </c>
      <c r="C500" s="971"/>
      <c r="D500" s="971"/>
      <c r="E500" s="971"/>
      <c r="F500" s="69"/>
      <c r="G500" s="974"/>
      <c r="H500" s="971"/>
      <c r="I500" s="973"/>
      <c r="J500" s="27"/>
      <c r="K500" s="27"/>
      <c r="L500" s="27"/>
      <c r="M500" s="27"/>
      <c r="N500" s="27"/>
      <c r="P500" s="27"/>
      <c r="AA500" s="140"/>
      <c r="AB500" s="69"/>
      <c r="AC500" s="69"/>
      <c r="AD500" s="69"/>
      <c r="AE500" s="69"/>
    </row>
    <row r="501" spans="1:31">
      <c r="A501" s="66"/>
      <c r="B501" s="970" t="str">
        <f>IF(Uebersetzung!$A$1=1,'SIA2001'!E207,'SIA2001'!F207)</f>
        <v>Baumit OPEN reflect</v>
      </c>
      <c r="D501" s="69"/>
      <c r="E501" s="69"/>
      <c r="F501" s="69"/>
      <c r="G501" s="971">
        <v>16</v>
      </c>
      <c r="H501" s="971" t="str">
        <f>'SIA2001'!K207</f>
        <v>0.031</v>
      </c>
      <c r="I501" s="972">
        <f>'SIA2001'!O207</f>
        <v>60</v>
      </c>
      <c r="J501" s="27"/>
      <c r="K501" s="27"/>
      <c r="L501" s="27"/>
      <c r="M501" s="27"/>
      <c r="N501" s="27"/>
      <c r="P501" s="27"/>
      <c r="AA501" s="69"/>
      <c r="AB501" s="69"/>
      <c r="AC501" s="69"/>
      <c r="AD501" s="69"/>
      <c r="AE501" s="69"/>
    </row>
    <row r="502" spans="1:31">
      <c r="A502" s="66"/>
      <c r="B502" s="970" t="str">
        <f>IF(Uebersetzung!$A$1=1,'SIA2001'!E208,'SIA2001'!F208)</f>
        <v>BACHL mousse dure</v>
      </c>
      <c r="D502" s="69"/>
      <c r="E502" s="69"/>
      <c r="F502" s="69"/>
      <c r="G502" s="971">
        <v>23</v>
      </c>
      <c r="H502" s="971">
        <f>'SIA2001'!K208</f>
        <v>3.4000000000000002E-2</v>
      </c>
      <c r="I502" s="972">
        <f>'SIA2001'!O208</f>
        <v>60</v>
      </c>
      <c r="J502" s="27"/>
      <c r="K502" s="27"/>
      <c r="L502" s="27"/>
      <c r="M502" s="27"/>
      <c r="N502" s="27"/>
      <c r="P502" s="27"/>
      <c r="AA502" s="69"/>
      <c r="AB502" s="69"/>
      <c r="AC502" s="69"/>
      <c r="AD502" s="69"/>
      <c r="AE502" s="69"/>
    </row>
    <row r="503" spans="1:31">
      <c r="A503" s="66"/>
      <c r="B503" s="970" t="str">
        <f>IF(Uebersetzung!$A$1=1,'SIA2001'!E209,'SIA2001'!F209)</f>
        <v>BACHL EPS Dach 120 kPa</v>
      </c>
      <c r="D503" s="69"/>
      <c r="E503" s="69"/>
      <c r="F503" s="69"/>
      <c r="G503" s="971">
        <v>23</v>
      </c>
      <c r="H503" s="971">
        <f>'SIA2001'!K209</f>
        <v>3.4000000000000002E-2</v>
      </c>
      <c r="I503" s="972">
        <f>'SIA2001'!O209</f>
        <v>60</v>
      </c>
      <c r="J503" s="27"/>
      <c r="K503" s="27"/>
      <c r="L503" s="27"/>
      <c r="M503" s="27"/>
      <c r="N503" s="27"/>
      <c r="P503" s="27"/>
      <c r="AA503" s="69"/>
      <c r="AB503" s="69"/>
      <c r="AC503" s="69"/>
      <c r="AD503" s="69"/>
      <c r="AE503" s="69"/>
    </row>
    <row r="504" spans="1:31">
      <c r="A504" s="66"/>
      <c r="B504" s="970" t="str">
        <f>IF(Uebersetzung!$A$1=1,'SIA2001'!E210,'SIA2001'!F210)</f>
        <v>BACHL mousse dure en blocs contre le bruit de chocs 039</v>
      </c>
      <c r="D504" s="69"/>
      <c r="E504" s="69"/>
      <c r="F504" s="69"/>
      <c r="G504" s="971">
        <v>11</v>
      </c>
      <c r="H504" s="971">
        <f>'SIA2001'!K210</f>
        <v>3.9E-2</v>
      </c>
      <c r="I504" s="972">
        <f>'SIA2001'!O210</f>
        <v>60</v>
      </c>
      <c r="J504" s="27"/>
      <c r="K504" s="27"/>
      <c r="L504" s="27"/>
      <c r="M504" s="27"/>
      <c r="N504" s="27"/>
      <c r="P504" s="27"/>
      <c r="AA504" s="69"/>
      <c r="AB504" s="69"/>
      <c r="AC504" s="69"/>
      <c r="AD504" s="69"/>
      <c r="AE504" s="69"/>
    </row>
    <row r="505" spans="1:31">
      <c r="A505" s="66"/>
      <c r="B505" s="970" t="str">
        <f>IF(Uebersetzung!$A$1=1,'SIA2001'!E211,'SIA2001'!F211)</f>
        <v>BACHL pour isolation extérieure enterrée</v>
      </c>
      <c r="D505" s="69"/>
      <c r="E505" s="69"/>
      <c r="F505" s="69"/>
      <c r="G505" s="971">
        <v>27</v>
      </c>
      <c r="H505" s="971">
        <f>'SIA2001'!K211</f>
        <v>3.3000000000000002E-2</v>
      </c>
      <c r="I505" s="972">
        <f>'SIA2001'!O211</f>
        <v>60</v>
      </c>
      <c r="J505" s="27"/>
      <c r="K505" s="27"/>
      <c r="L505" s="27"/>
      <c r="M505" s="27"/>
      <c r="N505" s="27"/>
      <c r="P505" s="27"/>
      <c r="AA505" s="69"/>
      <c r="AB505" s="69"/>
      <c r="AC505" s="69"/>
      <c r="AD505" s="69"/>
      <c r="AE505" s="69"/>
    </row>
    <row r="506" spans="1:31">
      <c r="A506" s="66"/>
      <c r="B506" s="970" t="str">
        <f>IF(Uebersetzung!$A$1=1,'SIA2001'!E212,'SIA2001'!F212)</f>
        <v>BACHL Automatenplatte mit Vlies 033</v>
      </c>
      <c r="D506" s="69"/>
      <c r="E506" s="69"/>
      <c r="F506" s="69"/>
      <c r="G506" s="971">
        <v>27</v>
      </c>
      <c r="H506" s="971">
        <f>'SIA2001'!K212</f>
        <v>3.3000000000000002E-2</v>
      </c>
      <c r="I506" s="972">
        <f>'SIA2001'!O212</f>
        <v>60</v>
      </c>
      <c r="J506" s="27"/>
      <c r="K506" s="27"/>
      <c r="L506" s="27"/>
      <c r="M506" s="27"/>
      <c r="N506" s="27"/>
      <c r="P506" s="27"/>
      <c r="AA506" s="69"/>
      <c r="AB506" s="69"/>
      <c r="AC506" s="69"/>
      <c r="AD506" s="69"/>
      <c r="AE506" s="69"/>
    </row>
    <row r="507" spans="1:31">
      <c r="A507" s="66"/>
      <c r="B507" s="970" t="str">
        <f>IF(Uebersetzung!$A$1=1,'SIA2001'!E213,'SIA2001'!F213)</f>
        <v>BACHL mousse dure 038</v>
      </c>
      <c r="D507" s="69"/>
      <c r="E507" s="69"/>
      <c r="F507" s="69"/>
      <c r="G507" s="971">
        <v>15</v>
      </c>
      <c r="H507" s="971">
        <f>'SIA2001'!K213</f>
        <v>3.7999999999999999E-2</v>
      </c>
      <c r="I507" s="972">
        <f>'SIA2001'!O213</f>
        <v>60</v>
      </c>
      <c r="J507" s="27"/>
      <c r="K507" s="27"/>
      <c r="L507" s="27"/>
      <c r="M507" s="27"/>
      <c r="N507" s="27"/>
      <c r="P507" s="27"/>
      <c r="AA507" s="69"/>
      <c r="AB507" s="69"/>
      <c r="AC507" s="69"/>
      <c r="AD507" s="69"/>
      <c r="AE507" s="69"/>
    </row>
    <row r="508" spans="1:31">
      <c r="A508" s="66"/>
      <c r="B508" s="970" t="str">
        <f>IF(Uebersetzung!$A$1=1,'SIA2001'!E214,'SIA2001'!F214)</f>
        <v>BACHL mousse dure 036</v>
      </c>
      <c r="D508" s="69"/>
      <c r="E508" s="69"/>
      <c r="F508" s="69"/>
      <c r="G508" s="971">
        <v>20</v>
      </c>
      <c r="H508" s="971">
        <f>'SIA2001'!K214</f>
        <v>3.5999999999999997E-2</v>
      </c>
      <c r="I508" s="972">
        <f>'SIA2001'!O214</f>
        <v>60</v>
      </c>
      <c r="J508" s="27"/>
      <c r="K508" s="27"/>
      <c r="L508" s="27"/>
      <c r="M508" s="27"/>
      <c r="N508" s="27"/>
      <c r="P508" s="27"/>
      <c r="AA508" s="69"/>
      <c r="AB508" s="69"/>
      <c r="AC508" s="69"/>
      <c r="AD508" s="69"/>
      <c r="AE508" s="69"/>
    </row>
    <row r="509" spans="1:31">
      <c r="A509" s="66"/>
      <c r="B509" s="970" t="str">
        <f>IF(Uebersetzung!$A$1=1,'SIA2001'!E215,'SIA2001'!F215)</f>
        <v>BACHL mousse dure 033</v>
      </c>
      <c r="D509" s="69"/>
      <c r="E509" s="69"/>
      <c r="F509" s="69"/>
      <c r="G509" s="971">
        <v>23</v>
      </c>
      <c r="H509" s="971">
        <f>'SIA2001'!K215</f>
        <v>3.3000000000000002E-2</v>
      </c>
      <c r="I509" s="972">
        <f>'SIA2001'!O215</f>
        <v>60</v>
      </c>
      <c r="J509" s="27"/>
      <c r="K509" s="27"/>
      <c r="L509" s="27"/>
      <c r="M509" s="27"/>
      <c r="N509" s="27"/>
      <c r="P509" s="27"/>
      <c r="AA509" s="69"/>
      <c r="AB509" s="69"/>
      <c r="AC509" s="69"/>
      <c r="AD509" s="69"/>
      <c r="AE509" s="69"/>
    </row>
    <row r="510" spans="1:31">
      <c r="A510" s="66"/>
      <c r="B510" s="970" t="str">
        <f>IF(Uebersetzung!$A$1=1,'SIA2001'!E216,'SIA2001'!F216)</f>
        <v>BACHL EPS Dach 150 kPa</v>
      </c>
      <c r="D510" s="69"/>
      <c r="E510" s="69"/>
      <c r="F510" s="69"/>
      <c r="G510" s="971">
        <v>25</v>
      </c>
      <c r="H510" s="971">
        <f>'SIA2001'!K216</f>
        <v>3.3000000000000002E-2</v>
      </c>
      <c r="I510" s="972">
        <f>'SIA2001'!O216</f>
        <v>60</v>
      </c>
      <c r="J510" s="27"/>
      <c r="K510" s="27"/>
      <c r="L510" s="27"/>
      <c r="M510" s="27"/>
      <c r="N510" s="27"/>
      <c r="P510" s="27"/>
      <c r="AA510" s="69"/>
      <c r="AB510" s="69"/>
      <c r="AC510" s="69"/>
      <c r="AD510" s="69"/>
      <c r="AE510" s="69"/>
    </row>
    <row r="511" spans="1:31">
      <c r="A511" s="66"/>
      <c r="B511" s="970" t="str">
        <f>IF(Uebersetzung!$A$1=1,'SIA2001'!E217,'SIA2001'!F217)</f>
        <v>BACHL mousse dure Neopor / NeoStep</v>
      </c>
      <c r="D511" s="69"/>
      <c r="E511" s="69"/>
      <c r="F511" s="69"/>
      <c r="G511" s="971">
        <v>15</v>
      </c>
      <c r="H511" s="971">
        <f>'SIA2001'!K217</f>
        <v>3.1E-2</v>
      </c>
      <c r="I511" s="972">
        <f>'SIA2001'!O217</f>
        <v>60</v>
      </c>
      <c r="J511" s="27"/>
      <c r="K511" s="27"/>
      <c r="L511" s="27"/>
      <c r="M511" s="27"/>
      <c r="N511" s="27"/>
      <c r="P511" s="27"/>
      <c r="AA511" s="69"/>
      <c r="AB511" s="69"/>
      <c r="AC511" s="69"/>
      <c r="AD511" s="69"/>
      <c r="AE511" s="69"/>
    </row>
    <row r="512" spans="1:31">
      <c r="A512" s="66"/>
      <c r="B512" s="970" t="str">
        <f>IF(Uebersetzung!$A$1=1,'SIA2001'!E218,'SIA2001'!F218)</f>
        <v>BACHL Hartschaum Neopor TS 033 neoStep</v>
      </c>
      <c r="D512" s="69"/>
      <c r="E512" s="69"/>
      <c r="F512" s="69"/>
      <c r="G512" s="971">
        <v>15</v>
      </c>
      <c r="H512" s="971">
        <f>'SIA2001'!K218</f>
        <v>3.3000000000000002E-2</v>
      </c>
      <c r="I512" s="972">
        <f>'SIA2001'!O218</f>
        <v>60</v>
      </c>
      <c r="J512" s="27"/>
      <c r="K512" s="27"/>
      <c r="L512" s="27"/>
      <c r="M512" s="27"/>
      <c r="N512" s="27"/>
      <c r="P512" s="27"/>
      <c r="AA512" s="69"/>
      <c r="AB512" s="69"/>
      <c r="AC512" s="69"/>
      <c r="AD512" s="69"/>
      <c r="AE512" s="69"/>
    </row>
    <row r="513" spans="1:31">
      <c r="A513" s="66"/>
      <c r="B513" s="970" t="str">
        <f>IF(Uebersetzung!$A$1=1,'SIA2001'!E219,'SIA2001'!F219)</f>
        <v>EuroTherm White 030</v>
      </c>
      <c r="D513" s="69"/>
      <c r="E513" s="69"/>
      <c r="F513" s="69"/>
      <c r="G513" s="971">
        <f>'SIA2001'!J219</f>
        <v>22</v>
      </c>
      <c r="H513" s="971">
        <f>'SIA2001'!K219</f>
        <v>0.03</v>
      </c>
      <c r="I513" s="972">
        <f>'SIA2001'!O219</f>
        <v>60</v>
      </c>
      <c r="J513" s="27"/>
      <c r="K513" s="27"/>
      <c r="L513" s="27"/>
      <c r="M513" s="27"/>
      <c r="N513" s="27"/>
      <c r="P513" s="27"/>
      <c r="AA513" s="970"/>
      <c r="AB513" s="971"/>
      <c r="AC513" s="971"/>
      <c r="AD513" s="971"/>
      <c r="AE513" s="971"/>
    </row>
    <row r="514" spans="1:31">
      <c r="A514" s="66"/>
      <c r="B514" s="970" t="str">
        <f>IF(Uebersetzung!$A$1=1,'SIA2001'!E220,'SIA2001'!F220)</f>
        <v>EuroTherm White 031</v>
      </c>
      <c r="D514" s="69"/>
      <c r="E514" s="69"/>
      <c r="F514" s="69"/>
      <c r="G514" s="971">
        <f>'SIA2001'!J220</f>
        <v>17</v>
      </c>
      <c r="H514" s="971">
        <f>'SIA2001'!K220</f>
        <v>3.1E-2</v>
      </c>
      <c r="I514" s="972">
        <f>'SIA2001'!O220</f>
        <v>60</v>
      </c>
      <c r="J514" s="27"/>
      <c r="K514" s="27"/>
      <c r="L514" s="27"/>
      <c r="M514" s="27"/>
      <c r="N514" s="27"/>
      <c r="P514" s="27"/>
      <c r="AA514" s="970"/>
      <c r="AB514" s="971"/>
      <c r="AC514" s="971"/>
      <c r="AD514" s="971"/>
      <c r="AE514" s="971"/>
    </row>
    <row r="515" spans="1:31">
      <c r="A515" s="66"/>
      <c r="B515" s="970" t="str">
        <f>IF(Uebersetzung!$A$1=1,'SIA2001'!E221,'SIA2001'!F221)</f>
        <v>EuroThermEPS 037</v>
      </c>
      <c r="D515" s="69"/>
      <c r="E515" s="69"/>
      <c r="F515" s="69"/>
      <c r="G515" s="971">
        <f>'SIA2001'!J221</f>
        <v>20</v>
      </c>
      <c r="H515" s="971">
        <f>'SIA2001'!K221</f>
        <v>3.6999999999999998E-2</v>
      </c>
      <c r="I515" s="972">
        <f>'SIA2001'!O221</f>
        <v>60</v>
      </c>
      <c r="J515" s="27"/>
      <c r="K515" s="27"/>
      <c r="L515" s="27"/>
      <c r="M515" s="27"/>
      <c r="N515" s="27"/>
      <c r="P515" s="27"/>
      <c r="AA515" s="970"/>
      <c r="AB515" s="971"/>
      <c r="AC515" s="971"/>
      <c r="AD515" s="971"/>
      <c r="AE515" s="971"/>
    </row>
    <row r="516" spans="1:31">
      <c r="A516" s="66"/>
      <c r="B516" s="970" t="str">
        <f>IF(Uebersetzung!$A$1=1,'SIA2001'!E222,'SIA2001'!F222)</f>
        <v>EPS-W20 Flapor Wärmedämmplatte</v>
      </c>
      <c r="D516" s="69"/>
      <c r="E516" s="69"/>
      <c r="F516" s="69"/>
      <c r="G516" s="971">
        <v>20</v>
      </c>
      <c r="H516" s="971">
        <f>'SIA2001'!K222</f>
        <v>3.5000000000000003E-2</v>
      </c>
      <c r="I516" s="972">
        <f>'SIA2001'!O222</f>
        <v>60</v>
      </c>
      <c r="J516" s="27"/>
      <c r="K516" s="27"/>
      <c r="L516" s="27"/>
      <c r="M516" s="27"/>
      <c r="N516" s="27"/>
      <c r="P516" s="27"/>
      <c r="AA516" s="69"/>
      <c r="AB516" s="69"/>
      <c r="AC516" s="69"/>
      <c r="AD516" s="69"/>
      <c r="AE516" s="69"/>
    </row>
    <row r="517" spans="1:31">
      <c r="A517" s="66"/>
      <c r="B517" s="970" t="str">
        <f>IF(Uebersetzung!$A$1=1,'SIA2001'!E223,'SIA2001'!F223)</f>
        <v>EPS-W25 Flapor Wärmedämmplatte</v>
      </c>
      <c r="D517" s="69"/>
      <c r="E517" s="69"/>
      <c r="F517" s="69"/>
      <c r="G517" s="971">
        <v>24</v>
      </c>
      <c r="H517" s="971">
        <f>'SIA2001'!K223</f>
        <v>3.4000000000000002E-2</v>
      </c>
      <c r="I517" s="972">
        <f>'SIA2001'!O223</f>
        <v>60</v>
      </c>
      <c r="J517" s="27"/>
      <c r="K517" s="27"/>
      <c r="L517" s="27"/>
      <c r="M517" s="27"/>
      <c r="N517" s="27"/>
      <c r="P517" s="27"/>
      <c r="AA517" s="970"/>
      <c r="AB517" s="971"/>
      <c r="AC517" s="971"/>
      <c r="AD517" s="971"/>
      <c r="AE517" s="971"/>
    </row>
    <row r="518" spans="1:31">
      <c r="A518" s="66"/>
      <c r="B518" s="970" t="str">
        <f>IF(Uebersetzung!$A$1=1,'SIA2001'!E224,'SIA2001'!F224)</f>
        <v>Flapor plus EPS-W20 Wärmedämmplatte</v>
      </c>
      <c r="D518" s="69"/>
      <c r="E518" s="69"/>
      <c r="F518" s="69"/>
      <c r="G518" s="971">
        <v>19</v>
      </c>
      <c r="H518" s="971">
        <f>'SIA2001'!K224</f>
        <v>3.1E-2</v>
      </c>
      <c r="I518" s="972">
        <f>'SIA2001'!O224</f>
        <v>60</v>
      </c>
      <c r="J518" s="27"/>
      <c r="K518" s="27"/>
      <c r="L518" s="27"/>
      <c r="M518" s="27"/>
      <c r="N518" s="27"/>
      <c r="P518" s="27"/>
      <c r="AA518" s="970"/>
      <c r="AB518" s="971"/>
      <c r="AC518" s="971"/>
      <c r="AD518" s="971"/>
      <c r="AE518" s="971"/>
    </row>
    <row r="519" spans="1:31">
      <c r="A519" s="66"/>
      <c r="B519" s="970" t="str">
        <f>IF(Uebersetzung!$A$1=1,'SIA2001'!E225,'SIA2001'!F225)</f>
        <v>EPS-F Flapor pour façades</v>
      </c>
      <c r="D519" s="69"/>
      <c r="E519" s="69"/>
      <c r="F519" s="69"/>
      <c r="G519" s="971">
        <v>17</v>
      </c>
      <c r="H519" s="971">
        <f>'SIA2001'!K225</f>
        <v>3.7999999999999999E-2</v>
      </c>
      <c r="I519" s="972">
        <f>'SIA2001'!O225</f>
        <v>60</v>
      </c>
      <c r="J519" s="27"/>
      <c r="K519" s="27"/>
      <c r="L519" s="27"/>
      <c r="M519" s="27"/>
      <c r="N519" s="27"/>
      <c r="P519" s="27"/>
      <c r="AA519" s="970"/>
      <c r="AB519" s="971"/>
      <c r="AC519" s="971"/>
      <c r="AD519" s="971"/>
      <c r="AE519" s="971"/>
    </row>
    <row r="520" spans="1:31">
      <c r="A520" s="66"/>
      <c r="B520" s="970" t="str">
        <f>IF(Uebersetzung!$A$1=1,'SIA2001'!E226,'SIA2001'!F226)</f>
        <v>EPS Flaporplus DUO-W25 Wärmedämmplatte</v>
      </c>
      <c r="D520" s="69"/>
      <c r="E520" s="69"/>
      <c r="F520" s="69"/>
      <c r="G520" s="971">
        <v>24</v>
      </c>
      <c r="H520" s="971">
        <f>'SIA2001'!K226</f>
        <v>2.9000000000000001E-2</v>
      </c>
      <c r="I520" s="972">
        <f>'SIA2001'!O226</f>
        <v>60</v>
      </c>
      <c r="J520" s="27"/>
      <c r="K520" s="27"/>
      <c r="L520" s="27"/>
      <c r="M520" s="27"/>
      <c r="N520" s="27"/>
      <c r="P520" s="27"/>
      <c r="AA520" s="970"/>
      <c r="AB520" s="971"/>
      <c r="AC520" s="971"/>
      <c r="AD520" s="971"/>
      <c r="AE520" s="971"/>
    </row>
    <row r="521" spans="1:31">
      <c r="A521" s="66"/>
      <c r="B521" s="970" t="str">
        <f>IF(Uebersetzung!$A$1=1,'SIA2001'!E227,'SIA2001'!F227)</f>
        <v>Perimeter-/Sockel-Dämmplatte FLAPORplus EPS-P</v>
      </c>
      <c r="D521" s="69"/>
      <c r="E521" s="69"/>
      <c r="F521" s="69"/>
      <c r="G521" s="971">
        <v>30</v>
      </c>
      <c r="H521" s="971">
        <f>'SIA2001'!K227</f>
        <v>3.1E-2</v>
      </c>
      <c r="I521" s="972">
        <f>'SIA2001'!O227</f>
        <v>60</v>
      </c>
      <c r="J521" s="27"/>
      <c r="K521" s="27"/>
      <c r="L521" s="27"/>
      <c r="M521" s="27"/>
      <c r="N521" s="27"/>
      <c r="P521" s="27"/>
      <c r="AA521" s="970"/>
      <c r="AB521" s="971"/>
      <c r="AC521" s="971"/>
      <c r="AD521" s="971"/>
      <c r="AE521" s="971"/>
    </row>
    <row r="522" spans="1:31">
      <c r="A522" s="66"/>
      <c r="B522" s="970" t="str">
        <f>IF(Uebersetzung!$A$1=1,'SIA2001'!E228,'SIA2001'!F228)</f>
        <v>FLAPORplus EPS-F DUO 030 Fassadendämmplatte</v>
      </c>
      <c r="D522" s="69"/>
      <c r="E522" s="69"/>
      <c r="F522" s="69"/>
      <c r="G522" s="971">
        <v>20</v>
      </c>
      <c r="H522" s="971">
        <f>'SIA2001'!K228</f>
        <v>0.03</v>
      </c>
      <c r="I522" s="972">
        <f>'SIA2001'!O228</f>
        <v>60</v>
      </c>
      <c r="J522" s="27"/>
      <c r="K522" s="27"/>
      <c r="L522" s="27"/>
      <c r="M522" s="27"/>
      <c r="N522" s="27"/>
      <c r="P522" s="27"/>
      <c r="AA522" s="970"/>
      <c r="AB522" s="971"/>
      <c r="AC522" s="971"/>
      <c r="AD522" s="971"/>
      <c r="AE522" s="971"/>
    </row>
    <row r="523" spans="1:31">
      <c r="A523" s="66"/>
      <c r="B523" s="970" t="str">
        <f>IF(Uebersetzung!$A$1=1,'SIA2001'!E229,'SIA2001'!F229)</f>
        <v>FLAPORplus EPS-F 030 Fassadendämmplatte</v>
      </c>
      <c r="D523" s="69"/>
      <c r="E523" s="69"/>
      <c r="F523" s="69"/>
      <c r="G523" s="971">
        <v>20</v>
      </c>
      <c r="H523" s="971">
        <f>'SIA2001'!K229</f>
        <v>0.03</v>
      </c>
      <c r="I523" s="972">
        <f>'SIA2001'!O229</f>
        <v>60</v>
      </c>
      <c r="J523" s="27"/>
      <c r="K523" s="27"/>
      <c r="L523" s="27"/>
      <c r="M523" s="27"/>
      <c r="N523" s="27"/>
      <c r="P523" s="27"/>
      <c r="AA523" s="970"/>
      <c r="AB523" s="971"/>
      <c r="AC523" s="971"/>
      <c r="AD523" s="971"/>
      <c r="AE523" s="971"/>
    </row>
    <row r="524" spans="1:31">
      <c r="A524" s="66"/>
      <c r="B524" s="970" t="str">
        <f>IF(Uebersetzung!$A$1=1,'SIA2001'!E230,'SIA2001'!F230)</f>
        <v>Fassadendämmplatte EPS-F 031 Takeit Alpin Relax</v>
      </c>
      <c r="D524" s="69"/>
      <c r="E524" s="69"/>
      <c r="F524" s="69"/>
      <c r="G524" s="971">
        <v>18</v>
      </c>
      <c r="H524" s="971">
        <f>'SIA2001'!K230</f>
        <v>3.1E-2</v>
      </c>
      <c r="I524" s="972">
        <f>'SIA2001'!O230</f>
        <v>60</v>
      </c>
      <c r="J524" s="27"/>
      <c r="K524" s="27"/>
      <c r="L524" s="27"/>
      <c r="M524" s="27"/>
      <c r="N524" s="27"/>
      <c r="P524" s="27"/>
      <c r="AA524" s="970"/>
      <c r="AB524" s="971"/>
      <c r="AC524" s="971"/>
      <c r="AD524" s="971"/>
      <c r="AE524" s="971"/>
    </row>
    <row r="525" spans="1:31">
      <c r="A525" s="66"/>
      <c r="B525" s="970" t="str">
        <f>IF(Uebersetzung!$A$1=1,'SIA2001'!E231,'SIA2001'!F231)</f>
        <v>FLAPORplus EPS-F DUO 031 Fassadendämmplatte</v>
      </c>
      <c r="D525" s="69"/>
      <c r="E525" s="69"/>
      <c r="F525" s="69"/>
      <c r="G525" s="971">
        <v>18</v>
      </c>
      <c r="H525" s="971">
        <f>'SIA2001'!K231</f>
        <v>3.1E-2</v>
      </c>
      <c r="I525" s="972">
        <f>'SIA2001'!O231</f>
        <v>60</v>
      </c>
      <c r="J525" s="27"/>
      <c r="K525" s="27"/>
      <c r="L525" s="27"/>
      <c r="M525" s="27"/>
      <c r="N525" s="27"/>
      <c r="P525" s="27"/>
      <c r="AA525" s="970"/>
      <c r="AB525" s="971"/>
      <c r="AC525" s="971"/>
      <c r="AD525" s="971"/>
      <c r="AE525" s="971"/>
    </row>
    <row r="526" spans="1:31">
      <c r="A526" s="66"/>
      <c r="B526" s="970" t="str">
        <f>IF(Uebersetzung!$A$1=1,'SIA2001'!E232,'SIA2001'!F232)</f>
        <v>FLAPORplus EPS-W25 Wärmedämmplatte</v>
      </c>
      <c r="D526" s="69"/>
      <c r="E526" s="69"/>
      <c r="F526" s="69"/>
      <c r="G526" s="971">
        <v>16</v>
      </c>
      <c r="H526" s="971">
        <f>'SIA2001'!K232</f>
        <v>2.9000000000000001E-2</v>
      </c>
      <c r="I526" s="972">
        <f>'SIA2001'!O232</f>
        <v>60</v>
      </c>
      <c r="J526" s="27"/>
      <c r="K526" s="27"/>
      <c r="L526" s="27"/>
      <c r="M526" s="27"/>
      <c r="N526" s="27"/>
      <c r="P526" s="27"/>
      <c r="AA526" s="970"/>
      <c r="AB526" s="971"/>
      <c r="AC526" s="971"/>
      <c r="AD526" s="971"/>
      <c r="AE526" s="971"/>
    </row>
    <row r="527" spans="1:31">
      <c r="A527" s="66"/>
      <c r="B527" s="970" t="str">
        <f>IF(Uebersetzung!$A$1=1,'SIA2001'!E233,'SIA2001'!F233)</f>
        <v>Flaporplus EPS-F pour façades</v>
      </c>
      <c r="D527" s="69"/>
      <c r="E527" s="69"/>
      <c r="F527" s="69"/>
      <c r="G527" s="971">
        <v>17</v>
      </c>
      <c r="H527" s="971">
        <f>'SIA2001'!K233</f>
        <v>3.1E-2</v>
      </c>
      <c r="I527" s="972">
        <f>'SIA2001'!O233</f>
        <v>60</v>
      </c>
      <c r="J527" s="27"/>
      <c r="K527" s="27"/>
      <c r="L527" s="27"/>
      <c r="M527" s="27"/>
      <c r="N527" s="27"/>
      <c r="P527" s="27"/>
      <c r="AA527" s="970"/>
      <c r="AB527" s="971"/>
      <c r="AC527" s="971"/>
      <c r="AD527" s="971"/>
      <c r="AE527" s="971"/>
    </row>
    <row r="528" spans="1:31">
      <c r="A528" s="66"/>
      <c r="B528" s="970" t="str">
        <f>IF(Uebersetzung!$A$1=1,'SIA2001'!E234,'SIA2001'!F234)</f>
        <v>Flapor EPS-P Perimeter</v>
      </c>
      <c r="D528" s="69"/>
      <c r="E528" s="69"/>
      <c r="F528" s="69"/>
      <c r="G528" s="971">
        <v>28</v>
      </c>
      <c r="H528" s="971">
        <f>'SIA2001'!K234</f>
        <v>3.5000000000000003E-2</v>
      </c>
      <c r="I528" s="972">
        <f>'SIA2001'!O234</f>
        <v>60</v>
      </c>
      <c r="J528" s="27"/>
      <c r="K528" s="27"/>
      <c r="L528" s="27"/>
      <c r="M528" s="27"/>
      <c r="N528" s="27"/>
      <c r="P528" s="27"/>
      <c r="AA528" s="970"/>
      <c r="AB528" s="971"/>
      <c r="AC528" s="971"/>
      <c r="AD528" s="971"/>
      <c r="AE528" s="971"/>
    </row>
    <row r="529" spans="1:31">
      <c r="A529" s="66"/>
      <c r="B529" s="970" t="str">
        <f>IF(Uebersetzung!$A$1=1,'SIA2001'!E235,'SIA2001'!F235)</f>
        <v>FRAGMAT NEO SUPER F</v>
      </c>
      <c r="D529" s="69"/>
      <c r="E529" s="69"/>
      <c r="F529" s="69"/>
      <c r="G529" s="971">
        <v>16</v>
      </c>
      <c r="H529" s="971">
        <f>'SIA2001'!K235</f>
        <v>3.2000000000000001E-2</v>
      </c>
      <c r="I529" s="972">
        <f>'SIA2001'!O235</f>
        <v>60</v>
      </c>
      <c r="J529" s="27"/>
      <c r="K529" s="27"/>
      <c r="L529" s="27"/>
      <c r="M529" s="27"/>
      <c r="N529" s="27"/>
      <c r="P529" s="27"/>
      <c r="AA529" s="970"/>
      <c r="AB529" s="971"/>
      <c r="AC529" s="971"/>
      <c r="AD529" s="971"/>
      <c r="AE529" s="971"/>
    </row>
    <row r="530" spans="1:31">
      <c r="A530" s="66"/>
      <c r="B530" s="970" t="str">
        <f>IF(Uebersetzung!$A$1=1,'SIA2001'!E236,'SIA2001'!F236)</f>
        <v>FRAGMAT NEO SUPER F 031</v>
      </c>
      <c r="D530" s="69"/>
      <c r="E530" s="69"/>
      <c r="F530" s="69"/>
      <c r="G530" s="971">
        <v>18</v>
      </c>
      <c r="H530" s="971">
        <f>'SIA2001'!K236</f>
        <v>3.1E-2</v>
      </c>
      <c r="I530" s="972">
        <f>'SIA2001'!O236</f>
        <v>60</v>
      </c>
      <c r="J530" s="27"/>
      <c r="K530" s="27"/>
      <c r="L530" s="27"/>
      <c r="M530" s="27"/>
      <c r="N530" s="27"/>
      <c r="P530" s="27"/>
      <c r="AA530" s="970"/>
      <c r="AB530" s="971"/>
      <c r="AC530" s="971"/>
      <c r="AD530" s="971"/>
      <c r="AE530" s="971"/>
    </row>
    <row r="531" spans="1:31">
      <c r="A531" s="66"/>
      <c r="B531" s="970" t="str">
        <f>IF(Uebersetzung!$A$1=1,'SIA2001'!E237,'SIA2001'!F237)</f>
        <v>goEPS Intégral 030</v>
      </c>
      <c r="D531" s="69"/>
      <c r="E531" s="69"/>
      <c r="F531" s="69"/>
      <c r="G531" s="971">
        <f>'SIA2001'!J237</f>
        <v>20</v>
      </c>
      <c r="H531" s="971">
        <f>'SIA2001'!K237</f>
        <v>0.03</v>
      </c>
      <c r="I531" s="972">
        <f>'SIA2001'!O237</f>
        <v>60</v>
      </c>
      <c r="J531" s="27"/>
      <c r="K531" s="27"/>
      <c r="L531" s="27"/>
      <c r="M531" s="27"/>
      <c r="N531" s="27"/>
      <c r="P531" s="27"/>
      <c r="AA531" s="970"/>
      <c r="AB531" s="971"/>
      <c r="AC531" s="971"/>
      <c r="AD531" s="971"/>
      <c r="AE531" s="971"/>
    </row>
    <row r="532" spans="1:31">
      <c r="A532" s="66"/>
      <c r="B532" s="970" t="str">
        <f>IF(Uebersetzung!$A$1=1,'SIA2001'!E238,'SIA2001'!F238)</f>
        <v>goEPS gris 031</v>
      </c>
      <c r="D532" s="69"/>
      <c r="E532" s="69"/>
      <c r="F532" s="69"/>
      <c r="G532" s="971">
        <f>'SIA2001'!J238</f>
        <v>15</v>
      </c>
      <c r="H532" s="971">
        <f>'SIA2001'!K238</f>
        <v>3.1E-2</v>
      </c>
      <c r="I532" s="972">
        <f>'SIA2001'!O238</f>
        <v>60</v>
      </c>
      <c r="J532" s="27"/>
      <c r="K532" s="27"/>
      <c r="L532" s="27"/>
      <c r="M532" s="27"/>
      <c r="N532" s="27"/>
      <c r="P532" s="27"/>
      <c r="AA532" s="69"/>
      <c r="AB532" s="69"/>
      <c r="AC532" s="69"/>
      <c r="AD532" s="69"/>
      <c r="AE532" s="69"/>
    </row>
    <row r="533" spans="1:31">
      <c r="A533" s="66"/>
      <c r="B533" s="970" t="str">
        <f>IF(Uebersetzung!$A$1=1,'SIA2001'!E239,'SIA2001'!F239)</f>
        <v>goEPS blanc 033</v>
      </c>
      <c r="D533" s="69"/>
      <c r="E533" s="69"/>
      <c r="F533" s="69"/>
      <c r="G533" s="971">
        <f>'SIA2001'!J239</f>
        <v>30</v>
      </c>
      <c r="H533" s="971">
        <f>'SIA2001'!K239</f>
        <v>3.3000000000000002E-2</v>
      </c>
      <c r="I533" s="972">
        <f>'SIA2001'!O239</f>
        <v>60</v>
      </c>
      <c r="J533" s="27"/>
      <c r="K533" s="27"/>
      <c r="L533" s="27"/>
      <c r="M533" s="27"/>
      <c r="N533" s="27"/>
      <c r="P533" s="27"/>
      <c r="AA533" s="970"/>
      <c r="AB533" s="970"/>
      <c r="AC533" s="970"/>
      <c r="AD533" s="970"/>
      <c r="AE533" s="970"/>
    </row>
    <row r="534" spans="1:31">
      <c r="A534" s="66"/>
      <c r="B534" s="970" t="str">
        <f>IF(Uebersetzung!$A$1=1,'SIA2001'!E240,'SIA2001'!F240)</f>
        <v>goEPS blanc 036</v>
      </c>
      <c r="D534" s="69"/>
      <c r="E534" s="69"/>
      <c r="F534" s="69"/>
      <c r="G534" s="971">
        <v>20</v>
      </c>
      <c r="H534" s="971">
        <f>'SIA2001'!K240</f>
        <v>3.5999999999999997E-2</v>
      </c>
      <c r="I534" s="972">
        <f>'SIA2001'!O240</f>
        <v>60</v>
      </c>
      <c r="J534" s="27"/>
      <c r="K534" s="27"/>
      <c r="L534" s="27"/>
      <c r="M534" s="27"/>
      <c r="N534" s="27"/>
      <c r="P534" s="27"/>
      <c r="AA534" s="970"/>
      <c r="AB534" s="970"/>
      <c r="AC534" s="970"/>
      <c r="AD534" s="970"/>
      <c r="AE534" s="970"/>
    </row>
    <row r="535" spans="1:31">
      <c r="A535" s="66"/>
      <c r="B535" s="970" t="str">
        <f>IF(Uebersetzung!$A$1=1,'SIA2001'!E241,'SIA2001'!F241)</f>
        <v>goEPS blanc 038</v>
      </c>
      <c r="D535" s="69"/>
      <c r="E535" s="69"/>
      <c r="F535" s="69"/>
      <c r="G535" s="971">
        <v>15</v>
      </c>
      <c r="H535" s="971">
        <f>'SIA2001'!K241</f>
        <v>3.7999999999999999E-2</v>
      </c>
      <c r="I535" s="972">
        <f>'SIA2001'!O241</f>
        <v>60</v>
      </c>
      <c r="J535" s="27"/>
      <c r="K535" s="27"/>
      <c r="L535" s="27"/>
      <c r="M535" s="27"/>
      <c r="N535" s="27"/>
      <c r="P535" s="27"/>
      <c r="AA535" s="970"/>
      <c r="AB535" s="970"/>
      <c r="AC535" s="970"/>
      <c r="AD535" s="970"/>
      <c r="AE535" s="970"/>
    </row>
    <row r="536" spans="1:31">
      <c r="A536" s="66"/>
      <c r="B536" s="970" t="str">
        <f>IF(Uebersetzung!$A$1=1,'SIA2001'!E242,'SIA2001'!F242)</f>
        <v>goPST blanc 038</v>
      </c>
      <c r="D536" s="69"/>
      <c r="E536" s="69"/>
      <c r="F536" s="69"/>
      <c r="G536" s="971">
        <f>'SIA2001'!J242</f>
        <v>15</v>
      </c>
      <c r="H536" s="971">
        <f>'SIA2001'!K242</f>
        <v>3.7999999999999999E-2</v>
      </c>
      <c r="I536" s="972">
        <f>'SIA2001'!O242</f>
        <v>60</v>
      </c>
      <c r="J536" s="27"/>
      <c r="K536" s="27"/>
      <c r="L536" s="27"/>
      <c r="M536" s="27"/>
      <c r="N536" s="27"/>
      <c r="P536" s="27"/>
      <c r="AA536" s="970"/>
      <c r="AB536" s="970"/>
      <c r="AC536" s="970"/>
      <c r="AD536" s="970"/>
      <c r="AE536" s="970"/>
    </row>
    <row r="537" spans="1:31">
      <c r="A537" s="66"/>
      <c r="B537" s="970" t="str">
        <f>IF(Uebersetzung!$A$1=1,'SIA2001'!E243,'SIA2001'!F243)</f>
        <v>goIntégral 031</v>
      </c>
      <c r="D537" s="69"/>
      <c r="E537" s="69"/>
      <c r="F537" s="69"/>
      <c r="G537" s="971">
        <v>15</v>
      </c>
      <c r="H537" s="971">
        <f>'SIA2001'!K243</f>
        <v>3.1E-2</v>
      </c>
      <c r="I537" s="972">
        <f>'SIA2001'!O243</f>
        <v>60</v>
      </c>
      <c r="J537" s="27"/>
      <c r="K537" s="27"/>
      <c r="L537" s="27"/>
      <c r="M537" s="27"/>
      <c r="N537" s="27"/>
      <c r="P537" s="27"/>
      <c r="AA537" s="970"/>
      <c r="AB537" s="970"/>
      <c r="AC537" s="970"/>
      <c r="AD537" s="970"/>
      <c r="AE537" s="970"/>
    </row>
    <row r="538" spans="1:31">
      <c r="A538" s="66"/>
      <c r="B538" s="970" t="str">
        <f>IF(Uebersetzung!$A$1=1,'SIA2001'!E244,'SIA2001'!F244)</f>
        <v>Panneau isolant EPS 035 DAA DAD DEO ds200</v>
      </c>
      <c r="D538" s="69"/>
      <c r="E538" s="69"/>
      <c r="F538" s="69"/>
      <c r="G538" s="971">
        <v>31</v>
      </c>
      <c r="H538" s="971">
        <f>'SIA2001'!K244</f>
        <v>3.5000000000000003E-2</v>
      </c>
      <c r="I538" s="972">
        <f>'SIA2001'!O244</f>
        <v>60</v>
      </c>
      <c r="J538" s="27"/>
      <c r="K538" s="27"/>
      <c r="L538" s="27"/>
      <c r="M538" s="27"/>
      <c r="N538" s="27"/>
      <c r="P538" s="27"/>
      <c r="AA538" s="970"/>
      <c r="AB538" s="970"/>
      <c r="AC538" s="970"/>
      <c r="AD538" s="970"/>
      <c r="AE538" s="970"/>
    </row>
    <row r="539" spans="1:31">
      <c r="A539" s="66"/>
      <c r="B539" s="970" t="str">
        <f>IF(Uebersetzung!$A$1=1,'SIA2001'!E245,'SIA2001'!F245)</f>
        <v>Panneau isolant EPS 040 WI, DI, WZ, DZ, WAB, WDV, WAP</v>
      </c>
      <c r="D539" s="69"/>
      <c r="E539" s="69"/>
      <c r="F539" s="69"/>
      <c r="G539" s="971">
        <v>16</v>
      </c>
      <c r="H539" s="971">
        <f>'SIA2001'!K245</f>
        <v>0.04</v>
      </c>
      <c r="I539" s="972">
        <f>'SIA2001'!O245</f>
        <v>60</v>
      </c>
      <c r="J539" s="27"/>
      <c r="K539" s="27"/>
      <c r="L539" s="27"/>
      <c r="M539" s="27"/>
      <c r="N539" s="27"/>
      <c r="P539" s="27"/>
      <c r="AA539" s="970"/>
      <c r="AB539" s="970"/>
      <c r="AC539" s="970"/>
      <c r="AD539" s="970"/>
      <c r="AE539" s="970"/>
    </row>
    <row r="540" spans="1:31">
      <c r="A540" s="66"/>
      <c r="B540" s="970" t="str">
        <f>IF(Uebersetzung!$A$1=1,'SIA2001'!E246,'SIA2001'!F246)</f>
        <v>Panneau insonorisant EPS 040 DES sg</v>
      </c>
      <c r="D540" s="69"/>
      <c r="E540" s="69"/>
      <c r="F540" s="69"/>
      <c r="G540" s="971">
        <v>13</v>
      </c>
      <c r="H540" s="971">
        <f>'SIA2001'!K246</f>
        <v>0.04</v>
      </c>
      <c r="I540" s="972">
        <f>'SIA2001'!O246</f>
        <v>60</v>
      </c>
      <c r="J540" s="27"/>
      <c r="K540" s="27"/>
      <c r="L540" s="27"/>
      <c r="M540" s="27"/>
      <c r="N540" s="27"/>
      <c r="P540" s="27"/>
      <c r="AA540" s="970"/>
      <c r="AB540" s="970"/>
      <c r="AC540" s="970"/>
      <c r="AD540" s="970"/>
      <c r="AE540" s="970"/>
    </row>
    <row r="541" spans="1:31">
      <c r="A541" s="66"/>
      <c r="B541" s="970" t="str">
        <f>IF(Uebersetzung!$A$1=1,'SIA2001'!E247,'SIA2001'!F247)</f>
        <v>Panneau pour façades EPS 035 WDV</v>
      </c>
      <c r="D541" s="69"/>
      <c r="E541" s="69"/>
      <c r="F541" s="69"/>
      <c r="G541" s="971">
        <v>21</v>
      </c>
      <c r="H541" s="971">
        <f>'SIA2001'!K247</f>
        <v>3.5000000000000003E-2</v>
      </c>
      <c r="I541" s="972">
        <f>'SIA2001'!O247</f>
        <v>60</v>
      </c>
      <c r="J541" s="27"/>
      <c r="K541" s="27"/>
      <c r="L541" s="27"/>
      <c r="M541" s="27"/>
      <c r="N541" s="27"/>
      <c r="P541" s="27"/>
      <c r="AA541" s="970"/>
      <c r="AB541" s="970"/>
      <c r="AC541" s="970"/>
      <c r="AD541" s="970"/>
      <c r="AE541" s="970"/>
    </row>
    <row r="542" spans="1:31">
      <c r="A542" s="66"/>
      <c r="B542" s="970" t="str">
        <f>IF(Uebersetzung!$A$1=1,'SIA2001'!E248,'SIA2001'!F248)</f>
        <v>Panneau pour façades EPS 035 WDV IR</v>
      </c>
      <c r="D542" s="69"/>
      <c r="E542" s="69"/>
      <c r="F542" s="69"/>
      <c r="G542" s="971">
        <v>16</v>
      </c>
      <c r="H542" s="971">
        <f>'SIA2001'!K248</f>
        <v>3.5000000000000003E-2</v>
      </c>
      <c r="I542" s="972">
        <f>'SIA2001'!O248</f>
        <v>60</v>
      </c>
      <c r="J542" s="27"/>
      <c r="K542" s="27"/>
      <c r="L542" s="27"/>
      <c r="M542" s="27"/>
      <c r="N542" s="27"/>
      <c r="P542" s="27"/>
      <c r="AA542" s="970"/>
      <c r="AB542" s="970"/>
      <c r="AC542" s="970"/>
      <c r="AD542" s="970"/>
      <c r="AE542" s="970"/>
    </row>
    <row r="543" spans="1:31">
      <c r="A543" s="66"/>
      <c r="B543" s="970" t="str">
        <f>IF(Uebersetzung!$A$1=1,'SIA2001'!E249,'SIA2001'!F249)</f>
        <v>Panneau pour isolation extérieure Perimaxx, 5 in 1, SP3</v>
      </c>
      <c r="D543" s="69"/>
      <c r="E543" s="69"/>
      <c r="F543" s="69"/>
      <c r="G543" s="971">
        <v>26</v>
      </c>
      <c r="H543" s="971">
        <f>'SIA2001'!K249</f>
        <v>3.5000000000000003E-2</v>
      </c>
      <c r="I543" s="972">
        <f>'SIA2001'!O249</f>
        <v>60</v>
      </c>
      <c r="J543" s="27"/>
      <c r="K543" s="27"/>
      <c r="L543" s="27"/>
      <c r="M543" s="27"/>
      <c r="N543" s="27"/>
      <c r="P543" s="27"/>
      <c r="AA543" s="970"/>
      <c r="AB543" s="970"/>
      <c r="AC543" s="970"/>
      <c r="AD543" s="970"/>
      <c r="AE543" s="970"/>
    </row>
    <row r="544" spans="1:31">
      <c r="A544" s="66"/>
      <c r="B544" s="970" t="str">
        <f>IF(Uebersetzung!$A$1=1,'SIA2001'!E250,'SIA2001'!F250)</f>
        <v>Panneau isolant EPS 035 DAA dm, DAD dm, DEO dm</v>
      </c>
      <c r="D544" s="69"/>
      <c r="E544" s="69"/>
      <c r="F544" s="69"/>
      <c r="G544" s="971">
        <v>20</v>
      </c>
      <c r="H544" s="971">
        <f>'SIA2001'!K250</f>
        <v>3.5000000000000003E-2</v>
      </c>
      <c r="I544" s="972">
        <f>'SIA2001'!O250</f>
        <v>60</v>
      </c>
      <c r="J544" s="27"/>
      <c r="K544" s="27"/>
      <c r="L544" s="27"/>
      <c r="M544" s="27"/>
      <c r="N544" s="27"/>
      <c r="P544" s="27"/>
      <c r="AA544" s="970"/>
      <c r="AB544" s="970"/>
      <c r="AC544" s="970"/>
      <c r="AD544" s="970"/>
      <c r="AE544" s="970"/>
    </row>
    <row r="545" spans="1:31">
      <c r="A545" s="66"/>
      <c r="B545" s="970" t="str">
        <f>IF(Uebersetzung!$A$1=1,'SIA2001'!E251,'SIA2001'!F251)</f>
        <v>Panneau insonorisant EPS 045 DES sm</v>
      </c>
      <c r="D545" s="69"/>
      <c r="E545" s="69"/>
      <c r="F545" s="69"/>
      <c r="G545" s="971">
        <v>12</v>
      </c>
      <c r="H545" s="971">
        <f>'SIA2001'!K251</f>
        <v>4.4999999999999998E-2</v>
      </c>
      <c r="I545" s="972">
        <f>'SIA2001'!O251</f>
        <v>60</v>
      </c>
      <c r="J545" s="27"/>
      <c r="K545" s="27"/>
      <c r="L545" s="27"/>
      <c r="M545" s="27"/>
      <c r="N545" s="27"/>
      <c r="P545" s="27"/>
      <c r="AA545" s="970"/>
      <c r="AB545" s="970"/>
      <c r="AC545" s="970"/>
      <c r="AD545" s="970"/>
      <c r="AE545" s="970"/>
    </row>
    <row r="546" spans="1:31">
      <c r="A546" s="66"/>
      <c r="B546" s="970" t="str">
        <f>IF(Uebersetzung!$A$1=1,'SIA2001'!E252,'SIA2001'!F252)</f>
        <v>Panneau isolant EPS 031 DAA DAD DEO IR</v>
      </c>
      <c r="D546" s="69"/>
      <c r="E546" s="69"/>
      <c r="F546" s="69"/>
      <c r="G546" s="971">
        <v>28</v>
      </c>
      <c r="H546" s="971">
        <f>'SIA2001'!K252</f>
        <v>3.1E-2</v>
      </c>
      <c r="I546" s="972">
        <f>'SIA2001'!O252</f>
        <v>60</v>
      </c>
      <c r="J546" s="27"/>
      <c r="K546" s="27"/>
      <c r="L546" s="27"/>
      <c r="M546" s="27"/>
      <c r="N546" s="27"/>
      <c r="P546" s="27"/>
      <c r="AA546" s="970"/>
      <c r="AB546" s="970"/>
      <c r="AC546" s="970"/>
      <c r="AD546" s="970"/>
      <c r="AE546" s="970"/>
    </row>
    <row r="547" spans="1:31">
      <c r="A547" s="66"/>
      <c r="B547" s="970" t="str">
        <f>IF(Uebersetzung!$A$1=1,'SIA2001'!E253,'SIA2001'!F253)</f>
        <v>EPS 038 DAA, DAD, DEO</v>
      </c>
      <c r="D547" s="69"/>
      <c r="E547" s="69"/>
      <c r="F547" s="69"/>
      <c r="G547" s="971">
        <v>18</v>
      </c>
      <c r="H547" s="971">
        <f>'SIA2001'!K253</f>
        <v>3.7999999999999999E-2</v>
      </c>
      <c r="I547" s="972">
        <f>'SIA2001'!O253</f>
        <v>60</v>
      </c>
      <c r="J547" s="27"/>
      <c r="K547" s="27"/>
      <c r="L547" s="27"/>
      <c r="M547" s="27"/>
      <c r="N547" s="27"/>
      <c r="P547" s="27"/>
      <c r="AA547" s="69"/>
      <c r="AB547" s="69"/>
      <c r="AC547" s="69"/>
      <c r="AD547" s="69"/>
      <c r="AE547" s="69"/>
    </row>
    <row r="548" spans="1:31">
      <c r="A548" s="66"/>
      <c r="B548" s="970" t="str">
        <f>IF(Uebersetzung!$A$1=1,'SIA2001'!E254,'SIA2001'!F254)</f>
        <v>Fassadendämmplatte SunJa 031</v>
      </c>
      <c r="D548" s="69"/>
      <c r="E548" s="69"/>
      <c r="F548" s="69"/>
      <c r="G548" s="971">
        <v>16</v>
      </c>
      <c r="H548" s="971">
        <f>'SIA2001'!K254</f>
        <v>3.1E-2</v>
      </c>
      <c r="I548" s="972">
        <f>'SIA2001'!O254</f>
        <v>60</v>
      </c>
      <c r="J548" s="27"/>
      <c r="K548" s="27"/>
      <c r="L548" s="27"/>
      <c r="M548" s="27"/>
      <c r="N548" s="27"/>
      <c r="P548" s="27"/>
      <c r="AA548" s="69"/>
      <c r="AB548" s="69"/>
      <c r="AC548" s="69"/>
      <c r="AD548" s="69"/>
      <c r="AE548" s="69"/>
    </row>
    <row r="549" spans="1:31">
      <c r="A549" s="66"/>
      <c r="B549" s="970" t="str">
        <f>IF(Uebersetzung!$A$1=1,'SIA2001'!E255,'SIA2001'!F255)</f>
        <v>EPS 034 DAA dh150, DAD dh150, DEO dh150</v>
      </c>
      <c r="D549" s="69"/>
      <c r="E549" s="69"/>
      <c r="F549" s="69"/>
      <c r="G549" s="971">
        <v>23</v>
      </c>
      <c r="H549" s="971">
        <f>'SIA2001'!K255</f>
        <v>3.4000000000000002E-2</v>
      </c>
      <c r="I549" s="972">
        <f>'SIA2001'!O255</f>
        <v>60</v>
      </c>
      <c r="J549" s="27"/>
      <c r="K549" s="27"/>
      <c r="L549" s="27"/>
      <c r="M549" s="27"/>
      <c r="N549" s="27"/>
      <c r="P549" s="27"/>
      <c r="AA549" s="69"/>
      <c r="AB549" s="69"/>
      <c r="AC549" s="69"/>
      <c r="AD549" s="975"/>
      <c r="AE549" s="975"/>
    </row>
    <row r="550" spans="1:31">
      <c r="A550" s="66"/>
      <c r="B550" s="970" t="str">
        <f>IF(Uebersetzung!$A$1=1,'SIA2001'!E256,'SIA2001'!F256)</f>
        <v>EPS 034 DAA dm120, DAD dm120, DEO dm120</v>
      </c>
      <c r="D550" s="69"/>
      <c r="E550" s="69"/>
      <c r="F550" s="69"/>
      <c r="G550" s="971">
        <v>23</v>
      </c>
      <c r="H550" s="971">
        <f>'SIA2001'!K256</f>
        <v>3.4000000000000002E-2</v>
      </c>
      <c r="I550" s="972">
        <f>'SIA2001'!O256</f>
        <v>60</v>
      </c>
      <c r="J550" s="27"/>
      <c r="K550" s="27"/>
      <c r="L550" s="27"/>
      <c r="M550" s="27"/>
      <c r="N550" s="27"/>
      <c r="P550" s="27"/>
      <c r="AA550" s="69"/>
      <c r="AB550" s="69"/>
      <c r="AC550" s="69"/>
      <c r="AD550" s="975"/>
      <c r="AE550" s="975"/>
    </row>
    <row r="551" spans="1:31">
      <c r="A551" s="66"/>
      <c r="B551" s="970" t="str">
        <f>IF(Uebersetzung!$A$1=1,'SIA2001'!E257,'SIA2001'!F257)</f>
        <v>Panneau pour façades EPS 031 IR</v>
      </c>
      <c r="D551" s="69"/>
      <c r="E551" s="69"/>
      <c r="F551" s="69"/>
      <c r="G551" s="971">
        <v>16</v>
      </c>
      <c r="H551" s="971">
        <f>'SIA2001'!K257</f>
        <v>3.1E-2</v>
      </c>
      <c r="I551" s="972">
        <f>'SIA2001'!O257</f>
        <v>60</v>
      </c>
      <c r="J551" s="27"/>
      <c r="K551" s="27"/>
      <c r="L551" s="27"/>
      <c r="M551" s="27"/>
      <c r="N551" s="27"/>
      <c r="P551" s="27"/>
      <c r="AA551" s="69"/>
      <c r="AB551" s="69"/>
      <c r="AC551" s="69"/>
      <c r="AD551" s="975"/>
      <c r="AE551" s="975"/>
    </row>
    <row r="552" spans="1:31">
      <c r="A552" s="66"/>
      <c r="B552" s="970" t="str">
        <f>IF(Uebersetzung!$A$1=1,'SIA2001'!E258,'SIA2001'!F258)</f>
        <v>Fassadendämmplatte duopor 031</v>
      </c>
      <c r="D552" s="69"/>
      <c r="E552" s="69"/>
      <c r="F552" s="69"/>
      <c r="G552" s="971">
        <v>16</v>
      </c>
      <c r="H552" s="971">
        <f>'SIA2001'!K258</f>
        <v>3.1E-2</v>
      </c>
      <c r="I552" s="972">
        <f>'SIA2001'!O258</f>
        <v>60</v>
      </c>
      <c r="J552" s="27"/>
      <c r="K552" s="27"/>
      <c r="L552" s="27"/>
      <c r="M552" s="27"/>
      <c r="N552" s="27"/>
      <c r="P552" s="27"/>
      <c r="AA552" s="69"/>
      <c r="AB552" s="69"/>
      <c r="AC552" s="69"/>
      <c r="AD552" s="975"/>
      <c r="AE552" s="975"/>
    </row>
    <row r="553" spans="1:31">
      <c r="A553" s="66"/>
      <c r="B553" s="970" t="str">
        <f>IF(Uebersetzung!$A$1=1,'SIA2001'!E259,'SIA2001'!F259)</f>
        <v>ISOPOR EPS 15 (038)</v>
      </c>
      <c r="D553" s="69"/>
      <c r="E553" s="69"/>
      <c r="F553" s="69"/>
      <c r="G553" s="971">
        <f>'SIA2001'!J259</f>
        <v>15</v>
      </c>
      <c r="H553" s="971">
        <f>'SIA2001'!K259</f>
        <v>3.7999999999999999E-2</v>
      </c>
      <c r="I553" s="972">
        <f>'SIA2001'!O259</f>
        <v>60</v>
      </c>
      <c r="J553" s="27"/>
      <c r="K553" s="27"/>
      <c r="L553" s="27"/>
      <c r="M553" s="27"/>
      <c r="N553" s="27"/>
      <c r="P553" s="27"/>
      <c r="AA553" s="69"/>
      <c r="AB553" s="69"/>
      <c r="AC553" s="69"/>
      <c r="AD553" s="975"/>
      <c r="AE553" s="975"/>
    </row>
    <row r="554" spans="1:31">
      <c r="A554" s="66"/>
      <c r="B554" s="970" t="str">
        <f>IF(Uebersetzung!$A$1=1,'SIA2001'!E260,'SIA2001'!F260)</f>
        <v>ISOPOR EPS 20 (036)</v>
      </c>
      <c r="D554" s="69"/>
      <c r="E554" s="69"/>
      <c r="F554" s="69"/>
      <c r="G554" s="971">
        <f>'SIA2001'!J260</f>
        <v>20</v>
      </c>
      <c r="H554" s="971">
        <f>'SIA2001'!K260</f>
        <v>3.5999999999999997E-2</v>
      </c>
      <c r="I554" s="972">
        <f>'SIA2001'!O260</f>
        <v>60</v>
      </c>
      <c r="J554" s="27"/>
      <c r="K554" s="27"/>
      <c r="L554" s="27"/>
      <c r="M554" s="27"/>
      <c r="N554" s="27"/>
      <c r="P554" s="27"/>
      <c r="AA554" s="69"/>
      <c r="AB554" s="69"/>
      <c r="AC554" s="69"/>
      <c r="AD554" s="975"/>
      <c r="AE554" s="975"/>
    </row>
    <row r="555" spans="1:31">
      <c r="A555" s="66"/>
      <c r="B555" s="970" t="str">
        <f>IF(Uebersetzung!$A$1=1,'SIA2001'!E261,'SIA2001'!F261)</f>
        <v>ISOPOR EPS 30 (033)</v>
      </c>
      <c r="D555" s="69"/>
      <c r="E555" s="69"/>
      <c r="F555" s="69"/>
      <c r="G555" s="971">
        <f>'SIA2001'!J261</f>
        <v>30</v>
      </c>
      <c r="H555" s="971">
        <f>'SIA2001'!K261</f>
        <v>3.3000000000000002E-2</v>
      </c>
      <c r="I555" s="972">
        <f>'SIA2001'!O261</f>
        <v>60</v>
      </c>
      <c r="J555" s="27"/>
      <c r="K555" s="27"/>
      <c r="L555" s="27"/>
      <c r="M555" s="27"/>
      <c r="N555" s="27"/>
      <c r="P555" s="27"/>
      <c r="AA555" s="69"/>
      <c r="AB555" s="69"/>
      <c r="AC555" s="69"/>
      <c r="AD555" s="975"/>
      <c r="AE555" s="975"/>
    </row>
    <row r="556" spans="1:31">
      <c r="A556" s="66"/>
      <c r="B556" s="970" t="str">
        <f>IF(Uebersetzung!$A$1=1,'SIA2001'!E262,'SIA2001'!F262)</f>
        <v>ISOPOR EPS 120 Dach (034)</v>
      </c>
      <c r="D556" s="69"/>
      <c r="E556" s="69"/>
      <c r="F556" s="69"/>
      <c r="G556" s="971">
        <f>'SIA2001'!J262</f>
        <v>23</v>
      </c>
      <c r="H556" s="971">
        <f>'SIA2001'!K262</f>
        <v>3.4000000000000002E-2</v>
      </c>
      <c r="I556" s="972">
        <f>'SIA2001'!O262</f>
        <v>60</v>
      </c>
      <c r="J556" s="27"/>
      <c r="K556" s="27"/>
      <c r="L556" s="27"/>
      <c r="M556" s="27"/>
      <c r="N556" s="27"/>
      <c r="P556" s="27"/>
      <c r="AA556" s="69"/>
      <c r="AB556" s="69"/>
      <c r="AC556" s="69"/>
      <c r="AD556" s="975"/>
      <c r="AE556" s="975"/>
    </row>
    <row r="557" spans="1:31">
      <c r="A557" s="66"/>
      <c r="B557" s="970" t="str">
        <f>IF(Uebersetzung!$A$1=1,'SIA2001'!E263,'SIA2001'!F263)</f>
        <v>ISOPOR EPS 120 Dach grau (030)</v>
      </c>
      <c r="D557" s="69"/>
      <c r="E557" s="69"/>
      <c r="F557" s="69"/>
      <c r="G557" s="971">
        <f>'SIA2001'!J263</f>
        <v>23</v>
      </c>
      <c r="H557" s="971">
        <f>'SIA2001'!K263</f>
        <v>0.03</v>
      </c>
      <c r="I557" s="972">
        <f>'SIA2001'!O263</f>
        <v>60</v>
      </c>
      <c r="J557" s="27"/>
      <c r="K557" s="27"/>
      <c r="L557" s="27"/>
      <c r="M557" s="27"/>
      <c r="N557" s="27"/>
      <c r="P557" s="27"/>
      <c r="AA557" s="69"/>
      <c r="AB557" s="69"/>
      <c r="AC557" s="69"/>
      <c r="AD557" s="975"/>
      <c r="AE557" s="975"/>
    </row>
    <row r="558" spans="1:31">
      <c r="A558" s="66"/>
      <c r="B558" s="970" t="str">
        <f>IF(Uebersetzung!$A$1=1,'SIA2001'!E264,'SIA2001'!F264)</f>
        <v>ISOPOR EPS 150 (033)</v>
      </c>
      <c r="D558" s="69"/>
      <c r="E558" s="69"/>
      <c r="F558" s="69"/>
      <c r="G558" s="971">
        <f>'SIA2001'!J264</f>
        <v>25</v>
      </c>
      <c r="H558" s="971">
        <f>'SIA2001'!K264</f>
        <v>3.3000000000000002E-2</v>
      </c>
      <c r="I558" s="972">
        <f>'SIA2001'!O264</f>
        <v>60</v>
      </c>
      <c r="J558" s="27"/>
      <c r="K558" s="27"/>
      <c r="L558" s="27"/>
      <c r="M558" s="27"/>
      <c r="N558" s="27"/>
      <c r="P558" s="27"/>
      <c r="AA558" s="69"/>
      <c r="AB558" s="69"/>
      <c r="AC558" s="69"/>
      <c r="AD558" s="975"/>
      <c r="AE558" s="975"/>
    </row>
    <row r="559" spans="1:31">
      <c r="A559" s="66"/>
      <c r="B559" s="970" t="str">
        <f>IF(Uebersetzung!$A$1=1,'SIA2001'!E265,'SIA2001'!F265)</f>
        <v>ISOPOR EPS F G&amp;W (031)</v>
      </c>
      <c r="D559" s="69"/>
      <c r="E559" s="69"/>
      <c r="F559" s="69"/>
      <c r="G559" s="971">
        <f>'SIA2001'!J265</f>
        <v>15</v>
      </c>
      <c r="H559" s="971">
        <f>'SIA2001'!K265</f>
        <v>3.1E-2</v>
      </c>
      <c r="I559" s="972">
        <f>'SIA2001'!O265</f>
        <v>60</v>
      </c>
      <c r="J559" s="27"/>
      <c r="K559" s="27"/>
      <c r="L559" s="27"/>
      <c r="M559" s="27"/>
      <c r="N559" s="27"/>
      <c r="P559" s="27"/>
      <c r="AA559" s="69"/>
      <c r="AB559" s="69"/>
      <c r="AC559" s="69"/>
      <c r="AD559" s="975"/>
      <c r="AE559" s="975"/>
    </row>
    <row r="560" spans="1:31">
      <c r="A560" s="66"/>
      <c r="B560" s="970" t="str">
        <f>IF(Uebersetzung!$A$1=1,'SIA2001'!E266,'SIA2001'!F266)</f>
        <v>ISOPOR EPS F G&amp;W Top (030)</v>
      </c>
      <c r="D560" s="69"/>
      <c r="E560" s="69"/>
      <c r="F560" s="69"/>
      <c r="G560" s="971">
        <f>'SIA2001'!J266</f>
        <v>18</v>
      </c>
      <c r="H560" s="971">
        <f>'SIA2001'!K266</f>
        <v>0.03</v>
      </c>
      <c r="I560" s="972">
        <f>'SIA2001'!O266</f>
        <v>60</v>
      </c>
      <c r="J560" s="27"/>
      <c r="K560" s="27"/>
      <c r="L560" s="27"/>
      <c r="M560" s="27"/>
      <c r="N560" s="27"/>
      <c r="P560" s="27"/>
      <c r="AA560" s="69"/>
      <c r="AB560" s="69"/>
      <c r="AC560" s="69"/>
      <c r="AD560" s="69"/>
      <c r="AE560" s="69"/>
    </row>
    <row r="561" spans="1:31">
      <c r="A561" s="66"/>
      <c r="B561" s="970" t="str">
        <f>IF(Uebersetzung!$A$1=1,'SIA2001'!E267,'SIA2001'!F267)</f>
        <v>ISOPOR EPS F grau (030)</v>
      </c>
      <c r="D561" s="69"/>
      <c r="E561" s="69"/>
      <c r="F561" s="69"/>
      <c r="G561" s="971">
        <f>'SIA2001'!J267</f>
        <v>18</v>
      </c>
      <c r="H561" s="971">
        <f>'SIA2001'!K267</f>
        <v>0.03</v>
      </c>
      <c r="I561" s="972">
        <f>'SIA2001'!O267</f>
        <v>60</v>
      </c>
      <c r="J561" s="27"/>
      <c r="K561" s="27"/>
      <c r="L561" s="27"/>
      <c r="M561" s="27"/>
      <c r="N561" s="27"/>
      <c r="P561" s="27"/>
      <c r="AA561" s="69"/>
      <c r="AB561" s="69"/>
      <c r="AC561" s="69"/>
      <c r="AD561" s="69"/>
      <c r="AE561" s="69"/>
    </row>
    <row r="562" spans="1:31">
      <c r="A562" s="66"/>
      <c r="B562" s="970" t="str">
        <f>IF(Uebersetzung!$A$1=1,'SIA2001'!E268,'SIA2001'!F268)</f>
        <v>ISOPOR EPS TS (039)</v>
      </c>
      <c r="D562" s="69"/>
      <c r="E562" s="69"/>
      <c r="F562" s="69"/>
      <c r="G562" s="971">
        <f>'SIA2001'!J268</f>
        <v>13</v>
      </c>
      <c r="H562" s="971">
        <f>'SIA2001'!K268</f>
        <v>3.9E-2</v>
      </c>
      <c r="I562" s="972">
        <f>'SIA2001'!O268</f>
        <v>60</v>
      </c>
      <c r="J562" s="27"/>
      <c r="K562" s="27"/>
      <c r="L562" s="27"/>
      <c r="M562" s="27"/>
      <c r="N562" s="27"/>
      <c r="P562" s="27"/>
      <c r="AA562" s="69"/>
      <c r="AB562" s="69"/>
      <c r="AC562" s="69"/>
      <c r="AD562" s="69"/>
      <c r="AE562" s="69"/>
    </row>
    <row r="563" spans="1:31">
      <c r="A563" s="66"/>
      <c r="B563" s="970" t="str">
        <f>IF(Uebersetzung!$A$1=1,'SIA2001'!E269,'SIA2001'!F269)</f>
        <v>ISOPOR EPS TS grau (031)</v>
      </c>
      <c r="D563" s="69"/>
      <c r="E563" s="69"/>
      <c r="F563" s="69"/>
      <c r="G563" s="971">
        <f>'SIA2001'!J269</f>
        <v>13</v>
      </c>
      <c r="H563" s="971">
        <f>'SIA2001'!K269</f>
        <v>3.1E-2</v>
      </c>
      <c r="I563" s="972">
        <f>'SIA2001'!O269</f>
        <v>60</v>
      </c>
      <c r="J563" s="27"/>
      <c r="K563" s="27"/>
      <c r="L563" s="27"/>
      <c r="M563" s="27"/>
      <c r="N563" s="27"/>
      <c r="P563" s="27"/>
      <c r="AA563" s="69"/>
      <c r="AB563" s="69"/>
      <c r="AC563" s="69"/>
      <c r="AD563" s="69"/>
      <c r="AE563" s="69"/>
    </row>
    <row r="564" spans="1:31">
      <c r="A564" s="66"/>
      <c r="B564" s="970" t="str">
        <f>IF(Uebersetzung!$A$1=1,'SIA2001'!E270,'SIA2001'!F270)</f>
        <v>Hightherm 030</v>
      </c>
      <c r="D564" s="69"/>
      <c r="E564" s="69"/>
      <c r="F564" s="69"/>
      <c r="G564" s="971">
        <v>21</v>
      </c>
      <c r="H564" s="971">
        <f>'SIA2001'!K270</f>
        <v>0.03</v>
      </c>
      <c r="I564" s="972">
        <f>'SIA2001'!O270</f>
        <v>60</v>
      </c>
      <c r="J564" s="27"/>
      <c r="K564" s="27"/>
      <c r="L564" s="27"/>
      <c r="M564" s="27"/>
      <c r="N564" s="27"/>
      <c r="P564" s="27"/>
      <c r="AA564" s="69"/>
      <c r="AB564" s="69"/>
      <c r="AC564" s="69"/>
      <c r="AD564" s="69"/>
      <c r="AE564" s="69"/>
    </row>
    <row r="565" spans="1:31">
      <c r="A565" s="66"/>
      <c r="B565" s="970" t="str">
        <f>IF(Uebersetzung!$A$1=1,'SIA2001'!E271,'SIA2001'!F271)</f>
        <v>Joma EPS Perimeter grau</v>
      </c>
      <c r="D565" s="69"/>
      <c r="E565" s="69"/>
      <c r="F565" s="69"/>
      <c r="G565" s="971" t="str">
        <f>'SIA2001'!J271</f>
        <v>27</v>
      </c>
      <c r="H565" s="971">
        <f>'SIA2001'!K271</f>
        <v>3.1E-2</v>
      </c>
      <c r="I565" s="972">
        <f>'SIA2001'!O271</f>
        <v>60</v>
      </c>
      <c r="J565" s="27"/>
      <c r="K565" s="27"/>
      <c r="L565" s="27"/>
      <c r="M565" s="27"/>
      <c r="N565" s="27"/>
      <c r="P565" s="27"/>
      <c r="AA565" s="69"/>
      <c r="AB565" s="69"/>
      <c r="AC565" s="69"/>
      <c r="AD565" s="69"/>
      <c r="AE565" s="69"/>
    </row>
    <row r="566" spans="1:31">
      <c r="A566" s="66"/>
      <c r="B566" s="970" t="str">
        <f>IF(Uebersetzung!$A$1=1,'SIA2001'!E272,'SIA2001'!F272)</f>
        <v>Joma EPS 15</v>
      </c>
      <c r="D566" s="69"/>
      <c r="E566" s="69"/>
      <c r="F566" s="69"/>
      <c r="G566" s="971">
        <f>'SIA2001'!J272</f>
        <v>15</v>
      </c>
      <c r="H566" s="971">
        <f>'SIA2001'!K272</f>
        <v>3.9E-2</v>
      </c>
      <c r="I566" s="972">
        <f>'SIA2001'!O272</f>
        <v>60</v>
      </c>
      <c r="J566" s="27"/>
      <c r="K566" s="27"/>
      <c r="L566" s="27"/>
      <c r="M566" s="27"/>
      <c r="N566" s="27"/>
      <c r="P566" s="27"/>
      <c r="AA566" s="69"/>
      <c r="AB566" s="69"/>
      <c r="AC566" s="69"/>
      <c r="AD566" s="69"/>
      <c r="AE566" s="69"/>
    </row>
    <row r="567" spans="1:31">
      <c r="A567" s="66"/>
      <c r="B567" s="970" t="str">
        <f>IF(Uebersetzung!$A$1=1,'SIA2001'!E273,'SIA2001'!F273)</f>
        <v>Joma EPS 18</v>
      </c>
      <c r="D567" s="69"/>
      <c r="E567" s="69"/>
      <c r="F567" s="69"/>
      <c r="G567" s="971">
        <f>'SIA2001'!J273</f>
        <v>18</v>
      </c>
      <c r="H567" s="971">
        <f>'SIA2001'!K273</f>
        <v>3.7999999999999999E-2</v>
      </c>
      <c r="I567" s="972">
        <f>'SIA2001'!O273</f>
        <v>60</v>
      </c>
      <c r="J567" s="27"/>
      <c r="K567" s="27"/>
      <c r="L567" s="27"/>
      <c r="M567" s="27"/>
      <c r="N567" s="27"/>
      <c r="P567" s="27"/>
      <c r="AA567" s="69"/>
      <c r="AB567" s="69"/>
      <c r="AC567" s="69"/>
      <c r="AD567" s="69"/>
      <c r="AE567" s="69"/>
    </row>
    <row r="568" spans="1:31">
      <c r="A568" s="66"/>
      <c r="B568" s="970" t="str">
        <f>IF(Uebersetzung!$A$1=1,'SIA2001'!E274,'SIA2001'!F274)</f>
        <v>Joma EPS 20</v>
      </c>
      <c r="D568" s="69"/>
      <c r="E568" s="69"/>
      <c r="F568" s="69"/>
      <c r="G568" s="971">
        <f>'SIA2001'!J274</f>
        <v>20</v>
      </c>
      <c r="H568" s="971">
        <f>'SIA2001'!K274</f>
        <v>3.4000000000000002E-2</v>
      </c>
      <c r="I568" s="972">
        <f>'SIA2001'!O274</f>
        <v>60</v>
      </c>
      <c r="J568" s="27"/>
      <c r="K568" s="27"/>
      <c r="L568" s="27"/>
      <c r="M568" s="27"/>
      <c r="N568" s="27"/>
      <c r="P568" s="27"/>
      <c r="AA568" s="69"/>
      <c r="AB568" s="69"/>
      <c r="AC568" s="69"/>
      <c r="AD568" s="69"/>
      <c r="AE568" s="69"/>
    </row>
    <row r="569" spans="1:31">
      <c r="A569" s="66"/>
      <c r="B569" s="970" t="str">
        <f>IF(Uebersetzung!$A$1=1,'SIA2001'!E275,'SIA2001'!F275)</f>
        <v>Joma EPS 25</v>
      </c>
      <c r="D569" s="69"/>
      <c r="E569" s="69"/>
      <c r="F569" s="69"/>
      <c r="G569" s="971">
        <f>'SIA2001'!J275</f>
        <v>25</v>
      </c>
      <c r="H569" s="971">
        <f>'SIA2001'!K275</f>
        <v>3.4000000000000002E-2</v>
      </c>
      <c r="I569" s="972">
        <f>'SIA2001'!O275</f>
        <v>60</v>
      </c>
      <c r="J569" s="27"/>
      <c r="K569" s="27"/>
      <c r="L569" s="27"/>
      <c r="M569" s="27"/>
      <c r="N569" s="27"/>
      <c r="P569" s="27"/>
      <c r="AA569" s="69"/>
      <c r="AB569" s="69"/>
      <c r="AC569" s="69"/>
      <c r="AD569" s="69"/>
      <c r="AE569" s="69"/>
    </row>
    <row r="570" spans="1:31">
      <c r="A570" s="66"/>
      <c r="B570" s="970" t="str">
        <f>IF(Uebersetzung!$A$1=1,'SIA2001'!E276,'SIA2001'!F276)</f>
        <v>Joma EPS 30</v>
      </c>
      <c r="D570" s="69"/>
      <c r="E570" s="69"/>
      <c r="F570" s="69"/>
      <c r="G570" s="971">
        <f>'SIA2001'!J276</f>
        <v>30</v>
      </c>
      <c r="H570" s="971">
        <f>'SIA2001'!K276</f>
        <v>3.4000000000000002E-2</v>
      </c>
      <c r="I570" s="972">
        <f>'SIA2001'!O276</f>
        <v>60</v>
      </c>
      <c r="J570" s="27"/>
      <c r="K570" s="27"/>
      <c r="L570" s="27"/>
      <c r="M570" s="27"/>
      <c r="N570" s="27"/>
      <c r="P570" s="27"/>
      <c r="AA570" s="69"/>
      <c r="AB570" s="69"/>
      <c r="AC570" s="69"/>
      <c r="AD570" s="69"/>
      <c r="AE570" s="69"/>
    </row>
    <row r="571" spans="1:31">
      <c r="A571" s="66"/>
      <c r="B571" s="970" t="str">
        <f>IF(Uebersetzung!$A$1=1,'SIA2001'!E277,'SIA2001'!F277)</f>
        <v>Joma EPS PST</v>
      </c>
      <c r="D571" s="69"/>
      <c r="E571" s="69"/>
      <c r="F571" s="69"/>
      <c r="G571" s="971">
        <v>10</v>
      </c>
      <c r="H571" s="971">
        <f>'SIA2001'!K277</f>
        <v>4.1000000000000002E-2</v>
      </c>
      <c r="I571" s="972">
        <f>'SIA2001'!O277</f>
        <v>60</v>
      </c>
      <c r="J571" s="27"/>
      <c r="K571" s="27"/>
      <c r="L571" s="27"/>
      <c r="M571" s="27"/>
      <c r="N571" s="27"/>
      <c r="P571" s="27"/>
      <c r="AA571" s="69"/>
      <c r="AB571" s="69"/>
      <c r="AC571" s="69"/>
      <c r="AD571" s="69"/>
      <c r="AE571" s="69"/>
    </row>
    <row r="572" spans="1:31">
      <c r="A572" s="66"/>
      <c r="B572" s="970" t="str">
        <f>IF(Uebersetzung!$A$1=1,'SIA2001'!E278,'SIA2001'!F278)</f>
        <v>Joma EPS Perimeter</v>
      </c>
      <c r="D572" s="69"/>
      <c r="E572" s="69"/>
      <c r="F572" s="69"/>
      <c r="G572" s="971">
        <f>'SIA2001'!J278</f>
        <v>27</v>
      </c>
      <c r="H572" s="971">
        <f>'SIA2001'!K278</f>
        <v>3.4000000000000002E-2</v>
      </c>
      <c r="I572" s="972">
        <f>'SIA2001'!O278</f>
        <v>60</v>
      </c>
      <c r="J572" s="27"/>
      <c r="K572" s="27"/>
      <c r="L572" s="27"/>
      <c r="M572" s="27"/>
      <c r="N572" s="27"/>
      <c r="P572" s="27"/>
      <c r="AA572" s="69"/>
      <c r="AB572" s="69"/>
      <c r="AC572" s="69"/>
      <c r="AD572" s="69"/>
      <c r="AE572" s="69"/>
    </row>
    <row r="573" spans="1:31">
      <c r="A573" s="66"/>
      <c r="B573" s="970" t="str">
        <f>IF(Uebersetzung!$A$1=1,'SIA2001'!E279,'SIA2001'!F279)</f>
        <v>Joma EPS 030 gris</v>
      </c>
      <c r="D573" s="69"/>
      <c r="E573" s="69"/>
      <c r="F573" s="69"/>
      <c r="G573" s="971">
        <f>'SIA2001'!J279</f>
        <v>20</v>
      </c>
      <c r="H573" s="971">
        <f>'SIA2001'!K279</f>
        <v>0.03</v>
      </c>
      <c r="I573" s="972">
        <f>'SIA2001'!O279</f>
        <v>60</v>
      </c>
      <c r="J573" s="27"/>
      <c r="K573" s="27"/>
      <c r="L573" s="27"/>
      <c r="M573" s="27"/>
      <c r="N573" s="27"/>
      <c r="P573" s="27"/>
      <c r="AA573" s="69"/>
      <c r="AB573" s="69"/>
      <c r="AC573" s="69"/>
      <c r="AD573" s="69"/>
      <c r="AE573" s="69"/>
    </row>
    <row r="574" spans="1:31">
      <c r="A574" s="66"/>
      <c r="B574" s="970" t="str">
        <f>IF(Uebersetzung!$A$1=1,'SIA2001'!E280,'SIA2001'!F280)</f>
        <v>DUO Therm 030 EPS</v>
      </c>
      <c r="D574" s="69"/>
      <c r="E574" s="69"/>
      <c r="F574" s="69"/>
      <c r="G574" s="971">
        <f>'SIA2001'!J280</f>
        <v>20</v>
      </c>
      <c r="H574" s="971">
        <f>'SIA2001'!K280</f>
        <v>0.03</v>
      </c>
      <c r="I574" s="972">
        <f>'SIA2001'!O280</f>
        <v>60</v>
      </c>
      <c r="J574" s="27"/>
      <c r="K574" s="27"/>
      <c r="L574" s="27"/>
      <c r="M574" s="27"/>
      <c r="N574" s="27"/>
      <c r="P574" s="27"/>
      <c r="AA574" s="69"/>
      <c r="AB574" s="69"/>
      <c r="AC574" s="69"/>
      <c r="AD574" s="69"/>
      <c r="AE574" s="69"/>
    </row>
    <row r="575" spans="1:31">
      <c r="A575" s="66"/>
      <c r="B575" s="970" t="str">
        <f>IF(Uebersetzung!$A$1=1,'SIA2001'!E281,'SIA2001'!F281)</f>
        <v>Duo Therm 031</v>
      </c>
      <c r="D575" s="69"/>
      <c r="E575" s="69"/>
      <c r="F575" s="69"/>
      <c r="G575" s="971">
        <f>'SIA2001'!J281</f>
        <v>15</v>
      </c>
      <c r="H575" s="971">
        <f>'SIA2001'!K281</f>
        <v>3.1E-2</v>
      </c>
      <c r="I575" s="972">
        <f>'SIA2001'!O281</f>
        <v>60</v>
      </c>
      <c r="J575" s="27"/>
      <c r="O575" s="28"/>
      <c r="AA575" s="69"/>
      <c r="AB575" s="69"/>
      <c r="AC575" s="69"/>
      <c r="AD575" s="69"/>
      <c r="AE575" s="69"/>
    </row>
    <row r="576" spans="1:31">
      <c r="A576" s="66"/>
      <c r="B576" s="970" t="str">
        <f>IF(Uebersetzung!$A$1=1,'SIA2001'!E282,'SIA2001'!F282)</f>
        <v>ECO Therm 031</v>
      </c>
      <c r="D576" s="69"/>
      <c r="E576" s="69"/>
      <c r="F576" s="69"/>
      <c r="G576" s="971">
        <f>'SIA2001'!J282</f>
        <v>15</v>
      </c>
      <c r="H576" s="971">
        <f>'SIA2001'!K282</f>
        <v>3.1E-2</v>
      </c>
      <c r="I576" s="972">
        <f>'SIA2001'!O282</f>
        <v>60</v>
      </c>
      <c r="J576" s="27"/>
      <c r="O576" s="28"/>
      <c r="AA576" s="69"/>
      <c r="AB576" s="69"/>
      <c r="AC576" s="69"/>
      <c r="AD576" s="69"/>
      <c r="AE576" s="69"/>
    </row>
    <row r="577" spans="1:31">
      <c r="A577" s="66"/>
      <c r="B577" s="970" t="str">
        <f>IF(Uebersetzung!$A$1=1,'SIA2001'!E283,'SIA2001'!F283)</f>
        <v>Joma EPS 031 gris</v>
      </c>
      <c r="D577" s="69"/>
      <c r="E577" s="69"/>
      <c r="F577" s="69"/>
      <c r="G577" s="971">
        <f>'SIA2001'!J283</f>
        <v>16</v>
      </c>
      <c r="H577" s="971">
        <f>'SIA2001'!K283</f>
        <v>3.1E-2</v>
      </c>
      <c r="I577" s="972">
        <f>'SIA2001'!O283</f>
        <v>60</v>
      </c>
      <c r="J577" s="27"/>
      <c r="O577" s="28"/>
      <c r="AA577" s="69"/>
      <c r="AB577" s="69"/>
      <c r="AC577" s="69"/>
      <c r="AD577" s="69"/>
      <c r="AE577" s="69"/>
    </row>
    <row r="578" spans="1:31">
      <c r="A578" s="66"/>
      <c r="B578" s="970" t="str">
        <f>IF(Uebersetzung!$A$1=1,'SIA2001'!E284,'SIA2001'!F284)</f>
        <v>Joma EPS 033 gris</v>
      </c>
      <c r="D578" s="69"/>
      <c r="E578" s="69"/>
      <c r="F578" s="69"/>
      <c r="G578" s="971">
        <f>'SIA2001'!J284</f>
        <v>13</v>
      </c>
      <c r="H578" s="971">
        <f>'SIA2001'!K284</f>
        <v>3.3000000000000002E-2</v>
      </c>
      <c r="I578" s="972">
        <f>'SIA2001'!O284</f>
        <v>60</v>
      </c>
      <c r="J578" s="27"/>
      <c r="O578" s="28"/>
      <c r="AA578" s="71"/>
      <c r="AB578" s="69"/>
      <c r="AC578" s="69"/>
      <c r="AD578" s="69"/>
      <c r="AE578" s="69"/>
    </row>
    <row r="579" spans="1:31">
      <c r="A579" s="66"/>
      <c r="B579" s="970" t="str">
        <f>IF(Uebersetzung!$A$1=1,'SIA2001'!E285,'SIA2001'!F285)</f>
        <v>ECO Therm 030</v>
      </c>
      <c r="D579" s="69"/>
      <c r="E579" s="69"/>
      <c r="F579" s="69"/>
      <c r="G579" s="971">
        <f>'SIA2001'!J285</f>
        <v>20</v>
      </c>
      <c r="H579" s="971">
        <f>'SIA2001'!K285</f>
        <v>0.03</v>
      </c>
      <c r="I579" s="972">
        <f>'SIA2001'!O285</f>
        <v>60</v>
      </c>
      <c r="J579" s="27"/>
      <c r="O579" s="28"/>
      <c r="AA579" s="69"/>
      <c r="AB579" s="69"/>
      <c r="AC579" s="69"/>
      <c r="AD579" s="69"/>
      <c r="AE579" s="69"/>
    </row>
    <row r="580" spans="1:31">
      <c r="A580" s="66"/>
      <c r="B580" s="970" t="str">
        <f>IF(Uebersetzung!$A$1=1,'SIA2001'!E286,'SIA2001'!F286)</f>
        <v>KNAUF Therm ITEx Th38 SE</v>
      </c>
      <c r="D580" s="69"/>
      <c r="E580" s="69"/>
      <c r="F580" s="69"/>
      <c r="G580" s="971">
        <f>'SIA2001'!J286</f>
        <v>15</v>
      </c>
      <c r="H580" s="971">
        <f>'SIA2001'!K286</f>
        <v>3.7999999999999999E-2</v>
      </c>
      <c r="I580" s="972">
        <f>'SIA2001'!O286</f>
        <v>60</v>
      </c>
      <c r="J580" s="27"/>
      <c r="O580" s="28"/>
      <c r="AA580" s="69"/>
      <c r="AB580" s="69"/>
      <c r="AC580" s="69"/>
      <c r="AD580" s="69"/>
      <c r="AE580" s="69"/>
    </row>
    <row r="581" spans="1:31">
      <c r="A581" s="66"/>
      <c r="B581" s="970" t="str">
        <f>IF(Uebersetzung!$A$1=1,'SIA2001'!E287,'SIA2001'!F287)</f>
        <v>KNAUF XTherm ITEx Sun +</v>
      </c>
      <c r="D581" s="69"/>
      <c r="E581" s="69"/>
      <c r="F581" s="69"/>
      <c r="G581" s="971">
        <f>'SIA2001'!J287</f>
        <v>16</v>
      </c>
      <c r="H581" s="971">
        <f>'SIA2001'!K287</f>
        <v>3.1E-2</v>
      </c>
      <c r="I581" s="972">
        <f>'SIA2001'!O287</f>
        <v>60</v>
      </c>
      <c r="J581" s="27"/>
      <c r="O581" s="28"/>
      <c r="AA581" s="69"/>
      <c r="AB581" s="69"/>
      <c r="AC581" s="69"/>
      <c r="AD581" s="69"/>
      <c r="AE581" s="69"/>
    </row>
    <row r="582" spans="1:31">
      <c r="A582" s="66"/>
      <c r="B582" s="970" t="str">
        <f>IF(Uebersetzung!$A$1=1,'SIA2001'!E288,'SIA2001'!F288)</f>
        <v>KNAUF Therm Soubassement SE</v>
      </c>
      <c r="D582" s="69"/>
      <c r="E582" s="69"/>
      <c r="F582" s="69"/>
      <c r="G582" s="971">
        <f>'SIA2001'!J288</f>
        <v>19</v>
      </c>
      <c r="H582" s="971">
        <f>'SIA2001'!K288</f>
        <v>3.5999999999999997E-2</v>
      </c>
      <c r="I582" s="972">
        <f>'SIA2001'!O288</f>
        <v>60</v>
      </c>
      <c r="J582" s="27"/>
      <c r="O582" s="28"/>
      <c r="AA582" s="69"/>
      <c r="AB582" s="69"/>
      <c r="AC582" s="69"/>
      <c r="AD582" s="69"/>
      <c r="AE582" s="69"/>
    </row>
    <row r="583" spans="1:31">
      <c r="A583" s="66"/>
      <c r="B583" s="970" t="s">
        <v>4808</v>
      </c>
      <c r="D583" s="69"/>
      <c r="E583" s="69"/>
      <c r="F583" s="69"/>
      <c r="G583" s="971" t="str">
        <f>'SIA2001'!J289</f>
        <v>19</v>
      </c>
      <c r="H583" s="971">
        <f>'SIA2001'!K289</f>
        <v>3.1E-2</v>
      </c>
      <c r="I583" s="972" t="str">
        <f>'SIA2001'!O289</f>
        <v>60</v>
      </c>
      <c r="J583" s="27"/>
      <c r="O583" s="28"/>
      <c r="AA583" s="970"/>
      <c r="AB583" s="69"/>
      <c r="AC583" s="69"/>
      <c r="AD583" s="69"/>
      <c r="AE583" s="69"/>
    </row>
    <row r="584" spans="1:31">
      <c r="A584" s="66"/>
      <c r="B584" s="970" t="str">
        <f>IF(Uebersetzung!$A$1=1,'SIA2001'!E290,'SIA2001'!F290)</f>
        <v>SAGEX Nero (030) 15</v>
      </c>
      <c r="D584" s="69"/>
      <c r="E584" s="69"/>
      <c r="F584" s="69"/>
      <c r="G584" s="971">
        <f>'SIA2001'!J290</f>
        <v>16</v>
      </c>
      <c r="H584" s="971">
        <f>'SIA2001'!K290</f>
        <v>0.03</v>
      </c>
      <c r="I584" s="972">
        <f>'SIA2001'!O290</f>
        <v>60</v>
      </c>
      <c r="J584" s="27"/>
      <c r="O584" s="28"/>
      <c r="AA584" s="970"/>
      <c r="AB584" s="69"/>
      <c r="AC584" s="69"/>
      <c r="AD584" s="69"/>
      <c r="AE584" s="69"/>
    </row>
    <row r="585" spans="1:31">
      <c r="A585" s="66"/>
      <c r="B585" s="970" t="str">
        <f>IF(Uebersetzung!$A$1=1,'SIA2001'!E291,'SIA2001'!F291)</f>
        <v>SAGEX Zebra (030)</v>
      </c>
      <c r="D585" s="69"/>
      <c r="E585" s="69"/>
      <c r="F585" s="69"/>
      <c r="G585" s="971">
        <f>'SIA2001'!J291</f>
        <v>17</v>
      </c>
      <c r="H585" s="971">
        <f>'SIA2001'!K291</f>
        <v>0.03</v>
      </c>
      <c r="I585" s="972">
        <f>'SIA2001'!O291</f>
        <v>60</v>
      </c>
      <c r="J585" s="27"/>
      <c r="O585" s="28"/>
      <c r="AA585" s="970"/>
      <c r="AB585" s="69"/>
      <c r="AC585" s="69"/>
      <c r="AD585" s="69"/>
      <c r="AE585" s="69"/>
    </row>
    <row r="586" spans="1:31">
      <c r="A586" s="66"/>
      <c r="B586" s="970" t="str">
        <f>IF(Uebersetzung!$A$1=1,'SIA2001'!E292,'SIA2001'!F292)</f>
        <v>EPS Dalmatiner (032)</v>
      </c>
      <c r="D586" s="69"/>
      <c r="E586" s="69"/>
      <c r="F586" s="69"/>
      <c r="G586" s="971">
        <f>'SIA2001'!J292</f>
        <v>18</v>
      </c>
      <c r="H586" s="971">
        <f>'SIA2001'!K292</f>
        <v>3.2000000000000001E-2</v>
      </c>
      <c r="I586" s="972">
        <f>'SIA2001'!O292</f>
        <v>60</v>
      </c>
      <c r="J586" s="27"/>
      <c r="O586" s="28"/>
      <c r="AA586" s="970"/>
      <c r="AB586" s="69"/>
      <c r="AC586" s="69"/>
      <c r="AD586" s="69"/>
      <c r="AE586" s="69"/>
    </row>
    <row r="587" spans="1:31">
      <c r="A587" s="66"/>
      <c r="B587" s="970" t="str">
        <f>IF(Uebersetzung!$A$1=1,'SIA2001'!E293,'SIA2001'!F293)</f>
        <v>SAGEX (033) 25 DS 150</v>
      </c>
      <c r="D587" s="69"/>
      <c r="E587" s="69"/>
      <c r="F587" s="69"/>
      <c r="G587" s="971">
        <f>'SIA2001'!J293</f>
        <v>25</v>
      </c>
      <c r="H587" s="971">
        <f>'SIA2001'!K293</f>
        <v>3.3000000000000002E-2</v>
      </c>
      <c r="I587" s="972">
        <f>'SIA2001'!O293</f>
        <v>60</v>
      </c>
      <c r="J587" s="27"/>
      <c r="O587" s="28"/>
      <c r="AA587" s="970"/>
      <c r="AB587" s="69"/>
      <c r="AC587" s="69"/>
      <c r="AD587" s="69"/>
      <c r="AE587" s="69"/>
    </row>
    <row r="588" spans="1:31">
      <c r="A588" s="66"/>
      <c r="B588" s="970" t="str">
        <f>IF(Uebersetzung!$A$1=1,'SIA2001'!E294,'SIA2001'!F294)</f>
        <v>SAGEX (033) 30</v>
      </c>
      <c r="D588" s="69"/>
      <c r="E588" s="69"/>
      <c r="F588" s="69"/>
      <c r="G588" s="971">
        <f>'SIA2001'!J294</f>
        <v>30</v>
      </c>
      <c r="H588" s="971">
        <f>'SIA2001'!K294</f>
        <v>3.3000000000000002E-2</v>
      </c>
      <c r="I588" s="972">
        <f>'SIA2001'!O294</f>
        <v>60</v>
      </c>
      <c r="J588" s="27"/>
      <c r="O588" s="28"/>
      <c r="AA588" s="970"/>
      <c r="AB588" s="69"/>
      <c r="AC588" s="69"/>
      <c r="AD588" s="69"/>
      <c r="AE588" s="69"/>
    </row>
    <row r="589" spans="1:31">
      <c r="A589" s="66"/>
      <c r="B589" s="970" t="str">
        <f>IF(Uebersetzung!$A$1=1,'SIA2001'!E295,'SIA2001'!F295)</f>
        <v>SAGEX (036) 20</v>
      </c>
      <c r="D589" s="69"/>
      <c r="E589" s="69"/>
      <c r="F589" s="69"/>
      <c r="G589" s="971">
        <f>'SIA2001'!J295</f>
        <v>20</v>
      </c>
      <c r="H589" s="971">
        <f>'SIA2001'!K295</f>
        <v>3.5999999999999997E-2</v>
      </c>
      <c r="I589" s="972">
        <f>'SIA2001'!O295</f>
        <v>60</v>
      </c>
      <c r="J589" s="27"/>
      <c r="O589" s="28"/>
      <c r="AA589" s="970"/>
      <c r="AB589" s="69"/>
      <c r="AC589" s="69"/>
      <c r="AD589" s="69"/>
      <c r="AE589" s="69"/>
    </row>
    <row r="590" spans="1:31">
      <c r="A590" s="66"/>
      <c r="B590" s="970" t="str">
        <f>IF(Uebersetzung!$A$1=1,'SIA2001'!E296,'SIA2001'!F296)</f>
        <v>SAGEX (038) 15</v>
      </c>
      <c r="D590" s="69"/>
      <c r="E590" s="69"/>
      <c r="F590" s="69"/>
      <c r="G590" s="971">
        <f>'SIA2001'!J296</f>
        <v>15</v>
      </c>
      <c r="H590" s="971">
        <f>'SIA2001'!K296</f>
        <v>3.7999999999999999E-2</v>
      </c>
      <c r="I590" s="972">
        <f>'SIA2001'!O296</f>
        <v>60</v>
      </c>
      <c r="J590" s="27"/>
      <c r="O590" s="28"/>
      <c r="AA590" s="970"/>
      <c r="AB590" s="69"/>
      <c r="AC590" s="69"/>
      <c r="AD590" s="69"/>
      <c r="AE590" s="69"/>
    </row>
    <row r="591" spans="1:31">
      <c r="A591" s="66"/>
      <c r="B591" s="970" t="str">
        <f>IF(Uebersetzung!$A$1=1,'SIA2001'!E297,'SIA2001'!F297)</f>
        <v>SAGEX Nero (030) 25</v>
      </c>
      <c r="D591" s="69"/>
      <c r="E591" s="69"/>
      <c r="F591" s="69"/>
      <c r="G591" s="971">
        <f>'SIA2001'!J297</f>
        <v>25</v>
      </c>
      <c r="H591" s="971">
        <f>'SIA2001'!K297</f>
        <v>0.03</v>
      </c>
      <c r="I591" s="972">
        <f>'SIA2001'!O297</f>
        <v>60</v>
      </c>
      <c r="O591" s="28"/>
      <c r="AA591" s="970"/>
      <c r="AB591" s="69"/>
      <c r="AC591" s="69"/>
      <c r="AD591" s="69"/>
      <c r="AE591" s="69"/>
    </row>
    <row r="592" spans="1:31">
      <c r="A592" s="66"/>
      <c r="B592" s="970" t="str">
        <f>IF(Uebersetzung!$A$1=1,'SIA2001'!E298,'SIA2001'!F298)</f>
        <v>SAGEX Nero (030) 20</v>
      </c>
      <c r="D592" s="69"/>
      <c r="E592" s="69"/>
      <c r="F592" s="69"/>
      <c r="G592" s="971">
        <f>'SIA2001'!J298</f>
        <v>20</v>
      </c>
      <c r="H592" s="971">
        <f>'SIA2001'!K298</f>
        <v>0.03</v>
      </c>
      <c r="I592" s="972">
        <f>'SIA2001'!O298</f>
        <v>60</v>
      </c>
      <c r="O592" s="28"/>
      <c r="AA592" s="970"/>
      <c r="AB592" s="69"/>
      <c r="AC592" s="69"/>
      <c r="AD592" s="69"/>
      <c r="AE592" s="69"/>
    </row>
    <row r="593" spans="1:31">
      <c r="A593" s="66"/>
      <c r="B593" s="970" t="str">
        <f>IF(Uebersetzung!$A$1=1,'SIA2001'!E299,'SIA2001'!F299)</f>
        <v>SAGEX Zebra (031) 15</v>
      </c>
      <c r="D593" s="69"/>
      <c r="E593" s="69"/>
      <c r="F593" s="69"/>
      <c r="G593" s="971">
        <f>'SIA2001'!J299</f>
        <v>15</v>
      </c>
      <c r="H593" s="971">
        <f>'SIA2001'!K299</f>
        <v>3.1E-2</v>
      </c>
      <c r="I593" s="972">
        <f>'SIA2001'!O299</f>
        <v>60</v>
      </c>
      <c r="O593" s="28"/>
      <c r="AA593" s="69"/>
      <c r="AB593" s="69"/>
      <c r="AC593" s="69"/>
      <c r="AD593" s="69"/>
      <c r="AE593" s="69"/>
    </row>
    <row r="594" spans="1:31">
      <c r="A594" s="66"/>
      <c r="B594" s="970" t="str">
        <f>IF(Uebersetzung!$A$1=1,'SIA2001'!E300,'SIA2001'!F300)</f>
        <v>SAGEX Zebra (029) Premium</v>
      </c>
      <c r="D594" s="69"/>
      <c r="E594" s="69"/>
      <c r="F594" s="69"/>
      <c r="G594" s="971">
        <f>'SIA2001'!J300</f>
        <v>18</v>
      </c>
      <c r="H594" s="971">
        <f>'SIA2001'!K300</f>
        <v>2.9000000000000001E-2</v>
      </c>
      <c r="I594" s="972">
        <f>'SIA2001'!O300</f>
        <v>60</v>
      </c>
      <c r="O594" s="28"/>
      <c r="AA594" s="69"/>
      <c r="AB594" s="69"/>
      <c r="AC594" s="69"/>
      <c r="AD594" s="69"/>
      <c r="AE594" s="69"/>
    </row>
    <row r="595" spans="1:31">
      <c r="A595" s="66"/>
      <c r="B595" s="970" t="str">
        <f>IF(Uebersetzung!$A$1=1,'SIA2001'!E301,'SIA2001'!F301)</f>
        <v>ISOVER EPS Dämmplatte DI, DZ, WI, WZ, WAP</v>
      </c>
      <c r="D595" s="69"/>
      <c r="E595" s="69"/>
      <c r="F595" s="69"/>
      <c r="G595" s="971">
        <v>15</v>
      </c>
      <c r="H595" s="971">
        <f>'SIA2001'!K301</f>
        <v>3.7999999999999999E-2</v>
      </c>
      <c r="I595" s="972">
        <f>'SIA2001'!O301</f>
        <v>60</v>
      </c>
      <c r="O595" s="28"/>
      <c r="AA595" s="69"/>
      <c r="AB595" s="69"/>
      <c r="AC595" s="69"/>
      <c r="AD595" s="69"/>
      <c r="AE595" s="69"/>
    </row>
    <row r="596" spans="1:31">
      <c r="A596" s="66"/>
      <c r="B596" s="970" t="str">
        <f>IF(Uebersetzung!$A$1=1,'SIA2001'!E302,'SIA2001'!F302)</f>
        <v>ISOVER EPS Dämmplatte DEO dm, DAA dm, DAD dm, WAB</v>
      </c>
      <c r="D596" s="69"/>
      <c r="E596" s="69"/>
      <c r="F596" s="69"/>
      <c r="G596" s="971">
        <v>20</v>
      </c>
      <c r="H596" s="971">
        <f>'SIA2001'!K302</f>
        <v>3.7999999999999999E-2</v>
      </c>
      <c r="I596" s="972">
        <f>'SIA2001'!O302</f>
        <v>60</v>
      </c>
      <c r="O596" s="28"/>
      <c r="AA596" s="69"/>
      <c r="AB596" s="69"/>
      <c r="AC596" s="69"/>
      <c r="AD596" s="69"/>
      <c r="AE596" s="69"/>
    </row>
    <row r="597" spans="1:31">
      <c r="A597" s="66"/>
      <c r="B597" s="970" t="s">
        <v>5614</v>
      </c>
      <c r="D597" s="69"/>
      <c r="E597" s="69"/>
      <c r="F597" s="69"/>
      <c r="G597" s="971">
        <v>23</v>
      </c>
      <c r="H597" s="971">
        <f>'SIA2001'!K303</f>
        <v>3.4000000000000002E-2</v>
      </c>
      <c r="I597" s="972">
        <f>'SIA2001'!O303</f>
        <v>60</v>
      </c>
      <c r="O597" s="28"/>
      <c r="AA597" s="69"/>
      <c r="AB597" s="69"/>
      <c r="AC597" s="69"/>
      <c r="AD597" s="69"/>
      <c r="AE597" s="69"/>
    </row>
    <row r="598" spans="1:31">
      <c r="A598" s="66"/>
      <c r="B598" s="970" t="str">
        <f>IF(Uebersetzung!$A$1=1,'SIA2001'!E304,'SIA2001'!F304)</f>
        <v>ISOVER EPS Dämmplatte DEO dh, DAA dh, DAD dh</v>
      </c>
      <c r="D598" s="69"/>
      <c r="E598" s="69"/>
      <c r="F598" s="69"/>
      <c r="G598" s="971">
        <v>26</v>
      </c>
      <c r="H598" s="971">
        <f>'SIA2001'!K304</f>
        <v>3.4000000000000002E-2</v>
      </c>
      <c r="I598" s="972">
        <f>'SIA2001'!O304</f>
        <v>60</v>
      </c>
      <c r="O598" s="28"/>
      <c r="AA598" s="69"/>
      <c r="AB598" s="69"/>
      <c r="AC598" s="69"/>
      <c r="AD598" s="69"/>
      <c r="AE598" s="69"/>
    </row>
    <row r="599" spans="1:31">
      <c r="A599" s="66"/>
      <c r="B599" s="970" t="str">
        <f>IF(Uebersetzung!$A$1=1,'SIA2001'!E305,'SIA2001'!F305)</f>
        <v>ISOVER EPS Dämmplatte DEO ds, DAA ds, DAD ds</v>
      </c>
      <c r="D599" s="69"/>
      <c r="E599" s="69"/>
      <c r="F599" s="69"/>
      <c r="G599" s="971">
        <v>30</v>
      </c>
      <c r="H599" s="971">
        <f>'SIA2001'!K305</f>
        <v>3.4000000000000002E-2</v>
      </c>
      <c r="I599" s="972">
        <f>'SIA2001'!O305</f>
        <v>60</v>
      </c>
      <c r="O599" s="28"/>
      <c r="AA599" s="69"/>
      <c r="AB599" s="69"/>
      <c r="AC599" s="69"/>
      <c r="AD599" s="69"/>
      <c r="AE599" s="69"/>
    </row>
    <row r="600" spans="1:31">
      <c r="A600" s="66"/>
      <c r="B600" s="970" t="str">
        <f>IF(Uebersetzung!$A$1=1,'SIA2001'!E306,'SIA2001'!F306)</f>
        <v>ISOVER Perimeter- und Sockeldämmplatte 035 BW3 150</v>
      </c>
      <c r="D600" s="69"/>
      <c r="E600" s="69"/>
      <c r="F600" s="69"/>
      <c r="G600" s="971">
        <v>32</v>
      </c>
      <c r="H600" s="971">
        <f>'SIA2001'!K306</f>
        <v>3.4000000000000002E-2</v>
      </c>
      <c r="I600" s="972">
        <f>'SIA2001'!O306</f>
        <v>60</v>
      </c>
      <c r="O600" s="28"/>
      <c r="AA600" s="69"/>
      <c r="AB600" s="69"/>
      <c r="AC600" s="69"/>
      <c r="AD600" s="69"/>
      <c r="AE600" s="69"/>
    </row>
    <row r="601" spans="1:31">
      <c r="A601" s="66"/>
      <c r="B601" s="970" t="str">
        <f>IF(Uebersetzung!$A$1=1,'SIA2001'!E307,'SIA2001'!F307)</f>
        <v>ISOVER panneau pour façades, gris 035</v>
      </c>
      <c r="D601" s="69"/>
      <c r="E601" s="69"/>
      <c r="F601" s="69"/>
      <c r="G601" s="971">
        <v>14</v>
      </c>
      <c r="H601" s="971">
        <f>'SIA2001'!K307</f>
        <v>3.4000000000000002E-2</v>
      </c>
      <c r="I601" s="972">
        <f>'SIA2001'!O307</f>
        <v>60</v>
      </c>
      <c r="O601" s="28"/>
      <c r="AA601" s="970"/>
      <c r="AB601" s="970"/>
      <c r="AC601" s="970"/>
      <c r="AD601" s="970"/>
      <c r="AE601" s="970"/>
    </row>
    <row r="602" spans="1:31">
      <c r="A602" s="66"/>
      <c r="B602" s="970" t="str">
        <f>IF(Uebersetzung!$A$1=1,'SIA2001'!E308,'SIA2001'!F308)</f>
        <v>ISOVER panneau pour façades, gris 032</v>
      </c>
      <c r="D602" s="69"/>
      <c r="E602" s="69"/>
      <c r="F602" s="69"/>
      <c r="G602" s="971">
        <v>17</v>
      </c>
      <c r="H602" s="971">
        <f>'SIA2001'!K308</f>
        <v>3.1E-2</v>
      </c>
      <c r="I602" s="972">
        <f>'SIA2001'!O308</f>
        <v>60</v>
      </c>
      <c r="O602" s="28"/>
      <c r="AA602" s="970"/>
      <c r="AB602" s="69"/>
      <c r="AC602" s="69"/>
      <c r="AD602" s="69"/>
      <c r="AE602" s="69"/>
    </row>
    <row r="603" spans="1:31">
      <c r="A603" s="66"/>
      <c r="B603" s="970" t="str">
        <f>IF(Uebersetzung!$A$1=1,'SIA2001'!E309,'SIA2001'!F309)</f>
        <v>ISOVER panneau pour façades EPSe 040 WDV</v>
      </c>
      <c r="D603" s="69"/>
      <c r="E603" s="69"/>
      <c r="F603" s="69"/>
      <c r="G603" s="971">
        <v>17</v>
      </c>
      <c r="H603" s="971">
        <f>'SIA2001'!K309</f>
        <v>3.7999999999999999E-2</v>
      </c>
      <c r="I603" s="972">
        <f>'SIA2001'!O309</f>
        <v>60</v>
      </c>
      <c r="O603" s="28"/>
      <c r="AA603" s="69"/>
      <c r="AB603" s="69"/>
      <c r="AC603" s="69"/>
      <c r="AD603" s="69"/>
      <c r="AE603" s="69"/>
    </row>
    <row r="604" spans="1:31">
      <c r="A604" s="66"/>
      <c r="B604" s="970" t="str">
        <f>IF(Uebersetzung!$A$1=1,'SIA2001'!E310,'SIA2001'!F310)</f>
        <v>ISOVER panneau pour façades EPSe 035 WDV</v>
      </c>
      <c r="D604" s="69"/>
      <c r="E604" s="69"/>
      <c r="F604" s="69"/>
      <c r="G604" s="971">
        <v>23</v>
      </c>
      <c r="H604" s="971">
        <f>'SIA2001'!K310</f>
        <v>3.4000000000000002E-2</v>
      </c>
      <c r="I604" s="972">
        <f>'SIA2001'!O310</f>
        <v>60</v>
      </c>
      <c r="O604" s="28"/>
      <c r="AA604" s="69"/>
      <c r="AB604" s="69"/>
      <c r="AC604" s="69"/>
      <c r="AD604" s="69"/>
      <c r="AE604" s="69"/>
    </row>
    <row r="605" spans="1:31">
      <c r="A605" s="66"/>
      <c r="B605" s="970" t="str">
        <f>IF(Uebersetzung!$A$1=1,'SIA2001'!E311,'SIA2001'!F311)</f>
        <v>ISOVER panneau insonorisant pour façades gris Silence dB Plus 032</v>
      </c>
      <c r="D605" s="69"/>
      <c r="E605" s="69"/>
      <c r="F605" s="69"/>
      <c r="G605" s="971">
        <v>17</v>
      </c>
      <c r="H605" s="971">
        <f>'SIA2001'!K311</f>
        <v>3.1E-2</v>
      </c>
      <c r="I605" s="972">
        <f>'SIA2001'!O311</f>
        <v>60</v>
      </c>
      <c r="O605" s="28"/>
      <c r="AA605" s="69"/>
      <c r="AB605" s="69"/>
      <c r="AC605" s="69"/>
      <c r="AD605" s="69"/>
      <c r="AE605" s="69"/>
    </row>
    <row r="606" spans="1:31">
      <c r="A606" s="66"/>
      <c r="B606" s="970" t="str">
        <f>IF(Uebersetzung!$A$1=1,'SIA2001'!E312,'SIA2001'!F312)</f>
        <v>ISOVER Perimeter- und Sockeldämmplatte 035 AW3 150</v>
      </c>
      <c r="D606" s="69"/>
      <c r="E606" s="69"/>
      <c r="F606" s="69"/>
      <c r="G606" s="971">
        <v>33</v>
      </c>
      <c r="H606" s="971">
        <f>'SIA2001'!K312</f>
        <v>3.4000000000000002E-2</v>
      </c>
      <c r="I606" s="972">
        <f>'SIA2001'!O312</f>
        <v>60</v>
      </c>
      <c r="O606" s="28"/>
      <c r="AA606" s="69"/>
      <c r="AB606" s="69"/>
      <c r="AC606" s="69"/>
      <c r="AD606" s="69"/>
      <c r="AE606" s="69"/>
    </row>
    <row r="607" spans="1:31">
      <c r="A607" s="66"/>
      <c r="B607" s="970" t="str">
        <f>IF(Uebersetzung!$A$1=1,'SIA2001'!E313,'SIA2001'!F313)</f>
        <v>ISOVER Perimeter- und Sockeldämmplatte 032 AW3 150 grau</v>
      </c>
      <c r="D607" s="69"/>
      <c r="E607" s="69"/>
      <c r="F607" s="69"/>
      <c r="G607" s="971">
        <v>28</v>
      </c>
      <c r="H607" s="971">
        <f>'SIA2001'!K313</f>
        <v>3.1E-2</v>
      </c>
      <c r="I607" s="972">
        <f>'SIA2001'!O313</f>
        <v>60</v>
      </c>
      <c r="O607" s="28"/>
      <c r="AA607" s="69"/>
      <c r="AB607" s="69"/>
      <c r="AC607" s="69"/>
      <c r="AD607" s="69"/>
      <c r="AE607" s="69"/>
    </row>
    <row r="608" spans="1:31">
      <c r="A608" s="66"/>
      <c r="B608" s="970" t="str">
        <f>IF(Uebersetzung!$A$1=1,'SIA2001'!E314,'SIA2001'!F314)</f>
        <v>ISOVER Trittschalldämmplatte EPS 045 DES sm</v>
      </c>
      <c r="D608" s="69"/>
      <c r="E608" s="69"/>
      <c r="F608" s="69"/>
      <c r="G608" s="971">
        <v>10</v>
      </c>
      <c r="H608" s="971">
        <f>'SIA2001'!K314</f>
        <v>4.3999999999999997E-2</v>
      </c>
      <c r="I608" s="972">
        <f>'SIA2001'!O314</f>
        <v>60</v>
      </c>
      <c r="O608" s="28"/>
      <c r="AA608" s="69"/>
      <c r="AB608" s="69"/>
      <c r="AC608" s="69"/>
      <c r="AD608" s="69"/>
      <c r="AE608" s="69"/>
    </row>
    <row r="609" spans="1:31">
      <c r="A609" s="66"/>
      <c r="B609" s="970" t="str">
        <f>IF(Uebersetzung!$A$1=1,'SIA2001'!E315,'SIA2001'!F315)</f>
        <v>ISOVER Trittschalldämmplatte EPS 040 DES sg</v>
      </c>
      <c r="D609" s="69"/>
      <c r="E609" s="69"/>
      <c r="F609" s="69"/>
      <c r="G609" s="971">
        <v>15</v>
      </c>
      <c r="H609" s="971">
        <f>'SIA2001'!K315</f>
        <v>3.7999999999999999E-2</v>
      </c>
      <c r="I609" s="972">
        <f>'SIA2001'!O315</f>
        <v>60</v>
      </c>
      <c r="O609" s="28"/>
      <c r="AA609" s="69"/>
      <c r="AB609" s="69"/>
      <c r="AC609" s="69"/>
      <c r="AD609" s="69"/>
      <c r="AE609" s="69"/>
    </row>
    <row r="610" spans="1:31">
      <c r="A610" s="66"/>
      <c r="B610" s="970" t="str">
        <f>IF(Uebersetzung!$A$1=1,'SIA2001'!E316,'SIA2001'!F316)</f>
        <v>Sarna Granol K5 EPS 030 GR</v>
      </c>
      <c r="D610" s="69"/>
      <c r="E610" s="69"/>
      <c r="F610" s="69"/>
      <c r="G610" s="971">
        <f>'SIA2001'!J316</f>
        <v>15</v>
      </c>
      <c r="H610" s="971">
        <f>'SIA2001'!K316</f>
        <v>0.03</v>
      </c>
      <c r="I610" s="972">
        <f>'SIA2001'!O316</f>
        <v>60</v>
      </c>
      <c r="O610" s="28"/>
      <c r="AA610" s="69"/>
      <c r="AB610" s="69"/>
      <c r="AC610" s="69"/>
      <c r="AD610" s="69"/>
      <c r="AE610" s="69"/>
    </row>
    <row r="611" spans="1:31">
      <c r="A611" s="66"/>
      <c r="B611" s="970" t="str">
        <f>IF(Uebersetzung!$A$1=1,'SIA2001'!E317,'SIA2001'!F317)</f>
        <v>S-Therm Plus</v>
      </c>
      <c r="D611" s="69"/>
      <c r="E611" s="69"/>
      <c r="F611" s="69"/>
      <c r="G611" s="971">
        <f>'SIA2001'!J317</f>
        <v>25</v>
      </c>
      <c r="H611" s="971">
        <f>'SIA2001'!K317</f>
        <v>2.9000000000000001E-2</v>
      </c>
      <c r="I611" s="972">
        <f>'SIA2001'!O317</f>
        <v>60</v>
      </c>
      <c r="O611" s="28"/>
      <c r="AA611" s="970"/>
      <c r="AB611" s="970"/>
      <c r="AC611" s="970"/>
      <c r="AD611" s="970"/>
      <c r="AE611" s="970"/>
    </row>
    <row r="612" spans="1:31">
      <c r="A612" s="66"/>
      <c r="B612" s="970" t="str">
        <f>IF(Uebersetzung!$A$1=1,'SIA2001'!E318,'SIA2001'!F318)</f>
        <v>S-Therm Roof</v>
      </c>
      <c r="D612" s="69"/>
      <c r="E612" s="69"/>
      <c r="F612" s="69"/>
      <c r="G612" s="971">
        <f>'SIA2001'!J318</f>
        <v>25</v>
      </c>
      <c r="H612" s="971">
        <f>'SIA2001'!K318</f>
        <v>3.4000000000000002E-2</v>
      </c>
      <c r="I612" s="972">
        <f>'SIA2001'!O318</f>
        <v>60</v>
      </c>
      <c r="O612" s="28"/>
      <c r="AA612" s="69"/>
      <c r="AB612" s="69"/>
      <c r="AC612" s="69"/>
      <c r="AD612" s="69"/>
      <c r="AE612" s="69"/>
    </row>
    <row r="613" spans="1:31">
      <c r="A613" s="66"/>
      <c r="B613" s="970" t="str">
        <f>IF(Uebersetzung!$A$1=1,'SIA2001'!E319,'SIA2001'!F319)</f>
        <v>S-Therm Duro</v>
      </c>
      <c r="D613" s="69"/>
      <c r="E613" s="69"/>
      <c r="F613" s="69"/>
      <c r="G613" s="971">
        <f>'SIA2001'!J319</f>
        <v>45</v>
      </c>
      <c r="H613" s="971">
        <f>'SIA2001'!K319</f>
        <v>3.2000000000000001E-2</v>
      </c>
      <c r="I613" s="972">
        <f>'SIA2001'!O319</f>
        <v>60</v>
      </c>
      <c r="O613" s="28"/>
      <c r="AA613" s="69"/>
      <c r="AB613" s="69"/>
      <c r="AC613" s="69"/>
      <c r="AD613" s="69"/>
      <c r="AE613" s="69"/>
    </row>
    <row r="614" spans="1:31">
      <c r="A614" s="66"/>
      <c r="B614" s="970" t="str">
        <f>IF(Uebersetzung!$A$1=1,'SIA2001'!E320,'SIA2001'!F320)</f>
        <v>NEOSTIR Lambda 29</v>
      </c>
      <c r="D614" s="69"/>
      <c r="E614" s="69"/>
      <c r="F614" s="69"/>
      <c r="G614" s="971">
        <v>27</v>
      </c>
      <c r="H614" s="971">
        <f>'SIA2001'!K320</f>
        <v>2.9000000000000001E-2</v>
      </c>
      <c r="I614" s="972">
        <f>'SIA2001'!O320</f>
        <v>60</v>
      </c>
      <c r="O614" s="28"/>
      <c r="AA614" s="69"/>
      <c r="AB614" s="69"/>
      <c r="AC614" s="69"/>
      <c r="AD614" s="69"/>
      <c r="AE614" s="69"/>
    </row>
    <row r="615" spans="1:31">
      <c r="A615" s="66"/>
      <c r="B615" s="970" t="str">
        <f>IF(Uebersetzung!$A$1=1,'SIA2001'!E321,'SIA2001'!F321)</f>
        <v>SIRAPOR 120 Lambda 34</v>
      </c>
      <c r="D615" s="69"/>
      <c r="E615" s="69"/>
      <c r="F615" s="69"/>
      <c r="G615" s="971">
        <v>23</v>
      </c>
      <c r="H615" s="971">
        <f>'SIA2001'!K321</f>
        <v>3.4000000000000002E-2</v>
      </c>
      <c r="I615" s="972">
        <f>'SIA2001'!O321</f>
        <v>60</v>
      </c>
      <c r="O615" s="28"/>
      <c r="AA615" s="69"/>
      <c r="AB615" s="69"/>
      <c r="AC615" s="69"/>
      <c r="AD615" s="69"/>
      <c r="AE615" s="69"/>
    </row>
    <row r="616" spans="1:31">
      <c r="A616" s="66"/>
      <c r="B616" s="970" t="str">
        <f>IF(Uebersetzung!$A$1=1,'SIA2001'!E322,'SIA2001'!F322)</f>
        <v>NEOSTIR</v>
      </c>
      <c r="D616" s="69"/>
      <c r="E616" s="69"/>
      <c r="F616" s="69"/>
      <c r="G616" s="971">
        <v>25</v>
      </c>
      <c r="H616" s="971">
        <f>'SIA2001'!K322</f>
        <v>3.1E-2</v>
      </c>
      <c r="I616" s="972">
        <f>'SIA2001'!O322</f>
        <v>60</v>
      </c>
      <c r="O616" s="28"/>
      <c r="AA616" s="69"/>
      <c r="AB616" s="69"/>
      <c r="AC616" s="69"/>
      <c r="AD616" s="69"/>
      <c r="AE616" s="69"/>
    </row>
    <row r="617" spans="1:31">
      <c r="A617" s="66"/>
      <c r="B617" s="970" t="str">
        <f>IF(Uebersetzung!$A$1=1,'SIA2001'!E323,'SIA2001'!F323)</f>
        <v>SIRAPOR EPS 100</v>
      </c>
      <c r="D617" s="69"/>
      <c r="E617" s="69"/>
      <c r="F617" s="69"/>
      <c r="G617" s="971">
        <v>19</v>
      </c>
      <c r="H617" s="971">
        <f>'SIA2001'!K323</f>
        <v>3.5999999999999997E-2</v>
      </c>
      <c r="I617" s="972">
        <f>'SIA2001'!O323</f>
        <v>60</v>
      </c>
      <c r="O617" s="28"/>
      <c r="AA617" s="69"/>
      <c r="AB617" s="69"/>
      <c r="AC617" s="69"/>
      <c r="AD617" s="69"/>
      <c r="AE617" s="69"/>
    </row>
    <row r="618" spans="1:31">
      <c r="A618" s="66"/>
      <c r="B618" s="970" t="str">
        <f>IF(Uebersetzung!$A$1=1,'SIA2001'!E324,'SIA2001'!F324)</f>
        <v>SIRAPOR EPS 200</v>
      </c>
      <c r="D618" s="69"/>
      <c r="E618" s="69"/>
      <c r="F618" s="69"/>
      <c r="G618" s="971">
        <v>29</v>
      </c>
      <c r="H618" s="971">
        <f>'SIA2001'!K324</f>
        <v>3.3000000000000002E-2</v>
      </c>
      <c r="I618" s="972">
        <f>'SIA2001'!O324</f>
        <v>60</v>
      </c>
      <c r="O618" s="28"/>
      <c r="AA618" s="69"/>
      <c r="AB618" s="69"/>
      <c r="AC618" s="69"/>
      <c r="AD618" s="69"/>
      <c r="AE618" s="69"/>
    </row>
    <row r="619" spans="1:31">
      <c r="A619" s="66"/>
      <c r="B619" s="970" t="str">
        <f>IF(Uebersetzung!$A$1=1,'SIA2001'!E325,'SIA2001'!F325)</f>
        <v>NEOSTIR GW 30</v>
      </c>
      <c r="D619" s="69"/>
      <c r="E619" s="69"/>
      <c r="F619" s="69"/>
      <c r="G619" s="971">
        <v>21</v>
      </c>
      <c r="H619" s="971">
        <f>'SIA2001'!K325</f>
        <v>0.03</v>
      </c>
      <c r="I619" s="972">
        <f>'SIA2001'!O325</f>
        <v>60</v>
      </c>
      <c r="O619" s="28"/>
      <c r="AA619" s="69"/>
      <c r="AB619" s="69"/>
      <c r="AC619" s="69"/>
      <c r="AD619" s="69"/>
      <c r="AE619" s="69"/>
    </row>
    <row r="620" spans="1:31">
      <c r="A620" s="66"/>
      <c r="B620" s="970" t="str">
        <f>IF(Uebersetzung!$A$1=1,'SIA2001'!E326,'SIA2001'!F326)</f>
        <v>steinopor Roll EPS-T</v>
      </c>
      <c r="D620" s="69"/>
      <c r="E620" s="69"/>
      <c r="F620" s="69"/>
      <c r="G620" s="971">
        <v>13</v>
      </c>
      <c r="H620" s="971">
        <f>'SIA2001'!K326</f>
        <v>4.2000000000000003E-2</v>
      </c>
      <c r="I620" s="972">
        <f>'SIA2001'!O326</f>
        <v>60</v>
      </c>
      <c r="O620" s="28"/>
      <c r="AA620" s="69"/>
      <c r="AB620" s="69"/>
      <c r="AC620" s="69"/>
      <c r="AD620" s="69"/>
      <c r="AE620" s="69"/>
    </row>
    <row r="621" spans="1:31">
      <c r="A621" s="66"/>
      <c r="B621" s="970" t="str">
        <f>IF(Uebersetzung!$A$1=1,'SIA2001'!E327,'SIA2001'!F327)</f>
        <v>steinopor Roll EPS-T plus</v>
      </c>
      <c r="D621" s="69"/>
      <c r="E621" s="69"/>
      <c r="F621" s="69"/>
      <c r="G621" s="971">
        <v>14</v>
      </c>
      <c r="H621" s="971">
        <f>'SIA2001'!K327</f>
        <v>3.2000000000000001E-2</v>
      </c>
      <c r="I621" s="972">
        <f>'SIA2001'!O327</f>
        <v>60</v>
      </c>
      <c r="O621" s="28"/>
      <c r="AA621" s="69"/>
      <c r="AB621" s="69"/>
      <c r="AC621" s="69"/>
      <c r="AD621" s="69"/>
      <c r="AE621" s="69"/>
    </row>
    <row r="622" spans="1:31">
      <c r="A622" s="66"/>
      <c r="B622" s="970" t="str">
        <f>IF(Uebersetzung!$A$1=1,'SIA2001'!E328,'SIA2001'!F328)</f>
        <v>steinopor EPS - 100 kPa</v>
      </c>
      <c r="D622" s="69"/>
      <c r="E622" s="69"/>
      <c r="F622" s="69"/>
      <c r="G622" s="971">
        <v>20</v>
      </c>
      <c r="H622" s="971">
        <f>'SIA2001'!K328</f>
        <v>3.5999999999999997E-2</v>
      </c>
      <c r="I622" s="972">
        <f>'SIA2001'!O328</f>
        <v>60</v>
      </c>
      <c r="O622" s="28"/>
      <c r="AA622" s="69"/>
      <c r="AB622" s="69"/>
      <c r="AC622" s="69"/>
      <c r="AD622" s="69"/>
      <c r="AE622" s="69"/>
    </row>
    <row r="623" spans="1:31">
      <c r="A623" s="66"/>
      <c r="B623" s="970" t="str">
        <f>IF(Uebersetzung!$A$1=1,'SIA2001'!E329,'SIA2001'!F329)</f>
        <v>steinopor EPS - 120 kPa</v>
      </c>
      <c r="D623" s="69"/>
      <c r="E623" s="69"/>
      <c r="F623" s="69"/>
      <c r="G623" s="971">
        <v>25</v>
      </c>
      <c r="H623" s="971">
        <f>'SIA2001'!K329</f>
        <v>3.4000000000000002E-2</v>
      </c>
      <c r="I623" s="972">
        <f>'SIA2001'!O329</f>
        <v>60</v>
      </c>
      <c r="O623" s="28"/>
      <c r="AA623" s="69"/>
      <c r="AB623" s="69"/>
      <c r="AC623" s="69"/>
      <c r="AD623" s="69"/>
      <c r="AE623" s="69"/>
    </row>
    <row r="624" spans="1:31">
      <c r="B624" s="970" t="str">
        <f>IF(Uebersetzung!$A$1=1,'SIA2001'!E330,'SIA2001'!F330)</f>
        <v>steinopor EPS plus 031</v>
      </c>
      <c r="D624" s="69"/>
      <c r="E624" s="69"/>
      <c r="F624" s="69"/>
      <c r="G624" s="971">
        <v>20</v>
      </c>
      <c r="H624" s="971">
        <f>'SIA2001'!K330</f>
        <v>3.1E-2</v>
      </c>
      <c r="I624" s="972">
        <f>'SIA2001'!O330</f>
        <v>60</v>
      </c>
      <c r="O624" s="28"/>
      <c r="AA624" s="69"/>
      <c r="AB624" s="69"/>
      <c r="AC624" s="69"/>
      <c r="AD624" s="69"/>
      <c r="AE624" s="69"/>
    </row>
    <row r="625" spans="2:31">
      <c r="B625" s="970" t="str">
        <f>IF(Uebersetzung!$A$1=1,'SIA2001'!E331,'SIA2001'!F331)</f>
        <v>steinodur PSN</v>
      </c>
      <c r="D625" s="69"/>
      <c r="E625" s="69"/>
      <c r="F625" s="69"/>
      <c r="G625" s="971">
        <v>35</v>
      </c>
      <c r="H625" s="971">
        <f>'SIA2001'!K331</f>
        <v>3.5000000000000003E-2</v>
      </c>
      <c r="I625" s="972">
        <f>'SIA2001'!O331</f>
        <v>60</v>
      </c>
      <c r="O625" s="28"/>
      <c r="AA625" s="69"/>
      <c r="AB625" s="69"/>
      <c r="AC625" s="69"/>
      <c r="AD625" s="69"/>
      <c r="AE625" s="69"/>
    </row>
    <row r="626" spans="2:31">
      <c r="B626" s="970" t="str">
        <f>IF(Uebersetzung!$A$1=1,'SIA2001'!E332,'SIA2001'!F332)</f>
        <v>steinodur UKD</v>
      </c>
      <c r="D626" s="69"/>
      <c r="E626" s="69"/>
      <c r="F626" s="69"/>
      <c r="G626" s="971">
        <v>35</v>
      </c>
      <c r="H626" s="971">
        <f>'SIA2001'!K332</f>
        <v>3.6999999999999998E-2</v>
      </c>
      <c r="I626" s="972">
        <f>'SIA2001'!O332</f>
        <v>60</v>
      </c>
      <c r="O626" s="28"/>
      <c r="AA626" s="69"/>
      <c r="AB626" s="69"/>
      <c r="AC626" s="69"/>
      <c r="AD626" s="69"/>
      <c r="AE626" s="69"/>
    </row>
    <row r="627" spans="2:31">
      <c r="B627" s="970" t="str">
        <f>IF(Uebersetzung!$A$1=1,'SIA2001'!E333,'SIA2001'!F333)</f>
        <v>steinodur UKD plus</v>
      </c>
      <c r="D627" s="69"/>
      <c r="E627" s="69"/>
      <c r="F627" s="69"/>
      <c r="G627" s="971">
        <v>30</v>
      </c>
      <c r="H627" s="971">
        <f>'SIA2001'!K333</f>
        <v>3.2000000000000001E-2</v>
      </c>
      <c r="I627" s="972">
        <f>'SIA2001'!O333</f>
        <v>60</v>
      </c>
      <c r="O627" s="28"/>
      <c r="AA627" s="69"/>
      <c r="AB627" s="69"/>
      <c r="AC627" s="69"/>
      <c r="AD627" s="69"/>
      <c r="AE627" s="69"/>
    </row>
    <row r="628" spans="2:31">
      <c r="B628" s="970" t="str">
        <f>IF(Uebersetzung!$A$1=1,'SIA2001'!E334,'SIA2001'!F334)</f>
        <v>steinodur SPL</v>
      </c>
      <c r="D628" s="69"/>
      <c r="E628" s="69"/>
      <c r="F628" s="69"/>
      <c r="G628" s="971">
        <v>31</v>
      </c>
      <c r="H628" s="971">
        <f>'SIA2001'!K334</f>
        <v>3.5000000000000003E-2</v>
      </c>
      <c r="I628" s="972">
        <f>'SIA2001'!O334</f>
        <v>60</v>
      </c>
      <c r="O628" s="28"/>
      <c r="AA628" s="69"/>
      <c r="AB628" s="69"/>
      <c r="AC628" s="69"/>
      <c r="AD628" s="69"/>
      <c r="AE628" s="69"/>
    </row>
    <row r="629" spans="2:31">
      <c r="B629" s="970" t="str">
        <f>IF(Uebersetzung!$A$1=1,'SIA2001'!E335,'SIA2001'!F335)</f>
        <v>steinopor EPS-F</v>
      </c>
      <c r="D629" s="69"/>
      <c r="E629" s="69"/>
      <c r="F629" s="69"/>
      <c r="G629" s="971">
        <v>16</v>
      </c>
      <c r="H629" s="971">
        <f>'SIA2001'!K335</f>
        <v>3.7999999999999999E-2</v>
      </c>
      <c r="I629" s="972">
        <f>'SIA2001'!O335</f>
        <v>60</v>
      </c>
      <c r="O629" s="28"/>
      <c r="AA629" s="69"/>
      <c r="AB629" s="69"/>
      <c r="AC629" s="69"/>
      <c r="AD629" s="69"/>
      <c r="AE629" s="69"/>
    </row>
    <row r="630" spans="2:31">
      <c r="B630" s="970" t="str">
        <f>IF(Uebersetzung!$A$1=1,'SIA2001'!E336,'SIA2001'!F336)</f>
        <v>steinopor EPS-F 20</v>
      </c>
      <c r="D630" s="69"/>
      <c r="E630" s="69"/>
      <c r="F630" s="69"/>
      <c r="G630" s="971">
        <v>20</v>
      </c>
      <c r="H630" s="971">
        <f>'SIA2001'!K336</f>
        <v>3.5999999999999997E-2</v>
      </c>
      <c r="I630" s="972">
        <f>'SIA2001'!O336</f>
        <v>60</v>
      </c>
      <c r="O630" s="28"/>
      <c r="AA630" s="69"/>
      <c r="AB630" s="69"/>
      <c r="AC630" s="69"/>
      <c r="AD630" s="69"/>
      <c r="AE630" s="69"/>
    </row>
    <row r="631" spans="2:31">
      <c r="B631" s="970" t="str">
        <f>IF(Uebersetzung!$A$1=1,'SIA2001'!E337,'SIA2001'!F337)</f>
        <v>steinopor EPS-F plus</v>
      </c>
      <c r="D631" s="69"/>
      <c r="E631" s="69"/>
      <c r="F631" s="69"/>
      <c r="G631" s="971">
        <v>20</v>
      </c>
      <c r="H631" s="971">
        <f>'SIA2001'!K337</f>
        <v>3.1E-2</v>
      </c>
      <c r="I631" s="972">
        <f>'SIA2001'!O337</f>
        <v>60</v>
      </c>
      <c r="O631" s="28"/>
      <c r="AA631" s="69"/>
      <c r="AB631" s="69"/>
      <c r="AC631" s="69"/>
      <c r="AD631" s="69"/>
      <c r="AE631" s="69"/>
    </row>
    <row r="632" spans="2:31">
      <c r="B632" s="970" t="str">
        <f>IF(Uebersetzung!$A$1=1,'SIA2001'!E338,'SIA2001'!F338)</f>
        <v>swissporEPS 15</v>
      </c>
      <c r="D632" s="69"/>
      <c r="E632" s="69"/>
      <c r="F632" s="69"/>
      <c r="G632" s="971">
        <f>'SIA2001'!J338</f>
        <v>15</v>
      </c>
      <c r="H632" s="971">
        <f>'SIA2001'!K338</f>
        <v>3.7999999999999999E-2</v>
      </c>
      <c r="I632" s="972">
        <f>'SIA2001'!O338</f>
        <v>60</v>
      </c>
      <c r="O632" s="28"/>
      <c r="AA632" s="69"/>
      <c r="AB632" s="69"/>
      <c r="AC632" s="69"/>
      <c r="AD632" s="69"/>
      <c r="AE632" s="69"/>
    </row>
    <row r="633" spans="2:31">
      <c r="B633" s="970" t="str">
        <f>IF(Uebersetzung!$A$1=1,'SIA2001'!E339,'SIA2001'!F339)</f>
        <v>swissporEPS 15 100% recyclé</v>
      </c>
      <c r="D633" s="69"/>
      <c r="E633" s="69"/>
      <c r="F633" s="69"/>
      <c r="G633" s="971">
        <f>'SIA2001'!J339</f>
        <v>15</v>
      </c>
      <c r="H633" s="971">
        <f>'SIA2001'!K339</f>
        <v>3.7999999999999999E-2</v>
      </c>
      <c r="I633" s="972">
        <f>'SIA2001'!O339</f>
        <v>60</v>
      </c>
      <c r="O633" s="28"/>
      <c r="AA633" s="69"/>
      <c r="AB633" s="69"/>
      <c r="AC633" s="69"/>
      <c r="AD633" s="69"/>
      <c r="AE633" s="69"/>
    </row>
    <row r="634" spans="2:31">
      <c r="B634" s="970" t="str">
        <f>IF(Uebersetzung!$A$1=1,'SIA2001'!E340,'SIA2001'!F340)</f>
        <v>swissporEPS 20</v>
      </c>
      <c r="D634" s="69"/>
      <c r="E634" s="69"/>
      <c r="F634" s="69"/>
      <c r="G634" s="971">
        <f>'SIA2001'!J340</f>
        <v>20</v>
      </c>
      <c r="H634" s="971">
        <f>'SIA2001'!K340</f>
        <v>3.5999999999999997E-2</v>
      </c>
      <c r="I634" s="972">
        <f>'SIA2001'!O340</f>
        <v>60</v>
      </c>
      <c r="O634" s="28"/>
      <c r="AA634" s="69"/>
      <c r="AB634" s="69"/>
      <c r="AC634" s="69"/>
      <c r="AD634" s="69"/>
      <c r="AE634" s="69"/>
    </row>
    <row r="635" spans="2:31">
      <c r="B635" s="970" t="str">
        <f>IF(Uebersetzung!$A$1=1,'SIA2001'!E341,'SIA2001'!F341)</f>
        <v>swissporEPS 30</v>
      </c>
      <c r="D635" s="69"/>
      <c r="E635" s="69"/>
      <c r="F635" s="69"/>
      <c r="G635" s="971">
        <f>'SIA2001'!J341</f>
        <v>30</v>
      </c>
      <c r="H635" s="971">
        <f>'SIA2001'!K341</f>
        <v>3.3000000000000002E-2</v>
      </c>
      <c r="I635" s="972">
        <f>'SIA2001'!O341</f>
        <v>60</v>
      </c>
      <c r="O635" s="28"/>
      <c r="AA635" s="69"/>
      <c r="AB635" s="69"/>
      <c r="AC635" s="69"/>
      <c r="AD635" s="69"/>
      <c r="AE635" s="69"/>
    </row>
    <row r="636" spans="2:31">
      <c r="B636" s="970" t="str">
        <f>IF(Uebersetzung!$A$1=1,'SIA2001'!E342,'SIA2001'!F342)</f>
        <v>swissporEPS 30 100% recyclé</v>
      </c>
      <c r="D636" s="69"/>
      <c r="E636" s="69"/>
      <c r="F636" s="69"/>
      <c r="G636" s="971">
        <f>'SIA2001'!J342</f>
        <v>28</v>
      </c>
      <c r="H636" s="971">
        <f>'SIA2001'!K342</f>
        <v>3.3000000000000002E-2</v>
      </c>
      <c r="I636" s="972">
        <f>'SIA2001'!O342</f>
        <v>60</v>
      </c>
      <c r="O636" s="28"/>
      <c r="AA636" s="69"/>
      <c r="AB636" s="69"/>
      <c r="AC636" s="69"/>
      <c r="AD636" s="69"/>
      <c r="AE636" s="69"/>
    </row>
    <row r="637" spans="2:31">
      <c r="B637" s="970" t="str">
        <f>IF(Uebersetzung!$A$1=1,'SIA2001'!E343,'SIA2001'!F343)</f>
        <v>swissporEPS Socle</v>
      </c>
      <c r="D637" s="69"/>
      <c r="E637" s="69"/>
      <c r="F637" s="69"/>
      <c r="G637" s="971">
        <f>'SIA2001'!J343</f>
        <v>30</v>
      </c>
      <c r="H637" s="971">
        <f>'SIA2001'!K343</f>
        <v>3.3000000000000002E-2</v>
      </c>
      <c r="I637" s="972">
        <f>'SIA2001'!O343</f>
        <v>60</v>
      </c>
      <c r="O637" s="28"/>
      <c r="AA637" s="69"/>
      <c r="AB637" s="69"/>
      <c r="AC637" s="69"/>
      <c r="AD637" s="69"/>
      <c r="AE637" s="69"/>
    </row>
    <row r="638" spans="2:31">
      <c r="B638" s="970" t="str">
        <f>IF(Uebersetzung!$A$1=1,'SIA2001'!E344,'SIA2001'!F344)</f>
        <v>swissporEPS Panneau périmétrique</v>
      </c>
      <c r="D638" s="69"/>
      <c r="E638" s="69"/>
      <c r="F638" s="69"/>
      <c r="G638" s="971">
        <f>'SIA2001'!J344</f>
        <v>30</v>
      </c>
      <c r="H638" s="971">
        <f>'SIA2001'!K344</f>
        <v>3.3000000000000002E-2</v>
      </c>
      <c r="I638" s="972">
        <f>'SIA2001'!O344</f>
        <v>60</v>
      </c>
      <c r="O638" s="28"/>
      <c r="AA638" s="69"/>
      <c r="AB638" s="69"/>
      <c r="AC638" s="69"/>
      <c r="AD638" s="69"/>
      <c r="AE638" s="69"/>
    </row>
    <row r="639" spans="2:31">
      <c r="B639" s="970" t="str">
        <f>IF(Uebersetzung!$A$1=1,'SIA2001'!E345,'SIA2001'!F345)</f>
        <v>swissporEPS Panneau Drain</v>
      </c>
      <c r="D639" s="69"/>
      <c r="E639" s="69"/>
      <c r="F639" s="69"/>
      <c r="G639" s="971">
        <f>'SIA2001'!J345</f>
        <v>30</v>
      </c>
      <c r="H639" s="971">
        <f>'SIA2001'!K345</f>
        <v>3.3000000000000002E-2</v>
      </c>
      <c r="I639" s="972">
        <f>'SIA2001'!O345</f>
        <v>60</v>
      </c>
      <c r="O639" s="28"/>
      <c r="AA639" s="69"/>
      <c r="AB639" s="69"/>
      <c r="AC639" s="69"/>
      <c r="AD639" s="69"/>
      <c r="AE639" s="69"/>
    </row>
    <row r="640" spans="2:31">
      <c r="B640" s="970" t="str">
        <f>IF(Uebersetzung!$A$1=1,'SIA2001'!E346,'SIA2001'!F346)</f>
        <v>swissporEPS-T (isolation phonique)</v>
      </c>
      <c r="D640" s="69"/>
      <c r="E640" s="69"/>
      <c r="F640" s="69"/>
      <c r="G640" s="971">
        <v>13</v>
      </c>
      <c r="H640" s="971">
        <f>'SIA2001'!K346</f>
        <v>3.9E-2</v>
      </c>
      <c r="I640" s="972">
        <f>'SIA2001'!O346</f>
        <v>60</v>
      </c>
      <c r="O640" s="28"/>
      <c r="AA640" s="69"/>
      <c r="AB640" s="69"/>
      <c r="AC640" s="69"/>
      <c r="AD640" s="69"/>
      <c r="AE640" s="69"/>
    </row>
    <row r="641" spans="2:31">
      <c r="B641" s="970" t="str">
        <f>IF(Uebersetzung!$A$1=1,'SIA2001'!E347,'SIA2001'!F347)</f>
        <v>swissporEPS 150 Sol</v>
      </c>
      <c r="D641" s="69"/>
      <c r="E641" s="69"/>
      <c r="F641" s="69"/>
      <c r="G641" s="971">
        <v>25</v>
      </c>
      <c r="H641" s="971">
        <f>'SIA2001'!K347</f>
        <v>3.3000000000000002E-2</v>
      </c>
      <c r="I641" s="972">
        <f>'SIA2001'!O347</f>
        <v>60</v>
      </c>
      <c r="O641" s="28"/>
      <c r="AA641" s="69"/>
      <c r="AB641" s="69"/>
      <c r="AC641" s="69"/>
      <c r="AD641" s="69"/>
      <c r="AE641" s="69"/>
    </row>
    <row r="642" spans="2:31">
      <c r="B642" s="970" t="str">
        <f>IF(Uebersetzung!$A$1=1,'SIA2001'!E348,'SIA2001'!F348)</f>
        <v>swissporEPS Roof</v>
      </c>
      <c r="D642" s="69"/>
      <c r="E642" s="69"/>
      <c r="F642" s="69"/>
      <c r="G642" s="971">
        <v>23</v>
      </c>
      <c r="H642" s="971">
        <f>'SIA2001'!K348</f>
        <v>3.4000000000000002E-2</v>
      </c>
      <c r="I642" s="972">
        <f>'SIA2001'!O348</f>
        <v>60</v>
      </c>
      <c r="O642" s="28"/>
      <c r="AA642" s="71"/>
      <c r="AB642" s="69"/>
      <c r="AC642" s="69"/>
      <c r="AD642" s="69"/>
      <c r="AE642" s="69"/>
    </row>
    <row r="643" spans="2:31">
      <c r="B643" s="970" t="str">
        <f>IF(Uebersetzung!$A$1=1,'SIA2001'!E349,'SIA2001'!F349)</f>
        <v>swissporEPS Roof ECO</v>
      </c>
      <c r="D643" s="69"/>
      <c r="E643" s="69"/>
      <c r="F643" s="69"/>
      <c r="G643" s="971">
        <f>'SIA2001'!J349</f>
        <v>28</v>
      </c>
      <c r="H643" s="971">
        <f>'SIA2001'!K349</f>
        <v>3.3000000000000002E-2</v>
      </c>
      <c r="I643" s="972">
        <f>'SIA2001'!O349</f>
        <v>60</v>
      </c>
      <c r="O643" s="28"/>
      <c r="AA643" s="69"/>
      <c r="AB643" s="69"/>
      <c r="AC643" s="69"/>
      <c r="AD643" s="69"/>
      <c r="AE643" s="69"/>
    </row>
    <row r="644" spans="2:31">
      <c r="B644" s="970" t="str">
        <f>IF(Uebersetzung!$A$1=1,'SIA2001'!E350,'SIA2001'!F350)</f>
        <v>swissporLAMBDA Socle 030</v>
      </c>
      <c r="D644" s="69"/>
      <c r="E644" s="69"/>
      <c r="F644" s="69"/>
      <c r="G644" s="971">
        <f>'SIA2001'!J350</f>
        <v>25</v>
      </c>
      <c r="H644" s="971">
        <f>'SIA2001'!K350</f>
        <v>0.03</v>
      </c>
      <c r="I644" s="972">
        <f>'SIA2001'!O350</f>
        <v>60</v>
      </c>
      <c r="O644" s="28"/>
      <c r="AA644" s="69"/>
      <c r="AB644" s="69"/>
      <c r="AC644" s="69"/>
      <c r="AD644" s="69"/>
      <c r="AE644" s="69"/>
    </row>
    <row r="645" spans="2:31">
      <c r="B645" s="970" t="str">
        <f>IF(Uebersetzung!$A$1=1,'SIA2001'!E351,'SIA2001'!F351)</f>
        <v>swissporLAMBDA Roof</v>
      </c>
      <c r="D645" s="69"/>
      <c r="E645" s="69"/>
      <c r="F645" s="69"/>
      <c r="G645" s="971">
        <v>23</v>
      </c>
      <c r="H645" s="971">
        <f>'SIA2001'!K351</f>
        <v>2.9000000000000001E-2</v>
      </c>
      <c r="I645" s="972">
        <f>'SIA2001'!O351</f>
        <v>60</v>
      </c>
      <c r="O645" s="28"/>
      <c r="AA645" s="69"/>
      <c r="AB645" s="69"/>
      <c r="AC645" s="69"/>
      <c r="AD645" s="69"/>
      <c r="AE645" s="69"/>
    </row>
    <row r="646" spans="2:31">
      <c r="B646" s="970" t="str">
        <f>IF(Uebersetzung!$A$1=1,'SIA2001'!E352,'SIA2001'!F352)</f>
        <v>swissporLAMBDA Vento Premium</v>
      </c>
      <c r="D646" s="69"/>
      <c r="E646" s="69"/>
      <c r="F646" s="69"/>
      <c r="G646" s="971">
        <v>23</v>
      </c>
      <c r="H646" s="971">
        <f>'SIA2001'!K352</f>
        <v>2.9000000000000001E-2</v>
      </c>
      <c r="I646" s="972">
        <f>'SIA2001'!O352</f>
        <v>60</v>
      </c>
      <c r="O646" s="28"/>
      <c r="AA646" s="69"/>
      <c r="AB646" s="69"/>
      <c r="AC646" s="69"/>
      <c r="AD646" s="69"/>
      <c r="AE646" s="69"/>
    </row>
    <row r="647" spans="2:31">
      <c r="B647" s="970" t="str">
        <f>IF(Uebersetzung!$A$1=1,'SIA2001'!E353,'SIA2001'!F353)</f>
        <v>swissporLAMBDA Cassette</v>
      </c>
      <c r="D647" s="69"/>
      <c r="E647" s="69"/>
      <c r="F647" s="69"/>
      <c r="G647" s="971">
        <v>23</v>
      </c>
      <c r="H647" s="971">
        <f>'SIA2001'!K353</f>
        <v>2.9000000000000001E-2</v>
      </c>
      <c r="I647" s="972">
        <f>'SIA2001'!O353</f>
        <v>60</v>
      </c>
      <c r="O647" s="28"/>
      <c r="AA647" s="69"/>
      <c r="AB647" s="69"/>
      <c r="AC647" s="69"/>
      <c r="AD647" s="69"/>
      <c r="AE647" s="69"/>
    </row>
    <row r="648" spans="2:31">
      <c r="B648" s="970" t="str">
        <f>IF(Uebersetzung!$A$1=1,'SIA2001'!E354,'SIA2001'!F354)</f>
        <v>swissporLAMBDA Universel 029</v>
      </c>
      <c r="D648" s="69"/>
      <c r="E648" s="69"/>
      <c r="F648" s="69"/>
      <c r="G648" s="971">
        <v>23</v>
      </c>
      <c r="H648" s="971">
        <f>'SIA2001'!K354</f>
        <v>2.9000000000000001E-2</v>
      </c>
      <c r="I648" s="972">
        <f>'SIA2001'!O354</f>
        <v>60</v>
      </c>
      <c r="O648" s="28"/>
      <c r="AA648" s="69"/>
      <c r="AB648" s="69"/>
      <c r="AC648" s="69"/>
      <c r="AD648" s="69"/>
      <c r="AE648" s="69"/>
    </row>
    <row r="649" spans="2:31">
      <c r="B649" s="970" t="str">
        <f>IF(Uebersetzung!$A$1=1,'SIA2001'!E355,'SIA2001'!F355)</f>
        <v>swissporLAMBDA-T (isolation phonique)</v>
      </c>
      <c r="D649" s="69"/>
      <c r="E649" s="69"/>
      <c r="F649" s="69"/>
      <c r="G649" s="971">
        <v>14</v>
      </c>
      <c r="H649" s="971">
        <f>'SIA2001'!K355</f>
        <v>3.1E-2</v>
      </c>
      <c r="I649" s="972">
        <f>'SIA2001'!O355</f>
        <v>60</v>
      </c>
      <c r="O649" s="28"/>
      <c r="AA649" s="69"/>
      <c r="AB649" s="69"/>
      <c r="AC649" s="69"/>
      <c r="AD649" s="69"/>
      <c r="AE649" s="69"/>
    </row>
    <row r="650" spans="2:31">
      <c r="B650" s="970" t="str">
        <f>IF(Uebersetzung!$A$1=1,'SIA2001'!E356,'SIA2001'!F356)</f>
        <v>swissporLAMBDA Vento</v>
      </c>
      <c r="D650" s="69"/>
      <c r="E650" s="69"/>
      <c r="F650" s="69"/>
      <c r="G650" s="971">
        <f>'SIA2001'!J356</f>
        <v>15</v>
      </c>
      <c r="H650" s="971">
        <f>'SIA2001'!K356</f>
        <v>3.1E-2</v>
      </c>
      <c r="I650" s="972">
        <f>'SIA2001'!O356</f>
        <v>60</v>
      </c>
      <c r="O650" s="28"/>
      <c r="AA650" s="970"/>
      <c r="AB650" s="970"/>
      <c r="AC650" s="970"/>
      <c r="AD650" s="970"/>
      <c r="AE650" s="970"/>
    </row>
    <row r="651" spans="2:31">
      <c r="B651" s="970" t="str">
        <f>IF(Uebersetzung!$A$1=1,'SIA2001'!E357,'SIA2001'!F357)</f>
        <v>swissporLAMBDA White 031</v>
      </c>
      <c r="D651" s="69"/>
      <c r="E651" s="69"/>
      <c r="F651" s="69"/>
      <c r="G651" s="971">
        <f>'SIA2001'!J357</f>
        <v>15</v>
      </c>
      <c r="H651" s="971">
        <f>'SIA2001'!K357</f>
        <v>3.1E-2</v>
      </c>
      <c r="I651" s="972">
        <f>'SIA2001'!O357</f>
        <v>60</v>
      </c>
      <c r="O651" s="28"/>
      <c r="AA651" s="970"/>
      <c r="AB651" s="970"/>
      <c r="AC651" s="970"/>
      <c r="AD651" s="970"/>
      <c r="AE651" s="970"/>
    </row>
    <row r="652" spans="2:31">
      <c r="B652" s="970" t="str">
        <f>IF(Uebersetzung!$A$1=1,'SIA2001'!E358,'SIA2001'!F358)</f>
        <v>swissporLAMBDA White Mono 031</v>
      </c>
      <c r="D652" s="69"/>
      <c r="E652" s="69"/>
      <c r="F652" s="69"/>
      <c r="G652" s="971">
        <f>'SIA2001'!J358</f>
        <v>15</v>
      </c>
      <c r="H652" s="971">
        <f>'SIA2001'!K358</f>
        <v>3.1E-2</v>
      </c>
      <c r="I652" s="972">
        <f>'SIA2001'!O358</f>
        <v>60</v>
      </c>
      <c r="O652" s="28"/>
      <c r="AA652" s="970"/>
      <c r="AB652" s="69"/>
      <c r="AC652" s="69"/>
      <c r="AD652" s="69"/>
      <c r="AE652" s="69"/>
    </row>
    <row r="653" spans="2:31">
      <c r="B653" s="970" t="str">
        <f>IF(Uebersetzung!$A$1=1,'SIA2001'!E359,'SIA2001'!F359)</f>
        <v>swissporLAMBDA universell 031</v>
      </c>
      <c r="D653" s="69"/>
      <c r="E653" s="69"/>
      <c r="F653" s="69"/>
      <c r="G653" s="971">
        <f>'SIA2001'!J359</f>
        <v>15</v>
      </c>
      <c r="H653" s="971">
        <f>'SIA2001'!K359</f>
        <v>3.1E-2</v>
      </c>
      <c r="I653" s="972">
        <f>'SIA2001'!O359</f>
        <v>60</v>
      </c>
      <c r="O653" s="28"/>
      <c r="AA653" s="970"/>
      <c r="AB653" s="69"/>
      <c r="AC653" s="69"/>
      <c r="AD653" s="69"/>
      <c r="AE653" s="69"/>
    </row>
    <row r="654" spans="2:31">
      <c r="B654" s="970" t="str">
        <f>IF(Uebersetzung!$A$1=1,'SIA2001'!E360,'SIA2001'!F360)</f>
        <v>swissporLAMBDA Façade 030</v>
      </c>
      <c r="D654" s="69"/>
      <c r="E654" s="69"/>
      <c r="F654" s="69"/>
      <c r="G654" s="971">
        <f>'SIA2001'!J360</f>
        <v>18</v>
      </c>
      <c r="H654" s="971">
        <f>'SIA2001'!K360</f>
        <v>0.03</v>
      </c>
      <c r="I654" s="972">
        <f>'SIA2001'!O360</f>
        <v>60</v>
      </c>
      <c r="O654" s="28"/>
      <c r="AA654" s="970"/>
      <c r="AB654" s="971"/>
      <c r="AC654" s="971"/>
      <c r="AD654" s="971"/>
      <c r="AE654" s="971"/>
    </row>
    <row r="655" spans="2:31">
      <c r="B655" s="970" t="str">
        <f>IF(Uebersetzung!$A$1=1,'SIA2001'!E361,'SIA2001'!F361)</f>
        <v>swissporLAMBDA White 030</v>
      </c>
      <c r="D655" s="69"/>
      <c r="E655" s="69"/>
      <c r="F655" s="69"/>
      <c r="G655" s="971">
        <f>'SIA2001'!J361</f>
        <v>18</v>
      </c>
      <c r="H655" s="971">
        <f>'SIA2001'!K361</f>
        <v>0.03</v>
      </c>
      <c r="I655" s="972">
        <f>'SIA2001'!O361</f>
        <v>60</v>
      </c>
      <c r="O655" s="28"/>
      <c r="AA655" s="970"/>
      <c r="AB655" s="69"/>
      <c r="AC655" s="69"/>
      <c r="AD655" s="69"/>
      <c r="AE655" s="69"/>
    </row>
    <row r="656" spans="2:31">
      <c r="B656" s="970" t="str">
        <f>IF(Uebersetzung!$A$1=1,'SIA2001'!E362,'SIA2001'!F362)</f>
        <v>swissporLAMBDA White Mono 030</v>
      </c>
      <c r="D656" s="69"/>
      <c r="E656" s="69"/>
      <c r="F656" s="69"/>
      <c r="G656" s="971">
        <f>'SIA2001'!J362</f>
        <v>18</v>
      </c>
      <c r="H656" s="971">
        <f>'SIA2001'!K362</f>
        <v>0.03</v>
      </c>
      <c r="I656" s="972">
        <f>'SIA2001'!O362</f>
        <v>60</v>
      </c>
      <c r="O656" s="28"/>
      <c r="AA656" s="970"/>
      <c r="AB656" s="69"/>
      <c r="AC656" s="69"/>
      <c r="AD656" s="69"/>
      <c r="AE656" s="69"/>
    </row>
    <row r="657" spans="2:31">
      <c r="B657" s="970">
        <f>IF(Uebersetzung!$A$1=1,'SIA2001'!E363,'SIA2001'!F363)</f>
        <v>0</v>
      </c>
      <c r="D657" s="69"/>
      <c r="E657" s="69"/>
      <c r="F657" s="69"/>
      <c r="G657" s="971">
        <f>'SIA2001'!J363</f>
        <v>0</v>
      </c>
      <c r="H657" s="971">
        <f>'SIA2001'!K363</f>
        <v>0</v>
      </c>
      <c r="I657" s="972"/>
      <c r="O657" s="28"/>
      <c r="AA657" s="970"/>
      <c r="AB657" s="69"/>
      <c r="AC657" s="69"/>
      <c r="AD657" s="69"/>
      <c r="AE657" s="69"/>
    </row>
    <row r="658" spans="2:31">
      <c r="B658" s="970" t="str">
        <f>IF(Uebersetzung!$A$1=1,'SIA2001'!E364,'SIA2001'!F364)</f>
        <v>isofloc H2 Wall, isofloc pearl</v>
      </c>
      <c r="D658" s="69"/>
      <c r="E658" s="69"/>
      <c r="F658" s="69"/>
      <c r="G658" s="971">
        <v>22</v>
      </c>
      <c r="H658" s="971">
        <f>'SIA2001'!K364</f>
        <v>3.3000000000000002E-2</v>
      </c>
      <c r="I658" s="972">
        <f>'SIA2001'!O364</f>
        <v>2</v>
      </c>
      <c r="O658" s="28"/>
      <c r="AA658" s="69"/>
      <c r="AB658" s="69"/>
      <c r="AC658" s="69"/>
      <c r="AD658" s="69"/>
      <c r="AE658" s="69"/>
    </row>
    <row r="659" spans="2:31">
      <c r="B659" s="970"/>
      <c r="D659" s="69"/>
      <c r="E659" s="69"/>
      <c r="F659" s="69"/>
      <c r="G659" s="971"/>
      <c r="H659" s="971"/>
      <c r="I659" s="1485"/>
      <c r="O659" s="28"/>
      <c r="AA659" s="69"/>
      <c r="AB659" s="69"/>
      <c r="AC659" s="69"/>
      <c r="AD659" s="69"/>
      <c r="AE659" s="69"/>
    </row>
    <row r="660" spans="2:31">
      <c r="B660" s="71" t="str">
        <f>Uebersetzung!D635</f>
        <v>**** Polystyrène extrudé (XPS) ****</v>
      </c>
      <c r="D660" s="69"/>
      <c r="E660" s="69"/>
      <c r="F660" s="69"/>
      <c r="G660" s="971"/>
      <c r="H660" s="971"/>
      <c r="I660" s="973"/>
      <c r="O660" s="28"/>
      <c r="AA660" s="69"/>
      <c r="AB660" s="69"/>
      <c r="AC660" s="69"/>
      <c r="AD660" s="69"/>
      <c r="AE660" s="69"/>
    </row>
    <row r="661" spans="2:31">
      <c r="B661" s="970" t="str">
        <f>IF(Uebersetzung!$A$1=1,'SIA2001'!E367,'SIA2001'!F367)</f>
        <v>Styrisol</v>
      </c>
      <c r="D661" s="69"/>
      <c r="E661" s="69"/>
      <c r="F661" s="69"/>
      <c r="G661" s="971">
        <v>36</v>
      </c>
      <c r="H661" s="971">
        <f>'SIA2001'!K367</f>
        <v>3.5000000000000003E-2</v>
      </c>
      <c r="I661" s="972">
        <f>'SIA2001'!O367</f>
        <v>150</v>
      </c>
      <c r="O661" s="28"/>
      <c r="AA661" s="69"/>
      <c r="AB661" s="69"/>
      <c r="AC661" s="69"/>
      <c r="AD661" s="69"/>
      <c r="AE661" s="69"/>
    </row>
    <row r="662" spans="2:31">
      <c r="B662" s="970" t="str">
        <f>IF(Uebersetzung!$A$1=1,'SIA2001'!E368,'SIA2001'!F368)</f>
        <v>Styrisol 500</v>
      </c>
      <c r="D662" s="69"/>
      <c r="E662" s="69"/>
      <c r="F662" s="69"/>
      <c r="G662" s="971">
        <v>36</v>
      </c>
      <c r="H662" s="971">
        <f>'SIA2001'!K368</f>
        <v>3.5000000000000003E-2</v>
      </c>
      <c r="I662" s="972">
        <f>'SIA2001'!O368</f>
        <v>150</v>
      </c>
      <c r="O662" s="28"/>
      <c r="AA662" s="69"/>
      <c r="AB662" s="69"/>
      <c r="AC662" s="69"/>
      <c r="AD662" s="69"/>
      <c r="AE662" s="69"/>
    </row>
    <row r="663" spans="2:31">
      <c r="B663" s="970" t="str">
        <f>IF(Uebersetzung!$A$1=1,'SIA2001'!E369,'SIA2001'!F369)</f>
        <v>Styrisol GR-300</v>
      </c>
      <c r="D663" s="69"/>
      <c r="E663" s="69"/>
      <c r="F663" s="69"/>
      <c r="G663" s="971">
        <v>35</v>
      </c>
      <c r="H663" s="971">
        <f>'SIA2001'!K369</f>
        <v>3.5000000000000003E-2</v>
      </c>
      <c r="I663" s="972">
        <f>'SIA2001'!O369</f>
        <v>150</v>
      </c>
      <c r="O663" s="28"/>
      <c r="AA663" s="69"/>
      <c r="AB663" s="69"/>
      <c r="AC663" s="69"/>
      <c r="AD663" s="69"/>
      <c r="AE663" s="69"/>
    </row>
    <row r="664" spans="2:31">
      <c r="B664" s="970" t="str">
        <f>IF(Uebersetzung!$A$1=1,'SIA2001'!E370,'SIA2001'!F370)</f>
        <v>Austrotherm XPS TOP P 3-6cm</v>
      </c>
      <c r="D664" s="69"/>
      <c r="E664" s="69"/>
      <c r="F664" s="69"/>
      <c r="G664" s="971">
        <f>'SIA2001'!J370</f>
        <v>33</v>
      </c>
      <c r="H664" s="971">
        <f>'SIA2001'!K370</f>
        <v>3.5000000000000003E-2</v>
      </c>
      <c r="I664" s="972">
        <f>'SIA2001'!O370</f>
        <v>150</v>
      </c>
      <c r="O664" s="28"/>
      <c r="AA664" s="69"/>
      <c r="AB664" s="69"/>
      <c r="AC664" s="69"/>
      <c r="AD664" s="69"/>
      <c r="AE664" s="69"/>
    </row>
    <row r="665" spans="2:31">
      <c r="B665" s="970" t="str">
        <f>IF(Uebersetzung!$A$1=1,'SIA2001'!E371,'SIA2001'!F371)</f>
        <v>Austrotherm XPS TOP P 8-12cm</v>
      </c>
      <c r="D665" s="69"/>
      <c r="E665" s="69"/>
      <c r="F665" s="69"/>
      <c r="G665" s="971">
        <f>'SIA2001'!J371</f>
        <v>33</v>
      </c>
      <c r="H665" s="971">
        <f>'SIA2001'!K371</f>
        <v>3.5999999999999997E-2</v>
      </c>
      <c r="I665" s="972">
        <f>'SIA2001'!O371</f>
        <v>150</v>
      </c>
      <c r="O665" s="28"/>
      <c r="AA665" s="69"/>
      <c r="AB665" s="69"/>
      <c r="AC665" s="69"/>
      <c r="AD665" s="69"/>
      <c r="AE665" s="69"/>
    </row>
    <row r="666" spans="2:31">
      <c r="B666" s="970" t="str">
        <f>IF(Uebersetzung!$A$1=1,'SIA2001'!E372,'SIA2001'!F372)</f>
        <v>Austrotherm XPS TOP P 14-20cm</v>
      </c>
      <c r="D666" s="69"/>
      <c r="E666" s="69"/>
      <c r="F666" s="69"/>
      <c r="G666" s="971">
        <f>'SIA2001'!J372</f>
        <v>33</v>
      </c>
      <c r="H666" s="971">
        <f>'SIA2001'!K372</f>
        <v>3.7999999999999999E-2</v>
      </c>
      <c r="I666" s="972">
        <f>'SIA2001'!O372</f>
        <v>150</v>
      </c>
      <c r="O666" s="28"/>
      <c r="AA666" s="71"/>
      <c r="AB666" s="69"/>
      <c r="AC666" s="69"/>
      <c r="AD666" s="69"/>
      <c r="AE666" s="69"/>
    </row>
    <row r="667" spans="2:31">
      <c r="B667" s="970" t="str">
        <f>IF(Uebersetzung!$A$1=1,'SIA2001'!E373,'SIA2001'!F373)</f>
        <v>Austrotherm XPS TOP 30 3-6cm</v>
      </c>
      <c r="D667" s="69"/>
      <c r="E667" s="69"/>
      <c r="F667" s="69"/>
      <c r="G667" s="971">
        <f>'SIA2001'!J373</f>
        <v>33</v>
      </c>
      <c r="H667" s="971">
        <f>'SIA2001'!K373</f>
        <v>3.5000000000000003E-2</v>
      </c>
      <c r="I667" s="972">
        <f>'SIA2001'!O373</f>
        <v>150</v>
      </c>
      <c r="O667" s="28"/>
      <c r="AA667" s="970"/>
      <c r="AB667" s="970"/>
      <c r="AC667" s="970"/>
      <c r="AD667" s="970"/>
      <c r="AE667" s="970"/>
    </row>
    <row r="668" spans="2:31">
      <c r="B668" s="970" t="str">
        <f>IF(Uebersetzung!$A$1=1,'SIA2001'!E374,'SIA2001'!F374)</f>
        <v>Austrotherm XPS TOP 30 8-12cm</v>
      </c>
      <c r="D668" s="69"/>
      <c r="E668" s="69"/>
      <c r="F668" s="69"/>
      <c r="G668" s="971">
        <f>'SIA2001'!J374</f>
        <v>33</v>
      </c>
      <c r="H668" s="971">
        <f>'SIA2001'!K374</f>
        <v>3.5999999999999997E-2</v>
      </c>
      <c r="I668" s="972">
        <f>'SIA2001'!O374</f>
        <v>150</v>
      </c>
      <c r="O668" s="28"/>
      <c r="AA668" s="970"/>
      <c r="AB668" s="69"/>
      <c r="AC668" s="69"/>
      <c r="AD668" s="69"/>
      <c r="AE668" s="69"/>
    </row>
    <row r="669" spans="2:31">
      <c r="B669" s="970" t="str">
        <f>IF(Uebersetzung!$A$1=1,'SIA2001'!E375,'SIA2001'!F375)</f>
        <v>Austrotherm XPS TOP 30 14-20cm</v>
      </c>
      <c r="D669" s="69"/>
      <c r="E669" s="69"/>
      <c r="F669" s="69"/>
      <c r="G669" s="971">
        <f>'SIA2001'!J375</f>
        <v>33</v>
      </c>
      <c r="H669" s="971">
        <f>'SIA2001'!K375</f>
        <v>3.7999999999999999E-2</v>
      </c>
      <c r="I669" s="972">
        <f>'SIA2001'!O375</f>
        <v>150</v>
      </c>
      <c r="O669" s="28"/>
      <c r="AA669" s="970"/>
      <c r="AB669" s="69"/>
      <c r="AC669" s="69"/>
      <c r="AD669" s="69"/>
      <c r="AE669" s="69"/>
    </row>
    <row r="670" spans="2:31">
      <c r="B670" s="970" t="str">
        <f>IF(Uebersetzung!$A$1=1,'SIA2001'!E376,'SIA2001'!F376)</f>
        <v>Austrotherm XPS TOP 50 5-6cm</v>
      </c>
      <c r="D670" s="69"/>
      <c r="E670" s="69"/>
      <c r="F670" s="69"/>
      <c r="G670" s="971">
        <f>'SIA2001'!J376</f>
        <v>34</v>
      </c>
      <c r="H670" s="971">
        <f>'SIA2001'!K376</f>
        <v>3.5000000000000003E-2</v>
      </c>
      <c r="I670" s="972">
        <f>'SIA2001'!O376</f>
        <v>150</v>
      </c>
      <c r="O670" s="28"/>
      <c r="AA670" s="69"/>
      <c r="AB670" s="69"/>
      <c r="AC670" s="69"/>
      <c r="AD670" s="69"/>
      <c r="AE670" s="69"/>
    </row>
    <row r="671" spans="2:31">
      <c r="B671" s="970" t="str">
        <f>IF(Uebersetzung!$A$1=1,'SIA2001'!E377,'SIA2001'!F377)</f>
        <v>Austrotherm XPS TOP 50 8-12cm</v>
      </c>
      <c r="D671" s="69"/>
      <c r="E671" s="69"/>
      <c r="F671" s="69"/>
      <c r="G671" s="971">
        <f>'SIA2001'!J377</f>
        <v>34</v>
      </c>
      <c r="H671" s="971">
        <f>'SIA2001'!K377</f>
        <v>3.5999999999999997E-2</v>
      </c>
      <c r="I671" s="972">
        <f>'SIA2001'!O377</f>
        <v>150</v>
      </c>
      <c r="O671" s="28"/>
      <c r="AA671" s="69"/>
      <c r="AB671" s="69"/>
      <c r="AC671" s="69"/>
      <c r="AD671" s="69"/>
      <c r="AE671" s="69"/>
    </row>
    <row r="672" spans="2:31">
      <c r="B672" s="970" t="str">
        <f>IF(Uebersetzung!$A$1=1,'SIA2001'!E378,'SIA2001'!F378)</f>
        <v>Austrotherm XPS TOP 50 14-20cm</v>
      </c>
      <c r="D672" s="69"/>
      <c r="E672" s="69"/>
      <c r="F672" s="69"/>
      <c r="G672" s="971">
        <f>'SIA2001'!J378</f>
        <v>34</v>
      </c>
      <c r="H672" s="971">
        <f>'SIA2001'!K378</f>
        <v>3.7999999999999999E-2</v>
      </c>
      <c r="I672" s="972">
        <f>'SIA2001'!O378</f>
        <v>150</v>
      </c>
      <c r="O672" s="28"/>
      <c r="AA672" s="69"/>
      <c r="AB672" s="69"/>
      <c r="AC672" s="69"/>
      <c r="AD672" s="69"/>
      <c r="AE672" s="69"/>
    </row>
    <row r="673" spans="2:31">
      <c r="B673" s="970" t="str">
        <f>IF(Uebersetzung!$A$1=1,'SIA2001'!E379,'SIA2001'!F379)</f>
        <v>Styrodur C  2-4cm</v>
      </c>
      <c r="D673" s="69"/>
      <c r="E673" s="69"/>
      <c r="F673" s="69"/>
      <c r="G673" s="971">
        <v>36</v>
      </c>
      <c r="H673" s="971">
        <f>'SIA2001'!K379</f>
        <v>3.2000000000000001E-2</v>
      </c>
      <c r="I673" s="972">
        <f>'SIA2001'!O379</f>
        <v>150</v>
      </c>
      <c r="O673" s="28"/>
      <c r="AA673" s="69"/>
      <c r="AB673" s="69"/>
      <c r="AC673" s="69"/>
      <c r="AD673" s="69"/>
      <c r="AE673" s="69"/>
    </row>
    <row r="674" spans="2:31">
      <c r="B674" s="970" t="str">
        <f>IF(Uebersetzung!$A$1=1,'SIA2001'!E380,'SIA2001'!F380)</f>
        <v>Styrodur C  5-6cm</v>
      </c>
      <c r="D674" s="69"/>
      <c r="E674" s="69"/>
      <c r="F674" s="69"/>
      <c r="G674" s="971">
        <v>36</v>
      </c>
      <c r="H674" s="971">
        <f>'SIA2001'!K380</f>
        <v>3.4000000000000002E-2</v>
      </c>
      <c r="I674" s="972">
        <f>'SIA2001'!O380</f>
        <v>150</v>
      </c>
      <c r="O674" s="28"/>
      <c r="AA674" s="69"/>
      <c r="AB674" s="69"/>
      <c r="AC674" s="69"/>
      <c r="AD674" s="69"/>
      <c r="AE674" s="69"/>
    </row>
    <row r="675" spans="2:31">
      <c r="B675" s="970" t="str">
        <f>IF(Uebersetzung!$A$1=1,'SIA2001'!E381,'SIA2001'!F381)</f>
        <v>Styrodur C  8-10cm</v>
      </c>
      <c r="D675" s="69"/>
      <c r="E675" s="69"/>
      <c r="F675" s="69"/>
      <c r="G675" s="971">
        <v>36</v>
      </c>
      <c r="H675" s="971">
        <f>'SIA2001'!K381</f>
        <v>3.5000000000000003E-2</v>
      </c>
      <c r="I675" s="972">
        <f>'SIA2001'!O381</f>
        <v>150</v>
      </c>
      <c r="O675" s="28"/>
      <c r="AA675" s="69"/>
      <c r="AB675" s="69"/>
      <c r="AC675" s="69"/>
      <c r="AD675" s="69"/>
      <c r="AE675" s="69"/>
    </row>
    <row r="676" spans="2:31">
      <c r="B676" s="970" t="str">
        <f>IF(Uebersetzung!$A$1=1,'SIA2001'!E382,'SIA2001'!F382)</f>
        <v>Styrodur C  12cm</v>
      </c>
      <c r="D676" s="69"/>
      <c r="E676" s="69"/>
      <c r="F676" s="69"/>
      <c r="G676" s="971">
        <v>36</v>
      </c>
      <c r="H676" s="971">
        <f>'SIA2001'!K382</f>
        <v>3.5999999999999997E-2</v>
      </c>
      <c r="I676" s="972">
        <f>'SIA2001'!O382</f>
        <v>150</v>
      </c>
      <c r="O676" s="28"/>
      <c r="AA676" s="69"/>
      <c r="AB676" s="69"/>
      <c r="AC676" s="69"/>
      <c r="AD676" s="69"/>
      <c r="AE676" s="69"/>
    </row>
    <row r="677" spans="2:31">
      <c r="B677" s="970" t="str">
        <f>IF(Uebersetzung!$A$1=1,'SIA2001'!E383,'SIA2001'!F383)</f>
        <v>Styrodur C  14-20cm</v>
      </c>
      <c r="D677" s="69"/>
      <c r="E677" s="69"/>
      <c r="F677" s="69"/>
      <c r="G677" s="971">
        <v>36</v>
      </c>
      <c r="H677" s="971">
        <f>'SIA2001'!K383</f>
        <v>3.7999999999999999E-2</v>
      </c>
      <c r="I677" s="972">
        <f>'SIA2001'!O383</f>
        <v>150</v>
      </c>
      <c r="O677" s="28"/>
      <c r="AA677" s="71"/>
      <c r="AB677" s="69"/>
      <c r="AC677" s="69"/>
      <c r="AD677" s="69"/>
      <c r="AE677" s="69"/>
    </row>
    <row r="678" spans="2:31">
      <c r="B678" s="970" t="str">
        <f>IF(Uebersetzung!$A$1=1,'SIA2001'!E384,'SIA2001'!F384)</f>
        <v>Styrodur 3000 CS</v>
      </c>
      <c r="D678" s="69"/>
      <c r="E678" s="69"/>
      <c r="F678" s="69"/>
      <c r="G678" s="971">
        <v>36</v>
      </c>
      <c r="H678" s="971">
        <f>'SIA2001'!K384</f>
        <v>3.3000000000000002E-2</v>
      </c>
      <c r="I678" s="972">
        <f>'SIA2001'!O384</f>
        <v>150</v>
      </c>
      <c r="O678" s="28"/>
      <c r="AA678" s="970"/>
      <c r="AB678" s="971"/>
      <c r="AC678" s="971"/>
      <c r="AD678" s="971"/>
      <c r="AE678" s="971"/>
    </row>
    <row r="679" spans="2:31">
      <c r="B679" s="970" t="str">
        <f>IF(Uebersetzung!$A$1=1,'SIA2001'!E385,'SIA2001'!F385)</f>
        <v>Styrodur 4000 CS</v>
      </c>
      <c r="D679" s="69"/>
      <c r="E679" s="69"/>
      <c r="F679" s="69"/>
      <c r="G679" s="971">
        <v>36</v>
      </c>
      <c r="H679" s="971">
        <f>'SIA2001'!K385</f>
        <v>3.5000000000000003E-2</v>
      </c>
      <c r="I679" s="972">
        <f>'SIA2001'!O385</f>
        <v>150</v>
      </c>
      <c r="O679" s="28"/>
      <c r="AA679" s="970"/>
      <c r="AB679" s="971"/>
      <c r="AC679" s="971"/>
      <c r="AD679" s="971"/>
      <c r="AE679" s="971"/>
    </row>
    <row r="680" spans="2:31">
      <c r="B680" s="970" t="str">
        <f>IF(Uebersetzung!$A$1=1,'SIA2001'!E386,'SIA2001'!F386)</f>
        <v>Styrodur 5000 CS</v>
      </c>
      <c r="D680" s="69"/>
      <c r="E680" s="69"/>
      <c r="F680" s="69"/>
      <c r="G680" s="971">
        <v>36</v>
      </c>
      <c r="H680" s="971">
        <f>'SIA2001'!K386</f>
        <v>3.5000000000000003E-2</v>
      </c>
      <c r="I680" s="972">
        <f>'SIA2001'!O386</f>
        <v>150</v>
      </c>
      <c r="O680" s="28"/>
      <c r="AA680" s="69"/>
      <c r="AB680" s="69"/>
      <c r="AC680" s="69"/>
      <c r="AD680" s="69"/>
      <c r="AE680" s="69"/>
    </row>
    <row r="681" spans="2:31">
      <c r="B681" s="970" t="str">
        <f>IF(Uebersetzung!$A$1=1,'SIA2001'!E387,'SIA2001'!F387)</f>
        <v>Roofmate SL-AP  &lt;=8cm</v>
      </c>
      <c r="D681" s="69"/>
      <c r="E681" s="69"/>
      <c r="F681" s="69"/>
      <c r="G681" s="971">
        <f>'SIA2001'!J387</f>
        <v>33</v>
      </c>
      <c r="H681" s="971">
        <f>'SIA2001'!K387</f>
        <v>3.3000000000000002E-2</v>
      </c>
      <c r="I681" s="972">
        <f>'SIA2001'!O387</f>
        <v>150</v>
      </c>
      <c r="O681" s="28"/>
      <c r="AA681" s="71"/>
      <c r="AB681" s="69"/>
      <c r="AC681" s="69"/>
      <c r="AD681" s="69"/>
      <c r="AE681" s="69"/>
    </row>
    <row r="682" spans="2:31">
      <c r="B682" s="970" t="str">
        <f>IF(Uebersetzung!$A$1=1,'SIA2001'!E388,'SIA2001'!F388)</f>
        <v>Roofmate SL-AP  10-12cm</v>
      </c>
      <c r="D682" s="69"/>
      <c r="E682" s="69"/>
      <c r="F682" s="69"/>
      <c r="G682" s="971">
        <f>'SIA2001'!J388</f>
        <v>33</v>
      </c>
      <c r="H682" s="971">
        <f>'SIA2001'!K388</f>
        <v>3.4000000000000002E-2</v>
      </c>
      <c r="I682" s="972">
        <f>'SIA2001'!O388</f>
        <v>150</v>
      </c>
      <c r="O682" s="28"/>
      <c r="AA682" s="69"/>
      <c r="AB682" s="69"/>
      <c r="AC682" s="69"/>
      <c r="AD682" s="69"/>
      <c r="AE682" s="69"/>
    </row>
    <row r="683" spans="2:31">
      <c r="B683" s="970" t="str">
        <f>IF(Uebersetzung!$A$1=1,'SIA2001'!E389,'SIA2001'!F389)</f>
        <v>Roofmate SL-AP  14-20cm</v>
      </c>
      <c r="D683" s="69"/>
      <c r="E683" s="69"/>
      <c r="F683" s="69"/>
      <c r="G683" s="971">
        <f>'SIA2001'!J389</f>
        <v>33</v>
      </c>
      <c r="H683" s="971">
        <f>'SIA2001'!K389</f>
        <v>3.5999999999999997E-2</v>
      </c>
      <c r="I683" s="972">
        <f>'SIA2001'!O389</f>
        <v>150</v>
      </c>
      <c r="O683" s="28"/>
      <c r="AA683" s="69"/>
      <c r="AB683" s="69"/>
      <c r="AC683" s="69"/>
      <c r="AD683" s="69"/>
      <c r="AE683" s="69"/>
    </row>
    <row r="684" spans="2:31">
      <c r="B684" s="970" t="str">
        <f>IF(Uebersetzung!$A$1=1,'SIA2001'!E390,'SIA2001'!F390)</f>
        <v>Styrofoam TG-AP  &lt;=8cm</v>
      </c>
      <c r="D684" s="69"/>
      <c r="E684" s="69"/>
      <c r="F684" s="69"/>
      <c r="G684" s="971">
        <f>'SIA2001'!J390</f>
        <v>33</v>
      </c>
      <c r="H684" s="971">
        <f>'SIA2001'!K390</f>
        <v>3.3000000000000002E-2</v>
      </c>
      <c r="I684" s="972">
        <f>'SIA2001'!O390</f>
        <v>150</v>
      </c>
      <c r="O684" s="28"/>
      <c r="AA684" s="69"/>
      <c r="AB684" s="69"/>
      <c r="AC684" s="69"/>
      <c r="AD684" s="69"/>
      <c r="AE684" s="69"/>
    </row>
    <row r="685" spans="2:31">
      <c r="B685" s="970" t="str">
        <f>IF(Uebersetzung!$A$1=1,'SIA2001'!E391,'SIA2001'!F391)</f>
        <v>Styrofoam TG-AP  &gt;8cm</v>
      </c>
      <c r="D685" s="69"/>
      <c r="E685" s="69"/>
      <c r="F685" s="69"/>
      <c r="G685" s="971">
        <f>'SIA2001'!J391</f>
        <v>33</v>
      </c>
      <c r="H685" s="971">
        <f>'SIA2001'!K391</f>
        <v>3.4000000000000002E-2</v>
      </c>
      <c r="I685" s="972">
        <f>'SIA2001'!O391</f>
        <v>150</v>
      </c>
      <c r="O685" s="28"/>
      <c r="AA685" s="69"/>
      <c r="AB685" s="69"/>
      <c r="AC685" s="69"/>
      <c r="AD685" s="69"/>
      <c r="AE685" s="69"/>
    </row>
    <row r="686" spans="2:31">
      <c r="B686" s="970" t="str">
        <f>IF(Uebersetzung!$A$1=1,'SIA2001'!E392,'SIA2001'!F392)</f>
        <v>Perimate DI-AP  &lt;=8cm</v>
      </c>
      <c r="D686" s="69"/>
      <c r="E686" s="69"/>
      <c r="F686" s="69"/>
      <c r="G686" s="971">
        <f>'SIA2001'!J392</f>
        <v>33</v>
      </c>
      <c r="H686" s="971">
        <f>'SIA2001'!K392</f>
        <v>3.3000000000000002E-2</v>
      </c>
      <c r="I686" s="972">
        <f>'SIA2001'!O392</f>
        <v>150</v>
      </c>
      <c r="O686" s="28"/>
      <c r="AA686" s="69"/>
      <c r="AB686" s="69"/>
      <c r="AC686" s="69"/>
      <c r="AD686" s="69"/>
      <c r="AE686" s="69"/>
    </row>
    <row r="687" spans="2:31">
      <c r="B687" s="970" t="str">
        <f>IF(Uebersetzung!$A$1=1,'SIA2001'!E393,'SIA2001'!F393)</f>
        <v>Perimate DI-AP 10-12cm</v>
      </c>
      <c r="D687" s="69"/>
      <c r="E687" s="69"/>
      <c r="F687" s="69"/>
      <c r="G687" s="971">
        <f>'SIA2001'!J393</f>
        <v>33</v>
      </c>
      <c r="H687" s="971">
        <f>'SIA2001'!K393</f>
        <v>3.4000000000000002E-2</v>
      </c>
      <c r="I687" s="972">
        <f>'SIA2001'!O393</f>
        <v>150</v>
      </c>
      <c r="O687" s="28"/>
      <c r="AA687" s="69"/>
      <c r="AB687" s="69"/>
      <c r="AC687" s="69"/>
      <c r="AD687" s="69"/>
      <c r="AE687" s="69"/>
    </row>
    <row r="688" spans="2:31">
      <c r="B688" s="970" t="str">
        <f>IF(Uebersetzung!$A$1=1,'SIA2001'!E394,'SIA2001'!F394)</f>
        <v>Perimate DI-AP  &gt;12cm</v>
      </c>
      <c r="D688" s="69"/>
      <c r="E688" s="69"/>
      <c r="F688" s="69"/>
      <c r="G688" s="971">
        <f>'SIA2001'!J394</f>
        <v>33</v>
      </c>
      <c r="H688" s="971">
        <f>'SIA2001'!K394</f>
        <v>3.5999999999999997E-2</v>
      </c>
      <c r="I688" s="972">
        <f>'SIA2001'!O394</f>
        <v>150</v>
      </c>
      <c r="O688" s="28"/>
      <c r="AA688" s="69"/>
      <c r="AB688" s="69"/>
      <c r="AC688" s="69"/>
      <c r="AD688" s="69"/>
      <c r="AE688" s="69"/>
    </row>
    <row r="689" spans="2:31">
      <c r="B689" s="970" t="str">
        <f>IF(Uebersetzung!$A$1=1,'SIA2001'!E395,'SIA2001'!F395)</f>
        <v>Floormate 500-AP  &lt;8cm</v>
      </c>
      <c r="D689" s="69"/>
      <c r="E689" s="69"/>
      <c r="F689" s="69"/>
      <c r="G689" s="971">
        <f>'SIA2001'!J395</f>
        <v>40</v>
      </c>
      <c r="H689" s="971">
        <f>'SIA2001'!K395</f>
        <v>3.4000000000000002E-2</v>
      </c>
      <c r="I689" s="972">
        <f>'SIA2001'!O395</f>
        <v>150</v>
      </c>
      <c r="O689" s="28"/>
      <c r="AA689" s="140"/>
      <c r="AB689" s="971"/>
      <c r="AC689" s="971"/>
      <c r="AD689" s="971"/>
      <c r="AE689" s="69"/>
    </row>
    <row r="690" spans="2:31">
      <c r="B690" s="970" t="str">
        <f>IF(Uebersetzung!$A$1=1,'SIA2001'!E396,'SIA2001'!F396)</f>
        <v>Floormate 500-AP  8-12cm</v>
      </c>
      <c r="D690" s="69"/>
      <c r="E690" s="69"/>
      <c r="F690" s="69"/>
      <c r="G690" s="971">
        <f>'SIA2001'!J396</f>
        <v>40</v>
      </c>
      <c r="H690" s="971">
        <f>'SIA2001'!K396</f>
        <v>3.5000000000000003E-2</v>
      </c>
      <c r="I690" s="972">
        <f>'SIA2001'!O396</f>
        <v>150</v>
      </c>
      <c r="O690" s="28"/>
      <c r="AA690" s="140"/>
      <c r="AB690" s="971"/>
      <c r="AC690" s="971"/>
      <c r="AD690" s="971"/>
      <c r="AE690" s="69"/>
    </row>
    <row r="691" spans="2:31">
      <c r="B691" s="970" t="str">
        <f>IF(Uebersetzung!$A$1=1,'SIA2001'!E397,'SIA2001'!F397)</f>
        <v>Floormate 500-AP  &gt;12cm</v>
      </c>
      <c r="D691" s="69"/>
      <c r="E691" s="69"/>
      <c r="F691" s="69"/>
      <c r="G691" s="971">
        <f>'SIA2001'!J397</f>
        <v>40</v>
      </c>
      <c r="H691" s="971">
        <f>'SIA2001'!K397</f>
        <v>3.5999999999999997E-2</v>
      </c>
      <c r="I691" s="972">
        <f>'SIA2001'!O397</f>
        <v>150</v>
      </c>
      <c r="O691" s="28"/>
      <c r="AA691" s="970"/>
      <c r="AB691" s="970"/>
      <c r="AC691" s="970"/>
      <c r="AD691" s="970"/>
      <c r="AE691" s="970"/>
    </row>
    <row r="692" spans="2:31">
      <c r="B692" s="970" t="str">
        <f>IF(Uebersetzung!$A$1=1,'SIA2001'!E398,'SIA2001'!F398)</f>
        <v>Floormate 700-AP  &lt;8cm</v>
      </c>
      <c r="D692" s="69"/>
      <c r="E692" s="69"/>
      <c r="F692" s="69"/>
      <c r="G692" s="971">
        <f>'SIA2001'!J398</f>
        <v>45</v>
      </c>
      <c r="H692" s="971">
        <f>'SIA2001'!K398</f>
        <v>3.4000000000000002E-2</v>
      </c>
      <c r="I692" s="972">
        <f>'SIA2001'!O398</f>
        <v>150</v>
      </c>
      <c r="O692" s="28"/>
      <c r="AA692" s="970"/>
      <c r="AB692" s="970"/>
      <c r="AC692" s="970"/>
      <c r="AD692" s="970"/>
      <c r="AE692" s="970"/>
    </row>
    <row r="693" spans="2:31">
      <c r="B693" s="970" t="str">
        <f>IF(Uebersetzung!$A$1=1,'SIA2001'!E399,'SIA2001'!F399)</f>
        <v>Floormate 700-AP  8-12cm</v>
      </c>
      <c r="D693" s="69"/>
      <c r="E693" s="69"/>
      <c r="F693" s="69"/>
      <c r="G693" s="971">
        <f>'SIA2001'!J399</f>
        <v>45</v>
      </c>
      <c r="H693" s="971">
        <f>'SIA2001'!K399</f>
        <v>3.5000000000000003E-2</v>
      </c>
      <c r="I693" s="972">
        <f>'SIA2001'!O399</f>
        <v>150</v>
      </c>
      <c r="O693" s="28"/>
      <c r="AA693" s="970"/>
      <c r="AB693" s="69"/>
      <c r="AC693" s="69"/>
      <c r="AD693" s="69"/>
      <c r="AE693" s="69"/>
    </row>
    <row r="694" spans="2:31">
      <c r="B694" s="970" t="str">
        <f>IF(Uebersetzung!$A$1=1,'SIA2001'!E400,'SIA2001'!F400)</f>
        <v>Floormate 700-AP  &gt;12cm</v>
      </c>
      <c r="D694" s="69"/>
      <c r="E694" s="69"/>
      <c r="F694" s="69"/>
      <c r="G694" s="971">
        <f>'SIA2001'!J400</f>
        <v>45</v>
      </c>
      <c r="H694" s="971">
        <f>'SIA2001'!K400</f>
        <v>3.5999999999999997E-2</v>
      </c>
      <c r="I694" s="972">
        <f>'SIA2001'!O400</f>
        <v>150</v>
      </c>
      <c r="O694" s="28"/>
      <c r="AA694" s="69"/>
      <c r="AB694" s="69"/>
      <c r="AC694" s="69"/>
      <c r="AD694" s="69"/>
      <c r="AE694" s="69"/>
    </row>
    <row r="695" spans="2:31">
      <c r="B695" s="970" t="str">
        <f>IF(Uebersetzung!$A$1=1,'SIA2001'!E401,'SIA2001'!F401)</f>
        <v>Styrofoam IB-CH-AP  &lt;=8cm</v>
      </c>
      <c r="D695" s="69"/>
      <c r="E695" s="69"/>
      <c r="F695" s="69"/>
      <c r="G695" s="971">
        <f>'SIA2001'!J401</f>
        <v>33</v>
      </c>
      <c r="H695" s="971">
        <f>'SIA2001'!K401</f>
        <v>3.3000000000000002E-2</v>
      </c>
      <c r="I695" s="972">
        <f>'SIA2001'!O401</f>
        <v>150</v>
      </c>
      <c r="O695" s="28"/>
      <c r="AA695" s="69"/>
      <c r="AB695" s="69"/>
      <c r="AC695" s="69"/>
      <c r="AD695" s="69"/>
      <c r="AE695" s="69"/>
    </row>
    <row r="696" spans="2:31">
      <c r="B696" s="970" t="str">
        <f>IF(Uebersetzung!$A$1=1,'SIA2001'!E402,'SIA2001'!F402)</f>
        <v>Styrofoam IB-CH-AP  10-12cm</v>
      </c>
      <c r="D696" s="69"/>
      <c r="E696" s="69"/>
      <c r="F696" s="69"/>
      <c r="G696" s="971">
        <f>'SIA2001'!J402</f>
        <v>33</v>
      </c>
      <c r="H696" s="971">
        <f>'SIA2001'!K402</f>
        <v>3.4000000000000002E-2</v>
      </c>
      <c r="I696" s="972">
        <f>'SIA2001'!O402</f>
        <v>150</v>
      </c>
      <c r="O696" s="28"/>
      <c r="AA696" s="69"/>
      <c r="AB696" s="69"/>
      <c r="AC696" s="69"/>
      <c r="AD696" s="69"/>
      <c r="AE696" s="69"/>
    </row>
    <row r="697" spans="2:31">
      <c r="B697" s="970" t="str">
        <f>IF(Uebersetzung!$A$1=1,'SIA2001'!E403,'SIA2001'!F403)</f>
        <v>Styrofoam IB-CH-AP  &gt;12cm</v>
      </c>
      <c r="D697" s="69"/>
      <c r="E697" s="69"/>
      <c r="F697" s="69"/>
      <c r="G697" s="971">
        <f>'SIA2001'!J403</f>
        <v>33</v>
      </c>
      <c r="H697" s="971">
        <f>'SIA2001'!K403</f>
        <v>3.5999999999999997E-2</v>
      </c>
      <c r="I697" s="972">
        <f>'SIA2001'!O403</f>
        <v>150</v>
      </c>
      <c r="O697" s="28"/>
      <c r="AA697" s="69"/>
      <c r="AB697" s="69"/>
      <c r="AC697" s="69"/>
      <c r="AD697" s="69"/>
      <c r="AE697" s="69"/>
    </row>
    <row r="698" spans="2:31">
      <c r="B698" s="970" t="str">
        <f>IF(Uebersetzung!$A$1=1,'SIA2001'!E404,'SIA2001'!F404)</f>
        <v>XENERGY 500P</v>
      </c>
      <c r="D698" s="69"/>
      <c r="E698" s="69"/>
      <c r="F698" s="69"/>
      <c r="G698" s="971">
        <f>'SIA2001'!J404</f>
        <v>40</v>
      </c>
      <c r="H698" s="971">
        <f>'SIA2001'!K404</f>
        <v>3.2000000000000001E-2</v>
      </c>
      <c r="I698" s="972">
        <f>'SIA2001'!O404</f>
        <v>150</v>
      </c>
      <c r="O698" s="28"/>
      <c r="AA698" s="71"/>
      <c r="AB698" s="69"/>
      <c r="AC698" s="69"/>
      <c r="AD698" s="69"/>
      <c r="AE698" s="69"/>
    </row>
    <row r="699" spans="2:31">
      <c r="B699" s="970" t="str">
        <f>IF(Uebersetzung!$A$1=1,'SIA2001'!E405,'SIA2001'!F405)</f>
        <v>XENERGY IBP  5-8cm</v>
      </c>
      <c r="D699" s="69"/>
      <c r="E699" s="69"/>
      <c r="F699" s="69"/>
      <c r="G699" s="971">
        <f>'SIA2001'!J405</f>
        <v>34</v>
      </c>
      <c r="H699" s="971">
        <f>'SIA2001'!K405</f>
        <v>3.1E-2</v>
      </c>
      <c r="I699" s="972">
        <f>'SIA2001'!O405</f>
        <v>150</v>
      </c>
      <c r="O699" s="28"/>
      <c r="AA699" s="69"/>
      <c r="AB699" s="69"/>
      <c r="AC699" s="69"/>
      <c r="AD699" s="69"/>
      <c r="AE699" s="69"/>
    </row>
    <row r="700" spans="2:31">
      <c r="B700" s="970" t="str">
        <f>IF(Uebersetzung!$A$1=1,'SIA2001'!E406,'SIA2001'!F406)</f>
        <v>XENERGY IBP  9-20cm</v>
      </c>
      <c r="D700" s="69"/>
      <c r="E700" s="69"/>
      <c r="F700" s="69"/>
      <c r="G700" s="971">
        <f>'SIA2001'!J406</f>
        <v>34</v>
      </c>
      <c r="H700" s="971">
        <f>'SIA2001'!K406</f>
        <v>3.2000000000000001E-2</v>
      </c>
      <c r="I700" s="972">
        <f>'SIA2001'!O406</f>
        <v>150</v>
      </c>
      <c r="O700" s="28"/>
      <c r="AA700" s="69"/>
      <c r="AB700" s="69"/>
      <c r="AC700" s="69"/>
      <c r="AD700" s="69"/>
      <c r="AE700" s="69"/>
    </row>
    <row r="701" spans="2:31">
      <c r="B701" s="970" t="str">
        <f>IF(Uebersetzung!$A$1=1,'SIA2001'!E407,'SIA2001'!F407)</f>
        <v>XENERGY SLP  5-8cm</v>
      </c>
      <c r="D701" s="69"/>
      <c r="E701" s="69"/>
      <c r="F701" s="69"/>
      <c r="G701" s="971">
        <f>'SIA2001'!J407</f>
        <v>34</v>
      </c>
      <c r="H701" s="971">
        <f>'SIA2001'!K407</f>
        <v>3.1E-2</v>
      </c>
      <c r="I701" s="972">
        <f>'SIA2001'!O407</f>
        <v>150</v>
      </c>
      <c r="O701" s="28"/>
      <c r="AA701" s="69"/>
      <c r="AB701" s="69"/>
      <c r="AC701" s="69"/>
      <c r="AD701" s="69"/>
      <c r="AE701" s="69"/>
    </row>
    <row r="702" spans="2:31">
      <c r="B702" s="970" t="str">
        <f>IF(Uebersetzung!$A$1=1,'SIA2001'!E408,'SIA2001'!F408)</f>
        <v>XENERGY SLP  9-20cm</v>
      </c>
      <c r="D702" s="69"/>
      <c r="E702" s="69"/>
      <c r="F702" s="69"/>
      <c r="G702" s="971">
        <f>'SIA2001'!J408</f>
        <v>34</v>
      </c>
      <c r="H702" s="971">
        <f>'SIA2001'!K408</f>
        <v>3.2000000000000001E-2</v>
      </c>
      <c r="I702" s="972">
        <f>'SIA2001'!O408</f>
        <v>150</v>
      </c>
      <c r="O702" s="28"/>
      <c r="AA702" s="69"/>
      <c r="AB702" s="69"/>
      <c r="AC702" s="69"/>
      <c r="AD702" s="69"/>
      <c r="AE702" s="69"/>
    </row>
    <row r="703" spans="2:31">
      <c r="B703" s="970" t="str">
        <f>IF(Uebersetzung!$A$1=1,'SIA2001'!E409,'SIA2001'!F409)</f>
        <v>X-Foam Wafer  2-4cm</v>
      </c>
      <c r="D703" s="69"/>
      <c r="E703" s="69"/>
      <c r="F703" s="69"/>
      <c r="G703" s="971">
        <v>31</v>
      </c>
      <c r="H703" s="971">
        <f>'SIA2001'!K409</f>
        <v>3.3000000000000002E-2</v>
      </c>
      <c r="I703" s="972">
        <f>'SIA2001'!O409</f>
        <v>150</v>
      </c>
      <c r="O703" s="28"/>
      <c r="AA703" s="71"/>
      <c r="AB703" s="69"/>
      <c r="AC703" s="69"/>
      <c r="AD703" s="69"/>
      <c r="AE703" s="69"/>
    </row>
    <row r="704" spans="2:31">
      <c r="B704" s="970" t="str">
        <f>IF(Uebersetzung!$A$1=1,'SIA2001'!E410,'SIA2001'!F410)</f>
        <v>X-Foam Wafer  5-6cm</v>
      </c>
      <c r="D704" s="69"/>
      <c r="E704" s="69"/>
      <c r="F704" s="69"/>
      <c r="G704" s="971">
        <v>31</v>
      </c>
      <c r="H704" s="971">
        <f>'SIA2001'!K410</f>
        <v>3.4000000000000002E-2</v>
      </c>
      <c r="I704" s="972">
        <f>'SIA2001'!O410</f>
        <v>150</v>
      </c>
      <c r="O704" s="28"/>
      <c r="AA704" s="69"/>
      <c r="AB704" s="69"/>
      <c r="AC704" s="69"/>
      <c r="AD704" s="69"/>
      <c r="AE704" s="69"/>
    </row>
    <row r="705" spans="2:31">
      <c r="B705" s="970" t="str">
        <f>IF(Uebersetzung!$A$1=1,'SIA2001'!E411,'SIA2001'!F411)</f>
        <v>X-Foam Wafer  8-14cm</v>
      </c>
      <c r="D705" s="69"/>
      <c r="E705" s="69"/>
      <c r="F705" s="69"/>
      <c r="G705" s="971">
        <v>33</v>
      </c>
      <c r="H705" s="971">
        <f>'SIA2001'!K411</f>
        <v>3.6999999999999998E-2</v>
      </c>
      <c r="I705" s="972">
        <f>'SIA2001'!O411</f>
        <v>150</v>
      </c>
      <c r="O705" s="28"/>
      <c r="AA705" s="69"/>
      <c r="AB705" s="69"/>
      <c r="AC705" s="69"/>
      <c r="AD705" s="69"/>
      <c r="AE705" s="69"/>
    </row>
    <row r="706" spans="2:31">
      <c r="B706" s="970" t="str">
        <f>IF(Uebersetzung!$A$1=1,'SIA2001'!E412,'SIA2001'!F412)</f>
        <v>X-Foam Wafer  16-20cm</v>
      </c>
      <c r="D706" s="69"/>
      <c r="E706" s="69"/>
      <c r="F706" s="69"/>
      <c r="G706" s="971">
        <v>34</v>
      </c>
      <c r="H706" s="971">
        <f>'SIA2001'!K412</f>
        <v>3.9E-2</v>
      </c>
      <c r="I706" s="972">
        <f>'SIA2001'!O412</f>
        <v>150</v>
      </c>
      <c r="O706" s="28"/>
      <c r="AA706" s="69"/>
      <c r="AB706" s="69"/>
      <c r="AC706" s="69"/>
      <c r="AD706" s="69"/>
      <c r="AE706" s="69"/>
    </row>
    <row r="707" spans="2:31">
      <c r="B707" s="970" t="str">
        <f>IF(Uebersetzung!$A$1=1,'SIA2001'!E413,'SIA2001'!F413)</f>
        <v>X-Foam HBT 300  3-4cm</v>
      </c>
      <c r="D707" s="69"/>
      <c r="E707" s="69"/>
      <c r="F707" s="69"/>
      <c r="G707" s="971">
        <v>31</v>
      </c>
      <c r="H707" s="971">
        <f>'SIA2001'!K413</f>
        <v>3.3000000000000002E-2</v>
      </c>
      <c r="I707" s="972">
        <f>'SIA2001'!O413</f>
        <v>150</v>
      </c>
      <c r="O707" s="28"/>
      <c r="AA707" s="69"/>
      <c r="AB707" s="69"/>
      <c r="AC707" s="69"/>
      <c r="AD707" s="69"/>
      <c r="AE707" s="69"/>
    </row>
    <row r="708" spans="2:31">
      <c r="B708" s="970" t="str">
        <f>IF(Uebersetzung!$A$1=1,'SIA2001'!E414,'SIA2001'!F414)</f>
        <v>X-Foam HBT 300  5-6cm</v>
      </c>
      <c r="D708" s="69"/>
      <c r="E708" s="69"/>
      <c r="F708" s="69"/>
      <c r="G708" s="971">
        <v>31</v>
      </c>
      <c r="H708" s="971">
        <f>'SIA2001'!K414</f>
        <v>3.4000000000000002E-2</v>
      </c>
      <c r="I708" s="972">
        <f>'SIA2001'!O414</f>
        <v>150</v>
      </c>
      <c r="O708" s="28"/>
      <c r="AA708" s="69"/>
      <c r="AB708" s="69"/>
      <c r="AC708" s="69"/>
      <c r="AD708" s="69"/>
      <c r="AE708" s="69"/>
    </row>
    <row r="709" spans="2:31">
      <c r="B709" s="970" t="str">
        <f>IF(Uebersetzung!$A$1=1,'SIA2001'!E415,'SIA2001'!F415)</f>
        <v>X-Foam HBT 300  8-12cm</v>
      </c>
      <c r="D709" s="69"/>
      <c r="E709" s="69"/>
      <c r="F709" s="69"/>
      <c r="G709" s="971">
        <v>33</v>
      </c>
      <c r="H709" s="971">
        <f>'SIA2001'!K415</f>
        <v>3.6999999999999998E-2</v>
      </c>
      <c r="I709" s="972">
        <f>'SIA2001'!O415</f>
        <v>150</v>
      </c>
      <c r="O709" s="28"/>
      <c r="AA709" s="69"/>
      <c r="AB709" s="69"/>
      <c r="AC709" s="69"/>
      <c r="AD709" s="69"/>
      <c r="AE709" s="69"/>
    </row>
    <row r="710" spans="2:31">
      <c r="B710" s="970" t="str">
        <f>IF(Uebersetzung!$A$1=1,'SIA2001'!E416,'SIA2001'!F416)</f>
        <v>X-Foam HBT 300  16-20cm</v>
      </c>
      <c r="D710" s="69"/>
      <c r="E710" s="69"/>
      <c r="F710" s="69"/>
      <c r="G710" s="971">
        <v>34</v>
      </c>
      <c r="H710" s="971">
        <f>'SIA2001'!K416</f>
        <v>3.9E-2</v>
      </c>
      <c r="I710" s="972">
        <f>'SIA2001'!O416</f>
        <v>150</v>
      </c>
      <c r="O710" s="28"/>
      <c r="AA710" s="69"/>
      <c r="AB710" s="69"/>
      <c r="AC710" s="69"/>
      <c r="AD710" s="69"/>
      <c r="AE710" s="69"/>
    </row>
    <row r="711" spans="2:31">
      <c r="B711" s="970" t="str">
        <f>IF(Uebersetzung!$A$1=1,'SIA2001'!E417,'SIA2001'!F417)</f>
        <v>X-Foam HBT 500  5-6cm</v>
      </c>
      <c r="D711" s="69"/>
      <c r="E711" s="69"/>
      <c r="F711" s="69"/>
      <c r="G711" s="971">
        <v>34</v>
      </c>
      <c r="H711" s="971">
        <f>'SIA2001'!K417</f>
        <v>3.4000000000000002E-2</v>
      </c>
      <c r="I711" s="972">
        <f>'SIA2001'!O417</f>
        <v>150</v>
      </c>
      <c r="O711" s="28"/>
      <c r="AA711" s="69"/>
      <c r="AB711" s="69"/>
      <c r="AC711" s="69"/>
      <c r="AD711" s="69"/>
      <c r="AE711" s="69"/>
    </row>
    <row r="712" spans="2:31">
      <c r="B712" s="970" t="str">
        <f>IF(Uebersetzung!$A$1=1,'SIA2001'!E418,'SIA2001'!F418)</f>
        <v>X-Foam HBT 500  8-12cm</v>
      </c>
      <c r="D712" s="69"/>
      <c r="E712" s="69"/>
      <c r="F712" s="69"/>
      <c r="G712" s="971">
        <v>36</v>
      </c>
      <c r="H712" s="971">
        <f>'SIA2001'!K418</f>
        <v>3.6999999999999998E-2</v>
      </c>
      <c r="I712" s="972">
        <f>'SIA2001'!O418</f>
        <v>150</v>
      </c>
      <c r="O712" s="28"/>
      <c r="AA712" s="69"/>
      <c r="AB712" s="69"/>
      <c r="AC712" s="69"/>
      <c r="AD712" s="69"/>
      <c r="AE712" s="69"/>
    </row>
    <row r="713" spans="2:31">
      <c r="B713" s="970" t="str">
        <f>IF(Uebersetzung!$A$1=1,'SIA2001'!E419,'SIA2001'!F419)</f>
        <v>FIBRAN XPS  2-3cm</v>
      </c>
      <c r="D713" s="69"/>
      <c r="E713" s="69"/>
      <c r="F713" s="69"/>
      <c r="G713" s="971">
        <v>33</v>
      </c>
      <c r="H713" s="971">
        <f>'SIA2001'!K419</f>
        <v>3.3000000000000002E-2</v>
      </c>
      <c r="I713" s="972">
        <f>'SIA2001'!O419</f>
        <v>150</v>
      </c>
      <c r="O713" s="28"/>
      <c r="AA713" s="69"/>
      <c r="AB713" s="69"/>
      <c r="AC713" s="69"/>
      <c r="AD713" s="69"/>
      <c r="AE713" s="69"/>
    </row>
    <row r="714" spans="2:31">
      <c r="B714" s="970" t="str">
        <f>IF(Uebersetzung!$A$1=1,'SIA2001'!E420,'SIA2001'!F420)</f>
        <v>FIBRAN XPS  4-5cm</v>
      </c>
      <c r="D714" s="69"/>
      <c r="E714" s="69"/>
      <c r="F714" s="69"/>
      <c r="G714" s="971">
        <v>33</v>
      </c>
      <c r="H714" s="971">
        <f>'SIA2001'!K420</f>
        <v>3.4000000000000002E-2</v>
      </c>
      <c r="I714" s="972">
        <f>'SIA2001'!O420</f>
        <v>150</v>
      </c>
      <c r="O714" s="28"/>
      <c r="AA714" s="69"/>
      <c r="AB714" s="69"/>
      <c r="AC714" s="69"/>
      <c r="AD714" s="69"/>
      <c r="AE714" s="69"/>
    </row>
    <row r="715" spans="2:31">
      <c r="B715" s="970" t="str">
        <f>IF(Uebersetzung!$A$1=1,'SIA2001'!E421,'SIA2001'!F421)</f>
        <v>FIBRAN XPS  6-10cm</v>
      </c>
      <c r="D715" s="69"/>
      <c r="E715" s="69"/>
      <c r="F715" s="69"/>
      <c r="G715" s="971">
        <v>33</v>
      </c>
      <c r="H715" s="971">
        <f>'SIA2001'!K421</f>
        <v>3.5000000000000003E-2</v>
      </c>
      <c r="I715" s="972">
        <f>'SIA2001'!O421</f>
        <v>150</v>
      </c>
      <c r="O715" s="28"/>
      <c r="AA715" s="69"/>
      <c r="AB715" s="69"/>
      <c r="AC715" s="69"/>
      <c r="AD715" s="69"/>
      <c r="AE715" s="69"/>
    </row>
    <row r="716" spans="2:31">
      <c r="B716" s="970" t="str">
        <f>IF(Uebersetzung!$A$1=1,'SIA2001'!E422,'SIA2001'!F422)</f>
        <v>FIBRAN XPS  12cm</v>
      </c>
      <c r="D716" s="69"/>
      <c r="E716" s="69"/>
      <c r="F716" s="69"/>
      <c r="G716" s="971">
        <v>33</v>
      </c>
      <c r="H716" s="971">
        <f>'SIA2001'!K422</f>
        <v>3.5999999999999997E-2</v>
      </c>
      <c r="I716" s="972">
        <f>'SIA2001'!O422</f>
        <v>150</v>
      </c>
      <c r="O716" s="28"/>
      <c r="AA716" s="69"/>
      <c r="AB716" s="69"/>
      <c r="AC716" s="69"/>
      <c r="AD716" s="69"/>
      <c r="AE716" s="69"/>
    </row>
    <row r="717" spans="2:31">
      <c r="B717" s="970" t="str">
        <f>IF(Uebersetzung!$A$1=1,'SIA2001'!E423,'SIA2001'!F423)</f>
        <v>FIBRAN XPS  14-20cm</v>
      </c>
      <c r="D717" s="69"/>
      <c r="E717" s="69"/>
      <c r="F717" s="69"/>
      <c r="G717" s="971">
        <v>33</v>
      </c>
      <c r="H717" s="971">
        <f>'SIA2001'!K423</f>
        <v>3.6999999999999998E-2</v>
      </c>
      <c r="I717" s="972">
        <f>'SIA2001'!O423</f>
        <v>150</v>
      </c>
      <c r="O717" s="28"/>
      <c r="AA717" s="71"/>
      <c r="AB717" s="69"/>
      <c r="AC717" s="69"/>
      <c r="AD717" s="69"/>
      <c r="AE717" s="69"/>
    </row>
    <row r="718" spans="2:31">
      <c r="B718" s="970" t="str">
        <f>IF(Uebersetzung!$A$1=1,'SIA2001'!E424,'SIA2001'!F424)</f>
        <v>Jackodur Plus 300</v>
      </c>
      <c r="D718" s="69"/>
      <c r="E718" s="69"/>
      <c r="F718" s="69"/>
      <c r="G718" s="971">
        <v>42</v>
      </c>
      <c r="H718" s="971">
        <f>'SIA2001'!K424</f>
        <v>2.7E-2</v>
      </c>
      <c r="I718" s="972">
        <f>'SIA2001'!O424</f>
        <v>150</v>
      </c>
      <c r="O718" s="28"/>
      <c r="AA718" s="69"/>
      <c r="AB718" s="69"/>
      <c r="AC718" s="69"/>
      <c r="AD718" s="69"/>
      <c r="AE718" s="69"/>
    </row>
    <row r="719" spans="2:31">
      <c r="B719" s="970" t="str">
        <f>IF(Uebersetzung!$A$1=1,'SIA2001'!E425,'SIA2001'!F425)</f>
        <v>Jackodur KF 300  2-6cm</v>
      </c>
      <c r="D719" s="69"/>
      <c r="E719" s="69"/>
      <c r="F719" s="69"/>
      <c r="G719" s="971">
        <v>34</v>
      </c>
      <c r="H719" s="971">
        <f>'SIA2001'!K425</f>
        <v>3.4000000000000002E-2</v>
      </c>
      <c r="I719" s="972">
        <f>'SIA2001'!O425</f>
        <v>150</v>
      </c>
      <c r="O719" s="28"/>
      <c r="AA719" s="69"/>
      <c r="AB719" s="69"/>
      <c r="AC719" s="69"/>
      <c r="AD719" s="69"/>
      <c r="AE719" s="69"/>
    </row>
    <row r="720" spans="2:31">
      <c r="B720" s="970" t="str">
        <f>IF(Uebersetzung!$A$1=1,'SIA2001'!E426,'SIA2001'!F426)</f>
        <v>Jackodur KF 300  7-18cm</v>
      </c>
      <c r="D720" s="69"/>
      <c r="E720" s="69"/>
      <c r="F720" s="69"/>
      <c r="G720" s="971">
        <v>34</v>
      </c>
      <c r="H720" s="971">
        <f>'SIA2001'!K426</f>
        <v>3.5000000000000003E-2</v>
      </c>
      <c r="I720" s="972">
        <f>'SIA2001'!O426</f>
        <v>150</v>
      </c>
      <c r="O720" s="28"/>
      <c r="AA720" s="69"/>
      <c r="AB720" s="69"/>
      <c r="AC720" s="69"/>
      <c r="AD720" s="69"/>
      <c r="AE720" s="69"/>
    </row>
    <row r="721" spans="2:31">
      <c r="B721" s="970" t="str">
        <f>IF(Uebersetzung!$A$1=1,'SIA2001'!E427,'SIA2001'!F427)</f>
        <v>Jackodur KF 500  4-6cm</v>
      </c>
      <c r="D721" s="69"/>
      <c r="E721" s="69"/>
      <c r="F721" s="69"/>
      <c r="G721" s="971">
        <v>35</v>
      </c>
      <c r="H721" s="971">
        <f>'SIA2001'!K427</f>
        <v>3.4000000000000002E-2</v>
      </c>
      <c r="I721" s="972">
        <f>'SIA2001'!O427</f>
        <v>150</v>
      </c>
      <c r="O721" s="28"/>
      <c r="AA721" s="69"/>
      <c r="AB721" s="69"/>
      <c r="AC721" s="69"/>
      <c r="AD721" s="69"/>
      <c r="AE721" s="69"/>
    </row>
    <row r="722" spans="2:31">
      <c r="B722" s="970" t="str">
        <f>IF(Uebersetzung!$A$1=1,'SIA2001'!E428,'SIA2001'!F428)</f>
        <v>Jackodur KF 500  7-16cm</v>
      </c>
      <c r="D722" s="69"/>
      <c r="E722" s="69"/>
      <c r="F722" s="69"/>
      <c r="G722" s="971">
        <v>35</v>
      </c>
      <c r="H722" s="971">
        <f>'SIA2001'!K428</f>
        <v>3.5000000000000003E-2</v>
      </c>
      <c r="I722" s="972">
        <f>'SIA2001'!O428</f>
        <v>150</v>
      </c>
      <c r="O722" s="28"/>
      <c r="AA722" s="69"/>
      <c r="AB722" s="69"/>
      <c r="AC722" s="69"/>
      <c r="AD722" s="69"/>
      <c r="AE722" s="69"/>
    </row>
    <row r="723" spans="2:31">
      <c r="B723" s="970" t="str">
        <f>IF(Uebersetzung!$A$1=1,'SIA2001'!E429,'SIA2001'!F429)</f>
        <v>Jackodur KF 500  17-32cm</v>
      </c>
      <c r="D723" s="69"/>
      <c r="E723" s="69"/>
      <c r="F723" s="69"/>
      <c r="G723" s="971">
        <v>35</v>
      </c>
      <c r="H723" s="971">
        <f>'SIA2001'!K429</f>
        <v>3.6999999999999998E-2</v>
      </c>
      <c r="I723" s="972">
        <f>'SIA2001'!O429</f>
        <v>150</v>
      </c>
      <c r="O723" s="28"/>
      <c r="AA723" s="69"/>
      <c r="AB723" s="69"/>
      <c r="AC723" s="69"/>
      <c r="AD723" s="69"/>
      <c r="AE723" s="69"/>
    </row>
    <row r="724" spans="2:31">
      <c r="B724" s="970" t="str">
        <f>IF(Uebersetzung!$A$1=1,'SIA2001'!E430,'SIA2001'!F430)</f>
        <v>Jackodur KF 700  4-6cm</v>
      </c>
      <c r="D724" s="69"/>
      <c r="E724" s="69"/>
      <c r="F724" s="69"/>
      <c r="G724" s="971">
        <v>38</v>
      </c>
      <c r="H724" s="971">
        <f>'SIA2001'!K430</f>
        <v>3.4000000000000002E-2</v>
      </c>
      <c r="I724" s="972">
        <f>'SIA2001'!O430</f>
        <v>150</v>
      </c>
      <c r="O724" s="28"/>
      <c r="AA724" s="69"/>
      <c r="AB724" s="69"/>
      <c r="AC724" s="69"/>
      <c r="AD724" s="69"/>
      <c r="AE724" s="69"/>
    </row>
    <row r="725" spans="2:31">
      <c r="B725" s="970" t="str">
        <f>IF(Uebersetzung!$A$1=1,'SIA2001'!E431,'SIA2001'!F431)</f>
        <v>Jackodur KF 700  7-16cm</v>
      </c>
      <c r="D725" s="69"/>
      <c r="E725" s="69"/>
      <c r="F725" s="69"/>
      <c r="G725" s="971">
        <v>38</v>
      </c>
      <c r="H725" s="971">
        <f>'SIA2001'!K431</f>
        <v>3.5000000000000003E-2</v>
      </c>
      <c r="I725" s="972">
        <f>'SIA2001'!O431</f>
        <v>150</v>
      </c>
      <c r="O725" s="28"/>
      <c r="AA725" s="71"/>
      <c r="AB725" s="69"/>
      <c r="AC725" s="69"/>
      <c r="AD725" s="69"/>
      <c r="AE725" s="69"/>
    </row>
    <row r="726" spans="2:31">
      <c r="B726" s="970" t="str">
        <f>IF(Uebersetzung!$A$1=1,'SIA2001'!E432,'SIA2001'!F432)</f>
        <v>Jackodur KF 700  17-32cm</v>
      </c>
      <c r="D726" s="69"/>
      <c r="E726" s="69"/>
      <c r="F726" s="69"/>
      <c r="G726" s="971">
        <v>38</v>
      </c>
      <c r="H726" s="971">
        <f>'SIA2001'!K432</f>
        <v>3.6999999999999998E-2</v>
      </c>
      <c r="I726" s="972">
        <f>'SIA2001'!O432</f>
        <v>150</v>
      </c>
      <c r="O726" s="28"/>
    </row>
    <row r="727" spans="2:31">
      <c r="B727" s="970" t="str">
        <f>IF(Uebersetzung!$A$1=1,'SIA2001'!E433,'SIA2001'!F433)</f>
        <v>Jackodur CFR 300 / 500  2-6cm</v>
      </c>
      <c r="D727" s="69"/>
      <c r="E727" s="69"/>
      <c r="F727" s="69"/>
      <c r="G727" s="971">
        <v>37</v>
      </c>
      <c r="H727" s="971">
        <f>'SIA2001'!K433</f>
        <v>3.4000000000000002E-2</v>
      </c>
      <c r="I727" s="972">
        <f>'SIA2001'!O433</f>
        <v>150</v>
      </c>
      <c r="O727" s="28"/>
    </row>
    <row r="728" spans="2:31">
      <c r="B728" s="970" t="str">
        <f>IF(Uebersetzung!$A$1=1,'SIA2001'!E434,'SIA2001'!F434)</f>
        <v>Jackodur CFR 300 / 500  &gt;6cm</v>
      </c>
      <c r="D728" s="69"/>
      <c r="E728" s="69"/>
      <c r="F728" s="69"/>
      <c r="G728" s="971">
        <v>37</v>
      </c>
      <c r="H728" s="971">
        <f>'SIA2001'!K434</f>
        <v>3.5999999999999997E-2</v>
      </c>
      <c r="I728" s="972">
        <f>'SIA2001'!O434</f>
        <v>150</v>
      </c>
      <c r="O728" s="28"/>
    </row>
    <row r="729" spans="2:31">
      <c r="B729" s="970" t="str">
        <f>IF(Uebersetzung!$A$1=1,'SIA2001'!E435,'SIA2001'!F435)</f>
        <v>Jackodur DS 300  2-6cm</v>
      </c>
      <c r="D729" s="69"/>
      <c r="E729" s="69"/>
      <c r="F729" s="69"/>
      <c r="G729" s="971">
        <v>34</v>
      </c>
      <c r="H729" s="971">
        <f>'SIA2001'!K435</f>
        <v>3.4000000000000002E-2</v>
      </c>
      <c r="I729" s="972">
        <f>'SIA2001'!O435</f>
        <v>150</v>
      </c>
      <c r="O729" s="28"/>
    </row>
    <row r="730" spans="2:31">
      <c r="B730" s="970" t="str">
        <f>IF(Uebersetzung!$A$1=1,'SIA2001'!E436,'SIA2001'!F436)</f>
        <v>Jackodur DS 300  7-8cm</v>
      </c>
      <c r="D730" s="69"/>
      <c r="E730" s="69"/>
      <c r="F730" s="69"/>
      <c r="G730" s="971">
        <v>34</v>
      </c>
      <c r="H730" s="971">
        <f>'SIA2001'!K436</f>
        <v>3.5000000000000003E-2</v>
      </c>
      <c r="I730" s="972">
        <f>'SIA2001'!O436</f>
        <v>150</v>
      </c>
      <c r="O730" s="28"/>
    </row>
    <row r="731" spans="2:31">
      <c r="B731" s="970" t="str">
        <f>IF(Uebersetzung!$A$1=1,'SIA2001'!E437,'SIA2001'!F437)</f>
        <v>Jackodur DS 300  9-16cm</v>
      </c>
      <c r="D731" s="69"/>
      <c r="E731" s="69"/>
      <c r="F731" s="69"/>
      <c r="G731" s="971">
        <v>34</v>
      </c>
      <c r="H731" s="971">
        <f>'SIA2001'!K437</f>
        <v>3.5999999999999997E-2</v>
      </c>
      <c r="I731" s="972">
        <f>'SIA2001'!O437</f>
        <v>150</v>
      </c>
      <c r="O731" s="28"/>
    </row>
    <row r="732" spans="2:31">
      <c r="B732" s="970" t="str">
        <f>IF(Uebersetzung!$A$1=1,'SIA2001'!E438,'SIA2001'!F438)</f>
        <v>Jackodur DS 300  17-22cm</v>
      </c>
      <c r="D732" s="69"/>
      <c r="E732" s="69"/>
      <c r="F732" s="69"/>
      <c r="G732" s="971">
        <v>34</v>
      </c>
      <c r="H732" s="971">
        <f>'SIA2001'!K438</f>
        <v>3.6999999999999998E-2</v>
      </c>
      <c r="I732" s="972">
        <f>'SIA2001'!O438</f>
        <v>150</v>
      </c>
      <c r="O732" s="28"/>
    </row>
    <row r="733" spans="2:31">
      <c r="B733" s="970" t="str">
        <f>IF(Uebersetzung!$A$1=1,'SIA2001'!E439,'SIA2001'!F439)</f>
        <v>Jackodur KF 300 Jackodrain 2-6cm</v>
      </c>
      <c r="D733" s="69"/>
      <c r="E733" s="69"/>
      <c r="F733" s="69"/>
      <c r="G733" s="971">
        <v>34</v>
      </c>
      <c r="H733" s="971">
        <f>'SIA2001'!K439</f>
        <v>3.4000000000000002E-2</v>
      </c>
      <c r="I733" s="972">
        <f>'SIA2001'!O439</f>
        <v>150</v>
      </c>
      <c r="O733" s="28"/>
    </row>
    <row r="734" spans="2:31">
      <c r="B734" s="970" t="str">
        <f>IF(Uebersetzung!$A$1=1,'SIA2001'!E440,'SIA2001'!F440)</f>
        <v>Jackodur KF 300 Jackodrain &gt;6cm</v>
      </c>
      <c r="D734" s="69"/>
      <c r="E734" s="69"/>
      <c r="F734" s="69"/>
      <c r="G734" s="971">
        <v>34</v>
      </c>
      <c r="H734" s="971">
        <f>'SIA2001'!K440</f>
        <v>3.5000000000000003E-2</v>
      </c>
      <c r="I734" s="972">
        <f>'SIA2001'!O440</f>
        <v>150</v>
      </c>
      <c r="O734" s="28"/>
    </row>
    <row r="735" spans="2:31">
      <c r="B735" s="970" t="str">
        <f>IF(Uebersetzung!$A$1=1,'SIA2001'!E441,'SIA2001'!F441)</f>
        <v>Gematherm XC7  5-6cm</v>
      </c>
      <c r="D735" s="69"/>
      <c r="E735" s="69"/>
      <c r="F735" s="69"/>
      <c r="G735" s="971">
        <v>42</v>
      </c>
      <c r="H735" s="971">
        <f>'SIA2001'!K441</f>
        <v>3.4000000000000002E-2</v>
      </c>
      <c r="I735" s="972">
        <f>'SIA2001'!O441</f>
        <v>150</v>
      </c>
      <c r="O735" s="28"/>
    </row>
    <row r="736" spans="2:31">
      <c r="B736" s="970" t="str">
        <f>IF(Uebersetzung!$A$1=1,'SIA2001'!E442,'SIA2001'!F442)</f>
        <v>Gematherm XC7  8-12cm</v>
      </c>
      <c r="D736" s="69"/>
      <c r="E736" s="69"/>
      <c r="F736" s="69"/>
      <c r="G736" s="971">
        <v>42</v>
      </c>
      <c r="H736" s="971">
        <f>'SIA2001'!K442</f>
        <v>3.5999999999999997E-2</v>
      </c>
      <c r="I736" s="972">
        <f>'SIA2001'!O442</f>
        <v>150</v>
      </c>
      <c r="O736" s="28"/>
    </row>
    <row r="737" spans="2:15">
      <c r="B737" s="970" t="str">
        <f>IF(Uebersetzung!$A$1=1,'SIA2001'!E443,'SIA2001'!F443)</f>
        <v>Gematherm XC3 / XCW  3-4cm</v>
      </c>
      <c r="D737" s="69"/>
      <c r="E737" s="69"/>
      <c r="F737" s="69"/>
      <c r="G737" s="971">
        <v>31</v>
      </c>
      <c r="H737" s="971">
        <f>'SIA2001'!K443</f>
        <v>3.3000000000000002E-2</v>
      </c>
      <c r="I737" s="972">
        <f>'SIA2001'!O443</f>
        <v>150</v>
      </c>
      <c r="O737" s="28"/>
    </row>
    <row r="738" spans="2:15">
      <c r="B738" s="970" t="str">
        <f>IF(Uebersetzung!$A$1=1,'SIA2001'!E444,'SIA2001'!F444)</f>
        <v>Gematherm XC3 / XCW  5-6cm</v>
      </c>
      <c r="D738" s="69"/>
      <c r="E738" s="69"/>
      <c r="F738" s="69"/>
      <c r="G738" s="971">
        <v>31</v>
      </c>
      <c r="H738" s="971">
        <f>'SIA2001'!K444</f>
        <v>3.4000000000000002E-2</v>
      </c>
      <c r="I738" s="972">
        <f>'SIA2001'!O444</f>
        <v>150</v>
      </c>
      <c r="O738" s="28"/>
    </row>
    <row r="739" spans="2:15">
      <c r="B739" s="970" t="str">
        <f>IF(Uebersetzung!$A$1=1,'SIA2001'!E445,'SIA2001'!F445)</f>
        <v>Gematherm XC3 / XCW  8-30cm</v>
      </c>
      <c r="D739" s="69"/>
      <c r="E739" s="69"/>
      <c r="F739" s="69"/>
      <c r="G739" s="971">
        <v>31</v>
      </c>
      <c r="H739" s="971">
        <f>'SIA2001'!K445</f>
        <v>3.5999999999999997E-2</v>
      </c>
      <c r="I739" s="972">
        <f>'SIA2001'!O445</f>
        <v>150</v>
      </c>
      <c r="O739" s="28"/>
    </row>
    <row r="740" spans="2:15">
      <c r="B740" s="970" t="str">
        <f>IF(Uebersetzung!$A$1=1,'SIA2001'!E446,'SIA2001'!F446)</f>
        <v>Gematherm XC5  5-6cm</v>
      </c>
      <c r="D740" s="69"/>
      <c r="E740" s="69"/>
      <c r="F740" s="69"/>
      <c r="G740" s="971">
        <v>35</v>
      </c>
      <c r="H740" s="971">
        <f>'SIA2001'!K446</f>
        <v>3.4000000000000002E-2</v>
      </c>
      <c r="I740" s="972">
        <f>'SIA2001'!O446</f>
        <v>150</v>
      </c>
      <c r="O740" s="28"/>
    </row>
    <row r="741" spans="2:15">
      <c r="B741" s="970" t="str">
        <f>IF(Uebersetzung!$A$1=1,'SIA2001'!E447,'SIA2001'!F447)</f>
        <v>Gematherm XC5  8-30cm</v>
      </c>
      <c r="D741" s="69"/>
      <c r="E741" s="69"/>
      <c r="F741" s="69"/>
      <c r="G741" s="971">
        <v>35</v>
      </c>
      <c r="H741" s="971">
        <f>'SIA2001'!K447</f>
        <v>3.5999999999999997E-2</v>
      </c>
      <c r="I741" s="972">
        <f>'SIA2001'!O447</f>
        <v>150</v>
      </c>
      <c r="O741" s="28"/>
    </row>
    <row r="742" spans="2:15">
      <c r="B742" s="970" t="str">
        <f>IF(Uebersetzung!$A$1=1,'SIA2001'!E448,'SIA2001'!F448)</f>
        <v>Gemadrain XPS  5-6cm</v>
      </c>
      <c r="D742" s="69"/>
      <c r="E742" s="69"/>
      <c r="F742" s="69"/>
      <c r="G742" s="971">
        <v>32</v>
      </c>
      <c r="H742" s="971">
        <f>'SIA2001'!K448</f>
        <v>3.4000000000000002E-2</v>
      </c>
      <c r="I742" s="972">
        <f>'SIA2001'!O448</f>
        <v>150</v>
      </c>
      <c r="O742" s="28"/>
    </row>
    <row r="743" spans="2:15">
      <c r="B743" s="970" t="str">
        <f>IF(Uebersetzung!$A$1=1,'SIA2001'!E449,'SIA2001'!F449)</f>
        <v>Gemadrain XPS  8-30cm</v>
      </c>
      <c r="D743" s="69"/>
      <c r="E743" s="69"/>
      <c r="F743" s="69"/>
      <c r="G743" s="971">
        <v>32</v>
      </c>
      <c r="H743" s="971">
        <f>'SIA2001'!K449</f>
        <v>3.5999999999999997E-2</v>
      </c>
      <c r="I743" s="972">
        <f>'SIA2001'!O449</f>
        <v>150</v>
      </c>
      <c r="O743" s="28"/>
    </row>
    <row r="744" spans="2:15">
      <c r="B744" s="970" t="str">
        <f>IF(Uebersetzung!$A$1=1,'SIA2001'!E450,'SIA2001'!F450)</f>
        <v>Sundolitt XPS 300 kPa</v>
      </c>
      <c r="D744" s="69"/>
      <c r="E744" s="69"/>
      <c r="F744" s="69"/>
      <c r="G744" s="971">
        <f>'SIA2001'!J450</f>
        <v>33</v>
      </c>
      <c r="H744" s="971">
        <f>'SIA2001'!K450</f>
        <v>3.5999999999999997E-2</v>
      </c>
      <c r="I744" s="972">
        <f>'SIA2001'!O450</f>
        <v>150</v>
      </c>
      <c r="O744" s="28"/>
    </row>
    <row r="745" spans="2:15">
      <c r="B745" s="970" t="str">
        <f>IF(Uebersetzung!$A$1=1,'SIA2001'!E451,'SIA2001'!F451)</f>
        <v>swissporXPS Premium Plus</v>
      </c>
      <c r="D745" s="69"/>
      <c r="E745" s="69"/>
      <c r="F745" s="69"/>
      <c r="G745" s="971">
        <v>36</v>
      </c>
      <c r="H745" s="971">
        <f>'SIA2001'!K451</f>
        <v>2.7E-2</v>
      </c>
      <c r="I745" s="972">
        <f>'SIA2001'!O451</f>
        <v>150</v>
      </c>
      <c r="O745" s="28"/>
    </row>
    <row r="746" spans="2:15">
      <c r="B746" s="970" t="str">
        <f>IF(Uebersetzung!$A$1=1,'SIA2001'!E452,'SIA2001'!F452)</f>
        <v>swissporXPS  1-8cm</v>
      </c>
      <c r="D746" s="69"/>
      <c r="E746" s="69"/>
      <c r="F746" s="69"/>
      <c r="G746" s="971">
        <v>36</v>
      </c>
      <c r="H746" s="971">
        <f>'SIA2001'!K452</f>
        <v>3.3000000000000002E-2</v>
      </c>
      <c r="I746" s="972">
        <f>'SIA2001'!O452</f>
        <v>150</v>
      </c>
      <c r="O746" s="28"/>
    </row>
    <row r="747" spans="2:15">
      <c r="B747" s="970" t="str">
        <f>IF(Uebersetzung!$A$1=1,'SIA2001'!E453,'SIA2001'!F453)</f>
        <v>swissporXPS  9-40cm</v>
      </c>
      <c r="D747" s="69"/>
      <c r="E747" s="69"/>
      <c r="F747" s="69"/>
      <c r="G747" s="971">
        <v>36</v>
      </c>
      <c r="H747" s="971">
        <f>'SIA2001'!K453</f>
        <v>3.5000000000000003E-2</v>
      </c>
      <c r="I747" s="972">
        <f>'SIA2001'!O453</f>
        <v>150</v>
      </c>
      <c r="O747" s="28"/>
    </row>
    <row r="748" spans="2:15">
      <c r="B748" s="970" t="str">
        <f>IF(Uebersetzung!$A$1=1,'SIA2001'!E454,'SIA2001'!F454)</f>
        <v>swissporXPS Premium</v>
      </c>
      <c r="D748" s="69"/>
      <c r="E748" s="69"/>
      <c r="F748" s="69"/>
      <c r="G748" s="971">
        <v>36</v>
      </c>
      <c r="H748" s="971">
        <f>'SIA2001'!K454</f>
        <v>3.2000000000000001E-2</v>
      </c>
      <c r="I748" s="972">
        <f>'SIA2001'!O454</f>
        <v>150</v>
      </c>
      <c r="O748" s="28"/>
    </row>
    <row r="749" spans="2:15">
      <c r="B749" s="970" t="str">
        <f>IF(Uebersetzung!$A$1=1,'SIA2001'!E455,'SIA2001'!F455)</f>
        <v>URSA XPS N-III  2-6cm</v>
      </c>
      <c r="D749" s="69"/>
      <c r="E749" s="69"/>
      <c r="F749" s="69"/>
      <c r="G749" s="971">
        <v>38</v>
      </c>
      <c r="H749" s="971">
        <f>'SIA2001'!K455</f>
        <v>3.4000000000000002E-2</v>
      </c>
      <c r="I749" s="972">
        <f>'SIA2001'!O455</f>
        <v>150</v>
      </c>
      <c r="O749" s="28"/>
    </row>
    <row r="750" spans="2:15">
      <c r="B750" s="970" t="str">
        <f>IF(Uebersetzung!$A$1=1,'SIA2001'!E456,'SIA2001'!F456)</f>
        <v>URSA XPS N-III  7-12cm</v>
      </c>
      <c r="D750" s="69"/>
      <c r="E750" s="69"/>
      <c r="F750" s="69"/>
      <c r="G750" s="971">
        <v>38</v>
      </c>
      <c r="H750" s="971">
        <f>'SIA2001'!K456</f>
        <v>3.5999999999999997E-2</v>
      </c>
      <c r="I750" s="972">
        <f>'SIA2001'!O456</f>
        <v>150</v>
      </c>
      <c r="O750" s="28"/>
    </row>
    <row r="751" spans="2:15">
      <c r="B751" s="970" t="str">
        <f>IF(Uebersetzung!$A$1=1,'SIA2001'!E457,'SIA2001'!F457)</f>
        <v>URSA XPS N-III  14-16cm</v>
      </c>
      <c r="D751" s="69"/>
      <c r="E751" s="69"/>
      <c r="F751" s="69"/>
      <c r="G751" s="971">
        <v>38</v>
      </c>
      <c r="H751" s="971">
        <f>'SIA2001'!K457</f>
        <v>3.6999999999999998E-2</v>
      </c>
      <c r="I751" s="972">
        <f>'SIA2001'!O457</f>
        <v>150</v>
      </c>
      <c r="O751" s="28"/>
    </row>
    <row r="752" spans="2:15">
      <c r="B752" s="970" t="str">
        <f>IF(Uebersetzung!$A$1=1,'SIA2001'!E458,'SIA2001'!F458)</f>
        <v>URSA XPS N-V  2-6cm</v>
      </c>
      <c r="D752" s="69"/>
      <c r="E752" s="69"/>
      <c r="F752" s="69"/>
      <c r="G752" s="971">
        <v>38</v>
      </c>
      <c r="H752" s="971">
        <f>'SIA2001'!K458</f>
        <v>3.4000000000000002E-2</v>
      </c>
      <c r="I752" s="972">
        <f>'SIA2001'!O458</f>
        <v>150</v>
      </c>
      <c r="O752" s="28"/>
    </row>
    <row r="753" spans="2:15">
      <c r="B753" s="970" t="str">
        <f>IF(Uebersetzung!$A$1=1,'SIA2001'!E459,'SIA2001'!F459)</f>
        <v>URSA XPS N-V  7-12cm</v>
      </c>
      <c r="D753" s="69"/>
      <c r="E753" s="69"/>
      <c r="F753" s="69"/>
      <c r="G753" s="971">
        <v>38</v>
      </c>
      <c r="H753" s="971">
        <f>'SIA2001'!K459</f>
        <v>3.5999999999999997E-2</v>
      </c>
      <c r="I753" s="972">
        <f>'SIA2001'!O459</f>
        <v>150</v>
      </c>
      <c r="O753" s="28"/>
    </row>
    <row r="754" spans="2:15">
      <c r="B754" s="970" t="str">
        <f>IF(Uebersetzung!$A$1=1,'SIA2001'!E460,'SIA2001'!F460)</f>
        <v>URSA XPS N-VII  6cm</v>
      </c>
      <c r="D754" s="69"/>
      <c r="E754" s="69"/>
      <c r="F754" s="69"/>
      <c r="G754" s="971">
        <v>38</v>
      </c>
      <c r="H754" s="971">
        <f>'SIA2001'!K460</f>
        <v>3.5999999999999997E-2</v>
      </c>
      <c r="I754" s="972">
        <f>'SIA2001'!O460</f>
        <v>150</v>
      </c>
      <c r="O754" s="28"/>
    </row>
    <row r="755" spans="2:15">
      <c r="B755" s="970" t="str">
        <f>IF(Uebersetzung!$A$1=1,'SIA2001'!E461,'SIA2001'!F461)</f>
        <v>URSA XPS N-VII  7-12cm</v>
      </c>
      <c r="D755" s="69"/>
      <c r="E755" s="69"/>
      <c r="F755" s="69"/>
      <c r="G755" s="971">
        <v>38</v>
      </c>
      <c r="H755" s="971">
        <f>'SIA2001'!K461</f>
        <v>3.6999999999999998E-2</v>
      </c>
      <c r="I755" s="972">
        <f>'SIA2001'!O461</f>
        <v>150</v>
      </c>
      <c r="O755" s="28"/>
    </row>
    <row r="756" spans="2:15">
      <c r="B756" s="970" t="str">
        <f>IF(Uebersetzung!$A$1=1,'SIA2001'!E462,'SIA2001'!F462)</f>
        <v>URSA XPS D N-III PZ</v>
      </c>
      <c r="D756" s="69"/>
      <c r="E756" s="69"/>
      <c r="F756" s="69"/>
      <c r="G756" s="971">
        <v>38</v>
      </c>
      <c r="H756" s="971">
        <f>'SIA2001'!K462</f>
        <v>3.2000000000000001E-2</v>
      </c>
      <c r="I756" s="972">
        <f>'SIA2001'!O462</f>
        <v>150</v>
      </c>
      <c r="O756" s="28"/>
    </row>
    <row r="757" spans="2:15">
      <c r="B757" s="970" t="s">
        <v>5615</v>
      </c>
      <c r="D757" s="69"/>
      <c r="E757" s="69"/>
      <c r="F757" s="69"/>
      <c r="G757" s="971">
        <v>39</v>
      </c>
      <c r="H757" s="971">
        <f>'SIA2001'!K463</f>
        <v>3.4000000000000002E-2</v>
      </c>
      <c r="I757" s="972">
        <f>'SIA2001'!O463</f>
        <v>150</v>
      </c>
      <c r="O757" s="28"/>
    </row>
    <row r="758" spans="2:15">
      <c r="B758" s="970" t="s">
        <v>5616</v>
      </c>
      <c r="D758" s="69"/>
      <c r="E758" s="69"/>
      <c r="F758" s="69"/>
      <c r="G758" s="971">
        <v>39</v>
      </c>
      <c r="H758" s="971">
        <f>'SIA2001'!K464</f>
        <v>3.5999999999999997E-2</v>
      </c>
      <c r="I758" s="972">
        <f>'SIA2001'!O464</f>
        <v>150</v>
      </c>
      <c r="O758" s="28"/>
    </row>
    <row r="759" spans="2:15">
      <c r="B759" s="970" t="str">
        <f>IF(Uebersetzung!$A$1=1,'SIA2001'!E465,'SIA2001'!F465)</f>
        <v>URSA XPS N  2-6cm</v>
      </c>
      <c r="D759" s="69"/>
      <c r="E759" s="69"/>
      <c r="F759" s="69"/>
      <c r="G759" s="971">
        <v>36</v>
      </c>
      <c r="H759" s="971">
        <f>'SIA2001'!K465</f>
        <v>3.4000000000000002E-2</v>
      </c>
      <c r="I759" s="972">
        <f>'SIA2001'!O465</f>
        <v>150</v>
      </c>
      <c r="O759" s="28"/>
    </row>
    <row r="760" spans="2:15">
      <c r="B760" s="970" t="str">
        <f>IF(Uebersetzung!$A$1=1,'SIA2001'!E466,'SIA2001'!F466)</f>
        <v>URSA XPS N  7-10cm</v>
      </c>
      <c r="D760" s="69"/>
      <c r="E760" s="69"/>
      <c r="F760" s="69"/>
      <c r="G760" s="971">
        <v>36</v>
      </c>
      <c r="H760" s="971">
        <f>'SIA2001'!K466</f>
        <v>3.5999999999999997E-2</v>
      </c>
      <c r="I760" s="972">
        <f>'SIA2001'!O466</f>
        <v>150</v>
      </c>
      <c r="O760" s="28"/>
    </row>
    <row r="761" spans="2:15">
      <c r="B761" s="970"/>
      <c r="D761" s="69"/>
      <c r="E761" s="69"/>
      <c r="F761" s="69"/>
      <c r="G761" s="971"/>
      <c r="H761" s="971"/>
      <c r="I761" s="1485"/>
      <c r="O761" s="28"/>
    </row>
    <row r="762" spans="2:15">
      <c r="B762" s="71" t="str">
        <f>Uebersetzung!D636</f>
        <v>**** Polyurethan (PUR), Polyisocyanurat (PIR) ****</v>
      </c>
      <c r="D762" s="69"/>
      <c r="E762" s="69"/>
      <c r="F762" s="69"/>
      <c r="G762" s="971"/>
      <c r="H762" s="971"/>
      <c r="I762" s="973"/>
      <c r="O762" s="28"/>
    </row>
    <row r="763" spans="2:15">
      <c r="B763" s="970" t="str">
        <f>IF(Uebersetzung!$A$1=1,'SIA2001'!E469,'SIA2001'!F469)</f>
        <v>BACHL PUR ALU</v>
      </c>
      <c r="D763" s="69"/>
      <c r="E763" s="69"/>
      <c r="F763" s="69"/>
      <c r="G763" s="971">
        <f>'SIA2001'!J469</f>
        <v>30</v>
      </c>
      <c r="H763" s="971">
        <f>'SIA2001'!K469</f>
        <v>2.1999999999999999E-2</v>
      </c>
      <c r="I763" s="972">
        <f>'SIA2001'!O469</f>
        <v>60</v>
      </c>
      <c r="O763" s="28"/>
    </row>
    <row r="764" spans="2:15">
      <c r="B764" s="970" t="str">
        <f>IF(Uebersetzung!$A$1=1,'SIA2001'!E470,'SIA2001'!F470)</f>
        <v>BACHL PUR Vlies  2-7cm</v>
      </c>
      <c r="D764" s="69"/>
      <c r="E764" s="69"/>
      <c r="F764" s="69"/>
      <c r="G764" s="971">
        <f>'SIA2001'!J470</f>
        <v>30</v>
      </c>
      <c r="H764" s="971">
        <f>'SIA2001'!K470</f>
        <v>2.7E-2</v>
      </c>
      <c r="I764" s="972">
        <f>'SIA2001'!O470</f>
        <v>60</v>
      </c>
      <c r="O764" s="28"/>
    </row>
    <row r="765" spans="2:15">
      <c r="B765" s="970" t="str">
        <f>IF(Uebersetzung!$A$1=1,'SIA2001'!E471,'SIA2001'!F471)</f>
        <v>BACHL PUR Vlies  8-11cm</v>
      </c>
      <c r="D765" s="69"/>
      <c r="E765" s="69"/>
      <c r="F765" s="69"/>
      <c r="G765" s="971">
        <f>'SIA2001'!J471</f>
        <v>30</v>
      </c>
      <c r="H765" s="971">
        <f>'SIA2001'!K471</f>
        <v>2.5999999999999999E-2</v>
      </c>
      <c r="I765" s="972">
        <f>'SIA2001'!O471</f>
        <v>60</v>
      </c>
      <c r="O765" s="28"/>
    </row>
    <row r="766" spans="2:15">
      <c r="B766" s="970" t="str">
        <f>IF(Uebersetzung!$A$1=1,'SIA2001'!E472,'SIA2001'!F472)</f>
        <v>BACHL PUR Vlies  12-24cm</v>
      </c>
      <c r="D766" s="69"/>
      <c r="E766" s="69"/>
      <c r="F766" s="69"/>
      <c r="G766" s="971">
        <f>'SIA2001'!J472</f>
        <v>30</v>
      </c>
      <c r="H766" s="971">
        <f>'SIA2001'!K472</f>
        <v>2.5000000000000001E-2</v>
      </c>
      <c r="I766" s="972">
        <f>'SIA2001'!O472</f>
        <v>60</v>
      </c>
      <c r="O766" s="28"/>
    </row>
    <row r="767" spans="2:15">
      <c r="B767" s="970" t="str">
        <f>IF(Uebersetzung!$A$1=1,'SIA2001'!E473,'SIA2001'!F473)</f>
        <v>Therma TR26 FM</v>
      </c>
      <c r="D767" s="69"/>
      <c r="E767" s="69"/>
      <c r="F767" s="69"/>
      <c r="G767" s="971">
        <v>29</v>
      </c>
      <c r="H767" s="971">
        <f>'SIA2001'!K473</f>
        <v>2.1999999999999999E-2</v>
      </c>
      <c r="I767" s="972">
        <f>'SIA2001'!O473</f>
        <v>60</v>
      </c>
      <c r="O767" s="28"/>
    </row>
    <row r="768" spans="2:15">
      <c r="B768" s="970" t="str">
        <f>IF(Uebersetzung!$A$1=1,'SIA2001'!E474,'SIA2001'!F474)</f>
        <v>Montanatherm panneau sandwich</v>
      </c>
      <c r="D768" s="69"/>
      <c r="E768" s="69"/>
      <c r="F768" s="69"/>
      <c r="G768" s="971">
        <v>40</v>
      </c>
      <c r="H768" s="971">
        <v>2.1999999999999999E-2</v>
      </c>
      <c r="I768" s="972">
        <f>'SIA2001'!O474</f>
        <v>60</v>
      </c>
      <c r="O768" s="28"/>
    </row>
    <row r="769" spans="2:15">
      <c r="B769" s="970" t="str">
        <f>IF(Uebersetzung!$A$1=1,'SIA2001'!E475,'SIA2001'!F475)</f>
        <v>Bauder PIR étanche à la diffusion</v>
      </c>
      <c r="D769" s="69"/>
      <c r="E769" s="69"/>
      <c r="F769" s="69"/>
      <c r="G769" s="971">
        <v>34</v>
      </c>
      <c r="H769" s="971">
        <f>'SIA2001'!K475</f>
        <v>2.1999999999999999E-2</v>
      </c>
      <c r="I769" s="972">
        <f>'SIA2001'!O475</f>
        <v>60</v>
      </c>
      <c r="O769" s="28"/>
    </row>
    <row r="770" spans="2:15">
      <c r="B770" s="970" t="str">
        <f>IF(Uebersetzung!$A$1=1,'SIA2001'!E476,'SIA2001'!F476)</f>
        <v>Bauder PIR perméable à la diffusion  2-7cm</v>
      </c>
      <c r="D770" s="69"/>
      <c r="E770" s="69"/>
      <c r="F770" s="69"/>
      <c r="G770" s="971">
        <v>34</v>
      </c>
      <c r="H770" s="971">
        <f>'SIA2001'!K476</f>
        <v>2.7E-2</v>
      </c>
      <c r="I770" s="972">
        <f>'SIA2001'!O476</f>
        <v>60</v>
      </c>
      <c r="O770" s="28"/>
    </row>
    <row r="771" spans="2:15">
      <c r="B771" s="970" t="str">
        <f>IF(Uebersetzung!$A$1=1,'SIA2001'!E477,'SIA2001'!F477)</f>
        <v>Bauder PIR perméable à la diffusion  8-11cm</v>
      </c>
      <c r="D771" s="69"/>
      <c r="E771" s="69"/>
      <c r="F771" s="69"/>
      <c r="G771" s="971">
        <v>34</v>
      </c>
      <c r="H771" s="971">
        <f>'SIA2001'!K477</f>
        <v>2.5999999999999999E-2</v>
      </c>
      <c r="I771" s="972">
        <f>'SIA2001'!O477</f>
        <v>60</v>
      </c>
      <c r="O771" s="28"/>
    </row>
    <row r="772" spans="2:15">
      <c r="B772" s="970" t="str">
        <f>IF(Uebersetzung!$A$1=1,'SIA2001'!E478,'SIA2001'!F478)</f>
        <v>Bauder PIR perméable à la diffusion  12-24cm</v>
      </c>
      <c r="D772" s="69"/>
      <c r="E772" s="69"/>
      <c r="F772" s="69"/>
      <c r="G772" s="971">
        <v>34</v>
      </c>
      <c r="H772" s="971">
        <f>'SIA2001'!K478</f>
        <v>2.5000000000000001E-2</v>
      </c>
      <c r="I772" s="972">
        <f>'SIA2001'!O478</f>
        <v>60</v>
      </c>
      <c r="O772" s="28"/>
    </row>
    <row r="773" spans="2:15">
      <c r="B773" s="970" t="str">
        <f>IF(Uebersetzung!$A$1=1,'SIA2001'!E479,'SIA2001'!F479)</f>
        <v>puren Protect</v>
      </c>
      <c r="D773" s="69"/>
      <c r="E773" s="69"/>
      <c r="F773" s="69"/>
      <c r="G773" s="971">
        <f>'SIA2001'!J479</f>
        <v>33</v>
      </c>
      <c r="H773" s="971">
        <f>'SIA2001'!K479</f>
        <v>2.1999999999999999E-2</v>
      </c>
      <c r="I773" s="972">
        <f>'SIA2001'!O479</f>
        <v>60</v>
      </c>
      <c r="O773" s="28"/>
    </row>
    <row r="774" spans="2:15">
      <c r="B774" s="970" t="str">
        <f>IF(Uebersetzung!$A$1=1,'SIA2001'!E480,'SIA2001'!F480)</f>
        <v>puren Plus  8-11cm</v>
      </c>
      <c r="D774" s="69"/>
      <c r="E774" s="69"/>
      <c r="F774" s="69"/>
      <c r="G774" s="971">
        <f>'SIA2001'!J480</f>
        <v>33</v>
      </c>
      <c r="H774" s="971">
        <f>'SIA2001'!K480</f>
        <v>2.5999999999999999E-2</v>
      </c>
      <c r="I774" s="972">
        <f>'SIA2001'!O480</f>
        <v>60</v>
      </c>
      <c r="O774" s="28"/>
    </row>
    <row r="775" spans="2:15">
      <c r="B775" s="970" t="str">
        <f>IF(Uebersetzung!$A$1=1,'SIA2001'!E481,'SIA2001'!F481)</f>
        <v>puren Plus  12-22cm</v>
      </c>
      <c r="D775" s="69"/>
      <c r="E775" s="69"/>
      <c r="F775" s="69"/>
      <c r="G775" s="971">
        <f>'SIA2001'!J481</f>
        <v>33</v>
      </c>
      <c r="H775" s="971">
        <f>'SIA2001'!K481</f>
        <v>2.5000000000000001E-2</v>
      </c>
      <c r="I775" s="972">
        <f>'SIA2001'!O481</f>
        <v>60</v>
      </c>
      <c r="O775" s="28"/>
    </row>
    <row r="776" spans="2:15">
      <c r="B776" s="970" t="str">
        <f>IF(Uebersetzung!$A$1=1,'SIA2001'!E482,'SIA2001'!F482)</f>
        <v>puren Dämmschalung</v>
      </c>
      <c r="D776" s="69"/>
      <c r="E776" s="69"/>
      <c r="F776" s="69"/>
      <c r="G776" s="971">
        <f>'SIA2001'!J482</f>
        <v>33</v>
      </c>
      <c r="H776" s="971">
        <f>'SIA2001'!K482</f>
        <v>2.8000000000000001E-2</v>
      </c>
      <c r="I776" s="972">
        <f>'SIA2001'!O482</f>
        <v>60</v>
      </c>
      <c r="O776" s="28"/>
    </row>
    <row r="777" spans="2:15">
      <c r="B777" s="970" t="str">
        <f>IF(Uebersetzung!$A$1=1,'SIA2001'!E483,'SIA2001'!F483)</f>
        <v>puren-PIR (étanche à la diffusion)  2-7cm</v>
      </c>
      <c r="D777" s="69"/>
      <c r="E777" s="69"/>
      <c r="F777" s="69"/>
      <c r="G777" s="971">
        <v>32</v>
      </c>
      <c r="H777" s="971">
        <f>'SIA2001'!K483</f>
        <v>2.3E-2</v>
      </c>
      <c r="I777" s="972">
        <f>'SIA2001'!O483</f>
        <v>60</v>
      </c>
      <c r="O777" s="28"/>
    </row>
    <row r="778" spans="2:15">
      <c r="B778" s="970" t="str">
        <f>IF(Uebersetzung!$A$1=1,'SIA2001'!E484,'SIA2001'!F484)</f>
        <v>puren-PIR (étanche à la diffusion)  8-20cm</v>
      </c>
      <c r="D778" s="69"/>
      <c r="E778" s="69"/>
      <c r="F778" s="69"/>
      <c r="G778" s="971">
        <v>32</v>
      </c>
      <c r="H778" s="971">
        <f>'SIA2001'!K484</f>
        <v>2.1999999999999999E-2</v>
      </c>
      <c r="I778" s="972">
        <f>'SIA2001'!O484</f>
        <v>60</v>
      </c>
      <c r="O778" s="28"/>
    </row>
    <row r="779" spans="2:15">
      <c r="B779" s="970" t="str">
        <f>IF(Uebersetzung!$A$1=1,'SIA2001'!E485,'SIA2001'!F485)</f>
        <v>puren-PIR (perméable à la diffusion)  2-7cm</v>
      </c>
      <c r="D779" s="69"/>
      <c r="E779" s="69"/>
      <c r="F779" s="69"/>
      <c r="G779" s="971">
        <v>32</v>
      </c>
      <c r="H779" s="971">
        <f>'SIA2001'!K485</f>
        <v>2.8000000000000001E-2</v>
      </c>
      <c r="I779" s="972">
        <f>'SIA2001'!O485</f>
        <v>60</v>
      </c>
      <c r="O779" s="28"/>
    </row>
    <row r="780" spans="2:15">
      <c r="B780" s="970" t="str">
        <f>IF(Uebersetzung!$A$1=1,'SIA2001'!E486,'SIA2001'!F486)</f>
        <v>puren-PIR (perméable à la diffusion)  8-11cm</v>
      </c>
      <c r="D780" s="69"/>
      <c r="E780" s="69"/>
      <c r="F780" s="69"/>
      <c r="G780" s="971">
        <v>32</v>
      </c>
      <c r="H780" s="971">
        <f>'SIA2001'!K486</f>
        <v>2.5999999999999999E-2</v>
      </c>
      <c r="I780" s="972">
        <f>'SIA2001'!O486</f>
        <v>60</v>
      </c>
      <c r="O780" s="28"/>
    </row>
    <row r="781" spans="2:15">
      <c r="B781" s="970" t="str">
        <f>IF(Uebersetzung!$A$1=1,'SIA2001'!E487,'SIA2001'!F487)</f>
        <v>puren-PIR (perméable à la diffusion)  &gt;=12cm</v>
      </c>
      <c r="D781" s="69"/>
      <c r="E781" s="69"/>
      <c r="F781" s="69"/>
      <c r="G781" s="971">
        <v>32</v>
      </c>
      <c r="H781" s="971">
        <f>'SIA2001'!K487</f>
        <v>2.5000000000000001E-2</v>
      </c>
      <c r="I781" s="972">
        <f>'SIA2001'!O487</f>
        <v>60</v>
      </c>
      <c r="O781" s="28"/>
    </row>
    <row r="782" spans="2:15">
      <c r="B782" s="970" t="str">
        <f>IF(Uebersetzung!$A$1=1,'SIA2001'!E488,'SIA2001'!F488)</f>
        <v>puren PIR NE / purenotherm  2-7cm</v>
      </c>
      <c r="D782" s="69"/>
      <c r="E782" s="69"/>
      <c r="F782" s="69"/>
      <c r="G782" s="971">
        <v>32</v>
      </c>
      <c r="H782" s="971">
        <f>'SIA2001'!K488</f>
        <v>2.7E-2</v>
      </c>
      <c r="I782" s="972">
        <f>'SIA2001'!O488</f>
        <v>60</v>
      </c>
      <c r="O782" s="28"/>
    </row>
    <row r="783" spans="2:15">
      <c r="B783" s="970" t="str">
        <f>IF(Uebersetzung!$A$1=1,'SIA2001'!E489,'SIA2001'!F489)</f>
        <v>puren PIR NE / purenotherm  8-11cm</v>
      </c>
      <c r="D783" s="69"/>
      <c r="E783" s="69"/>
      <c r="F783" s="69"/>
      <c r="G783" s="971">
        <v>32</v>
      </c>
      <c r="H783" s="971">
        <f>'SIA2001'!K489</f>
        <v>2.5999999999999999E-2</v>
      </c>
      <c r="I783" s="972">
        <f>'SIA2001'!O489</f>
        <v>60</v>
      </c>
      <c r="O783" s="28"/>
    </row>
    <row r="784" spans="2:15">
      <c r="B784" s="970" t="str">
        <f>IF(Uebersetzung!$A$1=1,'SIA2001'!E490,'SIA2001'!F490)</f>
        <v>puren PIR NE / purenotherm &gt;=12cm</v>
      </c>
      <c r="D784" s="69"/>
      <c r="E784" s="69"/>
      <c r="F784" s="69"/>
      <c r="G784" s="971">
        <v>32</v>
      </c>
      <c r="H784" s="971">
        <f>'SIA2001'!K490</f>
        <v>2.5000000000000001E-2</v>
      </c>
      <c r="I784" s="972">
        <f>'SIA2001'!O490</f>
        <v>60</v>
      </c>
      <c r="O784" s="28"/>
    </row>
    <row r="785" spans="2:15">
      <c r="B785" s="970" t="str">
        <f>IF(Uebersetzung!$A$1=1,'SIA2001'!E491,'SIA2001'!F491)</f>
        <v>puren PIR NE / purenotherm S  2-7cm</v>
      </c>
      <c r="D785" s="69"/>
      <c r="E785" s="69"/>
      <c r="F785" s="69"/>
      <c r="G785" s="971">
        <f>'SIA2001'!J491</f>
        <v>33</v>
      </c>
      <c r="H785" s="971">
        <f>'SIA2001'!K491</f>
        <v>2.5000000000000001E-2</v>
      </c>
      <c r="I785" s="972">
        <f>'SIA2001'!O491</f>
        <v>60</v>
      </c>
      <c r="O785" s="28"/>
    </row>
    <row r="786" spans="2:15">
      <c r="B786" s="970" t="str">
        <f>IF(Uebersetzung!$A$1=1,'SIA2001'!E492,'SIA2001'!F492)</f>
        <v>puren PIR NE / purenotherm S  8-11cm</v>
      </c>
      <c r="D786" s="69"/>
      <c r="E786" s="69"/>
      <c r="F786" s="69"/>
      <c r="G786" s="971">
        <f>'SIA2001'!J492</f>
        <v>33</v>
      </c>
      <c r="H786" s="971">
        <f>'SIA2001'!K492</f>
        <v>2.4E-2</v>
      </c>
      <c r="I786" s="972">
        <f>'SIA2001'!O492</f>
        <v>60</v>
      </c>
      <c r="O786" s="28"/>
    </row>
    <row r="787" spans="2:15">
      <c r="B787" s="970" t="str">
        <f>IF(Uebersetzung!$A$1=1,'SIA2001'!E493,'SIA2001'!F493)</f>
        <v>puren PIR NE / purenotherm S &gt;=12cm</v>
      </c>
      <c r="D787" s="69"/>
      <c r="E787" s="69"/>
      <c r="F787" s="69"/>
      <c r="G787" s="971">
        <f>'SIA2001'!J493</f>
        <v>33</v>
      </c>
      <c r="H787" s="971">
        <f>'SIA2001'!K493</f>
        <v>2.3E-2</v>
      </c>
      <c r="I787" s="972">
        <f>'SIA2001'!O493</f>
        <v>60</v>
      </c>
      <c r="O787" s="28"/>
    </row>
    <row r="788" spans="2:15">
      <c r="B788" s="970" t="str">
        <f>IF(Uebersetzung!$A$1=1,'SIA2001'!E494,'SIA2001'!F494)</f>
        <v>puren PIR, novoPIR</v>
      </c>
      <c r="D788" s="69"/>
      <c r="E788" s="69"/>
      <c r="F788" s="69"/>
      <c r="G788" s="971">
        <f>'SIA2001'!J494</f>
        <v>33</v>
      </c>
      <c r="H788" s="971">
        <f>'SIA2001'!K494</f>
        <v>2.1000000000000001E-2</v>
      </c>
      <c r="I788" s="972">
        <f>'SIA2001'!O494</f>
        <v>60</v>
      </c>
      <c r="O788" s="28"/>
    </row>
    <row r="789" spans="2:15">
      <c r="B789" s="970" t="str">
        <f>IF(Uebersetzung!$A$1=1,'SIA2001'!E495,'SIA2001'!F495)</f>
        <v>Eurothane FB ALV</v>
      </c>
      <c r="D789" s="69"/>
      <c r="E789" s="69"/>
      <c r="F789" s="69"/>
      <c r="G789" s="971">
        <f>'SIA2001'!J495</f>
        <v>30</v>
      </c>
      <c r="H789" s="971" t="str">
        <f>'SIA2001'!K495</f>
        <v>0.023</v>
      </c>
      <c r="I789" s="972">
        <f>'SIA2001'!O495</f>
        <v>60</v>
      </c>
      <c r="O789" s="28"/>
    </row>
    <row r="790" spans="2:15">
      <c r="B790" s="970" t="str">
        <f>IF(Uebersetzung!$A$1=1,'SIA2001'!E496,'SIA2001'!F496)</f>
        <v>goPIR</v>
      </c>
      <c r="D790" s="69"/>
      <c r="E790" s="69"/>
      <c r="F790" s="69"/>
      <c r="G790" s="971">
        <f>'SIA2001'!J496</f>
        <v>30</v>
      </c>
      <c r="H790" s="971" t="str">
        <f>'SIA2001'!K496</f>
        <v>0.023</v>
      </c>
      <c r="I790" s="972">
        <f>'SIA2001'!O496</f>
        <v>60</v>
      </c>
      <c r="O790" s="28"/>
    </row>
    <row r="791" spans="2:15">
      <c r="B791" s="970" t="str">
        <f>IF(Uebersetzung!$A$1=1,'SIA2001'!E497,'SIA2001'!F497)</f>
        <v>Powerdeck</v>
      </c>
      <c r="D791" s="69"/>
      <c r="E791" s="69"/>
      <c r="F791" s="69"/>
      <c r="G791" s="971">
        <f>'SIA2001'!J497</f>
        <v>30</v>
      </c>
      <c r="H791" s="971" t="str">
        <f>'SIA2001'!K497</f>
        <v>0.024</v>
      </c>
      <c r="I791" s="972">
        <f>'SIA2001'!O497</f>
        <v>60</v>
      </c>
      <c r="O791" s="28"/>
    </row>
    <row r="792" spans="2:15">
      <c r="B792" s="970" t="str">
        <f>IF(Uebersetzung!$A$1=1,'SIA2001'!E498,'SIA2001'!F498)</f>
        <v>Sarnapur (PIR) étanche à la diffusion  2-7cm</v>
      </c>
      <c r="D792" s="69"/>
      <c r="E792" s="69"/>
      <c r="F792" s="69"/>
      <c r="G792" s="971">
        <v>32</v>
      </c>
      <c r="H792" s="971">
        <f>'SIA2001'!K498</f>
        <v>2.3E-2</v>
      </c>
      <c r="I792" s="972">
        <f>'SIA2001'!O498</f>
        <v>60</v>
      </c>
      <c r="O792" s="28"/>
    </row>
    <row r="793" spans="2:15">
      <c r="B793" s="970" t="str">
        <f>IF(Uebersetzung!$A$1=1,'SIA2001'!E499,'SIA2001'!F499)</f>
        <v>Sarnapur (PIR) étanche à la diffusion  8-20cm</v>
      </c>
      <c r="D793" s="69"/>
      <c r="E793" s="69"/>
      <c r="F793" s="69"/>
      <c r="G793" s="971">
        <v>32</v>
      </c>
      <c r="H793" s="971">
        <f>'SIA2001'!K499</f>
        <v>2.1999999999999999E-2</v>
      </c>
      <c r="I793" s="972">
        <f>'SIA2001'!O499</f>
        <v>60</v>
      </c>
      <c r="O793" s="28"/>
    </row>
    <row r="794" spans="2:15">
      <c r="B794" s="970" t="str">
        <f>IF(Uebersetzung!$A$1=1,'SIA2001'!E500,'SIA2001'!F500)</f>
        <v>Sarnapur (PIR) perméable à la diffusion  2-7cm</v>
      </c>
      <c r="D794" s="69"/>
      <c r="E794" s="69"/>
      <c r="F794" s="69"/>
      <c r="G794" s="971">
        <v>32</v>
      </c>
      <c r="H794" s="971">
        <f>'SIA2001'!K500</f>
        <v>2.8000000000000001E-2</v>
      </c>
      <c r="I794" s="972">
        <f>'SIA2001'!O500</f>
        <v>60</v>
      </c>
      <c r="O794" s="28"/>
    </row>
    <row r="795" spans="2:15">
      <c r="B795" s="970" t="str">
        <f>IF(Uebersetzung!$A$1=1,'SIA2001'!E501,'SIA2001'!F501)</f>
        <v>Sarnapur (PIR) perméable à la diffusion  8-11cm</v>
      </c>
      <c r="D795" s="69"/>
      <c r="E795" s="69"/>
      <c r="F795" s="69"/>
      <c r="G795" s="971">
        <v>32</v>
      </c>
      <c r="H795" s="971">
        <f>'SIA2001'!K501</f>
        <v>2.5999999999999999E-2</v>
      </c>
      <c r="I795" s="972">
        <f>'SIA2001'!O501</f>
        <v>60</v>
      </c>
      <c r="O795" s="28"/>
    </row>
    <row r="796" spans="2:15">
      <c r="B796" s="970" t="str">
        <f>IF(Uebersetzung!$A$1=1,'SIA2001'!E502,'SIA2001'!F502)</f>
        <v>Sarnapur (PIR) perméable à la diffusion &gt;=12cm</v>
      </c>
      <c r="D796" s="69"/>
      <c r="E796" s="69"/>
      <c r="F796" s="69"/>
      <c r="G796" s="971">
        <v>32</v>
      </c>
      <c r="H796" s="971">
        <f>'SIA2001'!K502</f>
        <v>2.5000000000000001E-2</v>
      </c>
      <c r="I796" s="972">
        <f>'SIA2001'!O502</f>
        <v>60</v>
      </c>
      <c r="O796" s="28"/>
    </row>
    <row r="797" spans="2:15">
      <c r="B797" s="970" t="str">
        <f>IF(Uebersetzung!$A$1=1,'SIA2001'!E503,'SIA2001'!F503)</f>
        <v>Sarnapur novoPIR</v>
      </c>
      <c r="D797" s="69"/>
      <c r="E797" s="69"/>
      <c r="F797" s="69"/>
      <c r="G797" s="971">
        <f>'SIA2001'!J503</f>
        <v>33</v>
      </c>
      <c r="H797" s="971">
        <f>'SIA2001'!K503</f>
        <v>2.1000000000000001E-2</v>
      </c>
      <c r="I797" s="972">
        <f>'SIA2001'!O503</f>
        <v>60</v>
      </c>
      <c r="O797" s="28"/>
    </row>
    <row r="798" spans="2:15">
      <c r="B798" s="970" t="str">
        <f>IF(Uebersetzung!$A$1=1,'SIA2001'!E504,'SIA2001'!F504)</f>
        <v>steinothan 120</v>
      </c>
      <c r="D798" s="69"/>
      <c r="E798" s="69"/>
      <c r="F798" s="69"/>
      <c r="G798" s="971">
        <v>35</v>
      </c>
      <c r="H798" s="971">
        <f>'SIA2001'!K504</f>
        <v>2.3E-2</v>
      </c>
      <c r="I798" s="972">
        <f>'SIA2001'!O504</f>
        <v>60</v>
      </c>
      <c r="O798" s="28"/>
    </row>
    <row r="799" spans="2:15">
      <c r="B799" s="970" t="str">
        <f>IF(Uebersetzung!$A$1=1,'SIA2001'!E505,'SIA2001'!F505)</f>
        <v>steinothan Alu 022</v>
      </c>
      <c r="D799" s="69"/>
      <c r="E799" s="69"/>
      <c r="F799" s="69"/>
      <c r="G799" s="971">
        <v>31</v>
      </c>
      <c r="H799" s="971">
        <f>'SIA2001'!K505</f>
        <v>2.1999999999999999E-2</v>
      </c>
      <c r="I799" s="972">
        <f>'SIA2001'!O505</f>
        <v>60</v>
      </c>
      <c r="O799" s="28"/>
    </row>
    <row r="800" spans="2:15">
      <c r="B800" s="970" t="str">
        <f>IF(Uebersetzung!$A$1=1,'SIA2001'!E506,'SIA2001'!F506)</f>
        <v>steinothan MV 025</v>
      </c>
      <c r="D800" s="69"/>
      <c r="E800" s="69"/>
      <c r="F800" s="69"/>
      <c r="G800" s="971">
        <v>31</v>
      </c>
      <c r="H800" s="971">
        <f>'SIA2001'!K506</f>
        <v>2.5000000000000001E-2</v>
      </c>
      <c r="I800" s="972">
        <f>'SIA2001'!O506</f>
        <v>60</v>
      </c>
      <c r="O800" s="28"/>
    </row>
    <row r="801" spans="2:15">
      <c r="B801" s="970" t="str">
        <f>IF(Uebersetzung!$A$1=1,'SIA2001'!E507,'SIA2001'!F507)</f>
        <v>steinothan MV 026</v>
      </c>
      <c r="D801" s="69"/>
      <c r="E801" s="69"/>
      <c r="F801" s="69"/>
      <c r="G801" s="971">
        <v>31</v>
      </c>
      <c r="H801" s="971">
        <f>'SIA2001'!K507</f>
        <v>2.5999999999999999E-2</v>
      </c>
      <c r="I801" s="972">
        <f>'SIA2001'!O507</f>
        <v>60</v>
      </c>
      <c r="O801" s="28"/>
    </row>
    <row r="802" spans="2:15">
      <c r="B802" s="970" t="str">
        <f>IF(Uebersetzung!$A$1=1,'SIA2001'!E508,'SIA2001'!F508)</f>
        <v>steinothan Alu 023</v>
      </c>
      <c r="D802" s="69"/>
      <c r="E802" s="69"/>
      <c r="F802" s="69"/>
      <c r="G802" s="971">
        <v>35</v>
      </c>
      <c r="H802" s="971">
        <f>'SIA2001'!K508</f>
        <v>2.3E-2</v>
      </c>
      <c r="I802" s="972">
        <f>'SIA2001'!O508</f>
        <v>60</v>
      </c>
      <c r="O802" s="28"/>
    </row>
    <row r="803" spans="2:15">
      <c r="B803" s="970" t="str">
        <f>IF(Uebersetzung!$A$1=1,'SIA2001'!E509,'SIA2001'!F509)</f>
        <v>steinothan MV 028</v>
      </c>
      <c r="D803" s="69"/>
      <c r="E803" s="69"/>
      <c r="F803" s="69"/>
      <c r="G803" s="971">
        <v>35</v>
      </c>
      <c r="H803" s="971">
        <f>'SIA2001'!K509</f>
        <v>2.8000000000000001E-2</v>
      </c>
      <c r="I803" s="972">
        <f>'SIA2001'!O509</f>
        <v>60</v>
      </c>
      <c r="O803" s="28"/>
    </row>
    <row r="804" spans="2:15">
      <c r="B804" s="970" t="str">
        <f>IF(Uebersetzung!$A$1=1,'SIA2001'!E510,'SIA2001'!F510)</f>
        <v>swissporPUR Alu</v>
      </c>
      <c r="D804" s="69"/>
      <c r="E804" s="69"/>
      <c r="F804" s="69"/>
      <c r="G804" s="971">
        <f>'SIA2001'!J510</f>
        <v>30</v>
      </c>
      <c r="H804" s="971">
        <f>'SIA2001'!K510</f>
        <v>2.1999999999999999E-2</v>
      </c>
      <c r="I804" s="972">
        <f>'SIA2001'!O510</f>
        <v>60</v>
      </c>
      <c r="O804" s="28"/>
    </row>
    <row r="805" spans="2:15">
      <c r="B805" s="970" t="str">
        <f>IF(Uebersetzung!$A$1=1,'SIA2001'!E511,'SIA2001'!F511)</f>
        <v>swissporPUR (PIR) Floor</v>
      </c>
      <c r="D805" s="69"/>
      <c r="E805" s="69"/>
      <c r="F805" s="69"/>
      <c r="G805" s="971">
        <f>'SIA2001'!J511</f>
        <v>30</v>
      </c>
      <c r="H805" s="971">
        <f>'SIA2001'!K511</f>
        <v>2.1999999999999999E-2</v>
      </c>
      <c r="I805" s="972">
        <f>'SIA2001'!O511</f>
        <v>60</v>
      </c>
      <c r="O805" s="28"/>
    </row>
    <row r="806" spans="2:15">
      <c r="B806" s="970" t="str">
        <f>IF(Uebersetzung!$A$1=1,'SIA2001'!E512,'SIA2001'!F512)</f>
        <v>swissporTETTO Alu  8-14cm</v>
      </c>
      <c r="D806" s="69"/>
      <c r="E806" s="69"/>
      <c r="F806" s="69"/>
      <c r="G806" s="971">
        <f>'SIA2001'!J512</f>
        <v>30</v>
      </c>
      <c r="H806" s="971">
        <f>'SIA2001'!K512</f>
        <v>2.3E-2</v>
      </c>
      <c r="I806" s="972">
        <f>'SIA2001'!O512</f>
        <v>60</v>
      </c>
      <c r="O806" s="28"/>
    </row>
    <row r="807" spans="2:15">
      <c r="B807" s="970" t="str">
        <f>IF(Uebersetzung!$A$1=1,'SIA2001'!E513,'SIA2001'!F513)</f>
        <v>swissporTETTO Alu  16-20cm</v>
      </c>
      <c r="D807" s="69"/>
      <c r="E807" s="69"/>
      <c r="F807" s="69"/>
      <c r="G807" s="971">
        <f>'SIA2001'!J513</f>
        <v>30</v>
      </c>
      <c r="H807" s="971">
        <f>'SIA2001'!K513</f>
        <v>2.1999999999999999E-2</v>
      </c>
      <c r="I807" s="972">
        <f>'SIA2001'!O513</f>
        <v>60</v>
      </c>
      <c r="O807" s="28"/>
    </row>
    <row r="808" spans="2:15">
      <c r="B808" s="970" t="str">
        <f>IF(Uebersetzung!$A$1=1,'SIA2001'!E514,'SIA2001'!F514)</f>
        <v>swissporTETTO Vlies  8-10cm</v>
      </c>
      <c r="D808" s="69"/>
      <c r="E808" s="69"/>
      <c r="F808" s="69"/>
      <c r="G808" s="971">
        <f>'SIA2001'!J514</f>
        <v>30</v>
      </c>
      <c r="H808" s="971">
        <f>'SIA2001'!K514</f>
        <v>2.7E-2</v>
      </c>
      <c r="I808" s="972">
        <f>'SIA2001'!O514</f>
        <v>60</v>
      </c>
      <c r="O808" s="28"/>
    </row>
    <row r="809" spans="2:15">
      <c r="B809" s="970" t="str">
        <f>IF(Uebersetzung!$A$1=1,'SIA2001'!E515,'SIA2001'!F515)</f>
        <v>swissporTETTO Vlies  12-14cm</v>
      </c>
      <c r="D809" s="69"/>
      <c r="E809" s="69"/>
      <c r="F809" s="69"/>
      <c r="G809" s="971">
        <f>'SIA2001'!J515</f>
        <v>30</v>
      </c>
      <c r="H809" s="971">
        <f>'SIA2001'!K515</f>
        <v>2.5999999999999999E-2</v>
      </c>
      <c r="I809" s="972">
        <f>'SIA2001'!O515</f>
        <v>60</v>
      </c>
      <c r="O809" s="28"/>
    </row>
    <row r="810" spans="2:15">
      <c r="B810" s="970" t="str">
        <f>IF(Uebersetzung!$A$1=1,'SIA2001'!E516,'SIA2001'!F516)</f>
        <v>swissporTETTO Vlies  16-20cm</v>
      </c>
      <c r="D810" s="69"/>
      <c r="E810" s="69"/>
      <c r="F810" s="69"/>
      <c r="G810" s="971">
        <f>'SIA2001'!J516</f>
        <v>30</v>
      </c>
      <c r="H810" s="971">
        <f>'SIA2001'!K516</f>
        <v>2.5000000000000001E-2</v>
      </c>
      <c r="I810" s="972">
        <f>'SIA2001'!O516</f>
        <v>60</v>
      </c>
      <c r="O810" s="28"/>
    </row>
    <row r="811" spans="2:15">
      <c r="B811" s="970" t="str">
        <f>IF(Uebersetzung!$A$1=1,'SIA2001'!E517,'SIA2001'!F517)</f>
        <v>swissporPIR Top023  6cm</v>
      </c>
      <c r="D811" s="69"/>
      <c r="E811" s="69"/>
      <c r="F811" s="69"/>
      <c r="G811" s="971">
        <f>'SIA2001'!J517</f>
        <v>35</v>
      </c>
      <c r="H811" s="971">
        <f>'SIA2001'!K517</f>
        <v>2.5000000000000001E-2</v>
      </c>
      <c r="I811" s="972">
        <f>'SIA2001'!O517</f>
        <v>60</v>
      </c>
      <c r="O811" s="28"/>
    </row>
    <row r="812" spans="2:15">
      <c r="B812" s="970" t="str">
        <f>IF(Uebersetzung!$A$1=1,'SIA2001'!E518,'SIA2001'!F518)</f>
        <v>swissporPIR Top023  8-10cm</v>
      </c>
      <c r="D812" s="69"/>
      <c r="E812" s="69"/>
      <c r="F812" s="69"/>
      <c r="G812" s="971">
        <f>'SIA2001'!J518</f>
        <v>35</v>
      </c>
      <c r="H812" s="971">
        <f>'SIA2001'!K518</f>
        <v>2.4E-2</v>
      </c>
      <c r="I812" s="972">
        <f>'SIA2001'!O518</f>
        <v>60</v>
      </c>
      <c r="O812" s="28"/>
    </row>
    <row r="813" spans="2:15">
      <c r="B813" s="970" t="str">
        <f>IF(Uebersetzung!$A$1=1,'SIA2001'!E519,'SIA2001'!F519)</f>
        <v>swissporPIR Top023  12-24cm</v>
      </c>
      <c r="D813" s="69"/>
      <c r="E813" s="69"/>
      <c r="F813" s="69"/>
      <c r="G813" s="971">
        <f>'SIA2001'!J519</f>
        <v>35</v>
      </c>
      <c r="H813" s="971">
        <f>'SIA2001'!K519</f>
        <v>2.3E-2</v>
      </c>
      <c r="I813" s="972">
        <f>'SIA2001'!O519</f>
        <v>60</v>
      </c>
      <c r="O813" s="28"/>
    </row>
    <row r="814" spans="2:15">
      <c r="B814" s="970" t="str">
        <f>IF(Uebersetzung!$A$1=1,'SIA2001'!E520,'SIA2001'!F520)</f>
        <v>swisspor CH-PIR Élément coupe-feu UB 3.2</v>
      </c>
      <c r="D814" s="69"/>
      <c r="E814" s="69"/>
      <c r="F814" s="69"/>
      <c r="G814" s="971">
        <f>'SIA2001'!J520</f>
        <v>30</v>
      </c>
      <c r="H814" s="971">
        <f>'SIA2001'!K520</f>
        <v>2.8000000000000001E-2</v>
      </c>
      <c r="I814" s="972">
        <f>'SIA2001'!O520</f>
        <v>60</v>
      </c>
      <c r="O814" s="28"/>
    </row>
    <row r="815" spans="2:15">
      <c r="B815" s="970" t="str">
        <f>IF(Uebersetzung!$A$1=1,'SIA2001'!E521,'SIA2001'!F521)</f>
        <v>swissporPUR voile  2-7cm</v>
      </c>
      <c r="D815" s="69"/>
      <c r="E815" s="69"/>
      <c r="F815" s="69"/>
      <c r="G815" s="971">
        <f>'SIA2001'!J521</f>
        <v>30</v>
      </c>
      <c r="H815" s="971">
        <f>'SIA2001'!K521</f>
        <v>2.7E-2</v>
      </c>
      <c r="I815" s="972">
        <f>'SIA2001'!O521</f>
        <v>60</v>
      </c>
      <c r="O815" s="28"/>
    </row>
    <row r="816" spans="2:15">
      <c r="B816" s="970" t="str">
        <f>IF(Uebersetzung!$A$1=1,'SIA2001'!E522,'SIA2001'!F522)</f>
        <v>swissporPUR voile  8-11cm</v>
      </c>
      <c r="D816" s="69"/>
      <c r="E816" s="69"/>
      <c r="F816" s="69"/>
      <c r="G816" s="971">
        <f>'SIA2001'!J522</f>
        <v>30</v>
      </c>
      <c r="H816" s="971">
        <f>'SIA2001'!K522</f>
        <v>2.5999999999999999E-2</v>
      </c>
      <c r="I816" s="972">
        <f>'SIA2001'!O522</f>
        <v>60</v>
      </c>
      <c r="O816" s="28"/>
    </row>
    <row r="817" spans="2:15">
      <c r="B817" s="970" t="str">
        <f>IF(Uebersetzung!$A$1=1,'SIA2001'!E523,'SIA2001'!F523)</f>
        <v>swissporPUR voile  12-24cm</v>
      </c>
      <c r="D817" s="69"/>
      <c r="E817" s="69"/>
      <c r="F817" s="69"/>
      <c r="G817" s="971">
        <f>'SIA2001'!J523</f>
        <v>30</v>
      </c>
      <c r="H817" s="971">
        <f>'SIA2001'!K523</f>
        <v>2.5000000000000001E-2</v>
      </c>
      <c r="I817" s="972">
        <f>'SIA2001'!O523</f>
        <v>60</v>
      </c>
      <c r="O817" s="28"/>
    </row>
    <row r="818" spans="2:15">
      <c r="B818" s="970" t="str">
        <f>IF(Uebersetzung!$A$1=1,'SIA2001'!E525,'SIA2001'!F525)</f>
        <v>swissporPUR Premium</v>
      </c>
      <c r="D818" s="69"/>
      <c r="E818" s="69"/>
      <c r="F818" s="69"/>
      <c r="G818" s="971">
        <f>'SIA2001'!J525</f>
        <v>30</v>
      </c>
      <c r="H818" s="971">
        <f>'SIA2001'!K525</f>
        <v>0.02</v>
      </c>
      <c r="I818" s="972">
        <f>'SIA2001'!O525</f>
        <v>60</v>
      </c>
      <c r="O818" s="28"/>
    </row>
    <row r="819" spans="2:15">
      <c r="B819" s="970" t="str">
        <f>IF(Uebersetzung!$A$1=1,'SIA2001'!E526,'SIA2001'!F526)</f>
        <v>swissporBATISOL panneau isolant sur chevrons</v>
      </c>
      <c r="D819" s="69"/>
      <c r="E819" s="69"/>
      <c r="F819" s="69"/>
      <c r="G819" s="971">
        <f>'SIA2001'!J526</f>
        <v>30</v>
      </c>
      <c r="H819" s="971">
        <f>'SIA2001'!K526</f>
        <v>2.7E-2</v>
      </c>
      <c r="I819" s="972">
        <f>'SIA2001'!O526</f>
        <v>60</v>
      </c>
      <c r="O819" s="28"/>
    </row>
    <row r="820" spans="2:15">
      <c r="B820" s="970" t="str">
        <f>IF(Uebersetzung!$A$1=1,'SIA2001'!E527,'SIA2001'!F527)</f>
        <v>UTHERM FLOOR PIR K</v>
      </c>
      <c r="D820" s="69"/>
      <c r="E820" s="69"/>
      <c r="F820" s="69"/>
      <c r="G820" s="971">
        <f>'SIA2001'!J527</f>
        <v>32</v>
      </c>
      <c r="H820" s="971">
        <f>'SIA2001'!K527</f>
        <v>2.1999999999999999E-2</v>
      </c>
      <c r="I820" s="972">
        <f>'SIA2001'!O527</f>
        <v>60</v>
      </c>
      <c r="O820" s="28"/>
    </row>
    <row r="821" spans="2:15">
      <c r="B821" s="970" t="str">
        <f>IF(Uebersetzung!$A$1=1,'SIA2001'!E528,'SIA2001'!F528)</f>
        <v>UTHERM ROOF PIR K</v>
      </c>
      <c r="D821" s="69"/>
      <c r="E821" s="69"/>
      <c r="F821" s="69"/>
      <c r="G821" s="971">
        <f>'SIA2001'!J528</f>
        <v>32</v>
      </c>
      <c r="H821" s="971">
        <f>'SIA2001'!K528</f>
        <v>2.1999999999999999E-2</v>
      </c>
      <c r="I821" s="972">
        <f>'SIA2001'!O528</f>
        <v>60</v>
      </c>
      <c r="O821" s="28"/>
    </row>
    <row r="822" spans="2:15">
      <c r="B822" s="970" t="str">
        <f>IF(Uebersetzung!$A$1=1,'SIA2001'!E529,'SIA2001'!F529)</f>
        <v>UTHERM ROOF PIR L</v>
      </c>
      <c r="D822" s="69"/>
      <c r="E822" s="69"/>
      <c r="F822" s="69"/>
      <c r="G822" s="971">
        <f>'SIA2001'!J529</f>
        <v>32</v>
      </c>
      <c r="H822" s="971">
        <f>'SIA2001'!K529</f>
        <v>2.1999999999999999E-2</v>
      </c>
      <c r="I822" s="972">
        <f>'SIA2001'!O529</f>
        <v>60</v>
      </c>
      <c r="O822" s="28"/>
    </row>
    <row r="823" spans="2:15">
      <c r="B823" s="970"/>
      <c r="D823" s="69"/>
      <c r="E823" s="69"/>
      <c r="F823" s="69"/>
      <c r="G823" s="971"/>
      <c r="H823" s="971"/>
      <c r="I823" s="972"/>
      <c r="O823" s="28"/>
    </row>
    <row r="824" spans="2:15">
      <c r="B824" s="71" t="str">
        <f>Uebersetzung!D637</f>
        <v>**** Mousse phénolique ****</v>
      </c>
      <c r="D824" s="69"/>
      <c r="E824" s="69"/>
      <c r="F824" s="69"/>
      <c r="G824" s="971"/>
      <c r="H824" s="971"/>
      <c r="I824" s="973"/>
      <c r="O824" s="28"/>
    </row>
    <row r="825" spans="2:15">
      <c r="B825" s="970" t="str">
        <f>IF(Uebersetzung!$A$1=1,'SIA2001'!E531,'SIA2001'!F531)</f>
        <v>Austrotherm Resolution</v>
      </c>
      <c r="D825" s="69"/>
      <c r="E825" s="69"/>
      <c r="F825" s="69"/>
      <c r="G825" s="971">
        <f>'SIA2001'!J531</f>
        <v>35</v>
      </c>
      <c r="H825" s="971" t="str">
        <f>'SIA2001'!K531</f>
        <v>0.023</v>
      </c>
      <c r="I825" s="972">
        <f>'SIA2001'!O531</f>
        <v>50</v>
      </c>
      <c r="O825" s="28"/>
    </row>
    <row r="826" spans="2:15">
      <c r="B826" s="970" t="str">
        <f>IF(Uebersetzung!$A$1=1,'SIA2001'!E532,'SIA2001'!F532)</f>
        <v>Kooltherm 20-44mm</v>
      </c>
      <c r="D826" s="69"/>
      <c r="E826" s="69"/>
      <c r="F826" s="69"/>
      <c r="G826" s="971">
        <v>35</v>
      </c>
      <c r="H826" s="971">
        <f>'SIA2001'!K532</f>
        <v>2.1000000000000001E-2</v>
      </c>
      <c r="I826" s="972">
        <f>'SIA2001'!O532</f>
        <v>50</v>
      </c>
      <c r="O826" s="28"/>
    </row>
    <row r="827" spans="2:15">
      <c r="B827" s="970"/>
      <c r="D827" s="69"/>
      <c r="E827" s="69"/>
      <c r="F827" s="69"/>
      <c r="G827" s="971"/>
      <c r="H827" s="971"/>
      <c r="I827" s="972"/>
      <c r="O827" s="28"/>
    </row>
    <row r="828" spans="2:15">
      <c r="B828" s="970"/>
      <c r="D828" s="69"/>
      <c r="E828" s="69"/>
      <c r="F828" s="69"/>
      <c r="G828" s="971"/>
      <c r="H828" s="971"/>
      <c r="I828" s="972"/>
      <c r="O828" s="28"/>
    </row>
    <row r="829" spans="2:15">
      <c r="B829" s="970"/>
      <c r="D829" s="69"/>
      <c r="E829" s="69"/>
      <c r="F829" s="69"/>
      <c r="G829" s="971"/>
      <c r="H829" s="971"/>
      <c r="I829" s="972"/>
      <c r="O829" s="28"/>
    </row>
    <row r="830" spans="2:15">
      <c r="B830" s="970"/>
      <c r="D830" s="69"/>
      <c r="E830" s="69"/>
      <c r="F830" s="69"/>
      <c r="G830" s="971"/>
      <c r="H830" s="971"/>
      <c r="I830" s="972"/>
      <c r="O830" s="28"/>
    </row>
    <row r="831" spans="2:15">
      <c r="B831" s="970"/>
      <c r="D831" s="69"/>
      <c r="E831" s="69"/>
      <c r="F831" s="69"/>
      <c r="G831" s="971"/>
      <c r="H831" s="971"/>
      <c r="I831" s="972"/>
      <c r="O831" s="28"/>
    </row>
    <row r="832" spans="2:15">
      <c r="B832" s="970"/>
      <c r="D832" s="69"/>
      <c r="E832" s="69"/>
      <c r="F832" s="69"/>
      <c r="G832" s="971"/>
      <c r="H832" s="971"/>
      <c r="I832" s="972"/>
      <c r="O832" s="28"/>
    </row>
    <row r="833" spans="2:15">
      <c r="B833" s="970"/>
      <c r="D833" s="69"/>
      <c r="E833" s="69"/>
      <c r="F833" s="69"/>
      <c r="G833" s="971"/>
      <c r="H833" s="971"/>
      <c r="I833" s="972"/>
      <c r="O833" s="28"/>
    </row>
    <row r="834" spans="2:15">
      <c r="B834" s="71" t="str">
        <f>Uebersetzung!D638</f>
        <v>**** Panneaux en laine de bois ****</v>
      </c>
      <c r="D834" s="69"/>
      <c r="E834" s="69"/>
      <c r="F834" s="69"/>
      <c r="G834" s="971"/>
      <c r="H834" s="971"/>
      <c r="I834" s="973"/>
      <c r="O834" s="28"/>
    </row>
    <row r="835" spans="2:15">
      <c r="B835" s="970" t="str">
        <f>IF(Uebersetzung!$A$1=1,'SIA2001'!E541,'SIA2001'!F541)</f>
        <v>Fibro-Kustik</v>
      </c>
      <c r="D835" s="69"/>
      <c r="E835" s="69"/>
      <c r="F835" s="69"/>
      <c r="G835" s="971">
        <v>500</v>
      </c>
      <c r="H835" s="971">
        <f>'SIA2001'!K541</f>
        <v>0.09</v>
      </c>
      <c r="I835" s="972">
        <f>'SIA2001'!O541</f>
        <v>5</v>
      </c>
      <c r="O835" s="28"/>
    </row>
    <row r="836" spans="2:15">
      <c r="B836" s="970" t="str">
        <f>IF(Uebersetzung!$A$1=1,'SIA2001'!E542,'SIA2001'!F542)</f>
        <v>Heraklith C</v>
      </c>
      <c r="D836" s="69"/>
      <c r="E836" s="69"/>
      <c r="F836" s="69"/>
      <c r="G836" s="971">
        <v>365</v>
      </c>
      <c r="H836" s="971">
        <f>'SIA2001'!K542</f>
        <v>8.1000000000000003E-2</v>
      </c>
      <c r="I836" s="972">
        <f>'SIA2001'!O542</f>
        <v>5</v>
      </c>
      <c r="O836" s="28"/>
    </row>
    <row r="837" spans="2:15">
      <c r="B837" s="970" t="str">
        <f>IF(Uebersetzung!$A$1=1,'SIA2001'!E543,'SIA2001'!F543)</f>
        <v>Heraklith BM</v>
      </c>
      <c r="D837" s="69"/>
      <c r="E837" s="69"/>
      <c r="F837" s="69"/>
      <c r="G837" s="971">
        <v>365</v>
      </c>
      <c r="H837" s="971">
        <f>'SIA2001'!K543</f>
        <v>8.1000000000000003E-2</v>
      </c>
      <c r="I837" s="972">
        <f>'SIA2001'!O543</f>
        <v>5</v>
      </c>
      <c r="O837" s="28"/>
    </row>
    <row r="838" spans="2:15">
      <c r="B838" s="970" t="str">
        <f>IF(Uebersetzung!$A$1=1,'SIA2001'!E544,'SIA2001'!F544)</f>
        <v>Heraklith Agro</v>
      </c>
      <c r="D838" s="69"/>
      <c r="E838" s="69"/>
      <c r="F838" s="69"/>
      <c r="G838" s="971">
        <f>'SIA2001'!J544</f>
        <v>460</v>
      </c>
      <c r="H838" s="971">
        <f>'SIA2001'!K544</f>
        <v>8.1000000000000003E-2</v>
      </c>
      <c r="I838" s="972">
        <f>'SIA2001'!O544</f>
        <v>5</v>
      </c>
      <c r="O838" s="28"/>
    </row>
    <row r="839" spans="2:15">
      <c r="B839" s="970" t="str">
        <f>IF(Uebersetzung!$A$1=1,'SIA2001'!E545,'SIA2001'!F545)</f>
        <v>Heraklith A2-BM</v>
      </c>
      <c r="D839" s="69"/>
      <c r="E839" s="69"/>
      <c r="F839" s="69"/>
      <c r="G839" s="971">
        <v>450</v>
      </c>
      <c r="H839" s="971">
        <f>'SIA2001'!K545</f>
        <v>8.1000000000000003E-2</v>
      </c>
      <c r="I839" s="972">
        <f>'SIA2001'!O545</f>
        <v>5</v>
      </c>
      <c r="O839" s="28"/>
    </row>
    <row r="840" spans="2:15">
      <c r="B840" s="970"/>
      <c r="D840" s="69"/>
      <c r="E840" s="69"/>
      <c r="F840" s="69"/>
      <c r="G840" s="971"/>
      <c r="H840" s="971"/>
      <c r="I840" s="972"/>
      <c r="O840" s="28"/>
    </row>
    <row r="841" spans="2:15">
      <c r="B841" s="71" t="str">
        <f>Uebersetzung!D639</f>
        <v>**** Panneaux de fibres de bois ****</v>
      </c>
      <c r="D841" s="69"/>
      <c r="E841" s="69"/>
      <c r="F841" s="69"/>
      <c r="G841" s="971"/>
      <c r="H841" s="971"/>
      <c r="I841" s="973"/>
      <c r="O841" s="28"/>
    </row>
    <row r="842" spans="2:15">
      <c r="B842" s="970" t="str">
        <f>IF(Uebersetzung!$A$1=1,'SIA2001'!E548,'SIA2001'!F548)</f>
        <v>GUTEX Multiplex-top</v>
      </c>
      <c r="D842" s="69"/>
      <c r="E842" s="69"/>
      <c r="F842" s="69"/>
      <c r="G842" s="971">
        <f>'SIA2001'!J548</f>
        <v>200</v>
      </c>
      <c r="H842" s="971">
        <f>'SIA2001'!K548</f>
        <v>4.7E-2</v>
      </c>
      <c r="I842" s="972">
        <f>'SIA2001'!O548</f>
        <v>5</v>
      </c>
      <c r="O842" s="28"/>
    </row>
    <row r="843" spans="2:15">
      <c r="B843" s="970" t="str">
        <f>IF(Uebersetzung!$A$1=1,'SIA2001'!E549,'SIA2001'!F549)</f>
        <v>GUTEX Thermoflat</v>
      </c>
      <c r="D843" s="69"/>
      <c r="E843" s="69"/>
      <c r="F843" s="69"/>
      <c r="G843" s="971">
        <f>'SIA2001'!J549</f>
        <v>140</v>
      </c>
      <c r="H843" s="971">
        <f>'SIA2001'!K549</f>
        <v>4.2000000000000003E-2</v>
      </c>
      <c r="I843" s="972">
        <f>'SIA2001'!O549</f>
        <v>5</v>
      </c>
      <c r="O843" s="28"/>
    </row>
    <row r="844" spans="2:15">
      <c r="B844" s="970" t="str">
        <f>IF(Uebersetzung!$A$1=1,'SIA2001'!E550,'SIA2001'!F550)</f>
        <v>GUTEX Thermoroom</v>
      </c>
      <c r="D844" s="69"/>
      <c r="E844" s="69"/>
      <c r="F844" s="69"/>
      <c r="G844" s="971">
        <f>'SIA2001'!J550</f>
        <v>130</v>
      </c>
      <c r="H844" s="971">
        <f>'SIA2001'!K550</f>
        <v>4.1000000000000002E-2</v>
      </c>
      <c r="I844" s="972">
        <f>'SIA2001'!O550</f>
        <v>5</v>
      </c>
      <c r="O844" s="28"/>
    </row>
    <row r="845" spans="2:15">
      <c r="B845" s="970" t="str">
        <f>IF(Uebersetzung!$A$1=1,'SIA2001'!E551,'SIA2001'!F551)</f>
        <v>GUTEX Thermosafe-homogen</v>
      </c>
      <c r="D845" s="69"/>
      <c r="E845" s="69"/>
      <c r="F845" s="69"/>
      <c r="G845" s="971">
        <f>'SIA2001'!J551</f>
        <v>110</v>
      </c>
      <c r="H845" s="971">
        <f>'SIA2001'!K551</f>
        <v>0.04</v>
      </c>
      <c r="I845" s="972">
        <f>'SIA2001'!O551</f>
        <v>5</v>
      </c>
      <c r="O845" s="28"/>
    </row>
    <row r="846" spans="2:15">
      <c r="B846" s="970" t="str">
        <f>IF(Uebersetzung!$A$1=1,'SIA2001'!E552,'SIA2001'!F552)</f>
        <v>GUTEX Thermosafe-nf</v>
      </c>
      <c r="D846" s="69"/>
      <c r="E846" s="69"/>
      <c r="F846" s="69"/>
      <c r="G846" s="971">
        <f>'SIA2001'!J552</f>
        <v>140</v>
      </c>
      <c r="H846" s="971">
        <f>'SIA2001'!K552</f>
        <v>0.04</v>
      </c>
      <c r="I846" s="972">
        <f>'SIA2001'!O552</f>
        <v>5</v>
      </c>
      <c r="O846" s="28"/>
    </row>
    <row r="847" spans="2:15">
      <c r="B847" s="970" t="str">
        <f>IF(Uebersetzung!$A$1=1,'SIA2001'!E553,'SIA2001'!F553)</f>
        <v>GUTEX Thermosafe-wd</v>
      </c>
      <c r="D847" s="69"/>
      <c r="E847" s="69"/>
      <c r="F847" s="69"/>
      <c r="G847" s="971">
        <f>'SIA2001'!J553</f>
        <v>140</v>
      </c>
      <c r="H847" s="971">
        <f>'SIA2001'!K553</f>
        <v>4.1000000000000002E-2</v>
      </c>
      <c r="I847" s="972">
        <f>'SIA2001'!O553</f>
        <v>5</v>
      </c>
      <c r="O847" s="28"/>
    </row>
    <row r="848" spans="2:15">
      <c r="B848" s="970" t="str">
        <f>IF(Uebersetzung!$A$1=1,'SIA2001'!E554,'SIA2001'!F554)</f>
        <v>GUTEX Thermowall</v>
      </c>
      <c r="D848" s="69"/>
      <c r="E848" s="69"/>
      <c r="F848" s="69"/>
      <c r="G848" s="971">
        <f>'SIA2001'!J554</f>
        <v>160</v>
      </c>
      <c r="H848" s="971">
        <f>'SIA2001'!K554</f>
        <v>4.1000000000000002E-2</v>
      </c>
      <c r="I848" s="972">
        <f>'SIA2001'!O554</f>
        <v>5</v>
      </c>
      <c r="O848" s="28"/>
    </row>
    <row r="849" spans="2:15">
      <c r="B849" s="970" t="str">
        <f>IF(Uebersetzung!$A$1=1,'SIA2001'!E555,'SIA2001'!F555)</f>
        <v>GUTEX Thermowall-gf</v>
      </c>
      <c r="D849" s="69"/>
      <c r="E849" s="69"/>
      <c r="F849" s="69"/>
      <c r="G849" s="971">
        <f>'SIA2001'!J555</f>
        <v>185</v>
      </c>
      <c r="H849" s="971">
        <f>'SIA2001'!K555</f>
        <v>4.5999999999999999E-2</v>
      </c>
      <c r="I849" s="972">
        <f>'SIA2001'!O555</f>
        <v>5</v>
      </c>
      <c r="O849" s="28"/>
    </row>
    <row r="850" spans="2:15">
      <c r="B850" s="970" t="str">
        <f>IF(Uebersetzung!$A$1=1,'SIA2001'!E556,'SIA2001'!F556)</f>
        <v>GUTEX Ultratherm</v>
      </c>
      <c r="D850" s="69"/>
      <c r="E850" s="69"/>
      <c r="F850" s="69"/>
      <c r="G850" s="971">
        <f>'SIA2001'!J556</f>
        <v>180</v>
      </c>
      <c r="H850" s="971">
        <f>'SIA2001'!K556</f>
        <v>4.4999999999999998E-2</v>
      </c>
      <c r="I850" s="972">
        <f>'SIA2001'!O556</f>
        <v>5</v>
      </c>
      <c r="O850" s="28"/>
    </row>
    <row r="851" spans="2:15">
      <c r="B851" s="970" t="str">
        <f>IF(Uebersetzung!$A$1=1,'SIA2001'!E557,'SIA2001'!F557)</f>
        <v>GUTEX Thermoinstal</v>
      </c>
      <c r="D851" s="69"/>
      <c r="E851" s="69"/>
      <c r="F851" s="69"/>
      <c r="G851" s="971">
        <f>'SIA2001'!J557</f>
        <v>150</v>
      </c>
      <c r="H851" s="971">
        <f>'SIA2001'!K557</f>
        <v>4.2000000000000003E-2</v>
      </c>
      <c r="I851" s="972">
        <f>'SIA2001'!O557</f>
        <v>5</v>
      </c>
      <c r="O851" s="28"/>
    </row>
    <row r="852" spans="2:15">
      <c r="B852" s="970" t="str">
        <f>IF(Uebersetzung!$A$1=1,'SIA2001'!E558,'SIA2001'!F558)</f>
        <v>GUTEX Thermofloor</v>
      </c>
      <c r="D852" s="69"/>
      <c r="E852" s="69"/>
      <c r="F852" s="69"/>
      <c r="G852" s="971">
        <f>'SIA2001'!J558</f>
        <v>160</v>
      </c>
      <c r="H852" s="971">
        <f>'SIA2001'!K558</f>
        <v>4.2000000000000003E-2</v>
      </c>
      <c r="I852" s="972">
        <f>'SIA2001'!O558</f>
        <v>5</v>
      </c>
      <c r="O852" s="28"/>
    </row>
    <row r="853" spans="2:15">
      <c r="B853" s="970" t="str">
        <f>IF(Uebersetzung!$A$1=1,'SIA2001'!E559,'SIA2001'!F559)</f>
        <v>GUTEX Multitherm</v>
      </c>
      <c r="D853" s="69"/>
      <c r="E853" s="69"/>
      <c r="F853" s="69"/>
      <c r="G853" s="971">
        <f>'SIA2001'!J559</f>
        <v>140</v>
      </c>
      <c r="H853" s="971">
        <f>'SIA2001'!K559</f>
        <v>4.1000000000000002E-2</v>
      </c>
      <c r="I853" s="972">
        <f>'SIA2001'!O559</f>
        <v>5</v>
      </c>
      <c r="O853" s="28"/>
    </row>
    <row r="854" spans="2:15">
      <c r="B854" s="970" t="str">
        <f>IF(Uebersetzung!$A$1=1,'SIA2001'!E560,'SIA2001'!F560)</f>
        <v>GUTEX Dämmplatte DW</v>
      </c>
      <c r="D854" s="69"/>
      <c r="E854" s="69"/>
      <c r="F854" s="69"/>
      <c r="G854" s="971">
        <f>'SIA2001'!J560</f>
        <v>150</v>
      </c>
      <c r="H854" s="971">
        <f>'SIA2001'!K560</f>
        <v>4.2000000000000003E-2</v>
      </c>
      <c r="I854" s="972">
        <f>'SIA2001'!O560</f>
        <v>5</v>
      </c>
      <c r="O854" s="28"/>
    </row>
    <row r="855" spans="2:15">
      <c r="B855" s="970" t="str">
        <f>IF(Uebersetzung!$A$1=1,'SIA2001'!E561,'SIA2001'!F561)</f>
        <v>Flex 50</v>
      </c>
      <c r="D855" s="69"/>
      <c r="E855" s="69"/>
      <c r="F855" s="69"/>
      <c r="G855" s="971">
        <f>'SIA2001'!J561</f>
        <v>50</v>
      </c>
      <c r="H855" s="971">
        <f>'SIA2001'!K561</f>
        <v>3.7999999999999999E-2</v>
      </c>
      <c r="I855" s="972">
        <f>'SIA2001'!O561</f>
        <v>5</v>
      </c>
      <c r="O855" s="28"/>
    </row>
    <row r="856" spans="2:15">
      <c r="B856" s="970" t="str">
        <f>IF(Uebersetzung!$A$1=1,'SIA2001'!E562,'SIA2001'!F562)</f>
        <v>Floor 140</v>
      </c>
      <c r="D856" s="69"/>
      <c r="E856" s="69"/>
      <c r="F856" s="69"/>
      <c r="G856" s="971">
        <f>'SIA2001'!J562</f>
        <v>140</v>
      </c>
      <c r="H856" s="971">
        <f>'SIA2001'!K562</f>
        <v>4.2000000000000003E-2</v>
      </c>
      <c r="I856" s="972">
        <f>'SIA2001'!O562</f>
        <v>5</v>
      </c>
      <c r="O856" s="28"/>
    </row>
    <row r="857" spans="2:15">
      <c r="B857" s="970" t="str">
        <f>IF(Uebersetzung!$A$1=1,'SIA2001'!E563,'SIA2001'!F563)</f>
        <v>Multitherm 110</v>
      </c>
      <c r="D857" s="69"/>
      <c r="E857" s="69"/>
      <c r="F857" s="69"/>
      <c r="G857" s="971">
        <f>'SIA2001'!J563</f>
        <v>110</v>
      </c>
      <c r="H857" s="971">
        <f>'SIA2001'!K563</f>
        <v>0.04</v>
      </c>
      <c r="I857" s="972">
        <f>'SIA2001'!O563</f>
        <v>5</v>
      </c>
      <c r="O857" s="28"/>
    </row>
    <row r="858" spans="2:15">
      <c r="B858" s="970" t="str">
        <f>IF(Uebersetzung!$A$1=1,'SIA2001'!E564,'SIA2001'!F564)</f>
        <v>Multitherm 140</v>
      </c>
      <c r="D858" s="69"/>
      <c r="E858" s="69"/>
      <c r="F858" s="69"/>
      <c r="G858" s="971">
        <f>'SIA2001'!J564</f>
        <v>140</v>
      </c>
      <c r="H858" s="971">
        <f>'SIA2001'!K564</f>
        <v>4.2000000000000003E-2</v>
      </c>
      <c r="I858" s="972">
        <f>'SIA2001'!O564</f>
        <v>5</v>
      </c>
      <c r="O858" s="28"/>
    </row>
    <row r="859" spans="2:15">
      <c r="B859" s="970" t="str">
        <f>IF(Uebersetzung!$A$1=1,'SIA2001'!E565,'SIA2001'!F565)</f>
        <v>Room 140</v>
      </c>
      <c r="D859" s="69"/>
      <c r="E859" s="69"/>
      <c r="F859" s="69"/>
      <c r="G859" s="971">
        <f>'SIA2001'!J565</f>
        <v>140</v>
      </c>
      <c r="H859" s="971">
        <f>'SIA2001'!K565</f>
        <v>4.2000000000000003E-2</v>
      </c>
      <c r="I859" s="972">
        <f>'SIA2001'!O565</f>
        <v>5</v>
      </c>
      <c r="O859" s="28"/>
    </row>
    <row r="860" spans="2:15">
      <c r="B860" s="970" t="str">
        <f>IF(Uebersetzung!$A$1=1,'SIA2001'!E566,'SIA2001'!F566)</f>
        <v>Top 140</v>
      </c>
      <c r="D860" s="69"/>
      <c r="E860" s="69"/>
      <c r="F860" s="69"/>
      <c r="G860" s="971">
        <f>'SIA2001'!J566</f>
        <v>140</v>
      </c>
      <c r="H860" s="971">
        <f>'SIA2001'!K566</f>
        <v>4.2000000000000003E-2</v>
      </c>
      <c r="I860" s="972">
        <f>'SIA2001'!O566</f>
        <v>5</v>
      </c>
      <c r="O860" s="28"/>
    </row>
    <row r="861" spans="2:15">
      <c r="B861" s="970" t="str">
        <f>IF(Uebersetzung!$A$1=1,'SIA2001'!E567,'SIA2001'!F567)</f>
        <v>Top 160</v>
      </c>
      <c r="D861" s="69"/>
      <c r="E861" s="69"/>
      <c r="F861" s="69"/>
      <c r="G861" s="971">
        <f>'SIA2001'!J567</f>
        <v>160</v>
      </c>
      <c r="H861" s="971">
        <f>'SIA2001'!K567</f>
        <v>4.2000000000000003E-2</v>
      </c>
      <c r="I861" s="972">
        <f>'SIA2001'!O567</f>
        <v>5</v>
      </c>
      <c r="O861" s="28"/>
    </row>
    <row r="862" spans="2:15">
      <c r="B862" s="970" t="str">
        <f>IF(Uebersetzung!$A$1=1,'SIA2001'!E568,'SIA2001'!F568)</f>
        <v>Top 180</v>
      </c>
      <c r="D862" s="69"/>
      <c r="E862" s="69"/>
      <c r="F862" s="69"/>
      <c r="G862" s="971">
        <f>'SIA2001'!J568</f>
        <v>180</v>
      </c>
      <c r="H862" s="971">
        <f>'SIA2001'!K568</f>
        <v>4.3999999999999997E-2</v>
      </c>
      <c r="I862" s="972">
        <f>'SIA2001'!O568</f>
        <v>5</v>
      </c>
      <c r="O862" s="28"/>
    </row>
    <row r="863" spans="2:15">
      <c r="B863" s="970" t="str">
        <f>IF(Uebersetzung!$A$1=1,'SIA2001'!E569,'SIA2001'!F569)</f>
        <v>Top 220</v>
      </c>
      <c r="D863" s="69"/>
      <c r="E863" s="69"/>
      <c r="F863" s="69"/>
      <c r="G863" s="971">
        <f>'SIA2001'!J569</f>
        <v>220</v>
      </c>
      <c r="H863" s="971">
        <f>'SIA2001'!K569</f>
        <v>4.7E-2</v>
      </c>
      <c r="I863" s="972">
        <f>'SIA2001'!O569</f>
        <v>5</v>
      </c>
      <c r="O863" s="28"/>
    </row>
    <row r="864" spans="2:15">
      <c r="B864" s="970" t="str">
        <f>IF(Uebersetzung!$A$1=1,'SIA2001'!E570,'SIA2001'!F570)</f>
        <v>Wall 140</v>
      </c>
      <c r="D864" s="69"/>
      <c r="E864" s="69"/>
      <c r="F864" s="69"/>
      <c r="G864" s="971">
        <f>'SIA2001'!J570</f>
        <v>140</v>
      </c>
      <c r="H864" s="971">
        <f>'SIA2001'!K570</f>
        <v>4.2000000000000003E-2</v>
      </c>
      <c r="I864" s="972">
        <f>'SIA2001'!O570</f>
        <v>5</v>
      </c>
      <c r="O864" s="28"/>
    </row>
    <row r="865" spans="2:15">
      <c r="B865" s="970" t="str">
        <f>IF(Uebersetzung!$A$1=1,'SIA2001'!E571,'SIA2001'!F571)</f>
        <v>Wall 180</v>
      </c>
      <c r="D865" s="69"/>
      <c r="E865" s="69"/>
      <c r="F865" s="69"/>
      <c r="G865" s="971">
        <f>'SIA2001'!J571</f>
        <v>180</v>
      </c>
      <c r="H865" s="971">
        <f>'SIA2001'!K571</f>
        <v>4.3999999999999997E-2</v>
      </c>
      <c r="I865" s="972">
        <f>'SIA2001'!O571</f>
        <v>5</v>
      </c>
      <c r="O865" s="28"/>
    </row>
    <row r="866" spans="2:15">
      <c r="B866" s="970" t="str">
        <f>IF(Uebersetzung!$A$1=1,'SIA2001'!E572,'SIA2001'!F572)</f>
        <v>holzFlex</v>
      </c>
      <c r="D866" s="69"/>
      <c r="E866" s="69"/>
      <c r="F866" s="69"/>
      <c r="G866" s="971">
        <f>'SIA2001'!J572</f>
        <v>50</v>
      </c>
      <c r="H866" s="971">
        <f>'SIA2001'!K572</f>
        <v>3.7999999999999999E-2</v>
      </c>
      <c r="I866" s="972">
        <f>'SIA2001'!O572</f>
        <v>5</v>
      </c>
      <c r="O866" s="28"/>
    </row>
    <row r="867" spans="2:15">
      <c r="B867" s="970" t="str">
        <f>IF(Uebersetzung!$A$1=1,'SIA2001'!E573,'SIA2001'!F573)</f>
        <v>HDP Q11 standard</v>
      </c>
      <c r="D867" s="69"/>
      <c r="E867" s="69"/>
      <c r="F867" s="69"/>
      <c r="G867" s="971">
        <v>110</v>
      </c>
      <c r="H867" s="971">
        <f>'SIA2001'!K573</f>
        <v>3.7999999999999999E-2</v>
      </c>
      <c r="I867" s="972">
        <f>'SIA2001'!O573</f>
        <v>5</v>
      </c>
      <c r="O867" s="28"/>
    </row>
    <row r="868" spans="2:15">
      <c r="B868" s="970" t="str">
        <f>IF(Uebersetzung!$A$1=1,'SIA2001'!E574,'SIA2001'!F574)</f>
        <v>HDP Q11 protect</v>
      </c>
      <c r="D868" s="69"/>
      <c r="E868" s="69"/>
      <c r="F868" s="69"/>
      <c r="G868" s="971">
        <v>140</v>
      </c>
      <c r="H868" s="971">
        <f>'SIA2001'!K574</f>
        <v>0.04</v>
      </c>
      <c r="I868" s="972">
        <f>'SIA2001'!O574</f>
        <v>5</v>
      </c>
      <c r="O868" s="28"/>
    </row>
    <row r="869" spans="2:15">
      <c r="B869" s="970" t="str">
        <f>IF(Uebersetzung!$A$1=1,'SIA2001'!E575,'SIA2001'!F575)</f>
        <v>ID Q11 standard</v>
      </c>
      <c r="D869" s="69"/>
      <c r="E869" s="69"/>
      <c r="F869" s="69"/>
      <c r="G869" s="971">
        <v>140</v>
      </c>
      <c r="H869" s="971">
        <f>'SIA2001'!K575</f>
        <v>0.04</v>
      </c>
      <c r="I869" s="972">
        <f>'SIA2001'!O575</f>
        <v>5</v>
      </c>
      <c r="O869" s="28"/>
    </row>
    <row r="870" spans="2:15">
      <c r="B870" s="970" t="str">
        <f>IF(Uebersetzung!$A$1=1,'SIA2001'!E576,'SIA2001'!F576)</f>
        <v>UD Q11 protect</v>
      </c>
      <c r="D870" s="69"/>
      <c r="E870" s="69"/>
      <c r="F870" s="69"/>
      <c r="G870" s="971">
        <v>205</v>
      </c>
      <c r="H870" s="971">
        <f>'SIA2001'!K576</f>
        <v>4.3999999999999997E-2</v>
      </c>
      <c r="I870" s="972">
        <f>'SIA2001'!O576</f>
        <v>5</v>
      </c>
      <c r="O870" s="28"/>
    </row>
    <row r="871" spans="2:15">
      <c r="B871" s="970" t="str">
        <f>IF(Uebersetzung!$A$1=1,'SIA2001'!E577,'SIA2001'!F577)</f>
        <v>Energie Plus massive</v>
      </c>
      <c r="D871" s="69"/>
      <c r="E871" s="69"/>
      <c r="F871" s="69"/>
      <c r="G871" s="971">
        <v>140</v>
      </c>
      <c r="H871" s="971">
        <f>'SIA2001'!K577</f>
        <v>0.04</v>
      </c>
      <c r="I871" s="972">
        <f>'SIA2001'!O577</f>
        <v>5</v>
      </c>
      <c r="O871" s="28"/>
    </row>
    <row r="872" spans="2:15">
      <c r="B872" s="970" t="str">
        <f>IF(Uebersetzung!$A$1=1,'SIA2001'!E578,'SIA2001'!F578)</f>
        <v>Energie Plus comfort</v>
      </c>
      <c r="D872" s="69"/>
      <c r="E872" s="69"/>
      <c r="F872" s="69"/>
      <c r="G872" s="971">
        <v>190</v>
      </c>
      <c r="H872" s="971">
        <f>'SIA2001'!K578</f>
        <v>4.3999999999999997E-2</v>
      </c>
      <c r="I872" s="972">
        <f>'SIA2001'!O578</f>
        <v>5</v>
      </c>
      <c r="O872" s="28"/>
    </row>
    <row r="873" spans="2:15">
      <c r="B873" s="970" t="str">
        <f>IF(Uebersetzung!$A$1=1,'SIA2001'!E579,'SIA2001'!F579)</f>
        <v>PAVAPOR</v>
      </c>
      <c r="D873" s="69"/>
      <c r="E873" s="69"/>
      <c r="F873" s="69"/>
      <c r="G873" s="971">
        <f>'SIA2001'!J579</f>
        <v>135</v>
      </c>
      <c r="H873" s="971">
        <f>'SIA2001'!K579</f>
        <v>3.7999999999999999E-2</v>
      </c>
      <c r="I873" s="972">
        <f>'SIA2001'!O579</f>
        <v>5</v>
      </c>
      <c r="O873" s="28"/>
    </row>
    <row r="874" spans="2:15">
      <c r="B874" s="970" t="str">
        <f>IF(Uebersetzung!$A$1=1,'SIA2001'!E580,'SIA2001'!F580)</f>
        <v>SWISSTHERM</v>
      </c>
      <c r="D874" s="69"/>
      <c r="E874" s="69"/>
      <c r="F874" s="69"/>
      <c r="G874" s="971">
        <f>'SIA2001'!J580</f>
        <v>150</v>
      </c>
      <c r="H874" s="971">
        <f>'SIA2001'!K580</f>
        <v>3.9E-2</v>
      </c>
      <c r="I874" s="972">
        <f>'SIA2001'!O580</f>
        <v>5</v>
      </c>
      <c r="O874" s="28"/>
    </row>
    <row r="875" spans="2:15">
      <c r="B875" s="970" t="str">
        <f>IF(Uebersetzung!$A$1=1,'SIA2001'!E581,'SIA2001'!F581)</f>
        <v>PAVATHERM-PROFIL</v>
      </c>
      <c r="D875" s="69"/>
      <c r="E875" s="69"/>
      <c r="F875" s="69"/>
      <c r="G875" s="971">
        <f>'SIA2001'!J581</f>
        <v>175</v>
      </c>
      <c r="H875" s="971">
        <f>'SIA2001'!K581</f>
        <v>4.2999999999999997E-2</v>
      </c>
      <c r="I875" s="972">
        <f>'SIA2001'!O581</f>
        <v>5</v>
      </c>
      <c r="O875" s="28"/>
    </row>
    <row r="876" spans="2:15">
      <c r="B876" s="970" t="str">
        <f>IF(Uebersetzung!$A$1=1,'SIA2001'!E582,'SIA2001'!F582)</f>
        <v>PAVADENTRO</v>
      </c>
      <c r="D876" s="69"/>
      <c r="E876" s="69"/>
      <c r="F876" s="69"/>
      <c r="G876" s="971">
        <f>'SIA2001'!J582</f>
        <v>175</v>
      </c>
      <c r="H876" s="971">
        <f>'SIA2001'!K582</f>
        <v>4.2999999999999997E-2</v>
      </c>
      <c r="I876" s="972">
        <f>'SIA2001'!O582</f>
        <v>5</v>
      </c>
      <c r="O876" s="28"/>
    </row>
    <row r="877" spans="2:15">
      <c r="B877" s="970" t="str">
        <f>IF(Uebersetzung!$A$1=1,'SIA2001'!E583,'SIA2001'!F583)</f>
        <v>PAVATHERM-PLUS</v>
      </c>
      <c r="D877" s="69"/>
      <c r="E877" s="69"/>
      <c r="F877" s="69"/>
      <c r="G877" s="971">
        <f>'SIA2001'!J583</f>
        <v>190</v>
      </c>
      <c r="H877" s="971">
        <f>'SIA2001'!K583</f>
        <v>4.2999999999999997E-2</v>
      </c>
      <c r="I877" s="972">
        <f>'SIA2001'!O583</f>
        <v>5</v>
      </c>
      <c r="O877" s="28"/>
    </row>
    <row r="878" spans="2:15">
      <c r="B878" s="970" t="str">
        <f>IF(Uebersetzung!$A$1=1,'SIA2001'!E584,'SIA2001'!F584)</f>
        <v>DIFFUTHERM</v>
      </c>
      <c r="D878" s="69"/>
      <c r="E878" s="69"/>
      <c r="F878" s="69"/>
      <c r="G878" s="971">
        <f>'SIA2001'!J584</f>
        <v>180</v>
      </c>
      <c r="H878" s="971">
        <f>'SIA2001'!K584</f>
        <v>4.2999999999999997E-2</v>
      </c>
      <c r="I878" s="972">
        <f>'SIA2001'!O584</f>
        <v>5</v>
      </c>
      <c r="O878" s="28"/>
    </row>
    <row r="879" spans="2:15">
      <c r="B879" s="970" t="str">
        <f>IF(Uebersetzung!$A$1=1,'SIA2001'!E585,'SIA2001'!F585)</f>
        <v>PAVABOARD</v>
      </c>
      <c r="D879" s="69"/>
      <c r="E879" s="69"/>
      <c r="F879" s="69"/>
      <c r="G879" s="971">
        <f>'SIA2001'!J585</f>
        <v>230</v>
      </c>
      <c r="H879" s="971">
        <f>'SIA2001'!K585</f>
        <v>4.5999999999999999E-2</v>
      </c>
      <c r="I879" s="972">
        <f>'SIA2001'!O585</f>
        <v>5</v>
      </c>
      <c r="O879" s="28"/>
    </row>
    <row r="880" spans="2:15">
      <c r="B880" s="970" t="str">
        <f>IF(Uebersetzung!$A$1=1,'SIA2001'!E586,'SIA2001'!F586)</f>
        <v>ISOROOF 35-60 mm</v>
      </c>
      <c r="D880" s="69"/>
      <c r="E880" s="69"/>
      <c r="F880" s="69"/>
      <c r="G880" s="971">
        <f>'SIA2001'!J586</f>
        <v>230</v>
      </c>
      <c r="H880" s="971">
        <f>'SIA2001'!K586</f>
        <v>4.5999999999999999E-2</v>
      </c>
      <c r="I880" s="972">
        <f>'SIA2001'!O586</f>
        <v>5</v>
      </c>
      <c r="O880" s="28"/>
    </row>
    <row r="881" spans="2:15">
      <c r="B881" s="970" t="str">
        <f>IF(Uebersetzung!$A$1=1,'SIA2001'!E587,'SIA2001'!F587)</f>
        <v>SWISSISOLANT</v>
      </c>
      <c r="D881" s="69"/>
      <c r="E881" s="69"/>
      <c r="F881" s="69"/>
      <c r="G881" s="971">
        <f>'SIA2001'!J587</f>
        <v>230</v>
      </c>
      <c r="H881" s="971">
        <f>'SIA2001'!K587</f>
        <v>4.5999999999999999E-2</v>
      </c>
      <c r="I881" s="972">
        <f>'SIA2001'!O587</f>
        <v>5</v>
      </c>
      <c r="O881" s="28"/>
    </row>
    <row r="882" spans="2:15">
      <c r="B882" s="970" t="str">
        <f>IF(Uebersetzung!$A$1=1,'SIA2001'!E588,'SIA2001'!F588)</f>
        <v>ISOROOF 20-24 mm</v>
      </c>
      <c r="D882" s="69"/>
      <c r="E882" s="69"/>
      <c r="F882" s="69"/>
      <c r="G882" s="971">
        <f>'SIA2001'!J588</f>
        <v>240</v>
      </c>
      <c r="H882" s="971">
        <f>'SIA2001'!K588</f>
        <v>4.7E-2</v>
      </c>
      <c r="I882" s="972">
        <f>'SIA2001'!O588</f>
        <v>5</v>
      </c>
      <c r="O882" s="28"/>
    </row>
    <row r="883" spans="2:15">
      <c r="B883" s="970" t="str">
        <f>IF(Uebersetzung!$A$1=1,'SIA2001'!E589,'SIA2001'!F589)</f>
        <v>PAVAFLEX</v>
      </c>
      <c r="D883" s="69"/>
      <c r="E883" s="69"/>
      <c r="F883" s="69"/>
      <c r="G883" s="971">
        <f>'SIA2001'!J589</f>
        <v>55</v>
      </c>
      <c r="H883" s="971">
        <f>'SIA2001'!K589</f>
        <v>3.7999999999999999E-2</v>
      </c>
      <c r="I883" s="972">
        <f>'SIA2001'!O589</f>
        <v>5</v>
      </c>
      <c r="O883" s="28"/>
    </row>
    <row r="884" spans="2:15">
      <c r="B884" s="970" t="str">
        <f>IF(Uebersetzung!$A$1=1,'SIA2001'!E590,'SIA2001'!F590)</f>
        <v>ISOLAIR</v>
      </c>
      <c r="D884" s="69"/>
      <c r="E884" s="69"/>
      <c r="F884" s="69"/>
      <c r="G884" s="971">
        <f>'SIA2001'!J590</f>
        <v>200</v>
      </c>
      <c r="H884" s="971">
        <f>'SIA2001'!K590</f>
        <v>4.3999999999999997E-2</v>
      </c>
      <c r="I884" s="972">
        <f>'SIA2001'!O590</f>
        <v>5</v>
      </c>
      <c r="O884" s="28"/>
    </row>
    <row r="885" spans="2:15">
      <c r="B885" s="970" t="str">
        <f>IF(Uebersetzung!$A$1=1,'SIA2001'!E591,'SIA2001'!F591)</f>
        <v>DIFFUBOARD</v>
      </c>
      <c r="D885" s="69"/>
      <c r="E885" s="69"/>
      <c r="F885" s="69"/>
      <c r="G885" s="971">
        <f>'SIA2001'!J591</f>
        <v>200</v>
      </c>
      <c r="H885" s="971">
        <f>'SIA2001'!K591</f>
        <v>4.3999999999999997E-2</v>
      </c>
      <c r="I885" s="972">
        <f>'SIA2001'!O591</f>
        <v>5</v>
      </c>
      <c r="O885" s="28"/>
    </row>
    <row r="886" spans="2:15">
      <c r="B886" s="970" t="str">
        <f>IF(Uebersetzung!$A$1=1,'SIA2001'!E592,'SIA2001'!F592)</f>
        <v>PAVAWALL, PAVAWALL-BLOC</v>
      </c>
      <c r="D886" s="69"/>
      <c r="E886" s="69"/>
      <c r="F886" s="69"/>
      <c r="G886" s="971">
        <f>'SIA2001'!J592</f>
        <v>130</v>
      </c>
      <c r="H886" s="971">
        <f>'SIA2001'!K592</f>
        <v>0.04</v>
      </c>
      <c r="I886" s="972">
        <f>'SIA2001'!O592</f>
        <v>5</v>
      </c>
      <c r="O886" s="28"/>
    </row>
    <row r="887" spans="2:15">
      <c r="B887" s="970" t="str">
        <f>IF(Uebersetzung!$A$1=1,'SIA2001'!E593,'SIA2001'!F593)</f>
        <v>PAVATHERM</v>
      </c>
      <c r="D887" s="69"/>
      <c r="E887" s="69"/>
      <c r="F887" s="69"/>
      <c r="G887" s="971">
        <f>'SIA2001'!J593</f>
        <v>110</v>
      </c>
      <c r="H887" s="971">
        <f>'SIA2001'!K593</f>
        <v>3.7999999999999999E-2</v>
      </c>
      <c r="I887" s="972">
        <f>'SIA2001'!O593</f>
        <v>5</v>
      </c>
      <c r="O887" s="28"/>
    </row>
    <row r="888" spans="2:15">
      <c r="B888" s="970" t="str">
        <f>IF(Uebersetzung!$A$1=1,'SIA2001'!E594,'SIA2001'!F594)</f>
        <v>PAVATHERM-COMBI / ISOLAIR 100-200 mm</v>
      </c>
      <c r="D888" s="69"/>
      <c r="E888" s="69"/>
      <c r="F888" s="69"/>
      <c r="G888" s="971">
        <f>'SIA2001'!J594</f>
        <v>140</v>
      </c>
      <c r="H888" s="971">
        <f>'SIA2001'!K594</f>
        <v>4.1000000000000002E-2</v>
      </c>
      <c r="I888" s="972">
        <f>'SIA2001'!O594</f>
        <v>5</v>
      </c>
      <c r="O888" s="28"/>
    </row>
    <row r="889" spans="2:15">
      <c r="B889" s="970" t="str">
        <f>IF(Uebersetzung!$A$1=1,'SIA2001'!E595,'SIA2001'!F595)</f>
        <v>ISOVER ISOPROTECT</v>
      </c>
      <c r="D889" s="69"/>
      <c r="E889" s="69"/>
      <c r="F889" s="69"/>
      <c r="G889" s="971">
        <f>'SIA2001'!J595</f>
        <v>180</v>
      </c>
      <c r="H889" s="971">
        <f>'SIA2001'!K595</f>
        <v>4.3999999999999997E-2</v>
      </c>
      <c r="I889" s="972">
        <f>'SIA2001'!O595</f>
        <v>5</v>
      </c>
      <c r="O889" s="28"/>
    </row>
    <row r="890" spans="2:15">
      <c r="B890" s="970" t="str">
        <f>IF(Uebersetzung!$A$1=1,'SIA2001'!E596,'SIA2001'!F596)</f>
        <v>ISOVER ISOPROTECT</v>
      </c>
      <c r="D890" s="69"/>
      <c r="E890" s="69"/>
      <c r="F890" s="69"/>
      <c r="G890" s="971">
        <f>'SIA2001'!J596</f>
        <v>180</v>
      </c>
      <c r="H890" s="971">
        <f>'SIA2001'!K596</f>
        <v>4.5999999999999999E-2</v>
      </c>
      <c r="I890" s="972">
        <f>'SIA2001'!O596</f>
        <v>5</v>
      </c>
      <c r="O890" s="28"/>
    </row>
    <row r="891" spans="2:15">
      <c r="B891" s="970" t="str">
        <f>IF(Uebersetzung!$A$1=1,'SIA2001'!E597,'SIA2001'!F597)</f>
        <v>STEICOflex</v>
      </c>
      <c r="D891" s="69"/>
      <c r="E891" s="69"/>
      <c r="F891" s="69"/>
      <c r="G891" s="971">
        <f>'SIA2001'!J597</f>
        <v>50</v>
      </c>
      <c r="H891" s="971">
        <f>'SIA2001'!K597</f>
        <v>3.7999999999999999E-2</v>
      </c>
      <c r="I891" s="972">
        <f>'SIA2001'!O597</f>
        <v>5</v>
      </c>
      <c r="O891" s="28"/>
    </row>
    <row r="892" spans="2:15">
      <c r="B892" s="970" t="str">
        <f>IF(Uebersetzung!$A$1=1,'SIA2001'!E598,'SIA2001'!F598)</f>
        <v>STEICOtherm, STEICOtherm SD, STEICOfloor, STEICOinternal</v>
      </c>
      <c r="D892" s="69"/>
      <c r="E892" s="69"/>
      <c r="F892" s="69"/>
      <c r="G892" s="971">
        <f>'SIA2001'!J598</f>
        <v>160</v>
      </c>
      <c r="H892" s="971">
        <f>'SIA2001'!K598</f>
        <v>3.7999999999999999E-2</v>
      </c>
      <c r="I892" s="972">
        <f>'SIA2001'!O598</f>
        <v>5</v>
      </c>
      <c r="O892" s="28"/>
    </row>
    <row r="893" spans="2:15">
      <c r="B893" s="970" t="str">
        <f>IF(Uebersetzung!$A$1=1,'SIA2001'!E599,'SIA2001'!F599)</f>
        <v>STEICOuniversal, STEICOprotect H</v>
      </c>
      <c r="D893" s="69"/>
      <c r="E893" s="69"/>
      <c r="F893" s="69"/>
      <c r="G893" s="971">
        <f>'SIA2001'!J599</f>
        <v>270</v>
      </c>
      <c r="H893" s="971">
        <f>'SIA2001'!K599</f>
        <v>4.8000000000000001E-2</v>
      </c>
      <c r="I893" s="972">
        <f>'SIA2001'!O599</f>
        <v>5</v>
      </c>
      <c r="O893" s="28"/>
    </row>
    <row r="894" spans="2:15">
      <c r="B894" s="970" t="str">
        <f>IF(Uebersetzung!$A$1=1,'SIA2001'!E600,'SIA2001'!F600)</f>
        <v>STEICOprotect M, STEICOroof</v>
      </c>
      <c r="D894" s="69"/>
      <c r="E894" s="69"/>
      <c r="F894" s="69"/>
      <c r="G894" s="971">
        <f>'SIA2001'!J600</f>
        <v>230</v>
      </c>
      <c r="H894" s="971">
        <f>'SIA2001'!K600</f>
        <v>4.5999999999999999E-2</v>
      </c>
      <c r="I894" s="972">
        <f>'SIA2001'!O600</f>
        <v>5</v>
      </c>
      <c r="O894" s="28"/>
    </row>
    <row r="895" spans="2:15">
      <c r="B895" s="970" t="str">
        <f>IF(Uebersetzung!$A$1=1,'SIA2001'!E601,'SIA2001'!F601)</f>
        <v>LDF 110, STEICOtherm dry, STEICOprotect L dry</v>
      </c>
      <c r="D895" s="69"/>
      <c r="E895" s="69"/>
      <c r="F895" s="69"/>
      <c r="G895" s="971">
        <f>'SIA2001'!J601</f>
        <v>110</v>
      </c>
      <c r="H895" s="971">
        <f>'SIA2001'!K601</f>
        <v>3.6999999999999998E-2</v>
      </c>
      <c r="I895" s="972">
        <f>'SIA2001'!O601</f>
        <v>5</v>
      </c>
      <c r="O895" s="28"/>
    </row>
    <row r="896" spans="2:15">
      <c r="B896" s="970" t="s">
        <v>5617</v>
      </c>
      <c r="D896" s="69"/>
      <c r="E896" s="69"/>
      <c r="F896" s="69"/>
      <c r="G896" s="971">
        <f>'SIA2001'!J602</f>
        <v>140</v>
      </c>
      <c r="H896" s="971">
        <f>'SIA2001'!K602</f>
        <v>0.04</v>
      </c>
      <c r="I896" s="972">
        <f>'SIA2001'!O602</f>
        <v>5</v>
      </c>
      <c r="O896" s="28"/>
    </row>
    <row r="897" spans="2:15">
      <c r="B897" s="970" t="str">
        <f>IF(Uebersetzung!$A$1=1,'SIA2001'!E603,'SIA2001'!F603)</f>
        <v>LDF 180, STEICOuniversal dry, STEICOprotect H dry</v>
      </c>
      <c r="D897" s="69"/>
      <c r="E897" s="69"/>
      <c r="F897" s="69"/>
      <c r="G897" s="971">
        <f>'SIA2001'!J603</f>
        <v>210</v>
      </c>
      <c r="H897" s="971">
        <f>'SIA2001'!K603</f>
        <v>4.4999999999999998E-2</v>
      </c>
      <c r="I897" s="972">
        <f>'SIA2001'!O603</f>
        <v>5</v>
      </c>
      <c r="O897" s="28"/>
    </row>
    <row r="898" spans="2:15">
      <c r="B898" s="970" t="str">
        <f>IF(Uebersetzung!$A$1=1,'SIA2001'!E604,'SIA2001'!F604)</f>
        <v>LDF 180, STEICOuniversal dry, STEICOprotect H dry</v>
      </c>
      <c r="D898" s="69"/>
      <c r="E898" s="69"/>
      <c r="F898" s="69"/>
      <c r="G898" s="971">
        <f>'SIA2001'!J604</f>
        <v>180</v>
      </c>
      <c r="H898" s="971">
        <f>'SIA2001'!K604</f>
        <v>4.2999999999999997E-2</v>
      </c>
      <c r="I898" s="972">
        <f>'SIA2001'!O604</f>
        <v>5</v>
      </c>
      <c r="O898" s="28"/>
    </row>
    <row r="899" spans="2:15">
      <c r="B899" s="970" t="str">
        <f>IF(Uebersetzung!$A$1=1,'SIA2001'!E613,'SIA2001'!F613)</f>
        <v>flexCL</v>
      </c>
      <c r="D899" s="69"/>
      <c r="E899" s="69"/>
      <c r="F899" s="69"/>
      <c r="G899" s="971">
        <v>70</v>
      </c>
      <c r="H899" s="971">
        <f>'SIA2001'!K613</f>
        <v>3.9E-2</v>
      </c>
      <c r="I899" s="972">
        <v>5</v>
      </c>
      <c r="O899" s="28"/>
    </row>
    <row r="900" spans="2:15">
      <c r="B900" s="352" t="str">
        <f>Uebersetzung!D703</f>
        <v>**** Fibres de bois en vrac ****</v>
      </c>
      <c r="D900" s="69"/>
      <c r="E900" s="69"/>
      <c r="F900" s="69"/>
      <c r="G900" s="971"/>
      <c r="H900" s="971"/>
      <c r="I900" s="973"/>
      <c r="O900" s="28"/>
    </row>
    <row r="901" spans="2:15">
      <c r="B901" s="970" t="str">
        <f>IF(Uebersetzung!$A$1=1,'SIA2001'!E607,'SIA2001'!F607)</f>
        <v>Airflex</v>
      </c>
      <c r="D901" s="69"/>
      <c r="E901" s="69"/>
      <c r="F901" s="69"/>
      <c r="G901" s="971">
        <v>40</v>
      </c>
      <c r="H901" s="971">
        <f>'SIA2001'!K607</f>
        <v>3.9E-2</v>
      </c>
      <c r="I901" s="972">
        <v>1</v>
      </c>
      <c r="O901" s="28"/>
    </row>
    <row r="902" spans="2:15">
      <c r="B902" s="970" t="str">
        <f>IF(Uebersetzung!$A$1=1,'SIA2001'!E608,'SIA2001'!F608)</f>
        <v>isofloc woodfiber</v>
      </c>
      <c r="D902" s="69"/>
      <c r="E902" s="69"/>
      <c r="F902" s="69"/>
      <c r="G902" s="971">
        <v>45</v>
      </c>
      <c r="H902" s="971">
        <f>'SIA2001'!K608</f>
        <v>3.7999999999999999E-2</v>
      </c>
      <c r="I902" s="972">
        <v>1</v>
      </c>
      <c r="O902" s="28"/>
    </row>
    <row r="903" spans="2:15">
      <c r="B903" s="970" t="str">
        <f>IF(Uebersetzung!$A$1=1,'SIA2001'!E609,'SIA2001'!F609)</f>
        <v>STEICOzell</v>
      </c>
      <c r="D903" s="69"/>
      <c r="E903" s="69"/>
      <c r="F903" s="69"/>
      <c r="G903" s="971">
        <v>45</v>
      </c>
      <c r="H903" s="971">
        <f>'SIA2001'!K609</f>
        <v>3.7999999999999999E-2</v>
      </c>
      <c r="I903" s="972">
        <v>1</v>
      </c>
      <c r="O903" s="28"/>
    </row>
    <row r="904" spans="2:15">
      <c r="B904" s="970">
        <f>IF(Uebersetzung!$A$1=1,'SIA2001'!E610,'SIA2001'!F610)</f>
        <v>0</v>
      </c>
      <c r="D904" s="69"/>
      <c r="E904" s="69"/>
      <c r="F904" s="69"/>
      <c r="G904" s="971">
        <f>'SIA2001'!J610</f>
        <v>0</v>
      </c>
      <c r="H904" s="971">
        <f>'SIA2001'!K610</f>
        <v>0</v>
      </c>
      <c r="I904" s="972"/>
      <c r="O904" s="28"/>
    </row>
    <row r="905" spans="2:15">
      <c r="B905" s="970" t="str">
        <f>IF(Uebersetzung!$A$1=1,'SIA2001'!E611,'SIA2001'!F611)</f>
        <v>HOIZ Hobelspandämmstoff</v>
      </c>
      <c r="D905" s="69"/>
      <c r="E905" s="69"/>
      <c r="F905" s="69"/>
      <c r="G905" s="971">
        <v>70</v>
      </c>
      <c r="H905" s="971">
        <f>'SIA2001'!K611</f>
        <v>4.7E-2</v>
      </c>
      <c r="I905" s="972">
        <v>1</v>
      </c>
      <c r="O905" s="28"/>
    </row>
    <row r="906" spans="2:15">
      <c r="B906" s="970"/>
      <c r="D906" s="69"/>
      <c r="E906" s="69"/>
      <c r="F906" s="69"/>
      <c r="G906" s="971">
        <f>'SIA2001'!J612</f>
        <v>0</v>
      </c>
      <c r="H906" s="971"/>
      <c r="I906" s="972"/>
      <c r="O906" s="28"/>
    </row>
    <row r="907" spans="2:15">
      <c r="B907" s="970"/>
      <c r="D907" s="69"/>
      <c r="E907" s="69"/>
      <c r="F907" s="69"/>
      <c r="G907" s="971"/>
      <c r="H907" s="971"/>
      <c r="I907" s="972"/>
      <c r="O907" s="28"/>
    </row>
    <row r="908" spans="2:15">
      <c r="B908" s="71" t="str">
        <f>Uebersetzung!D640</f>
        <v>**** Cellulose (en vrac) ****</v>
      </c>
      <c r="D908" s="69"/>
      <c r="E908" s="69"/>
      <c r="F908" s="69"/>
      <c r="G908" s="971"/>
      <c r="H908" s="971"/>
      <c r="I908" s="973"/>
      <c r="O908" s="28"/>
    </row>
    <row r="909" spans="2:15">
      <c r="B909" s="970" t="str">
        <f>IF(Uebersetzung!$A$1=1,'SIA2001'!E615,'SIA2001'!F615)</f>
        <v>climacell</v>
      </c>
      <c r="D909" s="69"/>
      <c r="E909" s="69"/>
      <c r="F909" s="69"/>
      <c r="G909" s="971">
        <v>50</v>
      </c>
      <c r="H909" s="971">
        <f>'SIA2001'!K615</f>
        <v>3.7999999999999999E-2</v>
      </c>
      <c r="I909" s="972">
        <f>'SIA2001'!O615</f>
        <v>2</v>
      </c>
      <c r="O909" s="28"/>
    </row>
    <row r="910" spans="2:15">
      <c r="B910" s="970" t="str">
        <f>IF(Uebersetzung!$A$1=1,'SIA2001'!E616,'SIA2001'!F616)</f>
        <v>Isocell</v>
      </c>
      <c r="D910" s="69"/>
      <c r="E910" s="69"/>
      <c r="F910" s="69"/>
      <c r="G910" s="971">
        <v>46</v>
      </c>
      <c r="H910" s="971">
        <f>'SIA2001'!K616</f>
        <v>3.7999999999999999E-2</v>
      </c>
      <c r="I910" s="972">
        <f>'SIA2001'!O616</f>
        <v>2</v>
      </c>
      <c r="O910" s="28"/>
    </row>
    <row r="911" spans="2:15">
      <c r="B911" s="970" t="str">
        <f>IF(Uebersetzung!$A$1=1,'SIA2001'!E617,'SIA2001'!F617)</f>
        <v>trendisol</v>
      </c>
      <c r="D911" s="69"/>
      <c r="E911" s="69"/>
      <c r="F911" s="69"/>
      <c r="G911" s="971">
        <v>46</v>
      </c>
      <c r="H911" s="971">
        <f>'SIA2001'!K617</f>
        <v>3.7999999999999999E-2</v>
      </c>
      <c r="I911" s="972">
        <f>'SIA2001'!O617</f>
        <v>2</v>
      </c>
      <c r="O911" s="28"/>
    </row>
    <row r="912" spans="2:15">
      <c r="B912" s="970" t="str">
        <f>IF(Uebersetzung!$A$1=1,'SIA2001'!E618,'SIA2001'!F618)</f>
        <v>Dobry-Ekovilla</v>
      </c>
      <c r="D912" s="69"/>
      <c r="E912" s="69"/>
      <c r="F912" s="69"/>
      <c r="G912" s="971">
        <v>46</v>
      </c>
      <c r="H912" s="971">
        <f>'SIA2001'!K618</f>
        <v>3.7999999999999999E-2</v>
      </c>
      <c r="I912" s="972">
        <f>'SIA2001'!O618</f>
        <v>2</v>
      </c>
      <c r="O912" s="28"/>
    </row>
    <row r="913" spans="2:15">
      <c r="B913" s="970" t="str">
        <f>IF(Uebersetzung!$A$1=1,'SIA2001'!E619,'SIA2001'!F619)</f>
        <v>Pavafloc</v>
      </c>
      <c r="D913" s="69"/>
      <c r="E913" s="69"/>
      <c r="F913" s="69"/>
      <c r="G913" s="971">
        <v>46</v>
      </c>
      <c r="H913" s="971">
        <f>'SIA2001'!K619</f>
        <v>3.7999999999999999E-2</v>
      </c>
      <c r="I913" s="972">
        <f>'SIA2001'!O619</f>
        <v>2</v>
      </c>
      <c r="O913" s="28"/>
    </row>
    <row r="914" spans="2:15">
      <c r="B914" s="970" t="str">
        <f>IF(Uebersetzung!$A$1=1,'SIA2001'!E620,'SIA2001'!F620)</f>
        <v>isofloc LM, isofloc L, isofloc FIP, Swissfloc</v>
      </c>
      <c r="D914" s="69"/>
      <c r="E914" s="69"/>
      <c r="F914" s="69"/>
      <c r="G914" s="971">
        <v>42</v>
      </c>
      <c r="H914" s="971">
        <f>'SIA2001'!K620</f>
        <v>3.7999999999999999E-2</v>
      </c>
      <c r="I914" s="972">
        <f>'SIA2001'!O620</f>
        <v>2</v>
      </c>
      <c r="O914" s="28"/>
    </row>
    <row r="915" spans="2:15">
      <c r="B915" s="970" t="str">
        <f>IF(Uebersetzung!$A$1=1,'SIA2001'!E621,'SIA2001'!F621)</f>
        <v>isofloc eco, isofloc neo</v>
      </c>
      <c r="D915" s="69"/>
      <c r="E915" s="69"/>
      <c r="F915" s="69"/>
      <c r="G915" s="971">
        <v>42</v>
      </c>
      <c r="H915" s="971">
        <f>'SIA2001'!K621</f>
        <v>3.7999999999999999E-2</v>
      </c>
      <c r="I915" s="972">
        <f>'SIA2001'!O621</f>
        <v>2</v>
      </c>
      <c r="O915" s="28"/>
    </row>
    <row r="916" spans="2:15">
      <c r="B916" s="352" t="str">
        <f>Uebersetzung!D704</f>
        <v>**** Matériaux isolants végétale &amp; animale ****</v>
      </c>
      <c r="D916" s="69"/>
      <c r="E916" s="69"/>
      <c r="F916" s="69"/>
      <c r="G916" s="971"/>
      <c r="H916" s="971"/>
      <c r="I916" s="973"/>
      <c r="O916" s="28"/>
    </row>
    <row r="917" spans="2:15">
      <c r="B917" s="970" t="str">
        <f>IF(Uebersetzung!$A$1=1,'SIA2001'!E623,'SIA2001'!F623)</f>
        <v>Herbe: matelas, en vrac; non contrôlé</v>
      </c>
      <c r="D917" s="69"/>
      <c r="E917" s="69"/>
      <c r="F917" s="69"/>
      <c r="G917" s="971">
        <v>50</v>
      </c>
      <c r="H917" s="971">
        <f>'SIA2001'!K623</f>
        <v>0.05</v>
      </c>
      <c r="I917" s="972">
        <v>2</v>
      </c>
      <c r="O917" s="28"/>
    </row>
    <row r="918" spans="2:15">
      <c r="B918" s="970" t="str">
        <f>IF(Uebersetzung!$A$1=1,'SIA2001'!E624,'SIA2001'!F624)</f>
        <v>Chanvre: matelas, rouleaux; non contrôlé</v>
      </c>
      <c r="D918" s="69"/>
      <c r="E918" s="69"/>
      <c r="F918" s="69"/>
      <c r="G918" s="971">
        <v>50</v>
      </c>
      <c r="H918" s="971">
        <f>'SIA2001'!K624</f>
        <v>0.05</v>
      </c>
      <c r="I918" s="972">
        <v>2</v>
      </c>
      <c r="O918" s="28"/>
    </row>
    <row r="919" spans="2:15">
      <c r="B919" s="970" t="str">
        <f>IF(Uebersetzung!$A$1=1,'SIA2001'!E625,'SIA2001'!F625)</f>
        <v>Coton: matelas, rouleaux; non contrôlé</v>
      </c>
      <c r="D919" s="69"/>
      <c r="E919" s="69"/>
      <c r="F919" s="69"/>
      <c r="G919" s="971">
        <v>50</v>
      </c>
      <c r="H919" s="971">
        <f>'SIA2001'!K625</f>
        <v>0.05</v>
      </c>
      <c r="I919" s="972">
        <v>2</v>
      </c>
      <c r="O919" s="28"/>
    </row>
    <row r="920" spans="2:15">
      <c r="B920" s="970" t="str">
        <f>IF(Uebersetzung!$A$1=1,'SIA2001'!E626,'SIA2001'!F626)</f>
        <v>autres matériaux isolants d'origine végétale; non contrôlé</v>
      </c>
      <c r="D920" s="69"/>
      <c r="E920" s="69"/>
      <c r="F920" s="69"/>
      <c r="G920" s="971">
        <v>50</v>
      </c>
      <c r="H920" s="971">
        <f>'SIA2001'!K626</f>
        <v>7.0000000000000007E-2</v>
      </c>
      <c r="I920" s="972">
        <v>2</v>
      </c>
      <c r="O920" s="28"/>
    </row>
    <row r="921" spans="2:15">
      <c r="B921" s="970" t="str">
        <f>IF(Uebersetzung!$A$1=1,'SIA2001'!E627,'SIA2001'!F627)</f>
        <v>AgriCell BW</v>
      </c>
      <c r="D921" s="69"/>
      <c r="E921" s="69"/>
      <c r="F921" s="69"/>
      <c r="G921" s="971">
        <v>52</v>
      </c>
      <c r="H921" s="971">
        <f>'SIA2001'!K627</f>
        <v>4.4999999999999998E-2</v>
      </c>
      <c r="I921" s="972">
        <v>2</v>
      </c>
      <c r="O921" s="28"/>
    </row>
    <row r="922" spans="2:15">
      <c r="B922" s="970" t="str">
        <f>IF(Uebersetzung!$A$1=1,'SIA2001'!E628,'SIA2001'!F628)</f>
        <v>Laine de mouton: matelas, rouleaux; non contrôlé</v>
      </c>
      <c r="D922" s="69"/>
      <c r="E922" s="69"/>
      <c r="F922" s="69"/>
      <c r="G922" s="971">
        <v>52</v>
      </c>
      <c r="H922" s="971">
        <f>'SIA2001'!K628</f>
        <v>0.05</v>
      </c>
      <c r="I922" s="972">
        <v>2</v>
      </c>
      <c r="O922" s="28"/>
    </row>
    <row r="923" spans="2:15">
      <c r="B923" s="970" t="str">
        <f>IF(Uebersetzung!$A$1=1,'SIA2001'!E631,'SIA2001'!F631)</f>
        <v>ISOLENA Premium</v>
      </c>
      <c r="D923" s="69"/>
      <c r="E923" s="69"/>
      <c r="F923" s="69"/>
      <c r="G923" s="971">
        <f>'SIA2001'!J631</f>
        <v>20</v>
      </c>
      <c r="H923" s="971">
        <f>'SIA2001'!K631</f>
        <v>0.04</v>
      </c>
      <c r="I923" s="972">
        <v>2</v>
      </c>
      <c r="O923" s="28"/>
    </row>
    <row r="924" spans="2:15">
      <c r="B924" s="970"/>
      <c r="D924" s="69"/>
      <c r="E924" s="69"/>
      <c r="F924" s="69"/>
      <c r="G924" s="971"/>
      <c r="H924" s="971"/>
      <c r="I924" s="972"/>
      <c r="O924" s="28"/>
    </row>
    <row r="925" spans="2:15">
      <c r="B925" s="970"/>
      <c r="D925" s="69"/>
      <c r="E925" s="69"/>
      <c r="F925" s="69"/>
      <c r="G925" s="971"/>
      <c r="H925" s="971"/>
      <c r="I925" s="972"/>
      <c r="O925" s="28"/>
    </row>
    <row r="926" spans="2:15">
      <c r="B926" s="71" t="str">
        <f>Uebersetzung!D641</f>
        <v>**** Panneaux composites (multicouches) ****</v>
      </c>
      <c r="D926" s="69"/>
      <c r="E926" s="69"/>
      <c r="F926" s="69"/>
      <c r="G926" s="971">
        <f>'SIA2001'!J632</f>
        <v>0</v>
      </c>
      <c r="H926" s="971">
        <f>'SIA2001'!K632</f>
        <v>0</v>
      </c>
      <c r="I926" s="973"/>
      <c r="O926" s="28"/>
    </row>
    <row r="927" spans="2:15">
      <c r="B927" s="970" t="str">
        <f>IF(Uebersetzung!$A$1=1,'SIA2001'!E633,'SIA2001'!F633)</f>
        <v>Fibro-DUR 3 040 (noyau)</v>
      </c>
      <c r="D927" s="69"/>
      <c r="E927" s="69"/>
      <c r="F927" s="69"/>
      <c r="G927" s="971">
        <f>'SIA2001'!J633</f>
        <v>18</v>
      </c>
      <c r="H927" s="971">
        <f>'SIA2001'!K633</f>
        <v>3.7999999999999999E-2</v>
      </c>
      <c r="I927" s="972">
        <v>5</v>
      </c>
      <c r="O927" s="28"/>
    </row>
    <row r="928" spans="2:15">
      <c r="B928" s="970" t="str">
        <f>IF(Uebersetzung!$A$1=1,'SIA2001'!E634,'SIA2001'!F634)</f>
        <v>Fibro-DUR 3 040 (couche)</v>
      </c>
      <c r="D928" s="69"/>
      <c r="E928" s="69"/>
      <c r="F928" s="69"/>
      <c r="G928" s="971">
        <v>600</v>
      </c>
      <c r="H928" s="971">
        <f>'SIA2001'!K634</f>
        <v>7.4999999999999997E-2</v>
      </c>
      <c r="I928" s="972">
        <v>5</v>
      </c>
      <c r="O928" s="28"/>
    </row>
    <row r="929" spans="2:15">
      <c r="B929" s="970" t="str">
        <f>IF(Uebersetzung!$A$1=1,'SIA2001'!E635,'SIA2001'!F635)</f>
        <v>Fibro-DUR 3 035 (noyau)</v>
      </c>
      <c r="D929" s="69"/>
      <c r="E929" s="69"/>
      <c r="F929" s="69"/>
      <c r="G929" s="971">
        <f>'SIA2001'!J635</f>
        <v>30</v>
      </c>
      <c r="H929" s="971">
        <f>'SIA2001'!K635</f>
        <v>3.4000000000000002E-2</v>
      </c>
      <c r="I929" s="972">
        <v>5</v>
      </c>
      <c r="O929" s="28"/>
    </row>
    <row r="930" spans="2:15">
      <c r="B930" s="970" t="str">
        <f>IF(Uebersetzung!$A$1=1,'SIA2001'!E636,'SIA2001'!F636)</f>
        <v>Fibro-DUR 3 035 (couche)</v>
      </c>
      <c r="D930" s="69"/>
      <c r="E930" s="69"/>
      <c r="F930" s="69"/>
      <c r="G930" s="971">
        <v>600</v>
      </c>
      <c r="H930" s="971">
        <f>'SIA2001'!K636</f>
        <v>7.4999999999999997E-2</v>
      </c>
      <c r="I930" s="972">
        <v>5</v>
      </c>
      <c r="O930" s="28"/>
    </row>
    <row r="931" spans="2:15">
      <c r="B931" s="970" t="str">
        <f>IF(Uebersetzung!$A$1=1,'SIA2001'!E637,'SIA2001'!F637)</f>
        <v>Fibro-DUR 2 032 (noyau)</v>
      </c>
      <c r="D931" s="69"/>
      <c r="E931" s="69"/>
      <c r="F931" s="69"/>
      <c r="G931" s="971">
        <f>'SIA2001'!J637</f>
        <v>18</v>
      </c>
      <c r="H931" s="971">
        <f>'SIA2001'!K637</f>
        <v>3.1E-2</v>
      </c>
      <c r="I931" s="972">
        <v>5</v>
      </c>
      <c r="O931" s="28"/>
    </row>
    <row r="932" spans="2:15">
      <c r="B932" s="970" t="str">
        <f>IF(Uebersetzung!$A$1=1,'SIA2001'!E638,'SIA2001'!F638)</f>
        <v>Fibro-DUR 2 032 (couche)</v>
      </c>
      <c r="D932" s="69"/>
      <c r="E932" s="69"/>
      <c r="F932" s="69"/>
      <c r="G932" s="971">
        <v>600</v>
      </c>
      <c r="H932" s="971">
        <f>'SIA2001'!K638</f>
        <v>7.4999999999999997E-2</v>
      </c>
      <c r="I932" s="972">
        <v>5</v>
      </c>
      <c r="O932" s="28"/>
    </row>
    <row r="933" spans="2:15">
      <c r="B933" s="970" t="str">
        <f>IF(Uebersetzung!$A$1=1,'SIA2001'!E639,'SIA2001'!F639)</f>
        <v>Fibro-DUR 3 032 (noyau)</v>
      </c>
      <c r="D933" s="69"/>
      <c r="E933" s="69"/>
      <c r="F933" s="69"/>
      <c r="G933" s="971">
        <f>'SIA2001'!J639</f>
        <v>18</v>
      </c>
      <c r="H933" s="971">
        <f>'SIA2001'!K639</f>
        <v>3.1E-2</v>
      </c>
      <c r="I933" s="972">
        <v>5</v>
      </c>
      <c r="O933" s="28"/>
    </row>
    <row r="934" spans="2:15">
      <c r="B934" s="970" t="str">
        <f>IF(Uebersetzung!$A$1=1,'SIA2001'!E640,'SIA2001'!F640)</f>
        <v>Fibro-DUR 3 032 (couche)</v>
      </c>
      <c r="D934" s="69"/>
      <c r="E934" s="69"/>
      <c r="F934" s="69"/>
      <c r="G934" s="971">
        <v>600</v>
      </c>
      <c r="H934" s="971">
        <f>'SIA2001'!K640</f>
        <v>7.4999999999999997E-2</v>
      </c>
      <c r="I934" s="972">
        <v>5</v>
      </c>
      <c r="O934" s="28"/>
    </row>
    <row r="935" spans="2:15">
      <c r="B935" s="970" t="str">
        <f>IF(Uebersetzung!$A$1=1,'SIA2001'!E641,'SIA2001'!F641)</f>
        <v>Heratekta C-3-032 (noyau)</v>
      </c>
      <c r="D935" s="69"/>
      <c r="E935" s="69"/>
      <c r="F935" s="69"/>
      <c r="G935" s="971">
        <v>20</v>
      </c>
      <c r="H935" s="971">
        <f>'SIA2001'!K641</f>
        <v>3.1E-2</v>
      </c>
      <c r="I935" s="972">
        <v>5</v>
      </c>
      <c r="O935" s="28"/>
    </row>
    <row r="936" spans="2:15">
      <c r="B936" s="970" t="str">
        <f>IF(Uebersetzung!$A$1=1,'SIA2001'!E642,'SIA2001'!F642)</f>
        <v>Heratekta C-3-032 (couches)</v>
      </c>
      <c r="D936" s="69"/>
      <c r="E936" s="69"/>
      <c r="F936" s="69"/>
      <c r="G936" s="971">
        <f>'SIA2001'!J642</f>
        <v>550</v>
      </c>
      <c r="H936" s="971">
        <f>'SIA2001'!K642</f>
        <v>8.1000000000000003E-2</v>
      </c>
      <c r="I936" s="972">
        <v>5</v>
      </c>
      <c r="O936" s="28"/>
    </row>
    <row r="937" spans="2:15">
      <c r="B937" s="970" t="str">
        <f>IF(Uebersetzung!$A$1=1,'SIA2001'!E643,'SIA2001'!F643)</f>
        <v>Heratekta SE 032/2 (noyau)</v>
      </c>
      <c r="D937" s="69"/>
      <c r="E937" s="69"/>
      <c r="F937" s="69"/>
      <c r="G937" s="971">
        <v>20</v>
      </c>
      <c r="H937" s="971">
        <f>'SIA2001'!K643</f>
        <v>3.1E-2</v>
      </c>
      <c r="I937" s="972">
        <v>5</v>
      </c>
      <c r="O937" s="28"/>
    </row>
    <row r="938" spans="2:15">
      <c r="B938" s="970" t="str">
        <f>IF(Uebersetzung!$A$1=1,'SIA2001'!E644,'SIA2001'!F644)</f>
        <v>Heratekta SE 032/2 (couche)</v>
      </c>
      <c r="D938" s="69"/>
      <c r="E938" s="69"/>
      <c r="F938" s="69"/>
      <c r="G938" s="971">
        <f>'SIA2001'!J644</f>
        <v>550</v>
      </c>
      <c r="H938" s="971">
        <f>'SIA2001'!K644</f>
        <v>8.1000000000000003E-2</v>
      </c>
      <c r="I938" s="972">
        <v>5</v>
      </c>
      <c r="O938" s="28"/>
    </row>
    <row r="939" spans="2:15">
      <c r="B939" s="970" t="str">
        <f>IF(Uebersetzung!$A$1=1,'SIA2001'!E645,'SIA2001'!F645)</f>
        <v>Tektalan A2-E21 (noyau)</v>
      </c>
      <c r="D939" s="69"/>
      <c r="E939" s="69"/>
      <c r="F939" s="69"/>
      <c r="G939" s="971">
        <f>'SIA2001'!J645</f>
        <v>130</v>
      </c>
      <c r="H939" s="971">
        <f>'SIA2001'!K645</f>
        <v>3.9E-2</v>
      </c>
      <c r="I939" s="972">
        <v>5</v>
      </c>
      <c r="O939" s="28"/>
    </row>
    <row r="940" spans="2:15">
      <c r="B940" s="970" t="str">
        <f>IF(Uebersetzung!$A$1=1,'SIA2001'!E646,'SIA2001'!F646)</f>
        <v>Tektalan A2-E21 (couches)</v>
      </c>
      <c r="D940" s="69"/>
      <c r="E940" s="69"/>
      <c r="F940" s="69"/>
      <c r="G940" s="971">
        <f>'SIA2001'!J646</f>
        <v>550</v>
      </c>
      <c r="H940" s="971">
        <f>'SIA2001'!K646</f>
        <v>8.1000000000000003E-2</v>
      </c>
      <c r="I940" s="972">
        <v>5</v>
      </c>
      <c r="O940" s="28"/>
    </row>
    <row r="941" spans="2:15">
      <c r="B941" s="970" t="str">
        <f>IF(Uebersetzung!$A$1=1,'SIA2001'!E647,'SIA2001'!F647)</f>
        <v>Tektalan A2-SD (noyau)</v>
      </c>
      <c r="D941" s="69"/>
      <c r="E941" s="69"/>
      <c r="F941" s="69"/>
      <c r="G941" s="971">
        <f>'SIA2001'!J647</f>
        <v>130</v>
      </c>
      <c r="H941" s="971">
        <f>'SIA2001'!K647</f>
        <v>3.9E-2</v>
      </c>
      <c r="I941" s="972">
        <v>5</v>
      </c>
      <c r="O941" s="28"/>
    </row>
    <row r="942" spans="2:15">
      <c r="B942" s="970" t="str">
        <f>IF(Uebersetzung!$A$1=1,'SIA2001'!E648,'SIA2001'!F648)</f>
        <v>Tektalan A2-SD (couches)</v>
      </c>
      <c r="D942" s="69"/>
      <c r="E942" s="69"/>
      <c r="F942" s="69"/>
      <c r="G942" s="971">
        <f>'SIA2001'!J648</f>
        <v>550</v>
      </c>
      <c r="H942" s="971">
        <f>'SIA2001'!K648</f>
        <v>8.1000000000000003E-2</v>
      </c>
      <c r="I942" s="972">
        <v>5</v>
      </c>
      <c r="O942" s="28"/>
    </row>
    <row r="943" spans="2:15">
      <c r="B943" s="970" t="str">
        <f>IF(Uebersetzung!$A$1=1,'SIA2001'!E649,'SIA2001'!F649)</f>
        <v>Tektalan A2-035/2 (1.0) (noyau)</v>
      </c>
      <c r="D943" s="69"/>
      <c r="E943" s="69"/>
      <c r="F943" s="69"/>
      <c r="G943" s="971">
        <f>'SIA2001'!J649</f>
        <v>120</v>
      </c>
      <c r="H943" s="971">
        <f>'SIA2001'!K649</f>
        <v>3.4000000000000002E-2</v>
      </c>
      <c r="I943" s="972">
        <v>5</v>
      </c>
      <c r="O943" s="28"/>
    </row>
    <row r="944" spans="2:15">
      <c r="B944" s="970" t="str">
        <f>IF(Uebersetzung!$A$1=1,'SIA2001'!E650,'SIA2001'!F650)</f>
        <v>Tektalan A2-035/2 (1.0) (couche)</v>
      </c>
      <c r="D944" s="69"/>
      <c r="E944" s="69"/>
      <c r="F944" s="69"/>
      <c r="G944" s="971">
        <f>'SIA2001'!J650</f>
        <v>550</v>
      </c>
      <c r="H944" s="971">
        <f>'SIA2001'!K650</f>
        <v>8.1000000000000003E-2</v>
      </c>
      <c r="I944" s="972">
        <v>5</v>
      </c>
      <c r="O944" s="28"/>
    </row>
    <row r="945" spans="2:15">
      <c r="B945" s="970" t="str">
        <f>IF(Uebersetzung!$A$1=1,'SIA2001'!E651,'SIA2001'!F651)</f>
        <v>Tektalan A2-E31-035/2 (noyau)</v>
      </c>
      <c r="D945" s="69"/>
      <c r="E945" s="69"/>
      <c r="F945" s="69"/>
      <c r="G945" s="971">
        <f>'SIA2001'!J651</f>
        <v>120</v>
      </c>
      <c r="H945" s="971">
        <f>'SIA2001'!K651</f>
        <v>3.4000000000000002E-2</v>
      </c>
      <c r="I945" s="972">
        <v>5</v>
      </c>
      <c r="O945" s="28"/>
    </row>
    <row r="946" spans="2:15">
      <c r="B946" s="970" t="str">
        <f>IF(Uebersetzung!$A$1=1,'SIA2001'!E652,'SIA2001'!F652)</f>
        <v>Tektalan A2-E31-035/2 (couche)</v>
      </c>
      <c r="D946" s="69"/>
      <c r="E946" s="69"/>
      <c r="F946" s="69"/>
      <c r="G946" s="971">
        <f>'SIA2001'!J652</f>
        <v>550</v>
      </c>
      <c r="H946" s="971">
        <f>'SIA2001'!K652</f>
        <v>8.1000000000000003E-2</v>
      </c>
      <c r="I946" s="972">
        <v>5</v>
      </c>
      <c r="O946" s="28"/>
    </row>
    <row r="947" spans="2:15">
      <c r="B947" s="970" t="str">
        <f>IF(Uebersetzung!$A$1=1,'SIA2001'!E653,'SIA2001'!F653)</f>
        <v>Tektalan A2-HDX (noyau)</v>
      </c>
      <c r="D947" s="69"/>
      <c r="E947" s="69"/>
      <c r="F947" s="69"/>
      <c r="G947" s="971">
        <f>'SIA2001'!J653</f>
        <v>150</v>
      </c>
      <c r="H947" s="971">
        <f>'SIA2001'!K653</f>
        <v>4.4999999999999998E-2</v>
      </c>
      <c r="I947" s="972">
        <v>5</v>
      </c>
      <c r="O947" s="28"/>
    </row>
    <row r="948" spans="2:15">
      <c r="B948" s="970" t="str">
        <f>IF(Uebersetzung!$A$1=1,'SIA2001'!E654,'SIA2001'!F654)</f>
        <v>Tektalan A2-HDX (couches)</v>
      </c>
      <c r="D948" s="69"/>
      <c r="E948" s="69"/>
      <c r="F948" s="69"/>
      <c r="G948" s="971">
        <f>'SIA2001'!J654</f>
        <v>550</v>
      </c>
      <c r="H948" s="971">
        <f>'SIA2001'!K654</f>
        <v>0.09</v>
      </c>
      <c r="I948" s="972">
        <v>5</v>
      </c>
      <c r="O948" s="28"/>
    </row>
    <row r="949" spans="2:15">
      <c r="B949" s="970" t="str">
        <f>IF(Uebersetzung!$A$1=1,'SIA2001'!E655,'SIA2001'!F655)</f>
        <v>Tektalan A2-TK-035/2 (noyau)</v>
      </c>
      <c r="D949" s="69"/>
      <c r="E949" s="69"/>
      <c r="F949" s="69"/>
      <c r="G949" s="971">
        <f>'SIA2001'!J655</f>
        <v>120</v>
      </c>
      <c r="H949" s="971">
        <f>'SIA2001'!K655</f>
        <v>3.4000000000000002E-2</v>
      </c>
      <c r="I949" s="972">
        <v>5</v>
      </c>
      <c r="O949" s="28"/>
    </row>
    <row r="950" spans="2:15">
      <c r="B950" s="970" t="str">
        <f>IF(Uebersetzung!$A$1=1,'SIA2001'!E656,'SIA2001'!F656)</f>
        <v>Tektalan A2-TK-035/2 (couche)</v>
      </c>
      <c r="D950" s="69"/>
      <c r="E950" s="69"/>
      <c r="F950" s="69"/>
      <c r="G950" s="971">
        <f>'SIA2001'!J656</f>
        <v>550</v>
      </c>
      <c r="H950" s="971">
        <f>'SIA2001'!K656</f>
        <v>8.1000000000000003E-2</v>
      </c>
      <c r="I950" s="972">
        <v>5</v>
      </c>
      <c r="O950" s="28"/>
    </row>
    <row r="951" spans="2:15">
      <c r="B951" s="970"/>
      <c r="D951" s="69"/>
      <c r="E951" s="69"/>
      <c r="F951" s="69"/>
      <c r="G951" s="971"/>
      <c r="H951" s="971"/>
      <c r="I951" s="972"/>
      <c r="O951" s="28"/>
    </row>
    <row r="952" spans="2:15">
      <c r="B952" s="71" t="str">
        <f>Uebersetzung!D642</f>
        <v>**** Panneaux isolants sous vide (VIP)****</v>
      </c>
      <c r="D952" s="69"/>
      <c r="E952" s="69"/>
      <c r="F952" s="69"/>
      <c r="G952" s="971"/>
      <c r="H952" s="971"/>
      <c r="I952" s="973"/>
      <c r="O952" s="28"/>
    </row>
    <row r="953" spans="2:15">
      <c r="B953" s="970" t="str">
        <f>IF(Uebersetzung!$A$1=1,'SIA2001'!E659,'SIA2001'!F659)</f>
        <v>SlimVac</v>
      </c>
      <c r="D953" s="69"/>
      <c r="E953" s="69"/>
      <c r="F953" s="69"/>
      <c r="G953" s="971">
        <f>'SIA2001'!J659</f>
        <v>180</v>
      </c>
      <c r="H953" s="971">
        <v>7.0000000000000001E-3</v>
      </c>
      <c r="I953" s="972">
        <v>999</v>
      </c>
      <c r="O953" s="28"/>
    </row>
    <row r="954" spans="2:15">
      <c r="B954" s="970" t="str">
        <f>IF(Uebersetzung!$A$1=1,'SIA2001'!E660,'SIA2001'!F660)</f>
        <v>swissporVIP</v>
      </c>
      <c r="D954" s="69"/>
      <c r="E954" s="69"/>
      <c r="F954" s="69"/>
      <c r="G954" s="971">
        <f>'SIA2001'!J660</f>
        <v>180</v>
      </c>
      <c r="H954" s="971">
        <v>7.0000000000000001E-3</v>
      </c>
      <c r="I954" s="972">
        <v>999</v>
      </c>
      <c r="O954" s="28"/>
    </row>
    <row r="955" spans="2:15">
      <c r="B955" s="970" t="str">
        <f>IF(Uebersetzung!$A$1=1,'SIA2001'!E661,'SIA2001'!F661)</f>
        <v>vakuVIP B2</v>
      </c>
      <c r="D955" s="69"/>
      <c r="E955" s="69"/>
      <c r="F955" s="69"/>
      <c r="G955" s="971">
        <v>190</v>
      </c>
      <c r="H955" s="971">
        <v>7.0000000000000001E-3</v>
      </c>
      <c r="I955" s="972">
        <v>999</v>
      </c>
      <c r="O955" s="28"/>
    </row>
    <row r="956" spans="2:15">
      <c r="B956" s="970"/>
      <c r="D956" s="69"/>
      <c r="E956" s="69"/>
      <c r="F956" s="69"/>
      <c r="G956" s="971"/>
      <c r="H956" s="971"/>
      <c r="I956" s="972"/>
      <c r="O956" s="28"/>
    </row>
    <row r="957" spans="2:15">
      <c r="B957" s="970" t="str">
        <f>IF(Uebersetzung!$A$1=1,'SIA2001'!E663,'SIA2001'!F663)</f>
        <v>Vacucomp S, Vacucomp P1, Vacucomp P2</v>
      </c>
      <c r="D957" s="69"/>
      <c r="E957" s="69"/>
      <c r="F957" s="69"/>
      <c r="G957" s="971">
        <v>200</v>
      </c>
      <c r="H957" s="971">
        <v>8.0000000000000002E-3</v>
      </c>
      <c r="I957" s="972">
        <v>999</v>
      </c>
      <c r="O957" s="28"/>
    </row>
    <row r="958" spans="2:15">
      <c r="B958" s="970"/>
      <c r="D958" s="69"/>
      <c r="E958" s="69"/>
      <c r="F958" s="69"/>
      <c r="G958" s="971"/>
      <c r="H958" s="971"/>
      <c r="I958" s="972"/>
      <c r="O958" s="28"/>
    </row>
    <row r="959" spans="2:15">
      <c r="B959" s="970" t="str">
        <f>IF(Uebersetzung!$A$1=1,'SIA2001'!E665,'SIA2001'!F665)</f>
        <v>Vacuspeed</v>
      </c>
      <c r="D959" s="69"/>
      <c r="E959" s="69"/>
      <c r="F959" s="69"/>
      <c r="G959" s="971">
        <v>200</v>
      </c>
      <c r="H959" s="971">
        <v>8.0000000000000002E-3</v>
      </c>
      <c r="I959" s="972">
        <v>999</v>
      </c>
      <c r="O959" s="28"/>
    </row>
    <row r="960" spans="2:15">
      <c r="B960" s="970">
        <f>IF(Uebersetzung!$A$1=1,'SIA2001'!E666,'SIA2001'!F666)</f>
        <v>0</v>
      </c>
      <c r="D960" s="69"/>
      <c r="E960" s="69"/>
      <c r="F960" s="69"/>
      <c r="G960" s="971">
        <f>'SIA2001'!J666</f>
        <v>0</v>
      </c>
      <c r="H960" s="971">
        <f>'SIA2001'!K666</f>
        <v>0</v>
      </c>
      <c r="I960" s="972">
        <f>'SIA2001'!O666</f>
        <v>0</v>
      </c>
      <c r="O960" s="28"/>
    </row>
    <row r="961" spans="2:15">
      <c r="B961" s="970"/>
      <c r="D961" s="69"/>
      <c r="E961" s="69"/>
      <c r="F961" s="69"/>
      <c r="G961" s="971"/>
      <c r="H961" s="971"/>
      <c r="I961" s="972"/>
      <c r="O961" s="28"/>
    </row>
    <row r="962" spans="2:15">
      <c r="B962" s="352" t="str">
        <f>Uebersetzung!D705</f>
        <v>**** Béton cellulaire ****</v>
      </c>
      <c r="D962" s="69"/>
      <c r="E962" s="69"/>
      <c r="F962" s="69"/>
      <c r="G962" s="971">
        <f>'SIA2001'!J668</f>
        <v>0</v>
      </c>
      <c r="H962" s="971">
        <f>'SIA2001'!K668</f>
        <v>0</v>
      </c>
      <c r="I962" s="973"/>
      <c r="O962" s="28"/>
    </row>
    <row r="963" spans="2:15">
      <c r="B963" s="970" t="str">
        <f>IF(Uebersetzung!$A$1=1,'SIA2001'!E669,'SIA2001'!F669)</f>
        <v>Multipor Mineraldämmplatte 042</v>
      </c>
      <c r="D963" s="69"/>
      <c r="E963" s="69"/>
      <c r="F963" s="69"/>
      <c r="G963" s="971">
        <f>'SIA2001'!J669</f>
        <v>95</v>
      </c>
      <c r="H963" s="971">
        <f>'SIA2001'!K669</f>
        <v>4.2000000000000003E-2</v>
      </c>
      <c r="I963" s="972">
        <v>99</v>
      </c>
      <c r="O963" s="28"/>
    </row>
    <row r="964" spans="2:15">
      <c r="B964" s="970" t="str">
        <f>IF(Uebersetzung!$A$1=1,'SIA2001'!E670,'SIA2001'!F670)</f>
        <v>Multipor Mineraldämmplatte 045</v>
      </c>
      <c r="D964" s="69"/>
      <c r="E964" s="69"/>
      <c r="F964" s="69"/>
      <c r="G964" s="971">
        <f>'SIA2001'!J670</f>
        <v>115</v>
      </c>
      <c r="H964" s="971">
        <f>'SIA2001'!K670</f>
        <v>4.4999999999999998E-2</v>
      </c>
      <c r="I964" s="972">
        <v>99</v>
      </c>
      <c r="O964" s="28"/>
    </row>
    <row r="965" spans="2:15">
      <c r="B965" s="352" t="str">
        <f>Uebersetzung!D706</f>
        <v>**** Panneaux en polystyrène, liées au ciment *****</v>
      </c>
      <c r="D965" s="69"/>
      <c r="E965" s="69"/>
      <c r="F965" s="69"/>
      <c r="G965" s="971">
        <f>'SIA2001'!J671</f>
        <v>0</v>
      </c>
      <c r="H965" s="971">
        <f>'SIA2001'!K671</f>
        <v>0</v>
      </c>
      <c r="I965" s="973"/>
      <c r="O965" s="28"/>
    </row>
    <row r="966" spans="2:15">
      <c r="B966" s="970" t="str">
        <f>IF(Uebersetzung!$A$1=1,'SIA2001'!E672,'SIA2001'!F672)</f>
        <v>3i-isolet RD 200</v>
      </c>
      <c r="D966" s="69"/>
      <c r="E966" s="69"/>
      <c r="F966" s="69"/>
      <c r="G966" s="971">
        <f>'SIA2001'!J672</f>
        <v>200</v>
      </c>
      <c r="H966" s="971">
        <f>'SIA2001'!K672</f>
        <v>6.0999999999999999E-2</v>
      </c>
      <c r="I966" s="972">
        <v>99</v>
      </c>
      <c r="O966" s="28"/>
    </row>
    <row r="967" spans="2:15">
      <c r="B967" s="970" t="str">
        <f>IF(Uebersetzung!$A$1=1,'SIA2001'!E673,'SIA2001'!F673)</f>
        <v>Prottelith panneau isolant</v>
      </c>
      <c r="D967" s="69"/>
      <c r="E967" s="69"/>
      <c r="F967" s="69"/>
      <c r="G967" s="971">
        <f>'SIA2001'!J673</f>
        <v>200</v>
      </c>
      <c r="H967" s="971">
        <f>'SIA2001'!K673</f>
        <v>0.06</v>
      </c>
      <c r="I967" s="972">
        <v>99</v>
      </c>
      <c r="O967" s="28"/>
    </row>
    <row r="968" spans="2:15">
      <c r="B968" s="970"/>
      <c r="D968" s="69"/>
      <c r="E968" s="69"/>
      <c r="F968" s="69"/>
      <c r="G968" s="971"/>
      <c r="H968" s="971"/>
      <c r="I968" s="972"/>
      <c r="O968" s="28"/>
    </row>
    <row r="969" spans="2:15">
      <c r="B969" s="352" t="str">
        <f>Uebersetzung!D707</f>
        <v>**** Produits d'isolation réfléchissants ****</v>
      </c>
      <c r="D969" s="69"/>
      <c r="E969" s="69"/>
      <c r="F969" s="69"/>
      <c r="G969" s="971">
        <f>'SIA2001'!J675</f>
        <v>0</v>
      </c>
      <c r="H969" s="971">
        <f>'SIA2001'!K675</f>
        <v>0</v>
      </c>
      <c r="I969" s="973"/>
      <c r="O969" s="28"/>
    </row>
    <row r="970" spans="2:15">
      <c r="B970" s="970"/>
      <c r="D970" s="69"/>
      <c r="E970" s="69"/>
      <c r="F970" s="69"/>
      <c r="G970" s="971"/>
      <c r="H970" s="971"/>
      <c r="I970" s="972"/>
      <c r="O970" s="28"/>
    </row>
    <row r="971" spans="2:15">
      <c r="B971" s="970"/>
      <c r="D971" s="69"/>
      <c r="E971" s="69"/>
      <c r="F971" s="69"/>
      <c r="G971" s="971"/>
      <c r="H971" s="971"/>
      <c r="I971" s="972"/>
      <c r="O971" s="28"/>
    </row>
    <row r="972" spans="2:15">
      <c r="B972" s="970"/>
      <c r="D972" s="69"/>
      <c r="E972" s="69"/>
      <c r="F972" s="69"/>
      <c r="G972" s="971"/>
      <c r="H972" s="971"/>
      <c r="I972" s="972"/>
      <c r="O972" s="28"/>
    </row>
    <row r="973" spans="2:15">
      <c r="B973" s="970"/>
      <c r="D973" s="69"/>
      <c r="E973" s="69"/>
      <c r="F973" s="69"/>
      <c r="G973" s="971"/>
      <c r="H973" s="971"/>
      <c r="I973" s="972"/>
      <c r="O973" s="28"/>
    </row>
    <row r="974" spans="2:15">
      <c r="B974" s="970"/>
      <c r="D974" s="69"/>
      <c r="E974" s="69"/>
      <c r="F974" s="69"/>
      <c r="G974" s="971"/>
      <c r="H974" s="971"/>
      <c r="I974" s="972"/>
      <c r="O974" s="28"/>
    </row>
    <row r="975" spans="2:15">
      <c r="B975" s="352" t="str">
        <f>Uebersetzung!D708</f>
        <v>**** Crépis et enduits isolants ****</v>
      </c>
      <c r="D975" s="69"/>
      <c r="E975" s="69"/>
      <c r="F975" s="69"/>
      <c r="G975" s="971"/>
      <c r="H975" s="971"/>
      <c r="I975" s="973"/>
      <c r="O975" s="28"/>
    </row>
    <row r="976" spans="2:15">
      <c r="B976" s="970" t="str">
        <f>IF(Uebersetzung!$A$1=1,'SIA2001'!E682,'SIA2001'!F682)</f>
        <v>Fixit 222 Aerogel Hochleistungsdämmputz</v>
      </c>
      <c r="D976" s="69"/>
      <c r="E976" s="69"/>
      <c r="F976" s="69"/>
      <c r="G976" s="971">
        <v>200</v>
      </c>
      <c r="H976" s="971">
        <v>2.8000000000000001E-2</v>
      </c>
      <c r="I976" s="972">
        <v>50</v>
      </c>
      <c r="O976" s="28"/>
    </row>
    <row r="977" spans="2:15">
      <c r="B977" s="352" t="str">
        <f>Uebersetzung!D709</f>
        <v>**** Isolants thermiques moussés in situ ****</v>
      </c>
      <c r="D977" s="69"/>
      <c r="E977" s="69"/>
      <c r="F977" s="69"/>
      <c r="G977" s="971"/>
      <c r="H977" s="971"/>
      <c r="I977" s="973"/>
      <c r="O977" s="28"/>
    </row>
    <row r="978" spans="2:15">
      <c r="B978" s="970" t="str">
        <f>IF(Uebersetzung!$A$1=1,'SIA2001'!E684,'SIA2001'!F684)</f>
        <v>Spritzschaum Elastospray 1622/1</v>
      </c>
      <c r="D978" s="69"/>
      <c r="E978" s="69"/>
      <c r="F978" s="69"/>
      <c r="G978" s="971">
        <v>15</v>
      </c>
      <c r="H978" s="971">
        <v>3.7999999999999999E-2</v>
      </c>
      <c r="I978" s="1052">
        <v>40</v>
      </c>
      <c r="O978" s="28"/>
    </row>
    <row r="979" spans="2:15">
      <c r="B979" s="970" t="str">
        <f>IF(Uebersetzung!$A$1=1,'SIA2001'!E685,'SIA2001'!F685)</f>
        <v>Spritzschaum Elastospray 1622/1</v>
      </c>
      <c r="D979" s="69"/>
      <c r="E979" s="69"/>
      <c r="F979" s="69"/>
      <c r="G979" s="971">
        <v>20</v>
      </c>
      <c r="H979" s="971">
        <v>3.5999999999999997E-2</v>
      </c>
      <c r="I979" s="1052">
        <v>50</v>
      </c>
      <c r="O979" s="28"/>
    </row>
    <row r="980" spans="2:15">
      <c r="B980" s="970" t="str">
        <f>IF(Uebersetzung!$A$1=1,'SIA2001'!E686,'SIA2001'!F686)</f>
        <v>Spritzschaum Elastospray 1622/1</v>
      </c>
      <c r="D980" s="69"/>
      <c r="E980" s="69"/>
      <c r="F980" s="69"/>
      <c r="G980" s="971">
        <v>15</v>
      </c>
      <c r="H980" s="971">
        <v>3.1E-2</v>
      </c>
      <c r="I980" s="1052">
        <v>40</v>
      </c>
      <c r="O980" s="28"/>
    </row>
    <row r="981" spans="2:15">
      <c r="B981" s="2045"/>
      <c r="C981" s="2045"/>
      <c r="D981" s="2045"/>
      <c r="E981" s="2045"/>
      <c r="F981" s="2046"/>
      <c r="G981" s="362"/>
      <c r="H981" s="362"/>
      <c r="I981" s="1471"/>
      <c r="O981" s="28"/>
    </row>
    <row r="982" spans="2:15">
      <c r="B982" s="2045"/>
      <c r="C982" s="2045"/>
      <c r="D982" s="2045"/>
      <c r="E982" s="2045"/>
      <c r="F982" s="2046"/>
      <c r="G982" s="362"/>
      <c r="H982" s="362"/>
      <c r="I982" s="1471"/>
      <c r="O982" s="28"/>
    </row>
    <row r="983" spans="2:15">
      <c r="B983" s="2045"/>
      <c r="C983" s="2045"/>
      <c r="D983" s="2045"/>
      <c r="E983" s="2045"/>
      <c r="F983" s="2046"/>
      <c r="G983" s="362"/>
      <c r="H983" s="362"/>
      <c r="I983" s="1471"/>
      <c r="O983" s="28"/>
    </row>
    <row r="984" spans="2:15">
      <c r="B984" s="2544"/>
      <c r="C984" s="2544"/>
      <c r="D984" s="2544"/>
      <c r="E984" s="2544"/>
      <c r="F984" s="2545"/>
      <c r="G984" s="362"/>
      <c r="H984" s="362"/>
      <c r="I984" s="1471"/>
      <c r="O984" s="28"/>
    </row>
    <row r="985" spans="2:15">
      <c r="B985" s="2544"/>
      <c r="C985" s="2544"/>
      <c r="D985" s="2544"/>
      <c r="E985" s="2544"/>
      <c r="F985" s="2545"/>
      <c r="G985" s="362"/>
      <c r="H985" s="362"/>
      <c r="I985" s="1471"/>
      <c r="O985" s="28"/>
    </row>
    <row r="986" spans="2:15">
      <c r="B986" s="2544"/>
      <c r="C986" s="2544"/>
      <c r="D986" s="2544"/>
      <c r="E986" s="2544"/>
      <c r="F986" s="2545"/>
      <c r="G986" s="362"/>
      <c r="H986" s="362"/>
      <c r="I986" s="1471"/>
      <c r="O986" s="28"/>
    </row>
    <row r="987" spans="2:15">
      <c r="B987" s="2544"/>
      <c r="C987" s="2544"/>
      <c r="D987" s="2544"/>
      <c r="E987" s="2544"/>
      <c r="F987" s="2545"/>
      <c r="G987" s="362"/>
      <c r="H987" s="362"/>
      <c r="I987" s="1471"/>
      <c r="O987" s="28"/>
    </row>
    <row r="988" spans="2:15">
      <c r="B988" s="2544"/>
      <c r="C988" s="2544"/>
      <c r="D988" s="2544"/>
      <c r="E988" s="2544"/>
      <c r="F988" s="2545"/>
      <c r="G988" s="362"/>
      <c r="H988" s="362"/>
      <c r="I988" s="1471"/>
      <c r="O988" s="28"/>
    </row>
    <row r="989" spans="2:15">
      <c r="B989" s="2544"/>
      <c r="C989" s="2544"/>
      <c r="D989" s="2544"/>
      <c r="E989" s="2544"/>
      <c r="F989" s="2545"/>
      <c r="G989" s="362"/>
      <c r="H989" s="362"/>
      <c r="I989" s="1471"/>
      <c r="O989" s="28"/>
    </row>
    <row r="990" spans="2:15">
      <c r="B990" s="2544"/>
      <c r="C990" s="2544"/>
      <c r="D990" s="2544"/>
      <c r="E990" s="2544"/>
      <c r="F990" s="2545"/>
      <c r="G990" s="362"/>
      <c r="H990" s="362"/>
      <c r="I990" s="1471"/>
      <c r="O990" s="28"/>
    </row>
    <row r="991" spans="2:15">
      <c r="B991" s="2544"/>
      <c r="C991" s="2544"/>
      <c r="D991" s="2544"/>
      <c r="E991" s="2544"/>
      <c r="F991" s="2545"/>
      <c r="G991" s="362"/>
      <c r="H991" s="362"/>
      <c r="I991" s="1471"/>
      <c r="O991" s="28"/>
    </row>
    <row r="992" spans="2:15">
      <c r="B992" s="2544"/>
      <c r="C992" s="2544"/>
      <c r="D992" s="2544"/>
      <c r="E992" s="2544"/>
      <c r="F992" s="2545"/>
      <c r="G992" s="362"/>
      <c r="H992" s="362"/>
      <c r="I992" s="1471"/>
      <c r="O992" s="28"/>
    </row>
    <row r="993" spans="2:15">
      <c r="B993" s="2544"/>
      <c r="C993" s="2544"/>
      <c r="D993" s="2544"/>
      <c r="E993" s="2544"/>
      <c r="F993" s="2545"/>
      <c r="G993" s="362"/>
      <c r="H993" s="362"/>
      <c r="I993" s="1471"/>
      <c r="O993" s="28"/>
    </row>
    <row r="994" spans="2:15">
      <c r="B994" s="2544"/>
      <c r="C994" s="2544"/>
      <c r="D994" s="2544"/>
      <c r="E994" s="2544"/>
      <c r="F994" s="2545"/>
      <c r="G994" s="362"/>
      <c r="H994" s="362"/>
      <c r="I994" s="1471"/>
      <c r="O994" s="28"/>
    </row>
    <row r="995" spans="2:15">
      <c r="B995" s="2544"/>
      <c r="C995" s="2544"/>
      <c r="D995" s="2544"/>
      <c r="E995" s="2544"/>
      <c r="F995" s="2545"/>
      <c r="G995" s="362"/>
      <c r="H995" s="362"/>
      <c r="I995" s="1471"/>
      <c r="O995" s="28"/>
    </row>
    <row r="996" spans="2:15">
      <c r="B996" s="2544"/>
      <c r="C996" s="2544"/>
      <c r="D996" s="2544"/>
      <c r="E996" s="2544"/>
      <c r="F996" s="2545"/>
      <c r="G996" s="362"/>
      <c r="H996" s="362"/>
      <c r="I996" s="1471"/>
      <c r="O996" s="28"/>
    </row>
    <row r="997" spans="2:15">
      <c r="B997" s="2544"/>
      <c r="C997" s="2544"/>
      <c r="D997" s="2544"/>
      <c r="E997" s="2544"/>
      <c r="F997" s="2545"/>
      <c r="G997" s="362"/>
      <c r="H997" s="362"/>
      <c r="I997" s="1471"/>
      <c r="O997" s="28"/>
    </row>
    <row r="998" spans="2:15">
      <c r="B998" s="2544"/>
      <c r="C998" s="2544"/>
      <c r="D998" s="2544"/>
      <c r="E998" s="2544"/>
      <c r="F998" s="2545"/>
      <c r="G998" s="362"/>
      <c r="H998" s="362"/>
      <c r="I998" s="1471"/>
      <c r="O998" s="28"/>
    </row>
    <row r="999" spans="2:15">
      <c r="B999" s="2544"/>
      <c r="C999" s="2544"/>
      <c r="D999" s="2544"/>
      <c r="E999" s="2544"/>
      <c r="F999" s="2545"/>
      <c r="G999" s="362"/>
      <c r="H999" s="362"/>
      <c r="I999" s="1471"/>
      <c r="O999" s="28"/>
    </row>
    <row r="1000" spans="2:15">
      <c r="B1000" s="2544"/>
      <c r="C1000" s="2544"/>
      <c r="D1000" s="2544"/>
      <c r="E1000" s="2544"/>
      <c r="F1000" s="2545"/>
      <c r="G1000" s="362"/>
      <c r="H1000" s="362"/>
      <c r="I1000" s="1471"/>
      <c r="O1000" s="28"/>
    </row>
    <row r="1001" spans="2:15">
      <c r="B1001" s="2544"/>
      <c r="C1001" s="2544"/>
      <c r="D1001" s="2544"/>
      <c r="E1001" s="2544"/>
      <c r="F1001" s="2545"/>
      <c r="G1001" s="362"/>
      <c r="H1001" s="362"/>
      <c r="I1001" s="1471"/>
      <c r="O1001" s="28"/>
    </row>
    <row r="1002" spans="2:15">
      <c r="B1002" s="2544"/>
      <c r="C1002" s="2544"/>
      <c r="D1002" s="2544"/>
      <c r="E1002" s="2544"/>
      <c r="F1002" s="2545"/>
      <c r="G1002" s="362"/>
      <c r="H1002" s="362"/>
      <c r="I1002" s="1471"/>
      <c r="O1002" s="28"/>
    </row>
    <row r="1003" spans="2:15">
      <c r="B1003" s="2544"/>
      <c r="C1003" s="2544"/>
      <c r="D1003" s="2544"/>
      <c r="E1003" s="2544"/>
      <c r="F1003" s="2545"/>
      <c r="G1003" s="362"/>
      <c r="H1003" s="362"/>
      <c r="I1003" s="1471"/>
      <c r="O1003" s="28"/>
    </row>
    <row r="1004" spans="2:15">
      <c r="B1004" s="2544"/>
      <c r="C1004" s="2544"/>
      <c r="D1004" s="2544"/>
      <c r="E1004" s="2544"/>
      <c r="F1004" s="2545"/>
      <c r="G1004" s="362"/>
      <c r="H1004" s="362"/>
      <c r="I1004" s="1471"/>
      <c r="O1004" s="28"/>
    </row>
    <row r="1005" spans="2:15">
      <c r="B1005" s="2544"/>
      <c r="C1005" s="2544"/>
      <c r="D1005" s="2544"/>
      <c r="E1005" s="2544"/>
      <c r="F1005" s="2545"/>
      <c r="G1005" s="362"/>
      <c r="H1005" s="362"/>
      <c r="I1005" s="1471"/>
      <c r="O1005" s="28"/>
    </row>
    <row r="1006" spans="2:15">
      <c r="B1006" s="2544"/>
      <c r="C1006" s="2544"/>
      <c r="D1006" s="2544"/>
      <c r="E1006" s="2544"/>
      <c r="F1006" s="2545"/>
      <c r="G1006" s="362"/>
      <c r="H1006" s="362"/>
      <c r="I1006" s="1471"/>
      <c r="O1006" s="28"/>
    </row>
    <row r="1007" spans="2:15">
      <c r="B1007" s="2544"/>
      <c r="C1007" s="2544"/>
      <c r="D1007" s="2544"/>
      <c r="E1007" s="2544"/>
      <c r="F1007" s="2545"/>
      <c r="G1007" s="362"/>
      <c r="H1007" s="362"/>
      <c r="I1007" s="1471"/>
      <c r="O1007" s="28"/>
    </row>
    <row r="1008" spans="2:15">
      <c r="B1008" s="2544"/>
      <c r="C1008" s="2544"/>
      <c r="D1008" s="2544"/>
      <c r="E1008" s="2544"/>
      <c r="F1008" s="2545"/>
      <c r="G1008" s="362"/>
      <c r="H1008" s="362"/>
      <c r="I1008" s="1471"/>
      <c r="O1008" s="28"/>
    </row>
    <row r="1009" spans="2:15">
      <c r="B1009" s="2544"/>
      <c r="C1009" s="2544"/>
      <c r="D1009" s="2544"/>
      <c r="E1009" s="2544"/>
      <c r="F1009" s="2545"/>
      <c r="G1009" s="362"/>
      <c r="H1009" s="362"/>
      <c r="I1009" s="1471"/>
      <c r="O1009" s="28"/>
    </row>
    <row r="1010" spans="2:15">
      <c r="B1010" s="2544"/>
      <c r="C1010" s="2544"/>
      <c r="D1010" s="2544"/>
      <c r="E1010" s="2544"/>
      <c r="F1010" s="2545"/>
      <c r="G1010" s="362"/>
      <c r="H1010" s="362"/>
      <c r="I1010" s="1471"/>
      <c r="O1010" s="28"/>
    </row>
    <row r="1011" spans="2:15">
      <c r="O1011" s="28"/>
    </row>
    <row r="1012" spans="2:15">
      <c r="O1012" s="28"/>
    </row>
    <row r="1013" spans="2:15">
      <c r="O1013" s="28"/>
    </row>
    <row r="1014" spans="2:15">
      <c r="O1014" s="28"/>
    </row>
    <row r="1015" spans="2:15">
      <c r="O1015" s="28"/>
    </row>
    <row r="1016" spans="2:15">
      <c r="O1016" s="28"/>
    </row>
    <row r="1017" spans="2:15">
      <c r="O1017" s="28"/>
    </row>
    <row r="1018" spans="2:15">
      <c r="O1018" s="28"/>
    </row>
    <row r="1019" spans="2:15">
      <c r="O1019" s="28"/>
    </row>
    <row r="1020" spans="2:15">
      <c r="O1020" s="28"/>
    </row>
    <row r="1021" spans="2:15">
      <c r="O1021" s="28"/>
    </row>
    <row r="1022" spans="2:15">
      <c r="O1022" s="28"/>
    </row>
    <row r="1023" spans="2:15">
      <c r="O1023" s="28"/>
    </row>
    <row r="1024" spans="2:15">
      <c r="O1024" s="28"/>
    </row>
    <row r="1025" spans="15:15">
      <c r="O1025" s="28"/>
    </row>
    <row r="1026" spans="15:15">
      <c r="O1026" s="28"/>
    </row>
    <row r="1027" spans="15:15">
      <c r="O1027" s="28"/>
    </row>
    <row r="1028" spans="15:15">
      <c r="O1028" s="28"/>
    </row>
    <row r="1029" spans="15:15">
      <c r="O1029" s="28"/>
    </row>
    <row r="1030" spans="15:15">
      <c r="O1030" s="28"/>
    </row>
    <row r="1031" spans="15:15">
      <c r="O1031" s="28"/>
    </row>
    <row r="1032" spans="15:15">
      <c r="O1032" s="28"/>
    </row>
    <row r="1033" spans="15:15">
      <c r="O1033" s="28"/>
    </row>
    <row r="1034" spans="15:15">
      <c r="O1034" s="28"/>
    </row>
    <row r="1035" spans="15:15">
      <c r="O1035" s="28"/>
    </row>
    <row r="1036" spans="15:15">
      <c r="O1036" s="28"/>
    </row>
    <row r="1037" spans="15:15">
      <c r="O1037" s="28"/>
    </row>
    <row r="1038" spans="15:15">
      <c r="O1038" s="28"/>
    </row>
    <row r="1039" spans="15:15">
      <c r="O1039" s="28"/>
    </row>
    <row r="1040" spans="15:15">
      <c r="O1040" s="28"/>
    </row>
    <row r="1041" spans="15:15">
      <c r="O1041" s="28"/>
    </row>
    <row r="1042" spans="15:15">
      <c r="O1042" s="28"/>
    </row>
    <row r="1043" spans="15:15">
      <c r="O1043" s="28"/>
    </row>
    <row r="1044" spans="15:15">
      <c r="O1044" s="28"/>
    </row>
    <row r="1045" spans="15:15">
      <c r="O1045" s="28"/>
    </row>
    <row r="1046" spans="15:15">
      <c r="O1046" s="28"/>
    </row>
    <row r="1047" spans="15:15">
      <c r="O1047" s="28"/>
    </row>
    <row r="1048" spans="15:15">
      <c r="O1048" s="28"/>
    </row>
    <row r="1049" spans="15:15">
      <c r="O1049" s="28"/>
    </row>
    <row r="1050" spans="15:15">
      <c r="O1050" s="28"/>
    </row>
    <row r="1051" spans="15:15">
      <c r="O1051" s="28"/>
    </row>
    <row r="1052" spans="15:15">
      <c r="O1052" s="28"/>
    </row>
    <row r="1053" spans="15:15">
      <c r="O1053" s="28"/>
    </row>
    <row r="1054" spans="15:15">
      <c r="O1054" s="28"/>
    </row>
    <row r="1055" spans="15:15">
      <c r="O1055" s="28"/>
    </row>
    <row r="1056" spans="15:15">
      <c r="O1056" s="28"/>
    </row>
    <row r="1057" spans="15:15">
      <c r="O1057" s="28"/>
    </row>
    <row r="1058" spans="15:15">
      <c r="O1058" s="28"/>
    </row>
    <row r="1059" spans="15:15">
      <c r="O1059" s="28"/>
    </row>
    <row r="1060" spans="15:15">
      <c r="O1060" s="28"/>
    </row>
    <row r="1061" spans="15:15">
      <c r="O1061" s="28"/>
    </row>
    <row r="1062" spans="15:15">
      <c r="O1062" s="28"/>
    </row>
    <row r="1063" spans="15:15">
      <c r="O1063" s="28"/>
    </row>
    <row r="1064" spans="15:15">
      <c r="O1064" s="28"/>
    </row>
    <row r="1065" spans="15:15">
      <c r="O1065" s="28"/>
    </row>
    <row r="1066" spans="15:15">
      <c r="O1066" s="28"/>
    </row>
    <row r="1067" spans="15:15">
      <c r="O1067" s="28"/>
    </row>
    <row r="1068" spans="15:15">
      <c r="O1068" s="28"/>
    </row>
    <row r="1069" spans="15:15">
      <c r="O1069" s="28"/>
    </row>
    <row r="1070" spans="15:15">
      <c r="O1070" s="28"/>
    </row>
    <row r="1071" spans="15:15">
      <c r="O1071" s="28"/>
    </row>
    <row r="1072" spans="15:15">
      <c r="O1072" s="28"/>
    </row>
    <row r="1073" spans="15:15">
      <c r="O1073" s="28"/>
    </row>
    <row r="1074" spans="15:15">
      <c r="O1074" s="28"/>
    </row>
    <row r="1075" spans="15:15">
      <c r="O1075" s="28"/>
    </row>
    <row r="1076" spans="15:15">
      <c r="O1076" s="28"/>
    </row>
    <row r="1077" spans="15:15">
      <c r="O1077" s="28"/>
    </row>
    <row r="1078" spans="15:15">
      <c r="O1078" s="28"/>
    </row>
    <row r="1079" spans="15:15">
      <c r="O1079" s="28"/>
    </row>
    <row r="1080" spans="15:15">
      <c r="O1080" s="28"/>
    </row>
    <row r="1081" spans="15:15">
      <c r="O1081" s="28"/>
    </row>
    <row r="1082" spans="15:15">
      <c r="O1082" s="28"/>
    </row>
    <row r="1083" spans="15:15">
      <c r="O1083" s="28"/>
    </row>
    <row r="1084" spans="15:15">
      <c r="O1084" s="28"/>
    </row>
    <row r="1085" spans="15:15">
      <c r="O1085" s="28"/>
    </row>
    <row r="1086" spans="15:15">
      <c r="O1086" s="28"/>
    </row>
    <row r="1087" spans="15:15">
      <c r="O1087" s="28"/>
    </row>
    <row r="1088" spans="15:15">
      <c r="O1088" s="28"/>
    </row>
    <row r="1089" spans="15:15">
      <c r="O1089" s="28"/>
    </row>
    <row r="1090" spans="15:15">
      <c r="O1090" s="28"/>
    </row>
    <row r="1091" spans="15:15">
      <c r="O1091" s="28"/>
    </row>
    <row r="1092" spans="15:15">
      <c r="O1092" s="28"/>
    </row>
    <row r="1093" spans="15:15">
      <c r="O1093" s="28"/>
    </row>
    <row r="1094" spans="15:15">
      <c r="O1094" s="28"/>
    </row>
    <row r="1095" spans="15:15">
      <c r="O1095" s="28"/>
    </row>
    <row r="1096" spans="15:15">
      <c r="O1096" s="28"/>
    </row>
    <row r="1097" spans="15:15">
      <c r="O1097" s="28"/>
    </row>
    <row r="1098" spans="15:15">
      <c r="O1098" s="28"/>
    </row>
    <row r="1099" spans="15:15">
      <c r="O1099" s="28"/>
    </row>
    <row r="1100" spans="15:15">
      <c r="O1100" s="28"/>
    </row>
    <row r="1101" spans="15:15">
      <c r="O1101" s="28"/>
    </row>
    <row r="1102" spans="15:15">
      <c r="O1102" s="28"/>
    </row>
    <row r="1103" spans="15:15">
      <c r="O1103" s="28"/>
    </row>
    <row r="1104" spans="15:15">
      <c r="O1104" s="28"/>
    </row>
    <row r="1105" spans="15:15">
      <c r="O1105" s="28"/>
    </row>
    <row r="1106" spans="15:15">
      <c r="O1106" s="28"/>
    </row>
    <row r="1107" spans="15:15">
      <c r="O1107" s="28"/>
    </row>
    <row r="1108" spans="15:15">
      <c r="O1108" s="28"/>
    </row>
    <row r="1109" spans="15:15">
      <c r="O1109" s="28"/>
    </row>
    <row r="1110" spans="15:15">
      <c r="O1110" s="28"/>
    </row>
    <row r="1111" spans="15:15">
      <c r="O1111" s="28"/>
    </row>
    <row r="1112" spans="15:15">
      <c r="O1112" s="28"/>
    </row>
    <row r="1113" spans="15:15">
      <c r="O1113" s="28"/>
    </row>
    <row r="1114" spans="15:15">
      <c r="O1114" s="28"/>
    </row>
    <row r="1115" spans="15:15">
      <c r="O1115" s="28"/>
    </row>
    <row r="1116" spans="15:15">
      <c r="O1116" s="28"/>
    </row>
    <row r="1117" spans="15:15">
      <c r="O1117" s="28"/>
    </row>
    <row r="1118" spans="15:15">
      <c r="O1118" s="28"/>
    </row>
    <row r="1119" spans="15:15">
      <c r="O1119" s="28"/>
    </row>
    <row r="1120" spans="15:15">
      <c r="O1120" s="28"/>
    </row>
    <row r="1121" spans="15:15">
      <c r="O1121" s="28"/>
    </row>
    <row r="1122" spans="15:15">
      <c r="O1122" s="28"/>
    </row>
    <row r="1123" spans="15:15">
      <c r="O1123" s="28"/>
    </row>
    <row r="1124" spans="15:15">
      <c r="O1124" s="28"/>
    </row>
    <row r="1125" spans="15:15">
      <c r="O1125" s="28"/>
    </row>
    <row r="1126" spans="15:15">
      <c r="O1126" s="28"/>
    </row>
    <row r="1127" spans="15:15">
      <c r="O1127" s="28"/>
    </row>
    <row r="1128" spans="15:15">
      <c r="O1128" s="28"/>
    </row>
    <row r="1129" spans="15:15">
      <c r="O1129" s="28"/>
    </row>
    <row r="1130" spans="15:15">
      <c r="O1130" s="28"/>
    </row>
    <row r="1131" spans="15:15">
      <c r="O1131" s="28"/>
    </row>
    <row r="1132" spans="15:15">
      <c r="O1132" s="28"/>
    </row>
    <row r="1133" spans="15:15">
      <c r="O1133" s="28"/>
    </row>
    <row r="1134" spans="15:15">
      <c r="O1134" s="28"/>
    </row>
    <row r="1135" spans="15:15">
      <c r="O1135" s="28"/>
    </row>
    <row r="1136" spans="15:15">
      <c r="O1136" s="28"/>
    </row>
    <row r="1137" spans="15:15">
      <c r="O1137" s="28"/>
    </row>
    <row r="1138" spans="15:15">
      <c r="O1138" s="28"/>
    </row>
    <row r="1139" spans="15:15">
      <c r="O1139" s="28"/>
    </row>
    <row r="1140" spans="15:15">
      <c r="O1140" s="28"/>
    </row>
    <row r="1141" spans="15:15">
      <c r="O1141" s="28"/>
    </row>
    <row r="1142" spans="15:15">
      <c r="O1142" s="28"/>
    </row>
    <row r="1143" spans="15:15">
      <c r="O1143" s="28"/>
    </row>
    <row r="1144" spans="15:15">
      <c r="O1144" s="28"/>
    </row>
    <row r="1145" spans="15:15">
      <c r="O1145" s="28"/>
    </row>
    <row r="1146" spans="15:15">
      <c r="O1146" s="28"/>
    </row>
    <row r="1147" spans="15:15">
      <c r="O1147" s="28"/>
    </row>
    <row r="1148" spans="15:15">
      <c r="O1148" s="28"/>
    </row>
    <row r="1149" spans="15:15">
      <c r="O1149" s="28"/>
    </row>
    <row r="1150" spans="15:15">
      <c r="O1150" s="28"/>
    </row>
    <row r="1151" spans="15:15">
      <c r="O1151" s="28"/>
    </row>
    <row r="1152" spans="15:15">
      <c r="O1152" s="28"/>
    </row>
    <row r="1153" spans="15:15">
      <c r="O1153" s="28"/>
    </row>
    <row r="1154" spans="15:15">
      <c r="O1154" s="28"/>
    </row>
    <row r="1155" spans="15:15">
      <c r="O1155" s="28"/>
    </row>
    <row r="1156" spans="15:15">
      <c r="O1156" s="28"/>
    </row>
    <row r="1157" spans="15:15">
      <c r="O1157" s="28"/>
    </row>
    <row r="1158" spans="15:15">
      <c r="O1158" s="28"/>
    </row>
    <row r="1159" spans="15:15">
      <c r="O1159" s="28"/>
    </row>
    <row r="1160" spans="15:15">
      <c r="O1160" s="28"/>
    </row>
    <row r="1161" spans="15:15">
      <c r="O1161" s="28"/>
    </row>
    <row r="1162" spans="15:15">
      <c r="O1162" s="28"/>
    </row>
    <row r="1163" spans="15:15">
      <c r="O1163" s="28"/>
    </row>
    <row r="1164" spans="15:15">
      <c r="O1164" s="28"/>
    </row>
    <row r="1165" spans="15:15">
      <c r="O1165" s="28"/>
    </row>
    <row r="1166" spans="15:15">
      <c r="O1166" s="28"/>
    </row>
    <row r="1167" spans="15:15">
      <c r="O1167" s="28"/>
    </row>
    <row r="1168" spans="15:15">
      <c r="O1168" s="28"/>
    </row>
    <row r="1169" spans="15:15">
      <c r="O1169" s="28"/>
    </row>
    <row r="1170" spans="15:15">
      <c r="O1170" s="28"/>
    </row>
    <row r="1171" spans="15:15">
      <c r="O1171" s="28"/>
    </row>
    <row r="1172" spans="15:15">
      <c r="O1172" s="28"/>
    </row>
    <row r="1173" spans="15:15">
      <c r="O1173" s="28"/>
    </row>
    <row r="1174" spans="15:15">
      <c r="O1174" s="28"/>
    </row>
    <row r="1175" spans="15:15">
      <c r="O1175" s="28"/>
    </row>
    <row r="1176" spans="15:15">
      <c r="O1176" s="28"/>
    </row>
    <row r="1177" spans="15:15">
      <c r="O1177" s="28"/>
    </row>
    <row r="1178" spans="15:15">
      <c r="O1178" s="28"/>
    </row>
    <row r="1179" spans="15:15">
      <c r="O1179" s="28"/>
    </row>
    <row r="1180" spans="15:15">
      <c r="O1180" s="28"/>
    </row>
    <row r="1181" spans="15:15">
      <c r="O1181" s="28"/>
    </row>
    <row r="1182" spans="15:15">
      <c r="O1182" s="28"/>
    </row>
    <row r="1183" spans="15:15">
      <c r="O1183" s="28"/>
    </row>
    <row r="1184" spans="15:15">
      <c r="O1184" s="28"/>
    </row>
    <row r="1185" spans="15:15">
      <c r="O1185" s="28"/>
    </row>
    <row r="1186" spans="15:15">
      <c r="O1186" s="28"/>
    </row>
    <row r="1187" spans="15:15">
      <c r="O1187" s="28"/>
    </row>
    <row r="1188" spans="15:15">
      <c r="O1188" s="28"/>
    </row>
    <row r="1189" spans="15:15">
      <c r="O1189" s="28"/>
    </row>
    <row r="1190" spans="15:15">
      <c r="O1190" s="28"/>
    </row>
    <row r="1191" spans="15:15">
      <c r="O1191" s="28"/>
    </row>
    <row r="1192" spans="15:15">
      <c r="O1192" s="28"/>
    </row>
    <row r="1193" spans="15:15">
      <c r="O1193" s="28"/>
    </row>
    <row r="1194" spans="15:15">
      <c r="O1194" s="28"/>
    </row>
    <row r="1195" spans="15:15">
      <c r="O1195" s="28"/>
    </row>
    <row r="1196" spans="15:15">
      <c r="O1196" s="28"/>
    </row>
    <row r="1197" spans="15:15">
      <c r="O1197" s="28"/>
    </row>
    <row r="1198" spans="15:15">
      <c r="O1198" s="28"/>
    </row>
    <row r="1199" spans="15:15">
      <c r="O1199" s="28"/>
    </row>
    <row r="1200" spans="15:15">
      <c r="O1200" s="28"/>
    </row>
    <row r="1201" spans="15:15">
      <c r="O1201" s="28"/>
    </row>
    <row r="1202" spans="15:15">
      <c r="O1202" s="28"/>
    </row>
    <row r="1203" spans="15:15">
      <c r="O1203" s="28"/>
    </row>
    <row r="1204" spans="15:15">
      <c r="O1204" s="28"/>
    </row>
    <row r="1205" spans="15:15">
      <c r="O1205" s="28"/>
    </row>
    <row r="1206" spans="15:15">
      <c r="O1206" s="28"/>
    </row>
    <row r="1207" spans="15:15">
      <c r="O1207" s="28"/>
    </row>
    <row r="1208" spans="15:15">
      <c r="O1208" s="28"/>
    </row>
    <row r="1209" spans="15:15">
      <c r="O1209" s="28"/>
    </row>
    <row r="1210" spans="15:15">
      <c r="O1210" s="28"/>
    </row>
    <row r="1211" spans="15:15">
      <c r="O1211" s="28"/>
    </row>
    <row r="1212" spans="15:15">
      <c r="O1212" s="28"/>
    </row>
    <row r="1213" spans="15:15">
      <c r="O1213" s="28"/>
    </row>
    <row r="1214" spans="15:15">
      <c r="O1214" s="28"/>
    </row>
    <row r="1215" spans="15:15">
      <c r="O1215" s="28"/>
    </row>
    <row r="1216" spans="15:15">
      <c r="O1216" s="28"/>
    </row>
    <row r="1217" spans="15:15">
      <c r="O1217" s="28"/>
    </row>
    <row r="1218" spans="15:15">
      <c r="O1218" s="28"/>
    </row>
    <row r="1219" spans="15:15">
      <c r="O1219" s="28"/>
    </row>
    <row r="1220" spans="15:15">
      <c r="O1220" s="28"/>
    </row>
    <row r="1221" spans="15:15">
      <c r="O1221" s="28"/>
    </row>
    <row r="1222" spans="15:15">
      <c r="O1222" s="28"/>
    </row>
    <row r="1223" spans="15:15">
      <c r="O1223" s="28"/>
    </row>
    <row r="1224" spans="15:15">
      <c r="O1224" s="28"/>
    </row>
    <row r="1225" spans="15:15">
      <c r="O1225" s="28"/>
    </row>
    <row r="1226" spans="15:15">
      <c r="O1226" s="28"/>
    </row>
    <row r="1227" spans="15:15">
      <c r="O1227" s="28"/>
    </row>
    <row r="1228" spans="15:15">
      <c r="O1228" s="28"/>
    </row>
    <row r="1229" spans="15:15">
      <c r="O1229" s="28"/>
    </row>
    <row r="1230" spans="15:15">
      <c r="O1230" s="28"/>
    </row>
    <row r="1231" spans="15:15">
      <c r="O1231" s="28"/>
    </row>
    <row r="1232" spans="15:15">
      <c r="O1232" s="28"/>
    </row>
    <row r="1233" spans="15:15">
      <c r="O1233" s="28"/>
    </row>
    <row r="1234" spans="15:15">
      <c r="O1234" s="28"/>
    </row>
    <row r="1235" spans="15:15">
      <c r="O1235" s="28"/>
    </row>
    <row r="1236" spans="15:15">
      <c r="O1236" s="28"/>
    </row>
    <row r="1237" spans="15:15">
      <c r="O1237" s="28"/>
    </row>
    <row r="1238" spans="15:15">
      <c r="O1238" s="28"/>
    </row>
    <row r="1239" spans="15:15">
      <c r="O1239" s="28"/>
    </row>
    <row r="1240" spans="15:15">
      <c r="O1240" s="28"/>
    </row>
    <row r="1241" spans="15:15">
      <c r="O1241" s="28"/>
    </row>
    <row r="1242" spans="15:15">
      <c r="O1242" s="28"/>
    </row>
    <row r="1243" spans="15:15">
      <c r="O1243" s="28"/>
    </row>
    <row r="1244" spans="15:15">
      <c r="O1244" s="28"/>
    </row>
    <row r="1245" spans="15:15">
      <c r="O1245" s="28"/>
    </row>
    <row r="1246" spans="15:15">
      <c r="O1246" s="28"/>
    </row>
    <row r="1247" spans="15:15">
      <c r="O1247" s="28"/>
    </row>
    <row r="1248" spans="15:15">
      <c r="O1248" s="28"/>
    </row>
    <row r="1249" spans="15:15">
      <c r="O1249" s="28"/>
    </row>
    <row r="1250" spans="15:15">
      <c r="O1250" s="28"/>
    </row>
    <row r="1251" spans="15:15">
      <c r="O1251" s="28"/>
    </row>
    <row r="1252" spans="15:15">
      <c r="O1252" s="28"/>
    </row>
    <row r="1253" spans="15:15">
      <c r="O1253" s="28"/>
    </row>
    <row r="1254" spans="15:15">
      <c r="O1254" s="28"/>
    </row>
    <row r="1255" spans="15:15">
      <c r="O1255" s="28"/>
    </row>
    <row r="1256" spans="15:15">
      <c r="O1256" s="28"/>
    </row>
    <row r="1257" spans="15:15">
      <c r="O1257" s="28"/>
    </row>
    <row r="1258" spans="15:15">
      <c r="O1258" s="28"/>
    </row>
    <row r="1259" spans="15:15">
      <c r="O1259" s="28"/>
    </row>
    <row r="1260" spans="15:15">
      <c r="O1260" s="28"/>
    </row>
    <row r="1261" spans="15:15">
      <c r="O1261" s="28"/>
    </row>
    <row r="1262" spans="15:15">
      <c r="O1262" s="28"/>
    </row>
    <row r="1263" spans="15:15">
      <c r="O1263" s="28"/>
    </row>
    <row r="1264" spans="15:15">
      <c r="O1264" s="28"/>
    </row>
    <row r="1265" spans="15:15">
      <c r="O1265" s="28"/>
    </row>
    <row r="1266" spans="15:15">
      <c r="O1266" s="28"/>
    </row>
    <row r="1267" spans="15:15">
      <c r="O1267" s="28"/>
    </row>
    <row r="1268" spans="15:15">
      <c r="O1268" s="28"/>
    </row>
    <row r="1269" spans="15:15">
      <c r="O1269" s="28"/>
    </row>
    <row r="1270" spans="15:15">
      <c r="O1270" s="28"/>
    </row>
    <row r="1271" spans="15:15">
      <c r="O1271" s="28"/>
    </row>
    <row r="1272" spans="15:15">
      <c r="O1272" s="28"/>
    </row>
    <row r="1273" spans="15:15">
      <c r="O1273" s="28"/>
    </row>
    <row r="1274" spans="15:15">
      <c r="O1274" s="28"/>
    </row>
    <row r="1275" spans="15:15">
      <c r="O1275" s="28"/>
    </row>
    <row r="1276" spans="15:15">
      <c r="O1276" s="28"/>
    </row>
    <row r="1277" spans="15:15">
      <c r="O1277" s="28"/>
    </row>
    <row r="1278" spans="15:15">
      <c r="O1278" s="28"/>
    </row>
    <row r="1279" spans="15:15">
      <c r="O1279" s="28"/>
    </row>
    <row r="1280" spans="15:15">
      <c r="O1280" s="28"/>
    </row>
    <row r="1281" spans="15:15">
      <c r="O1281" s="28"/>
    </row>
    <row r="1282" spans="15:15">
      <c r="O1282" s="28"/>
    </row>
    <row r="1283" spans="15:15">
      <c r="O1283" s="28"/>
    </row>
    <row r="1284" spans="15:15">
      <c r="O1284" s="28"/>
    </row>
    <row r="1285" spans="15:15">
      <c r="O1285" s="28"/>
    </row>
    <row r="1286" spans="15:15">
      <c r="O1286" s="28"/>
    </row>
    <row r="1287" spans="15:15">
      <c r="O1287" s="28"/>
    </row>
    <row r="1288" spans="15:15">
      <c r="O1288" s="28"/>
    </row>
    <row r="1289" spans="15:15">
      <c r="O1289" s="28"/>
    </row>
    <row r="1290" spans="15:15">
      <c r="O1290" s="28"/>
    </row>
    <row r="1291" spans="15:15">
      <c r="O1291" s="28"/>
    </row>
    <row r="1292" spans="15:15">
      <c r="O1292" s="28"/>
    </row>
    <row r="1293" spans="15:15">
      <c r="O1293" s="28"/>
    </row>
    <row r="1294" spans="15:15">
      <c r="O1294" s="28"/>
    </row>
    <row r="1295" spans="15:15">
      <c r="O1295" s="28"/>
    </row>
    <row r="1296" spans="15:15">
      <c r="O1296" s="28"/>
    </row>
    <row r="1297" spans="15:15">
      <c r="O1297" s="28"/>
    </row>
    <row r="1298" spans="15:15">
      <c r="O1298" s="28"/>
    </row>
    <row r="1299" spans="15:15">
      <c r="O1299" s="28"/>
    </row>
    <row r="1300" spans="15:15">
      <c r="O1300" s="28"/>
    </row>
    <row r="1301" spans="15:15">
      <c r="O1301" s="28"/>
    </row>
    <row r="1302" spans="15:15">
      <c r="O1302" s="28"/>
    </row>
    <row r="1303" spans="15:15">
      <c r="O1303" s="28"/>
    </row>
    <row r="1304" spans="15:15">
      <c r="O1304" s="28"/>
    </row>
    <row r="1305" spans="15:15">
      <c r="O1305" s="28"/>
    </row>
    <row r="1306" spans="15:15">
      <c r="O1306" s="28"/>
    </row>
    <row r="1307" spans="15:15">
      <c r="O1307" s="28"/>
    </row>
    <row r="1308" spans="15:15">
      <c r="O1308" s="28"/>
    </row>
    <row r="1309" spans="15:15">
      <c r="O1309" s="28"/>
    </row>
    <row r="1310" spans="15:15">
      <c r="O1310" s="28"/>
    </row>
    <row r="1311" spans="15:15">
      <c r="O1311" s="28"/>
    </row>
    <row r="1312" spans="15:15">
      <c r="O1312" s="28"/>
    </row>
    <row r="1313" spans="15:15">
      <c r="O1313" s="28"/>
    </row>
    <row r="1314" spans="15:15">
      <c r="O1314" s="28"/>
    </row>
    <row r="1315" spans="15:15">
      <c r="O1315" s="28"/>
    </row>
    <row r="1316" spans="15:15">
      <c r="O1316" s="28"/>
    </row>
    <row r="1317" spans="15:15">
      <c r="O1317" s="28"/>
    </row>
    <row r="1318" spans="15:15">
      <c r="O1318" s="28"/>
    </row>
    <row r="1319" spans="15:15">
      <c r="O1319" s="28"/>
    </row>
    <row r="1320" spans="15:15">
      <c r="O1320" s="28"/>
    </row>
    <row r="1321" spans="15:15">
      <c r="O1321" s="28"/>
    </row>
    <row r="1322" spans="15:15">
      <c r="O1322" s="28"/>
    </row>
    <row r="1323" spans="15:15">
      <c r="O1323" s="28"/>
    </row>
    <row r="1324" spans="15:15">
      <c r="O1324" s="28"/>
    </row>
    <row r="1325" spans="15:15">
      <c r="O1325" s="28"/>
    </row>
    <row r="1326" spans="15:15">
      <c r="O1326" s="28"/>
    </row>
    <row r="1327" spans="15:15">
      <c r="O1327" s="28"/>
    </row>
    <row r="1328" spans="15:15">
      <c r="O1328" s="28"/>
    </row>
    <row r="1329" spans="15:15">
      <c r="O1329" s="28"/>
    </row>
    <row r="1330" spans="15:15">
      <c r="O1330" s="28"/>
    </row>
    <row r="1331" spans="15:15">
      <c r="O1331" s="28"/>
    </row>
    <row r="1332" spans="15:15">
      <c r="O1332" s="28"/>
    </row>
    <row r="1333" spans="15:15">
      <c r="O1333" s="28"/>
    </row>
    <row r="1334" spans="15:15">
      <c r="O1334" s="28"/>
    </row>
    <row r="1335" spans="15:15">
      <c r="O1335" s="28"/>
    </row>
    <row r="1336" spans="15:15">
      <c r="O1336" s="28"/>
    </row>
    <row r="1337" spans="15:15">
      <c r="O1337" s="28"/>
    </row>
    <row r="1338" spans="15:15">
      <c r="O1338" s="28"/>
    </row>
    <row r="1339" spans="15:15">
      <c r="O1339" s="28"/>
    </row>
    <row r="1340" spans="15:15">
      <c r="O1340" s="28"/>
    </row>
    <row r="1341" spans="15:15">
      <c r="O1341" s="28"/>
    </row>
    <row r="1342" spans="15:15">
      <c r="O1342" s="28"/>
    </row>
    <row r="1343" spans="15:15">
      <c r="O1343" s="28"/>
    </row>
    <row r="1344" spans="15:15">
      <c r="O1344" s="28"/>
    </row>
  </sheetData>
  <sheetProtection password="C9AE" sheet="1" objects="1" scenarios="1"/>
  <mergeCells count="99">
    <mergeCell ref="B984:F984"/>
    <mergeCell ref="B985:F985"/>
    <mergeCell ref="B986:F986"/>
    <mergeCell ref="B987:F987"/>
    <mergeCell ref="B988:F988"/>
    <mergeCell ref="K159:O159"/>
    <mergeCell ref="K160:O160"/>
    <mergeCell ref="K161:O161"/>
    <mergeCell ref="K166:O166"/>
    <mergeCell ref="K162:O162"/>
    <mergeCell ref="K163:O163"/>
    <mergeCell ref="K164:O164"/>
    <mergeCell ref="K165:O165"/>
    <mergeCell ref="Q152:R152"/>
    <mergeCell ref="K156:O156"/>
    <mergeCell ref="K148:O148"/>
    <mergeCell ref="K157:O157"/>
    <mergeCell ref="K158:O158"/>
    <mergeCell ref="K131:O131"/>
    <mergeCell ref="K149:O149"/>
    <mergeCell ref="K150:O150"/>
    <mergeCell ref="K133:O133"/>
    <mergeCell ref="K134:O134"/>
    <mergeCell ref="K114:O114"/>
    <mergeCell ref="K118:O118"/>
    <mergeCell ref="K115:O115"/>
    <mergeCell ref="K116:O116"/>
    <mergeCell ref="K117:O117"/>
    <mergeCell ref="K69:O69"/>
    <mergeCell ref="Q88:R88"/>
    <mergeCell ref="Q136:R136"/>
    <mergeCell ref="K147:O147"/>
    <mergeCell ref="K144:O144"/>
    <mergeCell ref="K145:O145"/>
    <mergeCell ref="K146:O146"/>
    <mergeCell ref="K141:O141"/>
    <mergeCell ref="K142:O142"/>
    <mergeCell ref="K143:O143"/>
    <mergeCell ref="Q120:R120"/>
    <mergeCell ref="K132:O132"/>
    <mergeCell ref="K128:O128"/>
    <mergeCell ref="K130:O130"/>
    <mergeCell ref="K129:O129"/>
    <mergeCell ref="K107:O107"/>
    <mergeCell ref="K113:O113"/>
    <mergeCell ref="K102:O102"/>
    <mergeCell ref="K85:O85"/>
    <mergeCell ref="K86:O86"/>
    <mergeCell ref="K99:O99"/>
    <mergeCell ref="K100:O100"/>
    <mergeCell ref="K101:O101"/>
    <mergeCell ref="K108:O108"/>
    <mergeCell ref="K109:O109"/>
    <mergeCell ref="K110:O110"/>
    <mergeCell ref="K111:O111"/>
    <mergeCell ref="K112:O112"/>
    <mergeCell ref="Q104:R104"/>
    <mergeCell ref="M1:O1"/>
    <mergeCell ref="B61:F61"/>
    <mergeCell ref="B62:F62"/>
    <mergeCell ref="C28:F28"/>
    <mergeCell ref="C29:F29"/>
    <mergeCell ref="C30:F30"/>
    <mergeCell ref="C31:F31"/>
    <mergeCell ref="C32:F32"/>
    <mergeCell ref="C33:F33"/>
    <mergeCell ref="Q56:R56"/>
    <mergeCell ref="K70:O70"/>
    <mergeCell ref="Q72:R72"/>
    <mergeCell ref="K67:O67"/>
    <mergeCell ref="K68:O68"/>
    <mergeCell ref="K66:O66"/>
    <mergeCell ref="C49:F49"/>
    <mergeCell ref="B58:F58"/>
    <mergeCell ref="B59:F59"/>
    <mergeCell ref="B60:F60"/>
    <mergeCell ref="C50:F50"/>
    <mergeCell ref="B989:F989"/>
    <mergeCell ref="B990:F990"/>
    <mergeCell ref="B991:F991"/>
    <mergeCell ref="B992:F992"/>
    <mergeCell ref="B997:F997"/>
    <mergeCell ref="B993:F993"/>
    <mergeCell ref="B994:F994"/>
    <mergeCell ref="B995:F995"/>
    <mergeCell ref="B996:F996"/>
    <mergeCell ref="B998:F998"/>
    <mergeCell ref="B999:F999"/>
    <mergeCell ref="B1001:F1001"/>
    <mergeCell ref="B1002:F1002"/>
    <mergeCell ref="B1000:F1000"/>
    <mergeCell ref="B1010:F1010"/>
    <mergeCell ref="B1003:F1003"/>
    <mergeCell ref="B1004:F1004"/>
    <mergeCell ref="B1009:F1009"/>
    <mergeCell ref="B1005:F1005"/>
    <mergeCell ref="B1006:F1006"/>
    <mergeCell ref="B1007:F1007"/>
    <mergeCell ref="B1008:F1008"/>
  </mergeCells>
  <phoneticPr fontId="0" type="noConversion"/>
  <pageMargins left="0.63" right="0.39370078740157483" top="0.39370078740157483" bottom="0.39370078740157483" header="0.19685039370078741" footer="0.19685039370078741"/>
  <pageSetup paperSize="9" scale="10" orientation="portrait" horizontalDpi="4294967292" r:id="rId1"/>
  <headerFooter alignWithMargins="0">
    <oddFooter>&amp;L&amp;"Times New Roman,Kursiv"&amp;6Huber Energietechnik, AG Zürich  &amp;C&amp;6&amp;F  &amp;R&amp;"Times New Roman,Kursiv"&amp;6ENTECH 380/1, Ver. 5.4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C203"/>
  <sheetViews>
    <sheetView workbookViewId="0">
      <selection sqref="A1:J1"/>
    </sheetView>
  </sheetViews>
  <sheetFormatPr baseColWidth="10" defaultColWidth="9.140625" defaultRowHeight="12"/>
  <cols>
    <col min="1" max="1" width="12.5703125" style="2065" customWidth="1"/>
    <col min="2" max="2" width="29.5703125" style="2067" customWidth="1"/>
    <col min="3" max="3" width="25.42578125" style="2065" customWidth="1"/>
    <col min="4" max="4" width="14.5703125" style="2065" customWidth="1"/>
    <col min="5" max="5" width="10.28515625" style="2065" customWidth="1"/>
    <col min="6" max="6" width="10.5703125" style="2065" customWidth="1"/>
    <col min="7" max="7" width="17.28515625" style="2065" customWidth="1"/>
    <col min="8" max="8" width="8.85546875" style="2065" customWidth="1"/>
    <col min="9" max="9" width="12.42578125" style="2065" customWidth="1"/>
    <col min="10" max="10" width="16" style="2065" customWidth="1"/>
    <col min="11" max="13" width="9.140625" style="2065"/>
    <col min="14" max="29" width="9.140625" style="2065" hidden="1" customWidth="1"/>
    <col min="30" max="256" width="9.140625" style="2065"/>
    <col min="257" max="257" width="12.5703125" style="2065" customWidth="1"/>
    <col min="258" max="258" width="29.5703125" style="2065" customWidth="1"/>
    <col min="259" max="259" width="25.42578125" style="2065" customWidth="1"/>
    <col min="260" max="260" width="14.5703125" style="2065" customWidth="1"/>
    <col min="261" max="261" width="10.28515625" style="2065" customWidth="1"/>
    <col min="262" max="262" width="10.5703125" style="2065" customWidth="1"/>
    <col min="263" max="263" width="17.28515625" style="2065" customWidth="1"/>
    <col min="264" max="264" width="8.85546875" style="2065" customWidth="1"/>
    <col min="265" max="265" width="12.42578125" style="2065" customWidth="1"/>
    <col min="266" max="266" width="16" style="2065" customWidth="1"/>
    <col min="267" max="512" width="9.140625" style="2065"/>
    <col min="513" max="513" width="12.5703125" style="2065" customWidth="1"/>
    <col min="514" max="514" width="29.5703125" style="2065" customWidth="1"/>
    <col min="515" max="515" width="25.42578125" style="2065" customWidth="1"/>
    <col min="516" max="516" width="14.5703125" style="2065" customWidth="1"/>
    <col min="517" max="517" width="10.28515625" style="2065" customWidth="1"/>
    <col min="518" max="518" width="10.5703125" style="2065" customWidth="1"/>
    <col min="519" max="519" width="17.28515625" style="2065" customWidth="1"/>
    <col min="520" max="520" width="8.85546875" style="2065" customWidth="1"/>
    <col min="521" max="521" width="12.42578125" style="2065" customWidth="1"/>
    <col min="522" max="522" width="16" style="2065" customWidth="1"/>
    <col min="523" max="768" width="9.140625" style="2065"/>
    <col min="769" max="769" width="12.5703125" style="2065" customWidth="1"/>
    <col min="770" max="770" width="29.5703125" style="2065" customWidth="1"/>
    <col min="771" max="771" width="25.42578125" style="2065" customWidth="1"/>
    <col min="772" max="772" width="14.5703125" style="2065" customWidth="1"/>
    <col min="773" max="773" width="10.28515625" style="2065" customWidth="1"/>
    <col min="774" max="774" width="10.5703125" style="2065" customWidth="1"/>
    <col min="775" max="775" width="17.28515625" style="2065" customWidth="1"/>
    <col min="776" max="776" width="8.85546875" style="2065" customWidth="1"/>
    <col min="777" max="777" width="12.42578125" style="2065" customWidth="1"/>
    <col min="778" max="778" width="16" style="2065" customWidth="1"/>
    <col min="779" max="1024" width="9.140625" style="2065"/>
    <col min="1025" max="1025" width="12.5703125" style="2065" customWidth="1"/>
    <col min="1026" max="1026" width="29.5703125" style="2065" customWidth="1"/>
    <col min="1027" max="1027" width="25.42578125" style="2065" customWidth="1"/>
    <col min="1028" max="1028" width="14.5703125" style="2065" customWidth="1"/>
    <col min="1029" max="1029" width="10.28515625" style="2065" customWidth="1"/>
    <col min="1030" max="1030" width="10.5703125" style="2065" customWidth="1"/>
    <col min="1031" max="1031" width="17.28515625" style="2065" customWidth="1"/>
    <col min="1032" max="1032" width="8.85546875" style="2065" customWidth="1"/>
    <col min="1033" max="1033" width="12.42578125" style="2065" customWidth="1"/>
    <col min="1034" max="1034" width="16" style="2065" customWidth="1"/>
    <col min="1035" max="1280" width="9.140625" style="2065"/>
    <col min="1281" max="1281" width="12.5703125" style="2065" customWidth="1"/>
    <col min="1282" max="1282" width="29.5703125" style="2065" customWidth="1"/>
    <col min="1283" max="1283" width="25.42578125" style="2065" customWidth="1"/>
    <col min="1284" max="1284" width="14.5703125" style="2065" customWidth="1"/>
    <col min="1285" max="1285" width="10.28515625" style="2065" customWidth="1"/>
    <col min="1286" max="1286" width="10.5703125" style="2065" customWidth="1"/>
    <col min="1287" max="1287" width="17.28515625" style="2065" customWidth="1"/>
    <col min="1288" max="1288" width="8.85546875" style="2065" customWidth="1"/>
    <col min="1289" max="1289" width="12.42578125" style="2065" customWidth="1"/>
    <col min="1290" max="1290" width="16" style="2065" customWidth="1"/>
    <col min="1291" max="1536" width="9.140625" style="2065"/>
    <col min="1537" max="1537" width="12.5703125" style="2065" customWidth="1"/>
    <col min="1538" max="1538" width="29.5703125" style="2065" customWidth="1"/>
    <col min="1539" max="1539" width="25.42578125" style="2065" customWidth="1"/>
    <col min="1540" max="1540" width="14.5703125" style="2065" customWidth="1"/>
    <col min="1541" max="1541" width="10.28515625" style="2065" customWidth="1"/>
    <col min="1542" max="1542" width="10.5703125" style="2065" customWidth="1"/>
    <col min="1543" max="1543" width="17.28515625" style="2065" customWidth="1"/>
    <col min="1544" max="1544" width="8.85546875" style="2065" customWidth="1"/>
    <col min="1545" max="1545" width="12.42578125" style="2065" customWidth="1"/>
    <col min="1546" max="1546" width="16" style="2065" customWidth="1"/>
    <col min="1547" max="1792" width="9.140625" style="2065"/>
    <col min="1793" max="1793" width="12.5703125" style="2065" customWidth="1"/>
    <col min="1794" max="1794" width="29.5703125" style="2065" customWidth="1"/>
    <col min="1795" max="1795" width="25.42578125" style="2065" customWidth="1"/>
    <col min="1796" max="1796" width="14.5703125" style="2065" customWidth="1"/>
    <col min="1797" max="1797" width="10.28515625" style="2065" customWidth="1"/>
    <col min="1798" max="1798" width="10.5703125" style="2065" customWidth="1"/>
    <col min="1799" max="1799" width="17.28515625" style="2065" customWidth="1"/>
    <col min="1800" max="1800" width="8.85546875" style="2065" customWidth="1"/>
    <col min="1801" max="1801" width="12.42578125" style="2065" customWidth="1"/>
    <col min="1802" max="1802" width="16" style="2065" customWidth="1"/>
    <col min="1803" max="2048" width="9.140625" style="2065"/>
    <col min="2049" max="2049" width="12.5703125" style="2065" customWidth="1"/>
    <col min="2050" max="2050" width="29.5703125" style="2065" customWidth="1"/>
    <col min="2051" max="2051" width="25.42578125" style="2065" customWidth="1"/>
    <col min="2052" max="2052" width="14.5703125" style="2065" customWidth="1"/>
    <col min="2053" max="2053" width="10.28515625" style="2065" customWidth="1"/>
    <col min="2054" max="2054" width="10.5703125" style="2065" customWidth="1"/>
    <col min="2055" max="2055" width="17.28515625" style="2065" customWidth="1"/>
    <col min="2056" max="2056" width="8.85546875" style="2065" customWidth="1"/>
    <col min="2057" max="2057" width="12.42578125" style="2065" customWidth="1"/>
    <col min="2058" max="2058" width="16" style="2065" customWidth="1"/>
    <col min="2059" max="2304" width="9.140625" style="2065"/>
    <col min="2305" max="2305" width="12.5703125" style="2065" customWidth="1"/>
    <col min="2306" max="2306" width="29.5703125" style="2065" customWidth="1"/>
    <col min="2307" max="2307" width="25.42578125" style="2065" customWidth="1"/>
    <col min="2308" max="2308" width="14.5703125" style="2065" customWidth="1"/>
    <col min="2309" max="2309" width="10.28515625" style="2065" customWidth="1"/>
    <col min="2310" max="2310" width="10.5703125" style="2065" customWidth="1"/>
    <col min="2311" max="2311" width="17.28515625" style="2065" customWidth="1"/>
    <col min="2312" max="2312" width="8.85546875" style="2065" customWidth="1"/>
    <col min="2313" max="2313" width="12.42578125" style="2065" customWidth="1"/>
    <col min="2314" max="2314" width="16" style="2065" customWidth="1"/>
    <col min="2315" max="2560" width="9.140625" style="2065"/>
    <col min="2561" max="2561" width="12.5703125" style="2065" customWidth="1"/>
    <col min="2562" max="2562" width="29.5703125" style="2065" customWidth="1"/>
    <col min="2563" max="2563" width="25.42578125" style="2065" customWidth="1"/>
    <col min="2564" max="2564" width="14.5703125" style="2065" customWidth="1"/>
    <col min="2565" max="2565" width="10.28515625" style="2065" customWidth="1"/>
    <col min="2566" max="2566" width="10.5703125" style="2065" customWidth="1"/>
    <col min="2567" max="2567" width="17.28515625" style="2065" customWidth="1"/>
    <col min="2568" max="2568" width="8.85546875" style="2065" customWidth="1"/>
    <col min="2569" max="2569" width="12.42578125" style="2065" customWidth="1"/>
    <col min="2570" max="2570" width="16" style="2065" customWidth="1"/>
    <col min="2571" max="2816" width="9.140625" style="2065"/>
    <col min="2817" max="2817" width="12.5703125" style="2065" customWidth="1"/>
    <col min="2818" max="2818" width="29.5703125" style="2065" customWidth="1"/>
    <col min="2819" max="2819" width="25.42578125" style="2065" customWidth="1"/>
    <col min="2820" max="2820" width="14.5703125" style="2065" customWidth="1"/>
    <col min="2821" max="2821" width="10.28515625" style="2065" customWidth="1"/>
    <col min="2822" max="2822" width="10.5703125" style="2065" customWidth="1"/>
    <col min="2823" max="2823" width="17.28515625" style="2065" customWidth="1"/>
    <col min="2824" max="2824" width="8.85546875" style="2065" customWidth="1"/>
    <col min="2825" max="2825" width="12.42578125" style="2065" customWidth="1"/>
    <col min="2826" max="2826" width="16" style="2065" customWidth="1"/>
    <col min="2827" max="3072" width="9.140625" style="2065"/>
    <col min="3073" max="3073" width="12.5703125" style="2065" customWidth="1"/>
    <col min="3074" max="3074" width="29.5703125" style="2065" customWidth="1"/>
    <col min="3075" max="3075" width="25.42578125" style="2065" customWidth="1"/>
    <col min="3076" max="3076" width="14.5703125" style="2065" customWidth="1"/>
    <col min="3077" max="3077" width="10.28515625" style="2065" customWidth="1"/>
    <col min="3078" max="3078" width="10.5703125" style="2065" customWidth="1"/>
    <col min="3079" max="3079" width="17.28515625" style="2065" customWidth="1"/>
    <col min="3080" max="3080" width="8.85546875" style="2065" customWidth="1"/>
    <col min="3081" max="3081" width="12.42578125" style="2065" customWidth="1"/>
    <col min="3082" max="3082" width="16" style="2065" customWidth="1"/>
    <col min="3083" max="3328" width="9.140625" style="2065"/>
    <col min="3329" max="3329" width="12.5703125" style="2065" customWidth="1"/>
    <col min="3330" max="3330" width="29.5703125" style="2065" customWidth="1"/>
    <col min="3331" max="3331" width="25.42578125" style="2065" customWidth="1"/>
    <col min="3332" max="3332" width="14.5703125" style="2065" customWidth="1"/>
    <col min="3333" max="3333" width="10.28515625" style="2065" customWidth="1"/>
    <col min="3334" max="3334" width="10.5703125" style="2065" customWidth="1"/>
    <col min="3335" max="3335" width="17.28515625" style="2065" customWidth="1"/>
    <col min="3336" max="3336" width="8.85546875" style="2065" customWidth="1"/>
    <col min="3337" max="3337" width="12.42578125" style="2065" customWidth="1"/>
    <col min="3338" max="3338" width="16" style="2065" customWidth="1"/>
    <col min="3339" max="3584" width="9.140625" style="2065"/>
    <col min="3585" max="3585" width="12.5703125" style="2065" customWidth="1"/>
    <col min="3586" max="3586" width="29.5703125" style="2065" customWidth="1"/>
    <col min="3587" max="3587" width="25.42578125" style="2065" customWidth="1"/>
    <col min="3588" max="3588" width="14.5703125" style="2065" customWidth="1"/>
    <col min="3589" max="3589" width="10.28515625" style="2065" customWidth="1"/>
    <col min="3590" max="3590" width="10.5703125" style="2065" customWidth="1"/>
    <col min="3591" max="3591" width="17.28515625" style="2065" customWidth="1"/>
    <col min="3592" max="3592" width="8.85546875" style="2065" customWidth="1"/>
    <col min="3593" max="3593" width="12.42578125" style="2065" customWidth="1"/>
    <col min="3594" max="3594" width="16" style="2065" customWidth="1"/>
    <col min="3595" max="3840" width="9.140625" style="2065"/>
    <col min="3841" max="3841" width="12.5703125" style="2065" customWidth="1"/>
    <col min="3842" max="3842" width="29.5703125" style="2065" customWidth="1"/>
    <col min="3843" max="3843" width="25.42578125" style="2065" customWidth="1"/>
    <col min="3844" max="3844" width="14.5703125" style="2065" customWidth="1"/>
    <col min="3845" max="3845" width="10.28515625" style="2065" customWidth="1"/>
    <col min="3846" max="3846" width="10.5703125" style="2065" customWidth="1"/>
    <col min="3847" max="3847" width="17.28515625" style="2065" customWidth="1"/>
    <col min="3848" max="3848" width="8.85546875" style="2065" customWidth="1"/>
    <col min="3849" max="3849" width="12.42578125" style="2065" customWidth="1"/>
    <col min="3850" max="3850" width="16" style="2065" customWidth="1"/>
    <col min="3851" max="4096" width="9.140625" style="2065"/>
    <col min="4097" max="4097" width="12.5703125" style="2065" customWidth="1"/>
    <col min="4098" max="4098" width="29.5703125" style="2065" customWidth="1"/>
    <col min="4099" max="4099" width="25.42578125" style="2065" customWidth="1"/>
    <col min="4100" max="4100" width="14.5703125" style="2065" customWidth="1"/>
    <col min="4101" max="4101" width="10.28515625" style="2065" customWidth="1"/>
    <col min="4102" max="4102" width="10.5703125" style="2065" customWidth="1"/>
    <col min="4103" max="4103" width="17.28515625" style="2065" customWidth="1"/>
    <col min="4104" max="4104" width="8.85546875" style="2065" customWidth="1"/>
    <col min="4105" max="4105" width="12.42578125" style="2065" customWidth="1"/>
    <col min="4106" max="4106" width="16" style="2065" customWidth="1"/>
    <col min="4107" max="4352" width="9.140625" style="2065"/>
    <col min="4353" max="4353" width="12.5703125" style="2065" customWidth="1"/>
    <col min="4354" max="4354" width="29.5703125" style="2065" customWidth="1"/>
    <col min="4355" max="4355" width="25.42578125" style="2065" customWidth="1"/>
    <col min="4356" max="4356" width="14.5703125" style="2065" customWidth="1"/>
    <col min="4357" max="4357" width="10.28515625" style="2065" customWidth="1"/>
    <col min="4358" max="4358" width="10.5703125" style="2065" customWidth="1"/>
    <col min="4359" max="4359" width="17.28515625" style="2065" customWidth="1"/>
    <col min="4360" max="4360" width="8.85546875" style="2065" customWidth="1"/>
    <col min="4361" max="4361" width="12.42578125" style="2065" customWidth="1"/>
    <col min="4362" max="4362" width="16" style="2065" customWidth="1"/>
    <col min="4363" max="4608" width="9.140625" style="2065"/>
    <col min="4609" max="4609" width="12.5703125" style="2065" customWidth="1"/>
    <col min="4610" max="4610" width="29.5703125" style="2065" customWidth="1"/>
    <col min="4611" max="4611" width="25.42578125" style="2065" customWidth="1"/>
    <col min="4612" max="4612" width="14.5703125" style="2065" customWidth="1"/>
    <col min="4613" max="4613" width="10.28515625" style="2065" customWidth="1"/>
    <col min="4614" max="4614" width="10.5703125" style="2065" customWidth="1"/>
    <col min="4615" max="4615" width="17.28515625" style="2065" customWidth="1"/>
    <col min="4616" max="4616" width="8.85546875" style="2065" customWidth="1"/>
    <col min="4617" max="4617" width="12.42578125" style="2065" customWidth="1"/>
    <col min="4618" max="4618" width="16" style="2065" customWidth="1"/>
    <col min="4619" max="4864" width="9.140625" style="2065"/>
    <col min="4865" max="4865" width="12.5703125" style="2065" customWidth="1"/>
    <col min="4866" max="4866" width="29.5703125" style="2065" customWidth="1"/>
    <col min="4867" max="4867" width="25.42578125" style="2065" customWidth="1"/>
    <col min="4868" max="4868" width="14.5703125" style="2065" customWidth="1"/>
    <col min="4869" max="4869" width="10.28515625" style="2065" customWidth="1"/>
    <col min="4870" max="4870" width="10.5703125" style="2065" customWidth="1"/>
    <col min="4871" max="4871" width="17.28515625" style="2065" customWidth="1"/>
    <col min="4872" max="4872" width="8.85546875" style="2065" customWidth="1"/>
    <col min="4873" max="4873" width="12.42578125" style="2065" customWidth="1"/>
    <col min="4874" max="4874" width="16" style="2065" customWidth="1"/>
    <col min="4875" max="5120" width="9.140625" style="2065"/>
    <col min="5121" max="5121" width="12.5703125" style="2065" customWidth="1"/>
    <col min="5122" max="5122" width="29.5703125" style="2065" customWidth="1"/>
    <col min="5123" max="5123" width="25.42578125" style="2065" customWidth="1"/>
    <col min="5124" max="5124" width="14.5703125" style="2065" customWidth="1"/>
    <col min="5125" max="5125" width="10.28515625" style="2065" customWidth="1"/>
    <col min="5126" max="5126" width="10.5703125" style="2065" customWidth="1"/>
    <col min="5127" max="5127" width="17.28515625" style="2065" customWidth="1"/>
    <col min="5128" max="5128" width="8.85546875" style="2065" customWidth="1"/>
    <col min="5129" max="5129" width="12.42578125" style="2065" customWidth="1"/>
    <col min="5130" max="5130" width="16" style="2065" customWidth="1"/>
    <col min="5131" max="5376" width="9.140625" style="2065"/>
    <col min="5377" max="5377" width="12.5703125" style="2065" customWidth="1"/>
    <col min="5378" max="5378" width="29.5703125" style="2065" customWidth="1"/>
    <col min="5379" max="5379" width="25.42578125" style="2065" customWidth="1"/>
    <col min="5380" max="5380" width="14.5703125" style="2065" customWidth="1"/>
    <col min="5381" max="5381" width="10.28515625" style="2065" customWidth="1"/>
    <col min="5382" max="5382" width="10.5703125" style="2065" customWidth="1"/>
    <col min="5383" max="5383" width="17.28515625" style="2065" customWidth="1"/>
    <col min="5384" max="5384" width="8.85546875" style="2065" customWidth="1"/>
    <col min="5385" max="5385" width="12.42578125" style="2065" customWidth="1"/>
    <col min="5386" max="5386" width="16" style="2065" customWidth="1"/>
    <col min="5387" max="5632" width="9.140625" style="2065"/>
    <col min="5633" max="5633" width="12.5703125" style="2065" customWidth="1"/>
    <col min="5634" max="5634" width="29.5703125" style="2065" customWidth="1"/>
    <col min="5635" max="5635" width="25.42578125" style="2065" customWidth="1"/>
    <col min="5636" max="5636" width="14.5703125" style="2065" customWidth="1"/>
    <col min="5637" max="5637" width="10.28515625" style="2065" customWidth="1"/>
    <col min="5638" max="5638" width="10.5703125" style="2065" customWidth="1"/>
    <col min="5639" max="5639" width="17.28515625" style="2065" customWidth="1"/>
    <col min="5640" max="5640" width="8.85546875" style="2065" customWidth="1"/>
    <col min="5641" max="5641" width="12.42578125" style="2065" customWidth="1"/>
    <col min="5642" max="5642" width="16" style="2065" customWidth="1"/>
    <col min="5643" max="5888" width="9.140625" style="2065"/>
    <col min="5889" max="5889" width="12.5703125" style="2065" customWidth="1"/>
    <col min="5890" max="5890" width="29.5703125" style="2065" customWidth="1"/>
    <col min="5891" max="5891" width="25.42578125" style="2065" customWidth="1"/>
    <col min="5892" max="5892" width="14.5703125" style="2065" customWidth="1"/>
    <col min="5893" max="5893" width="10.28515625" style="2065" customWidth="1"/>
    <col min="5894" max="5894" width="10.5703125" style="2065" customWidth="1"/>
    <col min="5895" max="5895" width="17.28515625" style="2065" customWidth="1"/>
    <col min="5896" max="5896" width="8.85546875" style="2065" customWidth="1"/>
    <col min="5897" max="5897" width="12.42578125" style="2065" customWidth="1"/>
    <col min="5898" max="5898" width="16" style="2065" customWidth="1"/>
    <col min="5899" max="6144" width="9.140625" style="2065"/>
    <col min="6145" max="6145" width="12.5703125" style="2065" customWidth="1"/>
    <col min="6146" max="6146" width="29.5703125" style="2065" customWidth="1"/>
    <col min="6147" max="6147" width="25.42578125" style="2065" customWidth="1"/>
    <col min="6148" max="6148" width="14.5703125" style="2065" customWidth="1"/>
    <col min="6149" max="6149" width="10.28515625" style="2065" customWidth="1"/>
    <col min="6150" max="6150" width="10.5703125" style="2065" customWidth="1"/>
    <col min="6151" max="6151" width="17.28515625" style="2065" customWidth="1"/>
    <col min="6152" max="6152" width="8.85546875" style="2065" customWidth="1"/>
    <col min="6153" max="6153" width="12.42578125" style="2065" customWidth="1"/>
    <col min="6154" max="6154" width="16" style="2065" customWidth="1"/>
    <col min="6155" max="6400" width="9.140625" style="2065"/>
    <col min="6401" max="6401" width="12.5703125" style="2065" customWidth="1"/>
    <col min="6402" max="6402" width="29.5703125" style="2065" customWidth="1"/>
    <col min="6403" max="6403" width="25.42578125" style="2065" customWidth="1"/>
    <col min="6404" max="6404" width="14.5703125" style="2065" customWidth="1"/>
    <col min="6405" max="6405" width="10.28515625" style="2065" customWidth="1"/>
    <col min="6406" max="6406" width="10.5703125" style="2065" customWidth="1"/>
    <col min="6407" max="6407" width="17.28515625" style="2065" customWidth="1"/>
    <col min="6408" max="6408" width="8.85546875" style="2065" customWidth="1"/>
    <col min="6409" max="6409" width="12.42578125" style="2065" customWidth="1"/>
    <col min="6410" max="6410" width="16" style="2065" customWidth="1"/>
    <col min="6411" max="6656" width="9.140625" style="2065"/>
    <col min="6657" max="6657" width="12.5703125" style="2065" customWidth="1"/>
    <col min="6658" max="6658" width="29.5703125" style="2065" customWidth="1"/>
    <col min="6659" max="6659" width="25.42578125" style="2065" customWidth="1"/>
    <col min="6660" max="6660" width="14.5703125" style="2065" customWidth="1"/>
    <col min="6661" max="6661" width="10.28515625" style="2065" customWidth="1"/>
    <col min="6662" max="6662" width="10.5703125" style="2065" customWidth="1"/>
    <col min="6663" max="6663" width="17.28515625" style="2065" customWidth="1"/>
    <col min="6664" max="6664" width="8.85546875" style="2065" customWidth="1"/>
    <col min="6665" max="6665" width="12.42578125" style="2065" customWidth="1"/>
    <col min="6666" max="6666" width="16" style="2065" customWidth="1"/>
    <col min="6667" max="6912" width="9.140625" style="2065"/>
    <col min="6913" max="6913" width="12.5703125" style="2065" customWidth="1"/>
    <col min="6914" max="6914" width="29.5703125" style="2065" customWidth="1"/>
    <col min="6915" max="6915" width="25.42578125" style="2065" customWidth="1"/>
    <col min="6916" max="6916" width="14.5703125" style="2065" customWidth="1"/>
    <col min="6917" max="6917" width="10.28515625" style="2065" customWidth="1"/>
    <col min="6918" max="6918" width="10.5703125" style="2065" customWidth="1"/>
    <col min="6919" max="6919" width="17.28515625" style="2065" customWidth="1"/>
    <col min="6920" max="6920" width="8.85546875" style="2065" customWidth="1"/>
    <col min="6921" max="6921" width="12.42578125" style="2065" customWidth="1"/>
    <col min="6922" max="6922" width="16" style="2065" customWidth="1"/>
    <col min="6923" max="7168" width="9.140625" style="2065"/>
    <col min="7169" max="7169" width="12.5703125" style="2065" customWidth="1"/>
    <col min="7170" max="7170" width="29.5703125" style="2065" customWidth="1"/>
    <col min="7171" max="7171" width="25.42578125" style="2065" customWidth="1"/>
    <col min="7172" max="7172" width="14.5703125" style="2065" customWidth="1"/>
    <col min="7173" max="7173" width="10.28515625" style="2065" customWidth="1"/>
    <col min="7174" max="7174" width="10.5703125" style="2065" customWidth="1"/>
    <col min="7175" max="7175" width="17.28515625" style="2065" customWidth="1"/>
    <col min="7176" max="7176" width="8.85546875" style="2065" customWidth="1"/>
    <col min="7177" max="7177" width="12.42578125" style="2065" customWidth="1"/>
    <col min="7178" max="7178" width="16" style="2065" customWidth="1"/>
    <col min="7179" max="7424" width="9.140625" style="2065"/>
    <col min="7425" max="7425" width="12.5703125" style="2065" customWidth="1"/>
    <col min="7426" max="7426" width="29.5703125" style="2065" customWidth="1"/>
    <col min="7427" max="7427" width="25.42578125" style="2065" customWidth="1"/>
    <col min="7428" max="7428" width="14.5703125" style="2065" customWidth="1"/>
    <col min="7429" max="7429" width="10.28515625" style="2065" customWidth="1"/>
    <col min="7430" max="7430" width="10.5703125" style="2065" customWidth="1"/>
    <col min="7431" max="7431" width="17.28515625" style="2065" customWidth="1"/>
    <col min="7432" max="7432" width="8.85546875" style="2065" customWidth="1"/>
    <col min="7433" max="7433" width="12.42578125" style="2065" customWidth="1"/>
    <col min="7434" max="7434" width="16" style="2065" customWidth="1"/>
    <col min="7435" max="7680" width="9.140625" style="2065"/>
    <col min="7681" max="7681" width="12.5703125" style="2065" customWidth="1"/>
    <col min="7682" max="7682" width="29.5703125" style="2065" customWidth="1"/>
    <col min="7683" max="7683" width="25.42578125" style="2065" customWidth="1"/>
    <col min="7684" max="7684" width="14.5703125" style="2065" customWidth="1"/>
    <col min="7685" max="7685" width="10.28515625" style="2065" customWidth="1"/>
    <col min="7686" max="7686" width="10.5703125" style="2065" customWidth="1"/>
    <col min="7687" max="7687" width="17.28515625" style="2065" customWidth="1"/>
    <col min="7688" max="7688" width="8.85546875" style="2065" customWidth="1"/>
    <col min="7689" max="7689" width="12.42578125" style="2065" customWidth="1"/>
    <col min="7690" max="7690" width="16" style="2065" customWidth="1"/>
    <col min="7691" max="7936" width="9.140625" style="2065"/>
    <col min="7937" max="7937" width="12.5703125" style="2065" customWidth="1"/>
    <col min="7938" max="7938" width="29.5703125" style="2065" customWidth="1"/>
    <col min="7939" max="7939" width="25.42578125" style="2065" customWidth="1"/>
    <col min="7940" max="7940" width="14.5703125" style="2065" customWidth="1"/>
    <col min="7941" max="7941" width="10.28515625" style="2065" customWidth="1"/>
    <col min="7942" max="7942" width="10.5703125" style="2065" customWidth="1"/>
    <col min="7943" max="7943" width="17.28515625" style="2065" customWidth="1"/>
    <col min="7944" max="7944" width="8.85546875" style="2065" customWidth="1"/>
    <col min="7945" max="7945" width="12.42578125" style="2065" customWidth="1"/>
    <col min="7946" max="7946" width="16" style="2065" customWidth="1"/>
    <col min="7947" max="8192" width="9.140625" style="2065"/>
    <col min="8193" max="8193" width="12.5703125" style="2065" customWidth="1"/>
    <col min="8194" max="8194" width="29.5703125" style="2065" customWidth="1"/>
    <col min="8195" max="8195" width="25.42578125" style="2065" customWidth="1"/>
    <col min="8196" max="8196" width="14.5703125" style="2065" customWidth="1"/>
    <col min="8197" max="8197" width="10.28515625" style="2065" customWidth="1"/>
    <col min="8198" max="8198" width="10.5703125" style="2065" customWidth="1"/>
    <col min="8199" max="8199" width="17.28515625" style="2065" customWidth="1"/>
    <col min="8200" max="8200" width="8.85546875" style="2065" customWidth="1"/>
    <col min="8201" max="8201" width="12.42578125" style="2065" customWidth="1"/>
    <col min="8202" max="8202" width="16" style="2065" customWidth="1"/>
    <col min="8203" max="8448" width="9.140625" style="2065"/>
    <col min="8449" max="8449" width="12.5703125" style="2065" customWidth="1"/>
    <col min="8450" max="8450" width="29.5703125" style="2065" customWidth="1"/>
    <col min="8451" max="8451" width="25.42578125" style="2065" customWidth="1"/>
    <col min="8452" max="8452" width="14.5703125" style="2065" customWidth="1"/>
    <col min="8453" max="8453" width="10.28515625" style="2065" customWidth="1"/>
    <col min="8454" max="8454" width="10.5703125" style="2065" customWidth="1"/>
    <col min="8455" max="8455" width="17.28515625" style="2065" customWidth="1"/>
    <col min="8456" max="8456" width="8.85546875" style="2065" customWidth="1"/>
    <col min="8457" max="8457" width="12.42578125" style="2065" customWidth="1"/>
    <col min="8458" max="8458" width="16" style="2065" customWidth="1"/>
    <col min="8459" max="8704" width="9.140625" style="2065"/>
    <col min="8705" max="8705" width="12.5703125" style="2065" customWidth="1"/>
    <col min="8706" max="8706" width="29.5703125" style="2065" customWidth="1"/>
    <col min="8707" max="8707" width="25.42578125" style="2065" customWidth="1"/>
    <col min="8708" max="8708" width="14.5703125" style="2065" customWidth="1"/>
    <col min="8709" max="8709" width="10.28515625" style="2065" customWidth="1"/>
    <col min="8710" max="8710" width="10.5703125" style="2065" customWidth="1"/>
    <col min="8711" max="8711" width="17.28515625" style="2065" customWidth="1"/>
    <col min="8712" max="8712" width="8.85546875" style="2065" customWidth="1"/>
    <col min="8713" max="8713" width="12.42578125" style="2065" customWidth="1"/>
    <col min="8714" max="8714" width="16" style="2065" customWidth="1"/>
    <col min="8715" max="8960" width="9.140625" style="2065"/>
    <col min="8961" max="8961" width="12.5703125" style="2065" customWidth="1"/>
    <col min="8962" max="8962" width="29.5703125" style="2065" customWidth="1"/>
    <col min="8963" max="8963" width="25.42578125" style="2065" customWidth="1"/>
    <col min="8964" max="8964" width="14.5703125" style="2065" customWidth="1"/>
    <col min="8965" max="8965" width="10.28515625" style="2065" customWidth="1"/>
    <col min="8966" max="8966" width="10.5703125" style="2065" customWidth="1"/>
    <col min="8967" max="8967" width="17.28515625" style="2065" customWidth="1"/>
    <col min="8968" max="8968" width="8.85546875" style="2065" customWidth="1"/>
    <col min="8969" max="8969" width="12.42578125" style="2065" customWidth="1"/>
    <col min="8970" max="8970" width="16" style="2065" customWidth="1"/>
    <col min="8971" max="9216" width="9.140625" style="2065"/>
    <col min="9217" max="9217" width="12.5703125" style="2065" customWidth="1"/>
    <col min="9218" max="9218" width="29.5703125" style="2065" customWidth="1"/>
    <col min="9219" max="9219" width="25.42578125" style="2065" customWidth="1"/>
    <col min="9220" max="9220" width="14.5703125" style="2065" customWidth="1"/>
    <col min="9221" max="9221" width="10.28515625" style="2065" customWidth="1"/>
    <col min="9222" max="9222" width="10.5703125" style="2065" customWidth="1"/>
    <col min="9223" max="9223" width="17.28515625" style="2065" customWidth="1"/>
    <col min="9224" max="9224" width="8.85546875" style="2065" customWidth="1"/>
    <col min="9225" max="9225" width="12.42578125" style="2065" customWidth="1"/>
    <col min="9226" max="9226" width="16" style="2065" customWidth="1"/>
    <col min="9227" max="9472" width="9.140625" style="2065"/>
    <col min="9473" max="9473" width="12.5703125" style="2065" customWidth="1"/>
    <col min="9474" max="9474" width="29.5703125" style="2065" customWidth="1"/>
    <col min="9475" max="9475" width="25.42578125" style="2065" customWidth="1"/>
    <col min="9476" max="9476" width="14.5703125" style="2065" customWidth="1"/>
    <col min="9477" max="9477" width="10.28515625" style="2065" customWidth="1"/>
    <col min="9478" max="9478" width="10.5703125" style="2065" customWidth="1"/>
    <col min="9479" max="9479" width="17.28515625" style="2065" customWidth="1"/>
    <col min="9480" max="9480" width="8.85546875" style="2065" customWidth="1"/>
    <col min="9481" max="9481" width="12.42578125" style="2065" customWidth="1"/>
    <col min="9482" max="9482" width="16" style="2065" customWidth="1"/>
    <col min="9483" max="9728" width="9.140625" style="2065"/>
    <col min="9729" max="9729" width="12.5703125" style="2065" customWidth="1"/>
    <col min="9730" max="9730" width="29.5703125" style="2065" customWidth="1"/>
    <col min="9731" max="9731" width="25.42578125" style="2065" customWidth="1"/>
    <col min="9732" max="9732" width="14.5703125" style="2065" customWidth="1"/>
    <col min="9733" max="9733" width="10.28515625" style="2065" customWidth="1"/>
    <col min="9734" max="9734" width="10.5703125" style="2065" customWidth="1"/>
    <col min="9735" max="9735" width="17.28515625" style="2065" customWidth="1"/>
    <col min="9736" max="9736" width="8.85546875" style="2065" customWidth="1"/>
    <col min="9737" max="9737" width="12.42578125" style="2065" customWidth="1"/>
    <col min="9738" max="9738" width="16" style="2065" customWidth="1"/>
    <col min="9739" max="9984" width="9.140625" style="2065"/>
    <col min="9985" max="9985" width="12.5703125" style="2065" customWidth="1"/>
    <col min="9986" max="9986" width="29.5703125" style="2065" customWidth="1"/>
    <col min="9987" max="9987" width="25.42578125" style="2065" customWidth="1"/>
    <col min="9988" max="9988" width="14.5703125" style="2065" customWidth="1"/>
    <col min="9989" max="9989" width="10.28515625" style="2065" customWidth="1"/>
    <col min="9990" max="9990" width="10.5703125" style="2065" customWidth="1"/>
    <col min="9991" max="9991" width="17.28515625" style="2065" customWidth="1"/>
    <col min="9992" max="9992" width="8.85546875" style="2065" customWidth="1"/>
    <col min="9993" max="9993" width="12.42578125" style="2065" customWidth="1"/>
    <col min="9994" max="9994" width="16" style="2065" customWidth="1"/>
    <col min="9995" max="10240" width="9.140625" style="2065"/>
    <col min="10241" max="10241" width="12.5703125" style="2065" customWidth="1"/>
    <col min="10242" max="10242" width="29.5703125" style="2065" customWidth="1"/>
    <col min="10243" max="10243" width="25.42578125" style="2065" customWidth="1"/>
    <col min="10244" max="10244" width="14.5703125" style="2065" customWidth="1"/>
    <col min="10245" max="10245" width="10.28515625" style="2065" customWidth="1"/>
    <col min="10246" max="10246" width="10.5703125" style="2065" customWidth="1"/>
    <col min="10247" max="10247" width="17.28515625" style="2065" customWidth="1"/>
    <col min="10248" max="10248" width="8.85546875" style="2065" customWidth="1"/>
    <col min="10249" max="10249" width="12.42578125" style="2065" customWidth="1"/>
    <col min="10250" max="10250" width="16" style="2065" customWidth="1"/>
    <col min="10251" max="10496" width="9.140625" style="2065"/>
    <col min="10497" max="10497" width="12.5703125" style="2065" customWidth="1"/>
    <col min="10498" max="10498" width="29.5703125" style="2065" customWidth="1"/>
    <col min="10499" max="10499" width="25.42578125" style="2065" customWidth="1"/>
    <col min="10500" max="10500" width="14.5703125" style="2065" customWidth="1"/>
    <col min="10501" max="10501" width="10.28515625" style="2065" customWidth="1"/>
    <col min="10502" max="10502" width="10.5703125" style="2065" customWidth="1"/>
    <col min="10503" max="10503" width="17.28515625" style="2065" customWidth="1"/>
    <col min="10504" max="10504" width="8.85546875" style="2065" customWidth="1"/>
    <col min="10505" max="10505" width="12.42578125" style="2065" customWidth="1"/>
    <col min="10506" max="10506" width="16" style="2065" customWidth="1"/>
    <col min="10507" max="10752" width="9.140625" style="2065"/>
    <col min="10753" max="10753" width="12.5703125" style="2065" customWidth="1"/>
    <col min="10754" max="10754" width="29.5703125" style="2065" customWidth="1"/>
    <col min="10755" max="10755" width="25.42578125" style="2065" customWidth="1"/>
    <col min="10756" max="10756" width="14.5703125" style="2065" customWidth="1"/>
    <col min="10757" max="10757" width="10.28515625" style="2065" customWidth="1"/>
    <col min="10758" max="10758" width="10.5703125" style="2065" customWidth="1"/>
    <col min="10759" max="10759" width="17.28515625" style="2065" customWidth="1"/>
    <col min="10760" max="10760" width="8.85546875" style="2065" customWidth="1"/>
    <col min="10761" max="10761" width="12.42578125" style="2065" customWidth="1"/>
    <col min="10762" max="10762" width="16" style="2065" customWidth="1"/>
    <col min="10763" max="11008" width="9.140625" style="2065"/>
    <col min="11009" max="11009" width="12.5703125" style="2065" customWidth="1"/>
    <col min="11010" max="11010" width="29.5703125" style="2065" customWidth="1"/>
    <col min="11011" max="11011" width="25.42578125" style="2065" customWidth="1"/>
    <col min="11012" max="11012" width="14.5703125" style="2065" customWidth="1"/>
    <col min="11013" max="11013" width="10.28515625" style="2065" customWidth="1"/>
    <col min="11014" max="11014" width="10.5703125" style="2065" customWidth="1"/>
    <col min="11015" max="11015" width="17.28515625" style="2065" customWidth="1"/>
    <col min="11016" max="11016" width="8.85546875" style="2065" customWidth="1"/>
    <col min="11017" max="11017" width="12.42578125" style="2065" customWidth="1"/>
    <col min="11018" max="11018" width="16" style="2065" customWidth="1"/>
    <col min="11019" max="11264" width="9.140625" style="2065"/>
    <col min="11265" max="11265" width="12.5703125" style="2065" customWidth="1"/>
    <col min="11266" max="11266" width="29.5703125" style="2065" customWidth="1"/>
    <col min="11267" max="11267" width="25.42578125" style="2065" customWidth="1"/>
    <col min="11268" max="11268" width="14.5703125" style="2065" customWidth="1"/>
    <col min="11269" max="11269" width="10.28515625" style="2065" customWidth="1"/>
    <col min="11270" max="11270" width="10.5703125" style="2065" customWidth="1"/>
    <col min="11271" max="11271" width="17.28515625" style="2065" customWidth="1"/>
    <col min="11272" max="11272" width="8.85546875" style="2065" customWidth="1"/>
    <col min="11273" max="11273" width="12.42578125" style="2065" customWidth="1"/>
    <col min="11274" max="11274" width="16" style="2065" customWidth="1"/>
    <col min="11275" max="11520" width="9.140625" style="2065"/>
    <col min="11521" max="11521" width="12.5703125" style="2065" customWidth="1"/>
    <col min="11522" max="11522" width="29.5703125" style="2065" customWidth="1"/>
    <col min="11523" max="11523" width="25.42578125" style="2065" customWidth="1"/>
    <col min="11524" max="11524" width="14.5703125" style="2065" customWidth="1"/>
    <col min="11525" max="11525" width="10.28515625" style="2065" customWidth="1"/>
    <col min="11526" max="11526" width="10.5703125" style="2065" customWidth="1"/>
    <col min="11527" max="11527" width="17.28515625" style="2065" customWidth="1"/>
    <col min="11528" max="11528" width="8.85546875" style="2065" customWidth="1"/>
    <col min="11529" max="11529" width="12.42578125" style="2065" customWidth="1"/>
    <col min="11530" max="11530" width="16" style="2065" customWidth="1"/>
    <col min="11531" max="11776" width="9.140625" style="2065"/>
    <col min="11777" max="11777" width="12.5703125" style="2065" customWidth="1"/>
    <col min="11778" max="11778" width="29.5703125" style="2065" customWidth="1"/>
    <col min="11779" max="11779" width="25.42578125" style="2065" customWidth="1"/>
    <col min="11780" max="11780" width="14.5703125" style="2065" customWidth="1"/>
    <col min="11781" max="11781" width="10.28515625" style="2065" customWidth="1"/>
    <col min="11782" max="11782" width="10.5703125" style="2065" customWidth="1"/>
    <col min="11783" max="11783" width="17.28515625" style="2065" customWidth="1"/>
    <col min="11784" max="11784" width="8.85546875" style="2065" customWidth="1"/>
    <col min="11785" max="11785" width="12.42578125" style="2065" customWidth="1"/>
    <col min="11786" max="11786" width="16" style="2065" customWidth="1"/>
    <col min="11787" max="12032" width="9.140625" style="2065"/>
    <col min="12033" max="12033" width="12.5703125" style="2065" customWidth="1"/>
    <col min="12034" max="12034" width="29.5703125" style="2065" customWidth="1"/>
    <col min="12035" max="12035" width="25.42578125" style="2065" customWidth="1"/>
    <col min="12036" max="12036" width="14.5703125" style="2065" customWidth="1"/>
    <col min="12037" max="12037" width="10.28515625" style="2065" customWidth="1"/>
    <col min="12038" max="12038" width="10.5703125" style="2065" customWidth="1"/>
    <col min="12039" max="12039" width="17.28515625" style="2065" customWidth="1"/>
    <col min="12040" max="12040" width="8.85546875" style="2065" customWidth="1"/>
    <col min="12041" max="12041" width="12.42578125" style="2065" customWidth="1"/>
    <col min="12042" max="12042" width="16" style="2065" customWidth="1"/>
    <col min="12043" max="12288" width="9.140625" style="2065"/>
    <col min="12289" max="12289" width="12.5703125" style="2065" customWidth="1"/>
    <col min="12290" max="12290" width="29.5703125" style="2065" customWidth="1"/>
    <col min="12291" max="12291" width="25.42578125" style="2065" customWidth="1"/>
    <col min="12292" max="12292" width="14.5703125" style="2065" customWidth="1"/>
    <col min="12293" max="12293" width="10.28515625" style="2065" customWidth="1"/>
    <col min="12294" max="12294" width="10.5703125" style="2065" customWidth="1"/>
    <col min="12295" max="12295" width="17.28515625" style="2065" customWidth="1"/>
    <col min="12296" max="12296" width="8.85546875" style="2065" customWidth="1"/>
    <col min="12297" max="12297" width="12.42578125" style="2065" customWidth="1"/>
    <col min="12298" max="12298" width="16" style="2065" customWidth="1"/>
    <col min="12299" max="12544" width="9.140625" style="2065"/>
    <col min="12545" max="12545" width="12.5703125" style="2065" customWidth="1"/>
    <col min="12546" max="12546" width="29.5703125" style="2065" customWidth="1"/>
    <col min="12547" max="12547" width="25.42578125" style="2065" customWidth="1"/>
    <col min="12548" max="12548" width="14.5703125" style="2065" customWidth="1"/>
    <col min="12549" max="12549" width="10.28515625" style="2065" customWidth="1"/>
    <col min="12550" max="12550" width="10.5703125" style="2065" customWidth="1"/>
    <col min="12551" max="12551" width="17.28515625" style="2065" customWidth="1"/>
    <col min="12552" max="12552" width="8.85546875" style="2065" customWidth="1"/>
    <col min="12553" max="12553" width="12.42578125" style="2065" customWidth="1"/>
    <col min="12554" max="12554" width="16" style="2065" customWidth="1"/>
    <col min="12555" max="12800" width="9.140625" style="2065"/>
    <col min="12801" max="12801" width="12.5703125" style="2065" customWidth="1"/>
    <col min="12802" max="12802" width="29.5703125" style="2065" customWidth="1"/>
    <col min="12803" max="12803" width="25.42578125" style="2065" customWidth="1"/>
    <col min="12804" max="12804" width="14.5703125" style="2065" customWidth="1"/>
    <col min="12805" max="12805" width="10.28515625" style="2065" customWidth="1"/>
    <col min="12806" max="12806" width="10.5703125" style="2065" customWidth="1"/>
    <col min="12807" max="12807" width="17.28515625" style="2065" customWidth="1"/>
    <col min="12808" max="12808" width="8.85546875" style="2065" customWidth="1"/>
    <col min="12809" max="12809" width="12.42578125" style="2065" customWidth="1"/>
    <col min="12810" max="12810" width="16" style="2065" customWidth="1"/>
    <col min="12811" max="13056" width="9.140625" style="2065"/>
    <col min="13057" max="13057" width="12.5703125" style="2065" customWidth="1"/>
    <col min="13058" max="13058" width="29.5703125" style="2065" customWidth="1"/>
    <col min="13059" max="13059" width="25.42578125" style="2065" customWidth="1"/>
    <col min="13060" max="13060" width="14.5703125" style="2065" customWidth="1"/>
    <col min="13061" max="13061" width="10.28515625" style="2065" customWidth="1"/>
    <col min="13062" max="13062" width="10.5703125" style="2065" customWidth="1"/>
    <col min="13063" max="13063" width="17.28515625" style="2065" customWidth="1"/>
    <col min="13064" max="13064" width="8.85546875" style="2065" customWidth="1"/>
    <col min="13065" max="13065" width="12.42578125" style="2065" customWidth="1"/>
    <col min="13066" max="13066" width="16" style="2065" customWidth="1"/>
    <col min="13067" max="13312" width="9.140625" style="2065"/>
    <col min="13313" max="13313" width="12.5703125" style="2065" customWidth="1"/>
    <col min="13314" max="13314" width="29.5703125" style="2065" customWidth="1"/>
    <col min="13315" max="13315" width="25.42578125" style="2065" customWidth="1"/>
    <col min="13316" max="13316" width="14.5703125" style="2065" customWidth="1"/>
    <col min="13317" max="13317" width="10.28515625" style="2065" customWidth="1"/>
    <col min="13318" max="13318" width="10.5703125" style="2065" customWidth="1"/>
    <col min="13319" max="13319" width="17.28515625" style="2065" customWidth="1"/>
    <col min="13320" max="13320" width="8.85546875" style="2065" customWidth="1"/>
    <col min="13321" max="13321" width="12.42578125" style="2065" customWidth="1"/>
    <col min="13322" max="13322" width="16" style="2065" customWidth="1"/>
    <col min="13323" max="13568" width="9.140625" style="2065"/>
    <col min="13569" max="13569" width="12.5703125" style="2065" customWidth="1"/>
    <col min="13570" max="13570" width="29.5703125" style="2065" customWidth="1"/>
    <col min="13571" max="13571" width="25.42578125" style="2065" customWidth="1"/>
    <col min="13572" max="13572" width="14.5703125" style="2065" customWidth="1"/>
    <col min="13573" max="13573" width="10.28515625" style="2065" customWidth="1"/>
    <col min="13574" max="13574" width="10.5703125" style="2065" customWidth="1"/>
    <col min="13575" max="13575" width="17.28515625" style="2065" customWidth="1"/>
    <col min="13576" max="13576" width="8.85546875" style="2065" customWidth="1"/>
    <col min="13577" max="13577" width="12.42578125" style="2065" customWidth="1"/>
    <col min="13578" max="13578" width="16" style="2065" customWidth="1"/>
    <col min="13579" max="13824" width="9.140625" style="2065"/>
    <col min="13825" max="13825" width="12.5703125" style="2065" customWidth="1"/>
    <col min="13826" max="13826" width="29.5703125" style="2065" customWidth="1"/>
    <col min="13827" max="13827" width="25.42578125" style="2065" customWidth="1"/>
    <col min="13828" max="13828" width="14.5703125" style="2065" customWidth="1"/>
    <col min="13829" max="13829" width="10.28515625" style="2065" customWidth="1"/>
    <col min="13830" max="13830" width="10.5703125" style="2065" customWidth="1"/>
    <col min="13831" max="13831" width="17.28515625" style="2065" customWidth="1"/>
    <col min="13832" max="13832" width="8.85546875" style="2065" customWidth="1"/>
    <col min="13833" max="13833" width="12.42578125" style="2065" customWidth="1"/>
    <col min="13834" max="13834" width="16" style="2065" customWidth="1"/>
    <col min="13835" max="14080" width="9.140625" style="2065"/>
    <col min="14081" max="14081" width="12.5703125" style="2065" customWidth="1"/>
    <col min="14082" max="14082" width="29.5703125" style="2065" customWidth="1"/>
    <col min="14083" max="14083" width="25.42578125" style="2065" customWidth="1"/>
    <col min="14084" max="14084" width="14.5703125" style="2065" customWidth="1"/>
    <col min="14085" max="14085" width="10.28515625" style="2065" customWidth="1"/>
    <col min="14086" max="14086" width="10.5703125" style="2065" customWidth="1"/>
    <col min="14087" max="14087" width="17.28515625" style="2065" customWidth="1"/>
    <col min="14088" max="14088" width="8.85546875" style="2065" customWidth="1"/>
    <col min="14089" max="14089" width="12.42578125" style="2065" customWidth="1"/>
    <col min="14090" max="14090" width="16" style="2065" customWidth="1"/>
    <col min="14091" max="14336" width="9.140625" style="2065"/>
    <col min="14337" max="14337" width="12.5703125" style="2065" customWidth="1"/>
    <col min="14338" max="14338" width="29.5703125" style="2065" customWidth="1"/>
    <col min="14339" max="14339" width="25.42578125" style="2065" customWidth="1"/>
    <col min="14340" max="14340" width="14.5703125" style="2065" customWidth="1"/>
    <col min="14341" max="14341" width="10.28515625" style="2065" customWidth="1"/>
    <col min="14342" max="14342" width="10.5703125" style="2065" customWidth="1"/>
    <col min="14343" max="14343" width="17.28515625" style="2065" customWidth="1"/>
    <col min="14344" max="14344" width="8.85546875" style="2065" customWidth="1"/>
    <col min="14345" max="14345" width="12.42578125" style="2065" customWidth="1"/>
    <col min="14346" max="14346" width="16" style="2065" customWidth="1"/>
    <col min="14347" max="14592" width="9.140625" style="2065"/>
    <col min="14593" max="14593" width="12.5703125" style="2065" customWidth="1"/>
    <col min="14594" max="14594" width="29.5703125" style="2065" customWidth="1"/>
    <col min="14595" max="14595" width="25.42578125" style="2065" customWidth="1"/>
    <col min="14596" max="14596" width="14.5703125" style="2065" customWidth="1"/>
    <col min="14597" max="14597" width="10.28515625" style="2065" customWidth="1"/>
    <col min="14598" max="14598" width="10.5703125" style="2065" customWidth="1"/>
    <col min="14599" max="14599" width="17.28515625" style="2065" customWidth="1"/>
    <col min="14600" max="14600" width="8.85546875" style="2065" customWidth="1"/>
    <col min="14601" max="14601" width="12.42578125" style="2065" customWidth="1"/>
    <col min="14602" max="14602" width="16" style="2065" customWidth="1"/>
    <col min="14603" max="14848" width="9.140625" style="2065"/>
    <col min="14849" max="14849" width="12.5703125" style="2065" customWidth="1"/>
    <col min="14850" max="14850" width="29.5703125" style="2065" customWidth="1"/>
    <col min="14851" max="14851" width="25.42578125" style="2065" customWidth="1"/>
    <col min="14852" max="14852" width="14.5703125" style="2065" customWidth="1"/>
    <col min="14853" max="14853" width="10.28515625" style="2065" customWidth="1"/>
    <col min="14854" max="14854" width="10.5703125" style="2065" customWidth="1"/>
    <col min="14855" max="14855" width="17.28515625" style="2065" customWidth="1"/>
    <col min="14856" max="14856" width="8.85546875" style="2065" customWidth="1"/>
    <col min="14857" max="14857" width="12.42578125" style="2065" customWidth="1"/>
    <col min="14858" max="14858" width="16" style="2065" customWidth="1"/>
    <col min="14859" max="15104" width="9.140625" style="2065"/>
    <col min="15105" max="15105" width="12.5703125" style="2065" customWidth="1"/>
    <col min="15106" max="15106" width="29.5703125" style="2065" customWidth="1"/>
    <col min="15107" max="15107" width="25.42578125" style="2065" customWidth="1"/>
    <col min="15108" max="15108" width="14.5703125" style="2065" customWidth="1"/>
    <col min="15109" max="15109" width="10.28515625" style="2065" customWidth="1"/>
    <col min="15110" max="15110" width="10.5703125" style="2065" customWidth="1"/>
    <col min="15111" max="15111" width="17.28515625" style="2065" customWidth="1"/>
    <col min="15112" max="15112" width="8.85546875" style="2065" customWidth="1"/>
    <col min="15113" max="15113" width="12.42578125" style="2065" customWidth="1"/>
    <col min="15114" max="15114" width="16" style="2065" customWidth="1"/>
    <col min="15115" max="15360" width="9.140625" style="2065"/>
    <col min="15361" max="15361" width="12.5703125" style="2065" customWidth="1"/>
    <col min="15362" max="15362" width="29.5703125" style="2065" customWidth="1"/>
    <col min="15363" max="15363" width="25.42578125" style="2065" customWidth="1"/>
    <col min="15364" max="15364" width="14.5703125" style="2065" customWidth="1"/>
    <col min="15365" max="15365" width="10.28515625" style="2065" customWidth="1"/>
    <col min="15366" max="15366" width="10.5703125" style="2065" customWidth="1"/>
    <col min="15367" max="15367" width="17.28515625" style="2065" customWidth="1"/>
    <col min="15368" max="15368" width="8.85546875" style="2065" customWidth="1"/>
    <col min="15369" max="15369" width="12.42578125" style="2065" customWidth="1"/>
    <col min="15370" max="15370" width="16" style="2065" customWidth="1"/>
    <col min="15371" max="15616" width="9.140625" style="2065"/>
    <col min="15617" max="15617" width="12.5703125" style="2065" customWidth="1"/>
    <col min="15618" max="15618" width="29.5703125" style="2065" customWidth="1"/>
    <col min="15619" max="15619" width="25.42578125" style="2065" customWidth="1"/>
    <col min="15620" max="15620" width="14.5703125" style="2065" customWidth="1"/>
    <col min="15621" max="15621" width="10.28515625" style="2065" customWidth="1"/>
    <col min="15622" max="15622" width="10.5703125" style="2065" customWidth="1"/>
    <col min="15623" max="15623" width="17.28515625" style="2065" customWidth="1"/>
    <col min="15624" max="15624" width="8.85546875" style="2065" customWidth="1"/>
    <col min="15625" max="15625" width="12.42578125" style="2065" customWidth="1"/>
    <col min="15626" max="15626" width="16" style="2065" customWidth="1"/>
    <col min="15627" max="15872" width="9.140625" style="2065"/>
    <col min="15873" max="15873" width="12.5703125" style="2065" customWidth="1"/>
    <col min="15874" max="15874" width="29.5703125" style="2065" customWidth="1"/>
    <col min="15875" max="15875" width="25.42578125" style="2065" customWidth="1"/>
    <col min="15876" max="15876" width="14.5703125" style="2065" customWidth="1"/>
    <col min="15877" max="15877" width="10.28515625" style="2065" customWidth="1"/>
    <col min="15878" max="15878" width="10.5703125" style="2065" customWidth="1"/>
    <col min="15879" max="15879" width="17.28515625" style="2065" customWidth="1"/>
    <col min="15880" max="15880" width="8.85546875" style="2065" customWidth="1"/>
    <col min="15881" max="15881" width="12.42578125" style="2065" customWidth="1"/>
    <col min="15882" max="15882" width="16" style="2065" customWidth="1"/>
    <col min="15883" max="16128" width="9.140625" style="2065"/>
    <col min="16129" max="16129" width="12.5703125" style="2065" customWidth="1"/>
    <col min="16130" max="16130" width="29.5703125" style="2065" customWidth="1"/>
    <col min="16131" max="16131" width="25.42578125" style="2065" customWidth="1"/>
    <col min="16132" max="16132" width="14.5703125" style="2065" customWidth="1"/>
    <col min="16133" max="16133" width="10.28515625" style="2065" customWidth="1"/>
    <col min="16134" max="16134" width="10.5703125" style="2065" customWidth="1"/>
    <col min="16135" max="16135" width="17.28515625" style="2065" customWidth="1"/>
    <col min="16136" max="16136" width="8.85546875" style="2065" customWidth="1"/>
    <col min="16137" max="16137" width="12.42578125" style="2065" customWidth="1"/>
    <col min="16138" max="16138" width="16" style="2065" customWidth="1"/>
    <col min="16139" max="16384" width="9.140625" style="2065"/>
  </cols>
  <sheetData>
    <row r="1" spans="1:29" ht="15" customHeight="1">
      <c r="A1" s="2561" t="s">
        <v>1452</v>
      </c>
      <c r="B1" s="2562"/>
      <c r="C1" s="2562"/>
      <c r="D1" s="2562"/>
      <c r="E1" s="2562"/>
      <c r="F1" s="2562"/>
      <c r="G1" s="2562"/>
      <c r="H1" s="2562"/>
      <c r="I1" s="2562"/>
      <c r="J1" s="2563"/>
    </row>
    <row r="2" spans="1:29" ht="15" customHeight="1">
      <c r="A2" s="2564" t="s">
        <v>9151</v>
      </c>
      <c r="B2" s="2565"/>
      <c r="C2" s="2073" t="s">
        <v>5699</v>
      </c>
      <c r="D2" s="2566"/>
      <c r="E2" s="2566"/>
      <c r="F2" s="2566"/>
      <c r="G2" s="2566"/>
      <c r="H2" s="2566"/>
      <c r="I2" s="2566"/>
      <c r="J2" s="2567"/>
    </row>
    <row r="3" spans="1:29" ht="15" customHeight="1">
      <c r="A3" s="2564" t="s">
        <v>9152</v>
      </c>
      <c r="B3" s="2568"/>
      <c r="C3" s="2073" t="s">
        <v>5700</v>
      </c>
      <c r="D3" s="2566"/>
      <c r="E3" s="2566"/>
      <c r="F3" s="2566"/>
      <c r="G3" s="2566"/>
      <c r="H3" s="2566"/>
      <c r="I3" s="2566"/>
      <c r="J3" s="2567"/>
    </row>
    <row r="4" spans="1:29" ht="60" customHeight="1">
      <c r="A4" s="2556" t="s">
        <v>9153</v>
      </c>
      <c r="B4" s="2557"/>
      <c r="C4" s="2558"/>
      <c r="D4" s="2559"/>
      <c r="E4" s="2559"/>
      <c r="F4" s="2559"/>
      <c r="G4" s="2559"/>
      <c r="H4" s="2559"/>
      <c r="I4" s="2559"/>
      <c r="J4" s="2560"/>
    </row>
    <row r="5" spans="1:29" ht="30" customHeight="1">
      <c r="A5" s="2066" t="s">
        <v>9154</v>
      </c>
      <c r="B5" s="2066" t="s">
        <v>1502</v>
      </c>
      <c r="C5" s="2066" t="s">
        <v>9155</v>
      </c>
      <c r="D5" s="2066" t="s">
        <v>9156</v>
      </c>
      <c r="E5" s="2066" t="s">
        <v>9157</v>
      </c>
      <c r="F5" s="2066" t="s">
        <v>9158</v>
      </c>
      <c r="G5" s="2066" t="s">
        <v>9159</v>
      </c>
      <c r="H5" s="2066" t="s">
        <v>9160</v>
      </c>
      <c r="I5" s="2066" t="s">
        <v>2343</v>
      </c>
      <c r="J5" s="2066" t="s">
        <v>9161</v>
      </c>
      <c r="K5" s="2066" t="s">
        <v>9162</v>
      </c>
      <c r="L5" s="2066" t="s">
        <v>9163</v>
      </c>
      <c r="R5" s="2066" t="s">
        <v>9154</v>
      </c>
      <c r="S5" s="2066" t="s">
        <v>1502</v>
      </c>
      <c r="T5" s="2066" t="s">
        <v>9155</v>
      </c>
      <c r="U5" s="2066" t="s">
        <v>9156</v>
      </c>
      <c r="V5" s="2066" t="s">
        <v>9157</v>
      </c>
      <c r="W5" s="2066" t="s">
        <v>9158</v>
      </c>
      <c r="X5" s="2066" t="s">
        <v>9159</v>
      </c>
      <c r="Y5" s="2066" t="s">
        <v>9160</v>
      </c>
      <c r="Z5" s="2066" t="s">
        <v>2343</v>
      </c>
      <c r="AA5" s="2066" t="s">
        <v>9161</v>
      </c>
      <c r="AB5" s="2066" t="s">
        <v>9162</v>
      </c>
      <c r="AC5" s="2066" t="s">
        <v>9163</v>
      </c>
    </row>
    <row r="6" spans="1:29" ht="15" customHeight="1">
      <c r="A6" s="2065" t="str">
        <f t="shared" ref="A6:A43" si="0">IF(MaxNr&gt;=$N6,VLOOKUP($N6,$Q$6:$AC$43,2,FALSE),"")</f>
        <v/>
      </c>
      <c r="B6" s="2065" t="str">
        <f t="shared" ref="B6:B43" si="1">IF(MaxNr&gt;=$N6,VLOOKUP($N6,$Q$6:$AC$43,3,FALSE),"")</f>
        <v/>
      </c>
      <c r="C6" s="2065" t="str">
        <f t="shared" ref="C6:C43" si="2">IF(MaxNr&gt;=$N6,VLOOKUP($N6,$Q$6:$AC$43,4,FALSE),"")</f>
        <v/>
      </c>
      <c r="D6" s="2065" t="str">
        <f t="shared" ref="D6:D43" si="3">IF(MaxNr&gt;=$N6,VLOOKUP($N6,$Q$6:$AC$43,5,FALSE),"")</f>
        <v/>
      </c>
      <c r="E6" s="2065" t="str">
        <f t="shared" ref="E6:E43" si="4">IF(MaxNr&gt;=$N6,VLOOKUP($N6,$Q$6:$AC$43,6,FALSE),"")</f>
        <v/>
      </c>
      <c r="F6" s="2065" t="str">
        <f t="shared" ref="F6:F43" si="5">IF(MaxNr&gt;=$N6,VLOOKUP($N6,$Q$6:$AC$43,7,FALSE),"")</f>
        <v/>
      </c>
      <c r="G6" s="2065" t="str">
        <f t="shared" ref="G6:G43" si="6">IF(MaxNr&gt;=$N6,VLOOKUP($N6,$Q$6:$AC$43,8,FALSE),"")</f>
        <v/>
      </c>
      <c r="H6" s="2065" t="str">
        <f t="shared" ref="H6:H43" si="7">IF(MaxNr&gt;=$N6,VLOOKUP($N6,$Q$6:$AC$43,9,FALSE),"")</f>
        <v/>
      </c>
      <c r="I6" s="2065" t="str">
        <f t="shared" ref="I6:I43" si="8">IF(MaxNr&gt;=$N6,VLOOKUP($N6,$Q$6:$AC$43,10,FALSE),"")</f>
        <v/>
      </c>
      <c r="J6" s="2065" t="str">
        <f t="shared" ref="J6:J43" si="9">IF(MaxNr&gt;=$N6,VLOOKUP($N6,$Q$6:$AC$43,11,FALSE),"")</f>
        <v/>
      </c>
      <c r="K6" s="2065" t="str">
        <f t="shared" ref="K6:K43" si="10">IF(MaxNr&gt;=$N6,VLOOKUP($N6,$Q$6:$AC$43,12,FALSE),"")</f>
        <v/>
      </c>
      <c r="L6" s="2065" t="str">
        <f t="shared" ref="L6:L43" si="11">IF(MaxNr&gt;=$N6,VLOOKUP($N6,$Q$6:$AC$43,13,FALSE),"")</f>
        <v/>
      </c>
      <c r="N6" s="2065">
        <v>1</v>
      </c>
      <c r="O6" s="2065">
        <f>IF(V6&lt;&gt;"",1,0)</f>
        <v>0</v>
      </c>
      <c r="P6" s="2065">
        <f>O6</f>
        <v>0</v>
      </c>
      <c r="Q6" s="2065" t="str">
        <f>IF(O6&gt;0,P6,"")</f>
        <v/>
      </c>
      <c r="R6" s="2065" t="str">
        <f>IF(V6&lt;&gt;"","W1_"&amp;U6,"")</f>
        <v/>
      </c>
      <c r="S6" s="2067" t="str">
        <f>IF(V6&lt;&gt;"","Aussenwand 1"&amp;" "&amp;U6,"")</f>
        <v/>
      </c>
      <c r="T6" s="2065" t="str">
        <f>IF(V6&lt;&gt;"","Aussenwand","")</f>
        <v/>
      </c>
      <c r="U6" s="2068" t="str">
        <f>IF(V6&lt;&gt;"",IF(dreh=1,"NO","N"),"")</f>
        <v/>
      </c>
      <c r="V6" s="2069" t="str">
        <f>IF(Bau!E14&gt;0,Bau!E14,"")</f>
        <v/>
      </c>
      <c r="W6" s="2069" t="str">
        <f>IF(V6&lt;&gt;"",Bau!M14,"")</f>
        <v/>
      </c>
      <c r="X6" s="2069" t="str">
        <f>IF(V6&lt;&gt;"",1,"")</f>
        <v/>
      </c>
      <c r="Y6" s="2068" t="str">
        <f>IF(V6&lt;&gt;"",1,"")</f>
        <v/>
      </c>
      <c r="Z6" s="2065" t="str">
        <f>""</f>
        <v/>
      </c>
      <c r="AA6" s="2065" t="str">
        <f>""</f>
        <v/>
      </c>
      <c r="AB6" s="2065" t="str">
        <f>""</f>
        <v/>
      </c>
      <c r="AC6" s="2065" t="str">
        <f>""</f>
        <v/>
      </c>
    </row>
    <row r="7" spans="1:29" ht="15" customHeight="1">
      <c r="A7" s="2065" t="str">
        <f t="shared" si="0"/>
        <v/>
      </c>
      <c r="B7" s="2065" t="str">
        <f t="shared" si="1"/>
        <v/>
      </c>
      <c r="C7" s="2065" t="str">
        <f t="shared" si="2"/>
        <v/>
      </c>
      <c r="D7" s="2065" t="str">
        <f t="shared" si="3"/>
        <v/>
      </c>
      <c r="E7" s="2065" t="str">
        <f t="shared" si="4"/>
        <v/>
      </c>
      <c r="F7" s="2065" t="str">
        <f t="shared" si="5"/>
        <v/>
      </c>
      <c r="G7" s="2065" t="str">
        <f t="shared" si="6"/>
        <v/>
      </c>
      <c r="H7" s="2065" t="str">
        <f t="shared" si="7"/>
        <v/>
      </c>
      <c r="I7" s="2065" t="str">
        <f t="shared" si="8"/>
        <v/>
      </c>
      <c r="J7" s="2065" t="str">
        <f t="shared" si="9"/>
        <v/>
      </c>
      <c r="K7" s="2065" t="str">
        <f t="shared" si="10"/>
        <v/>
      </c>
      <c r="L7" s="2065" t="str">
        <f t="shared" si="11"/>
        <v/>
      </c>
      <c r="N7" s="2065">
        <v>2</v>
      </c>
      <c r="O7" s="2065">
        <f t="shared" ref="O7:O43" si="12">IF(V7&lt;&gt;"",1,0)</f>
        <v>0</v>
      </c>
      <c r="P7" s="2065">
        <f>P6+O7</f>
        <v>0</v>
      </c>
      <c r="Q7" s="2065" t="str">
        <f t="shared" ref="Q7:Q43" si="13">IF(O7&gt;0,P7,"")</f>
        <v/>
      </c>
      <c r="R7" s="2065" t="str">
        <f>IF(V7&lt;&gt;"","W2_"&amp;U7,"")</f>
        <v/>
      </c>
      <c r="S7" s="2067" t="str">
        <f>IF(V7&lt;&gt;"","Aussenwand 2"&amp;" "&amp;U7,"")</f>
        <v/>
      </c>
      <c r="T7" s="2065" t="str">
        <f>IF(V7&lt;&gt;"","Aussenwand","")</f>
        <v/>
      </c>
      <c r="U7" s="2068" t="str">
        <f>IF(V7&lt;&gt;"",IF(dreh=1,"NO","N"),"")</f>
        <v/>
      </c>
      <c r="V7" s="2069" t="str">
        <f>IF(Bau!E15&gt;0,Bau!E15,"")</f>
        <v/>
      </c>
      <c r="W7" s="2069" t="str">
        <f>IF(V7&lt;&gt;"",Bau!M15,"")</f>
        <v/>
      </c>
      <c r="X7" s="2069" t="str">
        <f t="shared" ref="X7:X25" si="14">IF(V7&lt;&gt;"",1,"")</f>
        <v/>
      </c>
      <c r="Y7" s="2068" t="str">
        <f t="shared" ref="Y7:Y43" si="15">IF(V7&lt;&gt;"",1,"")</f>
        <v/>
      </c>
      <c r="Z7" s="2065" t="str">
        <f>""</f>
        <v/>
      </c>
      <c r="AA7" s="2065" t="str">
        <f>""</f>
        <v/>
      </c>
      <c r="AB7" s="2065" t="str">
        <f>""</f>
        <v/>
      </c>
      <c r="AC7" s="2065" t="str">
        <f>""</f>
        <v/>
      </c>
    </row>
    <row r="8" spans="1:29" ht="15" customHeight="1">
      <c r="A8" s="2065" t="str">
        <f t="shared" si="0"/>
        <v/>
      </c>
      <c r="B8" s="2065" t="str">
        <f t="shared" si="1"/>
        <v/>
      </c>
      <c r="C8" s="2065" t="str">
        <f t="shared" si="2"/>
        <v/>
      </c>
      <c r="D8" s="2065" t="str">
        <f t="shared" si="3"/>
        <v/>
      </c>
      <c r="E8" s="2065" t="str">
        <f t="shared" si="4"/>
        <v/>
      </c>
      <c r="F8" s="2065" t="str">
        <f t="shared" si="5"/>
        <v/>
      </c>
      <c r="G8" s="2065" t="str">
        <f t="shared" si="6"/>
        <v/>
      </c>
      <c r="H8" s="2065" t="str">
        <f t="shared" si="7"/>
        <v/>
      </c>
      <c r="I8" s="2065" t="str">
        <f t="shared" si="8"/>
        <v/>
      </c>
      <c r="J8" s="2065" t="str">
        <f t="shared" si="9"/>
        <v/>
      </c>
      <c r="K8" s="2065" t="str">
        <f t="shared" si="10"/>
        <v/>
      </c>
      <c r="L8" s="2065" t="str">
        <f t="shared" si="11"/>
        <v/>
      </c>
      <c r="N8" s="2065">
        <v>3</v>
      </c>
      <c r="O8" s="2065">
        <f t="shared" si="12"/>
        <v>0</v>
      </c>
      <c r="P8" s="2065">
        <f t="shared" ref="P8:P43" si="16">P7+O8</f>
        <v>0</v>
      </c>
      <c r="Q8" s="2065" t="str">
        <f t="shared" si="13"/>
        <v/>
      </c>
      <c r="R8" s="2065" t="str">
        <f>IF(V8&lt;&gt;"","W3_"&amp;U8,"")</f>
        <v/>
      </c>
      <c r="S8" s="2067" t="str">
        <f>IF(V8&lt;&gt;"","Aussenwand 3"&amp;" "&amp;U8,"")</f>
        <v/>
      </c>
      <c r="T8" s="2065" t="str">
        <f t="shared" ref="T8:T25" si="17">IF(V8&lt;&gt;"","Aussenwand","")</f>
        <v/>
      </c>
      <c r="U8" s="2068" t="str">
        <f>IF(V8&lt;&gt;"",IF(dreh=1,"NO","N"),"")</f>
        <v/>
      </c>
      <c r="V8" s="2069" t="str">
        <f>IF(Bau!E16&gt;0,Bau!E16,"")</f>
        <v/>
      </c>
      <c r="W8" s="2069" t="str">
        <f>IF(V8&lt;&gt;"",Bau!M16,"")</f>
        <v/>
      </c>
      <c r="X8" s="2069" t="str">
        <f t="shared" si="14"/>
        <v/>
      </c>
      <c r="Y8" s="2068" t="str">
        <f t="shared" si="15"/>
        <v/>
      </c>
      <c r="Z8" s="2065" t="str">
        <f>""</f>
        <v/>
      </c>
      <c r="AA8" s="2065" t="str">
        <f>""</f>
        <v/>
      </c>
      <c r="AB8" s="2065" t="str">
        <f>""</f>
        <v/>
      </c>
      <c r="AC8" s="2065" t="str">
        <f>""</f>
        <v/>
      </c>
    </row>
    <row r="9" spans="1:29" ht="15" customHeight="1">
      <c r="A9" s="2065" t="str">
        <f t="shared" si="0"/>
        <v/>
      </c>
      <c r="B9" s="2065" t="str">
        <f t="shared" si="1"/>
        <v/>
      </c>
      <c r="C9" s="2065" t="str">
        <f t="shared" si="2"/>
        <v/>
      </c>
      <c r="D9" s="2065" t="str">
        <f t="shared" si="3"/>
        <v/>
      </c>
      <c r="E9" s="2065" t="str">
        <f t="shared" si="4"/>
        <v/>
      </c>
      <c r="F9" s="2065" t="str">
        <f t="shared" si="5"/>
        <v/>
      </c>
      <c r="G9" s="2065" t="str">
        <f t="shared" si="6"/>
        <v/>
      </c>
      <c r="H9" s="2065" t="str">
        <f t="shared" si="7"/>
        <v/>
      </c>
      <c r="I9" s="2065" t="str">
        <f t="shared" si="8"/>
        <v/>
      </c>
      <c r="J9" s="2065" t="str">
        <f t="shared" si="9"/>
        <v/>
      </c>
      <c r="K9" s="2065" t="str">
        <f t="shared" si="10"/>
        <v/>
      </c>
      <c r="L9" s="2065" t="str">
        <f t="shared" si="11"/>
        <v/>
      </c>
      <c r="N9" s="2065">
        <v>4</v>
      </c>
      <c r="O9" s="2065">
        <f t="shared" si="12"/>
        <v>0</v>
      </c>
      <c r="P9" s="2065">
        <f t="shared" si="16"/>
        <v>0</v>
      </c>
      <c r="Q9" s="2065" t="str">
        <f t="shared" si="13"/>
        <v/>
      </c>
      <c r="R9" s="2065" t="str">
        <f>IF(V9&lt;&gt;"","W4_"&amp;U9,"")</f>
        <v/>
      </c>
      <c r="S9" s="2067" t="str">
        <f>IF(V9&lt;&gt;"","Aussenwand 4"&amp;" "&amp;U9,"")</f>
        <v/>
      </c>
      <c r="T9" s="2065" t="str">
        <f t="shared" si="17"/>
        <v/>
      </c>
      <c r="U9" s="2068" t="str">
        <f>IF(V9&lt;&gt;"",IF(dreh=1,"NO","N"),"")</f>
        <v/>
      </c>
      <c r="V9" s="2069" t="str">
        <f>IF(Bau!E17&gt;0,Bau!E17,"")</f>
        <v/>
      </c>
      <c r="W9" s="2069" t="str">
        <f>IF(V9&lt;&gt;"",Bau!M17,"")</f>
        <v/>
      </c>
      <c r="X9" s="2069" t="str">
        <f t="shared" si="14"/>
        <v/>
      </c>
      <c r="Y9" s="2068" t="str">
        <f t="shared" si="15"/>
        <v/>
      </c>
      <c r="Z9" s="2065" t="str">
        <f>""</f>
        <v/>
      </c>
      <c r="AA9" s="2065" t="str">
        <f>""</f>
        <v/>
      </c>
      <c r="AB9" s="2065" t="str">
        <f>""</f>
        <v/>
      </c>
      <c r="AC9" s="2065" t="str">
        <f>""</f>
        <v/>
      </c>
    </row>
    <row r="10" spans="1:29" ht="15" customHeight="1">
      <c r="A10" s="2065" t="str">
        <f t="shared" si="0"/>
        <v/>
      </c>
      <c r="B10" s="2065" t="str">
        <f t="shared" si="1"/>
        <v/>
      </c>
      <c r="C10" s="2065" t="str">
        <f t="shared" si="2"/>
        <v/>
      </c>
      <c r="D10" s="2065" t="str">
        <f t="shared" si="3"/>
        <v/>
      </c>
      <c r="E10" s="2065" t="str">
        <f t="shared" si="4"/>
        <v/>
      </c>
      <c r="F10" s="2065" t="str">
        <f t="shared" si="5"/>
        <v/>
      </c>
      <c r="G10" s="2065" t="str">
        <f t="shared" si="6"/>
        <v/>
      </c>
      <c r="H10" s="2065" t="str">
        <f t="shared" si="7"/>
        <v/>
      </c>
      <c r="I10" s="2065" t="str">
        <f t="shared" si="8"/>
        <v/>
      </c>
      <c r="J10" s="2065" t="str">
        <f t="shared" si="9"/>
        <v/>
      </c>
      <c r="K10" s="2065" t="str">
        <f t="shared" si="10"/>
        <v/>
      </c>
      <c r="L10" s="2065" t="str">
        <f t="shared" si="11"/>
        <v/>
      </c>
      <c r="N10" s="2065">
        <v>5</v>
      </c>
      <c r="O10" s="2065">
        <f t="shared" si="12"/>
        <v>0</v>
      </c>
      <c r="P10" s="2065">
        <f t="shared" si="16"/>
        <v>0</v>
      </c>
      <c r="Q10" s="2065" t="str">
        <f t="shared" si="13"/>
        <v/>
      </c>
      <c r="R10" s="2065" t="str">
        <f>IF(V10&lt;&gt;"","W5_"&amp;U10,"")</f>
        <v/>
      </c>
      <c r="S10" s="2067" t="str">
        <f>IF(V10&lt;&gt;"","Aussenwand 5"&amp;" "&amp;U10,"")</f>
        <v/>
      </c>
      <c r="T10" s="2065" t="str">
        <f t="shared" si="17"/>
        <v/>
      </c>
      <c r="U10" s="2068" t="str">
        <f>IF(V10&lt;&gt;"",IF(dreh=1,"NO","N"),"")</f>
        <v/>
      </c>
      <c r="V10" s="2069" t="str">
        <f>IF(Bau!E18&gt;0,Bau!E18,"")</f>
        <v/>
      </c>
      <c r="W10" s="2069" t="str">
        <f>IF(V10&lt;&gt;"",Bau!M18,"")</f>
        <v/>
      </c>
      <c r="X10" s="2069" t="str">
        <f t="shared" si="14"/>
        <v/>
      </c>
      <c r="Y10" s="2068" t="str">
        <f t="shared" si="15"/>
        <v/>
      </c>
      <c r="Z10" s="2065" t="str">
        <f>""</f>
        <v/>
      </c>
      <c r="AA10" s="2065" t="str">
        <f>""</f>
        <v/>
      </c>
      <c r="AB10" s="2065" t="str">
        <f>""</f>
        <v/>
      </c>
      <c r="AC10" s="2065" t="str">
        <f>""</f>
        <v/>
      </c>
    </row>
    <row r="11" spans="1:29" ht="15" customHeight="1">
      <c r="A11" s="2065" t="str">
        <f t="shared" si="0"/>
        <v/>
      </c>
      <c r="B11" s="2065" t="str">
        <f t="shared" si="1"/>
        <v/>
      </c>
      <c r="C11" s="2065" t="str">
        <f t="shared" si="2"/>
        <v/>
      </c>
      <c r="D11" s="2065" t="str">
        <f t="shared" si="3"/>
        <v/>
      </c>
      <c r="E11" s="2065" t="str">
        <f t="shared" si="4"/>
        <v/>
      </c>
      <c r="F11" s="2065" t="str">
        <f t="shared" si="5"/>
        <v/>
      </c>
      <c r="G11" s="2065" t="str">
        <f t="shared" si="6"/>
        <v/>
      </c>
      <c r="H11" s="2065" t="str">
        <f t="shared" si="7"/>
        <v/>
      </c>
      <c r="I11" s="2065" t="str">
        <f t="shared" si="8"/>
        <v/>
      </c>
      <c r="J11" s="2065" t="str">
        <f t="shared" si="9"/>
        <v/>
      </c>
      <c r="K11" s="2065" t="str">
        <f t="shared" si="10"/>
        <v/>
      </c>
      <c r="L11" s="2065" t="str">
        <f t="shared" si="11"/>
        <v/>
      </c>
      <c r="N11" s="2065">
        <v>6</v>
      </c>
      <c r="O11" s="2065">
        <f t="shared" si="12"/>
        <v>0</v>
      </c>
      <c r="P11" s="2065">
        <f t="shared" si="16"/>
        <v>0</v>
      </c>
      <c r="Q11" s="2065" t="str">
        <f t="shared" si="13"/>
        <v/>
      </c>
      <c r="R11" s="2065" t="str">
        <f>IF(V11&lt;&gt;"","W1_"&amp;U11,"")</f>
        <v/>
      </c>
      <c r="S11" s="2067" t="str">
        <f>IF(V11&lt;&gt;"","Aussenwand 1"&amp;" "&amp;U11,"")</f>
        <v/>
      </c>
      <c r="T11" s="2065" t="str">
        <f t="shared" si="17"/>
        <v/>
      </c>
      <c r="U11" s="2068" t="str">
        <f>IF(V11&lt;&gt;"",IF(dreh=1,"SO","O"),"")</f>
        <v/>
      </c>
      <c r="V11" s="2069" t="str">
        <f>IF(Bau!R14&gt;0,Bau!R14,"")</f>
        <v/>
      </c>
      <c r="W11" s="2069" t="str">
        <f>IF(V11&lt;&gt;"",Bau!Z14,"")</f>
        <v/>
      </c>
      <c r="X11" s="2069" t="str">
        <f t="shared" si="14"/>
        <v/>
      </c>
      <c r="Y11" s="2068" t="str">
        <f t="shared" si="15"/>
        <v/>
      </c>
      <c r="Z11" s="2065" t="str">
        <f>""</f>
        <v/>
      </c>
      <c r="AA11" s="2065" t="str">
        <f>""</f>
        <v/>
      </c>
      <c r="AB11" s="2065" t="str">
        <f>""</f>
        <v/>
      </c>
      <c r="AC11" s="2065" t="str">
        <f>""</f>
        <v/>
      </c>
    </row>
    <row r="12" spans="1:29" ht="15" customHeight="1">
      <c r="A12" s="2065" t="str">
        <f t="shared" si="0"/>
        <v/>
      </c>
      <c r="B12" s="2065" t="str">
        <f t="shared" si="1"/>
        <v/>
      </c>
      <c r="C12" s="2065" t="str">
        <f t="shared" si="2"/>
        <v/>
      </c>
      <c r="D12" s="2065" t="str">
        <f t="shared" si="3"/>
        <v/>
      </c>
      <c r="E12" s="2065" t="str">
        <f t="shared" si="4"/>
        <v/>
      </c>
      <c r="F12" s="2065" t="str">
        <f t="shared" si="5"/>
        <v/>
      </c>
      <c r="G12" s="2065" t="str">
        <f t="shared" si="6"/>
        <v/>
      </c>
      <c r="H12" s="2065" t="str">
        <f t="shared" si="7"/>
        <v/>
      </c>
      <c r="I12" s="2065" t="str">
        <f t="shared" si="8"/>
        <v/>
      </c>
      <c r="J12" s="2065" t="str">
        <f t="shared" si="9"/>
        <v/>
      </c>
      <c r="K12" s="2065" t="str">
        <f t="shared" si="10"/>
        <v/>
      </c>
      <c r="L12" s="2065" t="str">
        <f t="shared" si="11"/>
        <v/>
      </c>
      <c r="N12" s="2065">
        <v>7</v>
      </c>
      <c r="O12" s="2065">
        <f t="shared" si="12"/>
        <v>0</v>
      </c>
      <c r="P12" s="2065">
        <f t="shared" si="16"/>
        <v>0</v>
      </c>
      <c r="Q12" s="2065" t="str">
        <f t="shared" si="13"/>
        <v/>
      </c>
      <c r="R12" s="2065" t="str">
        <f>IF(V12&lt;&gt;"","W2_"&amp;U12,"")</f>
        <v/>
      </c>
      <c r="S12" s="2067" t="str">
        <f>IF(V12&lt;&gt;"","Aussenwand 2"&amp;" "&amp;U12,"")</f>
        <v/>
      </c>
      <c r="T12" s="2065" t="str">
        <f t="shared" si="17"/>
        <v/>
      </c>
      <c r="U12" s="2068" t="str">
        <f>IF(V12&lt;&gt;"",IF(dreh=1,"SO","O"),"")</f>
        <v/>
      </c>
      <c r="V12" s="2069" t="str">
        <f>IF(Bau!R15&gt;0,Bau!R15,"")</f>
        <v/>
      </c>
      <c r="W12" s="2069" t="str">
        <f>IF(V12&lt;&gt;"",Bau!Z15,"")</f>
        <v/>
      </c>
      <c r="X12" s="2069" t="str">
        <f t="shared" si="14"/>
        <v/>
      </c>
      <c r="Y12" s="2068" t="str">
        <f t="shared" si="15"/>
        <v/>
      </c>
      <c r="Z12" s="2065" t="str">
        <f>""</f>
        <v/>
      </c>
      <c r="AA12" s="2065" t="str">
        <f>""</f>
        <v/>
      </c>
      <c r="AB12" s="2065" t="str">
        <f>""</f>
        <v/>
      </c>
      <c r="AC12" s="2065" t="str">
        <f>""</f>
        <v/>
      </c>
    </row>
    <row r="13" spans="1:29" ht="15" customHeight="1">
      <c r="A13" s="2065" t="str">
        <f t="shared" si="0"/>
        <v/>
      </c>
      <c r="B13" s="2065" t="str">
        <f t="shared" si="1"/>
        <v/>
      </c>
      <c r="C13" s="2065" t="str">
        <f t="shared" si="2"/>
        <v/>
      </c>
      <c r="D13" s="2065" t="str">
        <f t="shared" si="3"/>
        <v/>
      </c>
      <c r="E13" s="2065" t="str">
        <f t="shared" si="4"/>
        <v/>
      </c>
      <c r="F13" s="2065" t="str">
        <f t="shared" si="5"/>
        <v/>
      </c>
      <c r="G13" s="2065" t="str">
        <f t="shared" si="6"/>
        <v/>
      </c>
      <c r="H13" s="2065" t="str">
        <f t="shared" si="7"/>
        <v/>
      </c>
      <c r="I13" s="2065" t="str">
        <f t="shared" si="8"/>
        <v/>
      </c>
      <c r="J13" s="2065" t="str">
        <f t="shared" si="9"/>
        <v/>
      </c>
      <c r="K13" s="2065" t="str">
        <f t="shared" si="10"/>
        <v/>
      </c>
      <c r="L13" s="2065" t="str">
        <f t="shared" si="11"/>
        <v/>
      </c>
      <c r="N13" s="2065">
        <v>8</v>
      </c>
      <c r="O13" s="2065">
        <f t="shared" si="12"/>
        <v>0</v>
      </c>
      <c r="P13" s="2065">
        <f t="shared" si="16"/>
        <v>0</v>
      </c>
      <c r="Q13" s="2065" t="str">
        <f t="shared" si="13"/>
        <v/>
      </c>
      <c r="R13" s="2065" t="str">
        <f>IF(V13&lt;&gt;"","W3_"&amp;U13,"")</f>
        <v/>
      </c>
      <c r="S13" s="2067" t="str">
        <f>IF(V13&lt;&gt;"","Aussenwand 3"&amp;" "&amp;U13,"")</f>
        <v/>
      </c>
      <c r="T13" s="2065" t="str">
        <f t="shared" si="17"/>
        <v/>
      </c>
      <c r="U13" s="2068" t="str">
        <f>IF(V13&lt;&gt;"",IF(dreh=1,"SO","O"),"")</f>
        <v/>
      </c>
      <c r="V13" s="2069" t="str">
        <f>IF(Bau!R16&gt;0,Bau!R16,"")</f>
        <v/>
      </c>
      <c r="W13" s="2069" t="str">
        <f>IF(V13&lt;&gt;"",Bau!Z16,"")</f>
        <v/>
      </c>
      <c r="X13" s="2069" t="str">
        <f t="shared" si="14"/>
        <v/>
      </c>
      <c r="Y13" s="2068" t="str">
        <f t="shared" si="15"/>
        <v/>
      </c>
      <c r="Z13" s="2065" t="str">
        <f>""</f>
        <v/>
      </c>
      <c r="AA13" s="2065" t="str">
        <f>""</f>
        <v/>
      </c>
      <c r="AB13" s="2065" t="str">
        <f>""</f>
        <v/>
      </c>
      <c r="AC13" s="2065" t="str">
        <f>""</f>
        <v/>
      </c>
    </row>
    <row r="14" spans="1:29" ht="15" customHeight="1">
      <c r="A14" s="2065" t="str">
        <f t="shared" si="0"/>
        <v/>
      </c>
      <c r="B14" s="2065" t="str">
        <f t="shared" si="1"/>
        <v/>
      </c>
      <c r="C14" s="2065" t="str">
        <f t="shared" si="2"/>
        <v/>
      </c>
      <c r="D14" s="2065" t="str">
        <f t="shared" si="3"/>
        <v/>
      </c>
      <c r="E14" s="2065" t="str">
        <f t="shared" si="4"/>
        <v/>
      </c>
      <c r="F14" s="2065" t="str">
        <f t="shared" si="5"/>
        <v/>
      </c>
      <c r="G14" s="2065" t="str">
        <f t="shared" si="6"/>
        <v/>
      </c>
      <c r="H14" s="2065" t="str">
        <f t="shared" si="7"/>
        <v/>
      </c>
      <c r="I14" s="2065" t="str">
        <f t="shared" si="8"/>
        <v/>
      </c>
      <c r="J14" s="2065" t="str">
        <f t="shared" si="9"/>
        <v/>
      </c>
      <c r="K14" s="2065" t="str">
        <f t="shared" si="10"/>
        <v/>
      </c>
      <c r="L14" s="2065" t="str">
        <f t="shared" si="11"/>
        <v/>
      </c>
      <c r="N14" s="2065">
        <v>9</v>
      </c>
      <c r="O14" s="2065">
        <f t="shared" si="12"/>
        <v>0</v>
      </c>
      <c r="P14" s="2065">
        <f t="shared" si="16"/>
        <v>0</v>
      </c>
      <c r="Q14" s="2065" t="str">
        <f t="shared" si="13"/>
        <v/>
      </c>
      <c r="R14" s="2065" t="str">
        <f>IF(V14&lt;&gt;"","W4_"&amp;U14,"")</f>
        <v/>
      </c>
      <c r="S14" s="2067" t="str">
        <f>IF(V14&lt;&gt;"","Aussenwand 4"&amp;" "&amp;U14,"")</f>
        <v/>
      </c>
      <c r="T14" s="2065" t="str">
        <f t="shared" si="17"/>
        <v/>
      </c>
      <c r="U14" s="2068" t="str">
        <f>IF(V14&lt;&gt;"",IF(dreh=1,"SO","O"),"")</f>
        <v/>
      </c>
      <c r="V14" s="2069" t="str">
        <f>IF(Bau!R17&gt;0,Bau!R17,"")</f>
        <v/>
      </c>
      <c r="W14" s="2069" t="str">
        <f>IF(V14&lt;&gt;"",Bau!Z17,"")</f>
        <v/>
      </c>
      <c r="X14" s="2069" t="str">
        <f t="shared" si="14"/>
        <v/>
      </c>
      <c r="Y14" s="2068" t="str">
        <f t="shared" si="15"/>
        <v/>
      </c>
      <c r="Z14" s="2065" t="str">
        <f>""</f>
        <v/>
      </c>
      <c r="AA14" s="2065" t="str">
        <f>""</f>
        <v/>
      </c>
      <c r="AB14" s="2065" t="str">
        <f>""</f>
        <v/>
      </c>
      <c r="AC14" s="2065" t="str">
        <f>""</f>
        <v/>
      </c>
    </row>
    <row r="15" spans="1:29" ht="15" customHeight="1">
      <c r="A15" s="2065" t="str">
        <f t="shared" si="0"/>
        <v/>
      </c>
      <c r="B15" s="2065" t="str">
        <f t="shared" si="1"/>
        <v/>
      </c>
      <c r="C15" s="2065" t="str">
        <f t="shared" si="2"/>
        <v/>
      </c>
      <c r="D15" s="2065" t="str">
        <f t="shared" si="3"/>
        <v/>
      </c>
      <c r="E15" s="2065" t="str">
        <f t="shared" si="4"/>
        <v/>
      </c>
      <c r="F15" s="2065" t="str">
        <f t="shared" si="5"/>
        <v/>
      </c>
      <c r="G15" s="2065" t="str">
        <f t="shared" si="6"/>
        <v/>
      </c>
      <c r="H15" s="2065" t="str">
        <f t="shared" si="7"/>
        <v/>
      </c>
      <c r="I15" s="2065" t="str">
        <f t="shared" si="8"/>
        <v/>
      </c>
      <c r="J15" s="2065" t="str">
        <f t="shared" si="9"/>
        <v/>
      </c>
      <c r="K15" s="2065" t="str">
        <f t="shared" si="10"/>
        <v/>
      </c>
      <c r="L15" s="2065" t="str">
        <f t="shared" si="11"/>
        <v/>
      </c>
      <c r="N15" s="2065">
        <v>10</v>
      </c>
      <c r="O15" s="2065">
        <f t="shared" si="12"/>
        <v>0</v>
      </c>
      <c r="P15" s="2065">
        <f t="shared" si="16"/>
        <v>0</v>
      </c>
      <c r="Q15" s="2065" t="str">
        <f t="shared" si="13"/>
        <v/>
      </c>
      <c r="R15" s="2065" t="str">
        <f>IF(V15&lt;&gt;"","W5_"&amp;U15,"")</f>
        <v/>
      </c>
      <c r="S15" s="2067" t="str">
        <f>IF(V15&lt;&gt;"","Aussenwand 5"&amp;" "&amp;U15,"")</f>
        <v/>
      </c>
      <c r="T15" s="2065" t="str">
        <f t="shared" si="17"/>
        <v/>
      </c>
      <c r="U15" s="2068" t="str">
        <f>IF(V15&lt;&gt;"",IF(dreh=1,"SO","O"),"")</f>
        <v/>
      </c>
      <c r="V15" s="2069" t="str">
        <f>IF(Bau!R18&gt;0,Bau!R18,"")</f>
        <v/>
      </c>
      <c r="W15" s="2069" t="str">
        <f>IF(V15&lt;&gt;"",Bau!Z18,"")</f>
        <v/>
      </c>
      <c r="X15" s="2069" t="str">
        <f t="shared" si="14"/>
        <v/>
      </c>
      <c r="Y15" s="2068" t="str">
        <f t="shared" si="15"/>
        <v/>
      </c>
      <c r="Z15" s="2065" t="str">
        <f>""</f>
        <v/>
      </c>
      <c r="AA15" s="2065" t="str">
        <f>""</f>
        <v/>
      </c>
      <c r="AB15" s="2065" t="str">
        <f>""</f>
        <v/>
      </c>
      <c r="AC15" s="2065" t="str">
        <f>""</f>
        <v/>
      </c>
    </row>
    <row r="16" spans="1:29" ht="15" customHeight="1">
      <c r="A16" s="2065" t="str">
        <f t="shared" si="0"/>
        <v/>
      </c>
      <c r="B16" s="2065" t="str">
        <f t="shared" si="1"/>
        <v/>
      </c>
      <c r="C16" s="2065" t="str">
        <f t="shared" si="2"/>
        <v/>
      </c>
      <c r="D16" s="2065" t="str">
        <f t="shared" si="3"/>
        <v/>
      </c>
      <c r="E16" s="2065" t="str">
        <f t="shared" si="4"/>
        <v/>
      </c>
      <c r="F16" s="2065" t="str">
        <f t="shared" si="5"/>
        <v/>
      </c>
      <c r="G16" s="2065" t="str">
        <f t="shared" si="6"/>
        <v/>
      </c>
      <c r="H16" s="2065" t="str">
        <f t="shared" si="7"/>
        <v/>
      </c>
      <c r="I16" s="2065" t="str">
        <f t="shared" si="8"/>
        <v/>
      </c>
      <c r="J16" s="2065" t="str">
        <f t="shared" si="9"/>
        <v/>
      </c>
      <c r="K16" s="2065" t="str">
        <f t="shared" si="10"/>
        <v/>
      </c>
      <c r="L16" s="2065" t="str">
        <f t="shared" si="11"/>
        <v/>
      </c>
      <c r="N16" s="2065">
        <v>11</v>
      </c>
      <c r="O16" s="2065">
        <f t="shared" si="12"/>
        <v>0</v>
      </c>
      <c r="P16" s="2065">
        <f t="shared" si="16"/>
        <v>0</v>
      </c>
      <c r="Q16" s="2065" t="str">
        <f t="shared" si="13"/>
        <v/>
      </c>
      <c r="R16" s="2065" t="str">
        <f>IF(V16&lt;&gt;"","W1_"&amp;U16,"")</f>
        <v/>
      </c>
      <c r="S16" s="2067" t="str">
        <f>IF(V16&lt;&gt;"","Aussenwand 1"&amp;" "&amp;U16,"")</f>
        <v/>
      </c>
      <c r="T16" s="2065" t="str">
        <f t="shared" si="17"/>
        <v/>
      </c>
      <c r="U16" s="2068" t="str">
        <f>IF(V16&lt;&gt;"",IF(dreh=1,"NW","W"),"")</f>
        <v/>
      </c>
      <c r="V16" s="2069" t="str">
        <f>IF(Bau!E33&gt;0,Bau!E33,"")</f>
        <v/>
      </c>
      <c r="W16" s="2069" t="str">
        <f>IF(V16&lt;&gt;"",Bau!M33,"")</f>
        <v/>
      </c>
      <c r="X16" s="2069" t="str">
        <f t="shared" si="14"/>
        <v/>
      </c>
      <c r="Y16" s="2068" t="str">
        <f t="shared" si="15"/>
        <v/>
      </c>
      <c r="Z16" s="2065" t="str">
        <f>""</f>
        <v/>
      </c>
      <c r="AA16" s="2065" t="str">
        <f>""</f>
        <v/>
      </c>
      <c r="AB16" s="2065" t="str">
        <f>""</f>
        <v/>
      </c>
      <c r="AC16" s="2065" t="str">
        <f>""</f>
        <v/>
      </c>
    </row>
    <row r="17" spans="1:29" ht="15" customHeight="1">
      <c r="A17" s="2065" t="str">
        <f t="shared" si="0"/>
        <v/>
      </c>
      <c r="B17" s="2065" t="str">
        <f t="shared" si="1"/>
        <v/>
      </c>
      <c r="C17" s="2065" t="str">
        <f t="shared" si="2"/>
        <v/>
      </c>
      <c r="D17" s="2065" t="str">
        <f t="shared" si="3"/>
        <v/>
      </c>
      <c r="E17" s="2065" t="str">
        <f t="shared" si="4"/>
        <v/>
      </c>
      <c r="F17" s="2065" t="str">
        <f t="shared" si="5"/>
        <v/>
      </c>
      <c r="G17" s="2065" t="str">
        <f t="shared" si="6"/>
        <v/>
      </c>
      <c r="H17" s="2065" t="str">
        <f t="shared" si="7"/>
        <v/>
      </c>
      <c r="I17" s="2065" t="str">
        <f t="shared" si="8"/>
        <v/>
      </c>
      <c r="J17" s="2065" t="str">
        <f t="shared" si="9"/>
        <v/>
      </c>
      <c r="K17" s="2065" t="str">
        <f t="shared" si="10"/>
        <v/>
      </c>
      <c r="L17" s="2065" t="str">
        <f t="shared" si="11"/>
        <v/>
      </c>
      <c r="N17" s="2065">
        <v>12</v>
      </c>
      <c r="O17" s="2065">
        <f t="shared" si="12"/>
        <v>0</v>
      </c>
      <c r="P17" s="2065">
        <f t="shared" si="16"/>
        <v>0</v>
      </c>
      <c r="Q17" s="2065" t="str">
        <f t="shared" si="13"/>
        <v/>
      </c>
      <c r="R17" s="2065" t="str">
        <f>IF(V17&lt;&gt;"","W2_"&amp;U17,"")</f>
        <v/>
      </c>
      <c r="S17" s="2067" t="str">
        <f>IF(V17&lt;&gt;"","Aussenwand 2"&amp;" "&amp;U17,"")</f>
        <v/>
      </c>
      <c r="T17" s="2065" t="str">
        <f t="shared" si="17"/>
        <v/>
      </c>
      <c r="U17" s="2068" t="str">
        <f>IF(V17&lt;&gt;"",IF(dreh=1,"NW","W"),"")</f>
        <v/>
      </c>
      <c r="V17" s="2069" t="str">
        <f>IF(Bau!E34&gt;0,Bau!E34,"")</f>
        <v/>
      </c>
      <c r="W17" s="2069" t="str">
        <f>IF(V17&lt;&gt;"",Bau!M34,"")</f>
        <v/>
      </c>
      <c r="X17" s="2069" t="str">
        <f t="shared" si="14"/>
        <v/>
      </c>
      <c r="Y17" s="2068" t="str">
        <f t="shared" si="15"/>
        <v/>
      </c>
      <c r="Z17" s="2065" t="str">
        <f>""</f>
        <v/>
      </c>
      <c r="AA17" s="2065" t="str">
        <f>""</f>
        <v/>
      </c>
      <c r="AB17" s="2065" t="str">
        <f>""</f>
        <v/>
      </c>
      <c r="AC17" s="2065" t="str">
        <f>""</f>
        <v/>
      </c>
    </row>
    <row r="18" spans="1:29" ht="15" customHeight="1">
      <c r="A18" s="2065" t="str">
        <f t="shared" si="0"/>
        <v/>
      </c>
      <c r="B18" s="2065" t="str">
        <f t="shared" si="1"/>
        <v/>
      </c>
      <c r="C18" s="2065" t="str">
        <f t="shared" si="2"/>
        <v/>
      </c>
      <c r="D18" s="2065" t="str">
        <f t="shared" si="3"/>
        <v/>
      </c>
      <c r="E18" s="2065" t="str">
        <f t="shared" si="4"/>
        <v/>
      </c>
      <c r="F18" s="2065" t="str">
        <f t="shared" si="5"/>
        <v/>
      </c>
      <c r="G18" s="2065" t="str">
        <f t="shared" si="6"/>
        <v/>
      </c>
      <c r="H18" s="2065" t="str">
        <f t="shared" si="7"/>
        <v/>
      </c>
      <c r="I18" s="2065" t="str">
        <f t="shared" si="8"/>
        <v/>
      </c>
      <c r="J18" s="2065" t="str">
        <f t="shared" si="9"/>
        <v/>
      </c>
      <c r="K18" s="2065" t="str">
        <f t="shared" si="10"/>
        <v/>
      </c>
      <c r="L18" s="2065" t="str">
        <f t="shared" si="11"/>
        <v/>
      </c>
      <c r="N18" s="2065">
        <v>13</v>
      </c>
      <c r="O18" s="2065">
        <f t="shared" si="12"/>
        <v>0</v>
      </c>
      <c r="P18" s="2065">
        <f t="shared" si="16"/>
        <v>0</v>
      </c>
      <c r="Q18" s="2065" t="str">
        <f t="shared" si="13"/>
        <v/>
      </c>
      <c r="R18" s="2065" t="str">
        <f>IF(V18&lt;&gt;"","W3_"&amp;U18,"")</f>
        <v/>
      </c>
      <c r="S18" s="2067" t="str">
        <f>IF(V18&lt;&gt;"","Aussenwand 3"&amp;" "&amp;U18,"")</f>
        <v/>
      </c>
      <c r="T18" s="2065" t="str">
        <f t="shared" si="17"/>
        <v/>
      </c>
      <c r="U18" s="2068" t="str">
        <f>IF(V18&lt;&gt;"",IF(dreh=1,"NW","W"),"")</f>
        <v/>
      </c>
      <c r="V18" s="2069" t="str">
        <f>IF(Bau!E35&gt;0,Bau!E35,"")</f>
        <v/>
      </c>
      <c r="W18" s="2069" t="str">
        <f>IF(V18&lt;&gt;"",Bau!M35,"")</f>
        <v/>
      </c>
      <c r="X18" s="2069" t="str">
        <f t="shared" si="14"/>
        <v/>
      </c>
      <c r="Y18" s="2068" t="str">
        <f t="shared" si="15"/>
        <v/>
      </c>
      <c r="Z18" s="2065" t="str">
        <f>""</f>
        <v/>
      </c>
      <c r="AA18" s="2065" t="str">
        <f>""</f>
        <v/>
      </c>
      <c r="AB18" s="2065" t="str">
        <f>""</f>
        <v/>
      </c>
      <c r="AC18" s="2065" t="str">
        <f>""</f>
        <v/>
      </c>
    </row>
    <row r="19" spans="1:29" ht="15" customHeight="1">
      <c r="A19" s="2065" t="str">
        <f t="shared" si="0"/>
        <v/>
      </c>
      <c r="B19" s="2065" t="str">
        <f t="shared" si="1"/>
        <v/>
      </c>
      <c r="C19" s="2065" t="str">
        <f t="shared" si="2"/>
        <v/>
      </c>
      <c r="D19" s="2065" t="str">
        <f t="shared" si="3"/>
        <v/>
      </c>
      <c r="E19" s="2065" t="str">
        <f t="shared" si="4"/>
        <v/>
      </c>
      <c r="F19" s="2065" t="str">
        <f t="shared" si="5"/>
        <v/>
      </c>
      <c r="G19" s="2065" t="str">
        <f t="shared" si="6"/>
        <v/>
      </c>
      <c r="H19" s="2065" t="str">
        <f t="shared" si="7"/>
        <v/>
      </c>
      <c r="I19" s="2065" t="str">
        <f t="shared" si="8"/>
        <v/>
      </c>
      <c r="J19" s="2065" t="str">
        <f t="shared" si="9"/>
        <v/>
      </c>
      <c r="K19" s="2065" t="str">
        <f t="shared" si="10"/>
        <v/>
      </c>
      <c r="L19" s="2065" t="str">
        <f t="shared" si="11"/>
        <v/>
      </c>
      <c r="N19" s="2065">
        <v>14</v>
      </c>
      <c r="O19" s="2065">
        <f t="shared" si="12"/>
        <v>0</v>
      </c>
      <c r="P19" s="2065">
        <f t="shared" si="16"/>
        <v>0</v>
      </c>
      <c r="Q19" s="2065" t="str">
        <f t="shared" si="13"/>
        <v/>
      </c>
      <c r="R19" s="2065" t="str">
        <f>IF(V19&lt;&gt;"","W4_"&amp;U19,"")</f>
        <v/>
      </c>
      <c r="S19" s="2067" t="str">
        <f>IF(V19&lt;&gt;"","Aussenwand 4"&amp;" "&amp;U19,"")</f>
        <v/>
      </c>
      <c r="T19" s="2065" t="str">
        <f t="shared" si="17"/>
        <v/>
      </c>
      <c r="U19" s="2068" t="str">
        <f>IF(V19&lt;&gt;"",IF(dreh=1,"NW","W"),"")</f>
        <v/>
      </c>
      <c r="V19" s="2069" t="str">
        <f>IF(Bau!E36&gt;0,Bau!E36,"")</f>
        <v/>
      </c>
      <c r="W19" s="2069" t="str">
        <f>IF(V19&lt;&gt;"",Bau!M36,"")</f>
        <v/>
      </c>
      <c r="X19" s="2069" t="str">
        <f t="shared" si="14"/>
        <v/>
      </c>
      <c r="Y19" s="2068" t="str">
        <f t="shared" si="15"/>
        <v/>
      </c>
      <c r="Z19" s="2065" t="str">
        <f>""</f>
        <v/>
      </c>
      <c r="AA19" s="2065" t="str">
        <f>""</f>
        <v/>
      </c>
      <c r="AB19" s="2065" t="str">
        <f>""</f>
        <v/>
      </c>
      <c r="AC19" s="2065" t="str">
        <f>""</f>
        <v/>
      </c>
    </row>
    <row r="20" spans="1:29" ht="15" customHeight="1">
      <c r="A20" s="2065" t="str">
        <f t="shared" si="0"/>
        <v/>
      </c>
      <c r="B20" s="2065" t="str">
        <f t="shared" si="1"/>
        <v/>
      </c>
      <c r="C20" s="2065" t="str">
        <f t="shared" si="2"/>
        <v/>
      </c>
      <c r="D20" s="2065" t="str">
        <f t="shared" si="3"/>
        <v/>
      </c>
      <c r="E20" s="2065" t="str">
        <f t="shared" si="4"/>
        <v/>
      </c>
      <c r="F20" s="2065" t="str">
        <f t="shared" si="5"/>
        <v/>
      </c>
      <c r="G20" s="2065" t="str">
        <f t="shared" si="6"/>
        <v/>
      </c>
      <c r="H20" s="2065" t="str">
        <f t="shared" si="7"/>
        <v/>
      </c>
      <c r="I20" s="2065" t="str">
        <f t="shared" si="8"/>
        <v/>
      </c>
      <c r="J20" s="2065" t="str">
        <f t="shared" si="9"/>
        <v/>
      </c>
      <c r="K20" s="2065" t="str">
        <f t="shared" si="10"/>
        <v/>
      </c>
      <c r="L20" s="2065" t="str">
        <f t="shared" si="11"/>
        <v/>
      </c>
      <c r="N20" s="2065">
        <v>15</v>
      </c>
      <c r="O20" s="2065">
        <f t="shared" si="12"/>
        <v>0</v>
      </c>
      <c r="P20" s="2065">
        <f t="shared" si="16"/>
        <v>0</v>
      </c>
      <c r="Q20" s="2065" t="str">
        <f t="shared" si="13"/>
        <v/>
      </c>
      <c r="R20" s="2065" t="str">
        <f>IF(V20&lt;&gt;"","W5_"&amp;U20,"")</f>
        <v/>
      </c>
      <c r="S20" s="2067" t="str">
        <f>IF(V20&lt;&gt;"","Aussenwand 5"&amp;" "&amp;U20,"")</f>
        <v/>
      </c>
      <c r="T20" s="2065" t="str">
        <f t="shared" si="17"/>
        <v/>
      </c>
      <c r="U20" s="2068" t="str">
        <f>IF(V20&lt;&gt;"",IF(dreh=1,"NW","W"),"")</f>
        <v/>
      </c>
      <c r="V20" s="2069" t="str">
        <f>IF(Bau!E37&gt;0,Bau!E37,"")</f>
        <v/>
      </c>
      <c r="W20" s="2069" t="str">
        <f>IF(V20&lt;&gt;"",Bau!M37,"")</f>
        <v/>
      </c>
      <c r="X20" s="2069" t="str">
        <f t="shared" si="14"/>
        <v/>
      </c>
      <c r="Y20" s="2068" t="str">
        <f t="shared" si="15"/>
        <v/>
      </c>
      <c r="Z20" s="2065" t="str">
        <f>""</f>
        <v/>
      </c>
      <c r="AA20" s="2065" t="str">
        <f>""</f>
        <v/>
      </c>
      <c r="AB20" s="2065" t="str">
        <f>""</f>
        <v/>
      </c>
      <c r="AC20" s="2065" t="str">
        <f>""</f>
        <v/>
      </c>
    </row>
    <row r="21" spans="1:29" ht="15" customHeight="1">
      <c r="A21" s="2065" t="str">
        <f t="shared" si="0"/>
        <v/>
      </c>
      <c r="B21" s="2065" t="str">
        <f t="shared" si="1"/>
        <v/>
      </c>
      <c r="C21" s="2065" t="str">
        <f t="shared" si="2"/>
        <v/>
      </c>
      <c r="D21" s="2065" t="str">
        <f t="shared" si="3"/>
        <v/>
      </c>
      <c r="E21" s="2065" t="str">
        <f t="shared" si="4"/>
        <v/>
      </c>
      <c r="F21" s="2065" t="str">
        <f t="shared" si="5"/>
        <v/>
      </c>
      <c r="G21" s="2065" t="str">
        <f t="shared" si="6"/>
        <v/>
      </c>
      <c r="H21" s="2065" t="str">
        <f t="shared" si="7"/>
        <v/>
      </c>
      <c r="I21" s="2065" t="str">
        <f t="shared" si="8"/>
        <v/>
      </c>
      <c r="J21" s="2065" t="str">
        <f t="shared" si="9"/>
        <v/>
      </c>
      <c r="K21" s="2065" t="str">
        <f t="shared" si="10"/>
        <v/>
      </c>
      <c r="L21" s="2065" t="str">
        <f t="shared" si="11"/>
        <v/>
      </c>
      <c r="N21" s="2065">
        <v>16</v>
      </c>
      <c r="O21" s="2065">
        <f t="shared" si="12"/>
        <v>0</v>
      </c>
      <c r="P21" s="2065">
        <f t="shared" si="16"/>
        <v>0</v>
      </c>
      <c r="Q21" s="2065" t="str">
        <f t="shared" si="13"/>
        <v/>
      </c>
      <c r="R21" s="2065" t="str">
        <f>IF(V21&lt;&gt;"","W1_"&amp;U21,"")</f>
        <v/>
      </c>
      <c r="S21" s="2067" t="str">
        <f>IF(V21&lt;&gt;"","Aussenwand 1"&amp;" "&amp;U21,"")</f>
        <v/>
      </c>
      <c r="T21" s="2065" t="str">
        <f t="shared" si="17"/>
        <v/>
      </c>
      <c r="U21" s="2068" t="str">
        <f>IF(V21&lt;&gt;"",IF(dreh=1,"SW","S"),"")</f>
        <v/>
      </c>
      <c r="V21" s="2069" t="str">
        <f>IF(Bau!R33&gt;0,Bau!R33,"")</f>
        <v/>
      </c>
      <c r="W21" s="2069" t="str">
        <f>IF(V21&lt;&gt;"",Bau!Z33,"")</f>
        <v/>
      </c>
      <c r="X21" s="2069" t="str">
        <f t="shared" si="14"/>
        <v/>
      </c>
      <c r="Y21" s="2068" t="str">
        <f t="shared" si="15"/>
        <v/>
      </c>
      <c r="Z21" s="2065" t="str">
        <f>""</f>
        <v/>
      </c>
      <c r="AA21" s="2065" t="str">
        <f>""</f>
        <v/>
      </c>
      <c r="AB21" s="2065" t="str">
        <f>""</f>
        <v/>
      </c>
      <c r="AC21" s="2065" t="str">
        <f>""</f>
        <v/>
      </c>
    </row>
    <row r="22" spans="1:29" ht="15" customHeight="1">
      <c r="A22" s="2065" t="str">
        <f t="shared" si="0"/>
        <v/>
      </c>
      <c r="B22" s="2065" t="str">
        <f t="shared" si="1"/>
        <v/>
      </c>
      <c r="C22" s="2065" t="str">
        <f t="shared" si="2"/>
        <v/>
      </c>
      <c r="D22" s="2065" t="str">
        <f t="shared" si="3"/>
        <v/>
      </c>
      <c r="E22" s="2065" t="str">
        <f t="shared" si="4"/>
        <v/>
      </c>
      <c r="F22" s="2065" t="str">
        <f t="shared" si="5"/>
        <v/>
      </c>
      <c r="G22" s="2065" t="str">
        <f t="shared" si="6"/>
        <v/>
      </c>
      <c r="H22" s="2065" t="str">
        <f t="shared" si="7"/>
        <v/>
      </c>
      <c r="I22" s="2065" t="str">
        <f t="shared" si="8"/>
        <v/>
      </c>
      <c r="J22" s="2065" t="str">
        <f t="shared" si="9"/>
        <v/>
      </c>
      <c r="K22" s="2065" t="str">
        <f t="shared" si="10"/>
        <v/>
      </c>
      <c r="L22" s="2065" t="str">
        <f t="shared" si="11"/>
        <v/>
      </c>
      <c r="N22" s="2065">
        <v>17</v>
      </c>
      <c r="O22" s="2065">
        <f t="shared" si="12"/>
        <v>0</v>
      </c>
      <c r="P22" s="2065">
        <f t="shared" si="16"/>
        <v>0</v>
      </c>
      <c r="Q22" s="2065" t="str">
        <f t="shared" si="13"/>
        <v/>
      </c>
      <c r="R22" s="2065" t="str">
        <f>IF(V22&lt;&gt;"","W2_"&amp;U22,"")</f>
        <v/>
      </c>
      <c r="S22" s="2067" t="str">
        <f>IF(V22&lt;&gt;"","Aussenwand 2"&amp;" "&amp;U22,"")</f>
        <v/>
      </c>
      <c r="T22" s="2065" t="str">
        <f t="shared" si="17"/>
        <v/>
      </c>
      <c r="U22" s="2068" t="str">
        <f>IF(V22&lt;&gt;"",IF(dreh=1,"SW","S"),"")</f>
        <v/>
      </c>
      <c r="V22" s="2069" t="str">
        <f>IF(Bau!R34&gt;0,Bau!R34,"")</f>
        <v/>
      </c>
      <c r="W22" s="2069" t="str">
        <f>IF(V22&lt;&gt;"",Bau!Z34,"")</f>
        <v/>
      </c>
      <c r="X22" s="2069" t="str">
        <f t="shared" si="14"/>
        <v/>
      </c>
      <c r="Y22" s="2068" t="str">
        <f t="shared" si="15"/>
        <v/>
      </c>
      <c r="Z22" s="2065" t="str">
        <f>""</f>
        <v/>
      </c>
      <c r="AA22" s="2065" t="str">
        <f>""</f>
        <v/>
      </c>
      <c r="AB22" s="2065" t="str">
        <f>""</f>
        <v/>
      </c>
      <c r="AC22" s="2065" t="str">
        <f>""</f>
        <v/>
      </c>
    </row>
    <row r="23" spans="1:29" ht="15" customHeight="1">
      <c r="A23" s="2065" t="str">
        <f t="shared" si="0"/>
        <v/>
      </c>
      <c r="B23" s="2065" t="str">
        <f t="shared" si="1"/>
        <v/>
      </c>
      <c r="C23" s="2065" t="str">
        <f t="shared" si="2"/>
        <v/>
      </c>
      <c r="D23" s="2065" t="str">
        <f t="shared" si="3"/>
        <v/>
      </c>
      <c r="E23" s="2065" t="str">
        <f t="shared" si="4"/>
        <v/>
      </c>
      <c r="F23" s="2065" t="str">
        <f t="shared" si="5"/>
        <v/>
      </c>
      <c r="G23" s="2065" t="str">
        <f t="shared" si="6"/>
        <v/>
      </c>
      <c r="H23" s="2065" t="str">
        <f t="shared" si="7"/>
        <v/>
      </c>
      <c r="I23" s="2065" t="str">
        <f t="shared" si="8"/>
        <v/>
      </c>
      <c r="J23" s="2065" t="str">
        <f t="shared" si="9"/>
        <v/>
      </c>
      <c r="K23" s="2065" t="str">
        <f t="shared" si="10"/>
        <v/>
      </c>
      <c r="L23" s="2065" t="str">
        <f t="shared" si="11"/>
        <v/>
      </c>
      <c r="N23" s="2065">
        <v>18</v>
      </c>
      <c r="O23" s="2065">
        <f t="shared" si="12"/>
        <v>0</v>
      </c>
      <c r="P23" s="2065">
        <f t="shared" si="16"/>
        <v>0</v>
      </c>
      <c r="Q23" s="2065" t="str">
        <f t="shared" si="13"/>
        <v/>
      </c>
      <c r="R23" s="2065" t="str">
        <f>IF(V23&lt;&gt;"","W3_"&amp;U23,"")</f>
        <v/>
      </c>
      <c r="S23" s="2067" t="str">
        <f>IF(V23&lt;&gt;"","Aussenwand 3"&amp;" "&amp;U23,"")</f>
        <v/>
      </c>
      <c r="T23" s="2065" t="str">
        <f t="shared" si="17"/>
        <v/>
      </c>
      <c r="U23" s="2068" t="str">
        <f>IF(V23&lt;&gt;"",IF(dreh=1,"SW","S"),"")</f>
        <v/>
      </c>
      <c r="V23" s="2069" t="str">
        <f>IF(Bau!R35&gt;0,Bau!R35,"")</f>
        <v/>
      </c>
      <c r="W23" s="2069" t="str">
        <f>IF(V23&lt;&gt;"",Bau!Z35,"")</f>
        <v/>
      </c>
      <c r="X23" s="2069" t="str">
        <f t="shared" si="14"/>
        <v/>
      </c>
      <c r="Y23" s="2068" t="str">
        <f t="shared" si="15"/>
        <v/>
      </c>
      <c r="Z23" s="2065" t="str">
        <f>""</f>
        <v/>
      </c>
      <c r="AA23" s="2065" t="str">
        <f>""</f>
        <v/>
      </c>
      <c r="AB23" s="2065" t="str">
        <f>""</f>
        <v/>
      </c>
      <c r="AC23" s="2065" t="str">
        <f>""</f>
        <v/>
      </c>
    </row>
    <row r="24" spans="1:29" ht="15" customHeight="1">
      <c r="A24" s="2065" t="str">
        <f t="shared" si="0"/>
        <v/>
      </c>
      <c r="B24" s="2065" t="str">
        <f t="shared" si="1"/>
        <v/>
      </c>
      <c r="C24" s="2065" t="str">
        <f t="shared" si="2"/>
        <v/>
      </c>
      <c r="D24" s="2065" t="str">
        <f t="shared" si="3"/>
        <v/>
      </c>
      <c r="E24" s="2065" t="str">
        <f t="shared" si="4"/>
        <v/>
      </c>
      <c r="F24" s="2065" t="str">
        <f t="shared" si="5"/>
        <v/>
      </c>
      <c r="G24" s="2065" t="str">
        <f t="shared" si="6"/>
        <v/>
      </c>
      <c r="H24" s="2065" t="str">
        <f t="shared" si="7"/>
        <v/>
      </c>
      <c r="I24" s="2065" t="str">
        <f t="shared" si="8"/>
        <v/>
      </c>
      <c r="J24" s="2065" t="str">
        <f t="shared" si="9"/>
        <v/>
      </c>
      <c r="K24" s="2065" t="str">
        <f t="shared" si="10"/>
        <v/>
      </c>
      <c r="L24" s="2065" t="str">
        <f t="shared" si="11"/>
        <v/>
      </c>
      <c r="N24" s="2065">
        <v>19</v>
      </c>
      <c r="O24" s="2065">
        <f t="shared" si="12"/>
        <v>0</v>
      </c>
      <c r="P24" s="2065">
        <f t="shared" si="16"/>
        <v>0</v>
      </c>
      <c r="Q24" s="2065" t="str">
        <f t="shared" si="13"/>
        <v/>
      </c>
      <c r="R24" s="2065" t="str">
        <f>IF(V24&lt;&gt;"","W4_"&amp;U24,"")</f>
        <v/>
      </c>
      <c r="S24" s="2067" t="str">
        <f>IF(V24&lt;&gt;"","Aussenwand 4"&amp;" "&amp;U24,"")</f>
        <v/>
      </c>
      <c r="T24" s="2065" t="str">
        <f t="shared" si="17"/>
        <v/>
      </c>
      <c r="U24" s="2068" t="str">
        <f>IF(V24&lt;&gt;"",IF(dreh=1,"SW","S"),"")</f>
        <v/>
      </c>
      <c r="V24" s="2069" t="str">
        <f>IF(Bau!R36&gt;0,Bau!R36,"")</f>
        <v/>
      </c>
      <c r="W24" s="2069" t="str">
        <f>IF(V24&lt;&gt;"",Bau!Z36,"")</f>
        <v/>
      </c>
      <c r="X24" s="2069" t="str">
        <f t="shared" si="14"/>
        <v/>
      </c>
      <c r="Y24" s="2068" t="str">
        <f t="shared" si="15"/>
        <v/>
      </c>
      <c r="Z24" s="2065" t="str">
        <f>""</f>
        <v/>
      </c>
      <c r="AA24" s="2065" t="str">
        <f>""</f>
        <v/>
      </c>
      <c r="AB24" s="2065" t="str">
        <f>""</f>
        <v/>
      </c>
      <c r="AC24" s="2065" t="str">
        <f>""</f>
        <v/>
      </c>
    </row>
    <row r="25" spans="1:29" ht="15" customHeight="1">
      <c r="A25" s="2065" t="str">
        <f t="shared" si="0"/>
        <v/>
      </c>
      <c r="B25" s="2065" t="str">
        <f t="shared" si="1"/>
        <v/>
      </c>
      <c r="C25" s="2065" t="str">
        <f t="shared" si="2"/>
        <v/>
      </c>
      <c r="D25" s="2065" t="str">
        <f t="shared" si="3"/>
        <v/>
      </c>
      <c r="E25" s="2065" t="str">
        <f t="shared" si="4"/>
        <v/>
      </c>
      <c r="F25" s="2065" t="str">
        <f t="shared" si="5"/>
        <v/>
      </c>
      <c r="G25" s="2065" t="str">
        <f t="shared" si="6"/>
        <v/>
      </c>
      <c r="H25" s="2065" t="str">
        <f t="shared" si="7"/>
        <v/>
      </c>
      <c r="I25" s="2065" t="str">
        <f t="shared" si="8"/>
        <v/>
      </c>
      <c r="J25" s="2065" t="str">
        <f t="shared" si="9"/>
        <v/>
      </c>
      <c r="K25" s="2065" t="str">
        <f t="shared" si="10"/>
        <v/>
      </c>
      <c r="L25" s="2065" t="str">
        <f t="shared" si="11"/>
        <v/>
      </c>
      <c r="N25" s="2065">
        <v>20</v>
      </c>
      <c r="O25" s="2065">
        <f t="shared" si="12"/>
        <v>0</v>
      </c>
      <c r="P25" s="2065">
        <f t="shared" si="16"/>
        <v>0</v>
      </c>
      <c r="Q25" s="2065" t="str">
        <f t="shared" si="13"/>
        <v/>
      </c>
      <c r="R25" s="2065" t="str">
        <f>IF(V25&lt;&gt;"","W5_"&amp;U25,"")</f>
        <v/>
      </c>
      <c r="S25" s="2067" t="str">
        <f>IF(V25&lt;&gt;"","Aussenwand 5"&amp;" "&amp;U25,"")</f>
        <v/>
      </c>
      <c r="T25" s="2065" t="str">
        <f t="shared" si="17"/>
        <v/>
      </c>
      <c r="U25" s="2068" t="str">
        <f>IF(V25&lt;&gt;"",IF(dreh=1,"SW","S"),"")</f>
        <v/>
      </c>
      <c r="V25" s="2069" t="str">
        <f>IF(Bau!R37&gt;0,Bau!R37,"")</f>
        <v/>
      </c>
      <c r="W25" s="2069" t="str">
        <f>IF(V25&lt;&gt;"",Bau!Z37,"")</f>
        <v/>
      </c>
      <c r="X25" s="2069" t="str">
        <f t="shared" si="14"/>
        <v/>
      </c>
      <c r="Y25" s="2068" t="str">
        <f t="shared" si="15"/>
        <v/>
      </c>
      <c r="Z25" s="2065" t="str">
        <f>""</f>
        <v/>
      </c>
      <c r="AA25" s="2065" t="str">
        <f>""</f>
        <v/>
      </c>
      <c r="AB25" s="2065" t="str">
        <f>""</f>
        <v/>
      </c>
      <c r="AC25" s="2065" t="str">
        <f>""</f>
        <v/>
      </c>
    </row>
    <row r="26" spans="1:29" ht="15" customHeight="1">
      <c r="A26" s="2065" t="str">
        <f t="shared" si="0"/>
        <v/>
      </c>
      <c r="B26" s="2065" t="str">
        <f t="shared" si="1"/>
        <v/>
      </c>
      <c r="C26" s="2065" t="str">
        <f t="shared" si="2"/>
        <v/>
      </c>
      <c r="D26" s="2065" t="str">
        <f t="shared" si="3"/>
        <v/>
      </c>
      <c r="E26" s="2065" t="str">
        <f t="shared" si="4"/>
        <v/>
      </c>
      <c r="F26" s="2065" t="str">
        <f t="shared" si="5"/>
        <v/>
      </c>
      <c r="G26" s="2065" t="str">
        <f t="shared" si="6"/>
        <v/>
      </c>
      <c r="H26" s="2065" t="str">
        <f t="shared" si="7"/>
        <v/>
      </c>
      <c r="I26" s="2065" t="str">
        <f t="shared" si="8"/>
        <v/>
      </c>
      <c r="J26" s="2065" t="str">
        <f t="shared" si="9"/>
        <v/>
      </c>
      <c r="K26" s="2065" t="str">
        <f t="shared" si="10"/>
        <v/>
      </c>
      <c r="L26" s="2065" t="str">
        <f t="shared" si="11"/>
        <v/>
      </c>
      <c r="N26" s="2065">
        <v>21</v>
      </c>
      <c r="O26" s="2065">
        <f t="shared" si="12"/>
        <v>0</v>
      </c>
      <c r="P26" s="2065">
        <f t="shared" si="16"/>
        <v>0</v>
      </c>
      <c r="Q26" s="2065" t="str">
        <f t="shared" si="13"/>
        <v/>
      </c>
      <c r="R26" s="2065" t="str">
        <f>IF(V26&lt;&gt;"","E1_"&amp;U26,"")</f>
        <v/>
      </c>
      <c r="S26" s="2067" t="str">
        <f>IF(V26&lt;&gt;"","Wand gegen Erde 1"&amp;" "&amp;U26,"")</f>
        <v/>
      </c>
      <c r="T26" s="2065" t="str">
        <f>IF(V26&lt;&gt;"",IF(Tiefe1&lt;=2,"Geg Erdreich ≤ 2m","Geg Erdreich &gt; 2m"),"")</f>
        <v/>
      </c>
      <c r="U26" s="2068" t="str">
        <f>IF(V26&lt;&gt;"",IF(dreh=1,"NO","N"),"")</f>
        <v/>
      </c>
      <c r="V26" s="2069" t="str">
        <f>IF(Bau!I23&gt;0,Bau!I23,"")</f>
        <v/>
      </c>
      <c r="W26" s="2069" t="str">
        <f>IF(V26&lt;&gt;"",UWand1,"")</f>
        <v/>
      </c>
      <c r="X26" s="2069" t="str">
        <f>IF(V26&lt;&gt;"",Bau!N23,"")</f>
        <v/>
      </c>
      <c r="Y26" s="2068" t="str">
        <f t="shared" si="15"/>
        <v/>
      </c>
      <c r="Z26" s="2065" t="str">
        <f>""</f>
        <v/>
      </c>
      <c r="AA26" s="2065" t="str">
        <f>""</f>
        <v/>
      </c>
      <c r="AB26" s="2065" t="str">
        <f>""</f>
        <v/>
      </c>
      <c r="AC26" s="2065" t="str">
        <f>""</f>
        <v/>
      </c>
    </row>
    <row r="27" spans="1:29" ht="15" customHeight="1">
      <c r="A27" s="2065" t="str">
        <f t="shared" si="0"/>
        <v/>
      </c>
      <c r="B27" s="2065" t="str">
        <f t="shared" si="1"/>
        <v/>
      </c>
      <c r="C27" s="2065" t="str">
        <f t="shared" si="2"/>
        <v/>
      </c>
      <c r="D27" s="2065" t="str">
        <f t="shared" si="3"/>
        <v/>
      </c>
      <c r="E27" s="2065" t="str">
        <f t="shared" si="4"/>
        <v/>
      </c>
      <c r="F27" s="2065" t="str">
        <f t="shared" si="5"/>
        <v/>
      </c>
      <c r="G27" s="2065" t="str">
        <f t="shared" si="6"/>
        <v/>
      </c>
      <c r="H27" s="2065" t="str">
        <f t="shared" si="7"/>
        <v/>
      </c>
      <c r="I27" s="2065" t="str">
        <f t="shared" si="8"/>
        <v/>
      </c>
      <c r="J27" s="2065" t="str">
        <f t="shared" si="9"/>
        <v/>
      </c>
      <c r="K27" s="2065" t="str">
        <f t="shared" si="10"/>
        <v/>
      </c>
      <c r="L27" s="2065" t="str">
        <f t="shared" si="11"/>
        <v/>
      </c>
      <c r="N27" s="2065">
        <v>22</v>
      </c>
      <c r="O27" s="2065">
        <f t="shared" si="12"/>
        <v>0</v>
      </c>
      <c r="P27" s="2065">
        <f t="shared" si="16"/>
        <v>0</v>
      </c>
      <c r="Q27" s="2065" t="str">
        <f t="shared" si="13"/>
        <v/>
      </c>
      <c r="R27" s="2065" t="str">
        <f>IF(V27&lt;&gt;"","E2_"&amp;U27,"")</f>
        <v/>
      </c>
      <c r="S27" s="2067" t="str">
        <f>IF(V27&lt;&gt;"","Wand gegen Erde 2"&amp;" "&amp;U27,"")</f>
        <v/>
      </c>
      <c r="T27" s="2065" t="str">
        <f>IF(V27&lt;&gt;"",IF(Tiefe2&lt;=2,"Geg Erdreich ≤ 2m","Geg Erdreich &gt; 2m"),"")</f>
        <v/>
      </c>
      <c r="U27" s="2068" t="str">
        <f>IF(V27&lt;&gt;"",IF(dreh=1,"NO","N"),"")</f>
        <v/>
      </c>
      <c r="V27" s="2069" t="str">
        <f>IF(Bau!I24&gt;0,Bau!I24,"")</f>
        <v/>
      </c>
      <c r="W27" s="2069" t="str">
        <f>IF(V27&lt;&gt;"",UWand2,"")</f>
        <v/>
      </c>
      <c r="X27" s="2069" t="str">
        <f>IF(V27&lt;&gt;"",Bau!N24,"")</f>
        <v/>
      </c>
      <c r="Y27" s="2068" t="str">
        <f t="shared" si="15"/>
        <v/>
      </c>
      <c r="Z27" s="2065" t="str">
        <f>""</f>
        <v/>
      </c>
      <c r="AA27" s="2065" t="str">
        <f>""</f>
        <v/>
      </c>
      <c r="AB27" s="2065" t="str">
        <f>""</f>
        <v/>
      </c>
      <c r="AC27" s="2065" t="str">
        <f>""</f>
        <v/>
      </c>
    </row>
    <row r="28" spans="1:29" ht="15" customHeight="1">
      <c r="A28" s="2065" t="str">
        <f t="shared" si="0"/>
        <v/>
      </c>
      <c r="B28" s="2065" t="str">
        <f t="shared" si="1"/>
        <v/>
      </c>
      <c r="C28" s="2065" t="str">
        <f t="shared" si="2"/>
        <v/>
      </c>
      <c r="D28" s="2065" t="str">
        <f t="shared" si="3"/>
        <v/>
      </c>
      <c r="E28" s="2065" t="str">
        <f t="shared" si="4"/>
        <v/>
      </c>
      <c r="F28" s="2065" t="str">
        <f t="shared" si="5"/>
        <v/>
      </c>
      <c r="G28" s="2065" t="str">
        <f t="shared" si="6"/>
        <v/>
      </c>
      <c r="H28" s="2065" t="str">
        <f t="shared" si="7"/>
        <v/>
      </c>
      <c r="I28" s="2065" t="str">
        <f t="shared" si="8"/>
        <v/>
      </c>
      <c r="J28" s="2065" t="str">
        <f t="shared" si="9"/>
        <v/>
      </c>
      <c r="K28" s="2065" t="str">
        <f t="shared" si="10"/>
        <v/>
      </c>
      <c r="L28" s="2065" t="str">
        <f t="shared" si="11"/>
        <v/>
      </c>
      <c r="N28" s="2065">
        <v>23</v>
      </c>
      <c r="O28" s="2065">
        <f t="shared" si="12"/>
        <v>0</v>
      </c>
      <c r="P28" s="2065">
        <f t="shared" si="16"/>
        <v>0</v>
      </c>
      <c r="Q28" s="2065" t="str">
        <f t="shared" si="13"/>
        <v/>
      </c>
      <c r="R28" s="2065" t="str">
        <f>IF(V28&lt;&gt;"","E1_"&amp;U28,"")</f>
        <v/>
      </c>
      <c r="S28" s="2067" t="str">
        <f>IF(V28&lt;&gt;"","Wand gegen Erde 1"&amp;" "&amp;U28,"")</f>
        <v/>
      </c>
      <c r="T28" s="2065" t="str">
        <f>IF(V28&lt;&gt;"",IF(Tiefe1&lt;=2,"Geg Erdreich ≤ 2m","Geg Erdreich &gt; 2m"),"")</f>
        <v/>
      </c>
      <c r="U28" s="2068" t="str">
        <f>IF(V28&lt;&gt;"",IF(dreh=1,"SO","O"),"")</f>
        <v/>
      </c>
      <c r="V28" s="2069" t="str">
        <f>IF(Bau!V23&gt;0,Bau!V23,"")</f>
        <v/>
      </c>
      <c r="W28" s="2069" t="str">
        <f>IF(V28&lt;&gt;"",UWand3,"")</f>
        <v/>
      </c>
      <c r="X28" s="2069" t="str">
        <f>IF(V28&lt;&gt;"",Bau!AA23,"")</f>
        <v/>
      </c>
      <c r="Y28" s="2068" t="str">
        <f t="shared" si="15"/>
        <v/>
      </c>
      <c r="Z28" s="2065" t="str">
        <f>""</f>
        <v/>
      </c>
      <c r="AA28" s="2065" t="str">
        <f>""</f>
        <v/>
      </c>
      <c r="AB28" s="2065" t="str">
        <f>""</f>
        <v/>
      </c>
      <c r="AC28" s="2065" t="str">
        <f>""</f>
        <v/>
      </c>
    </row>
    <row r="29" spans="1:29" ht="15" customHeight="1">
      <c r="A29" s="2065" t="str">
        <f t="shared" si="0"/>
        <v/>
      </c>
      <c r="B29" s="2065" t="str">
        <f t="shared" si="1"/>
        <v/>
      </c>
      <c r="C29" s="2065" t="str">
        <f t="shared" si="2"/>
        <v/>
      </c>
      <c r="D29" s="2065" t="str">
        <f t="shared" si="3"/>
        <v/>
      </c>
      <c r="E29" s="2065" t="str">
        <f t="shared" si="4"/>
        <v/>
      </c>
      <c r="F29" s="2065" t="str">
        <f t="shared" si="5"/>
        <v/>
      </c>
      <c r="G29" s="2065" t="str">
        <f t="shared" si="6"/>
        <v/>
      </c>
      <c r="H29" s="2065" t="str">
        <f t="shared" si="7"/>
        <v/>
      </c>
      <c r="I29" s="2065" t="str">
        <f t="shared" si="8"/>
        <v/>
      </c>
      <c r="J29" s="2065" t="str">
        <f t="shared" si="9"/>
        <v/>
      </c>
      <c r="K29" s="2065" t="str">
        <f t="shared" si="10"/>
        <v/>
      </c>
      <c r="L29" s="2065" t="str">
        <f t="shared" si="11"/>
        <v/>
      </c>
      <c r="N29" s="2065">
        <v>24</v>
      </c>
      <c r="O29" s="2065">
        <f t="shared" si="12"/>
        <v>0</v>
      </c>
      <c r="P29" s="2065">
        <f t="shared" si="16"/>
        <v>0</v>
      </c>
      <c r="Q29" s="2065" t="str">
        <f t="shared" si="13"/>
        <v/>
      </c>
      <c r="R29" s="2065" t="str">
        <f>IF(V29&lt;&gt;"","E2_"&amp;U29,"")</f>
        <v/>
      </c>
      <c r="S29" s="2067" t="str">
        <f>IF(V29&lt;&gt;"","Wand gegen Erde 2"&amp;" "&amp;U29,"")</f>
        <v/>
      </c>
      <c r="T29" s="2065" t="str">
        <f>IF(V29&lt;&gt;"",IF(Tiefe2&lt;=2,"Geg Erdreich ≤ 2m","Geg Erdreich &gt; 2m"),"")</f>
        <v/>
      </c>
      <c r="U29" s="2068" t="str">
        <f>IF(V29&lt;&gt;"",IF(dreh=1,"SO","O"),"")</f>
        <v/>
      </c>
      <c r="V29" s="2069" t="str">
        <f>IF(Bau!V24&gt;0,Bau!V24,"")</f>
        <v/>
      </c>
      <c r="W29" s="2069" t="str">
        <f>IF(V29&lt;&gt;"",UWand4,"")</f>
        <v/>
      </c>
      <c r="X29" s="2069" t="str">
        <f>IF(V29&lt;&gt;"",Bau!AA24,"")</f>
        <v/>
      </c>
      <c r="Y29" s="2068" t="str">
        <f t="shared" si="15"/>
        <v/>
      </c>
      <c r="Z29" s="2065" t="str">
        <f>""</f>
        <v/>
      </c>
      <c r="AA29" s="2065" t="str">
        <f>""</f>
        <v/>
      </c>
      <c r="AB29" s="2065" t="str">
        <f>""</f>
        <v/>
      </c>
      <c r="AC29" s="2065" t="str">
        <f>""</f>
        <v/>
      </c>
    </row>
    <row r="30" spans="1:29" ht="15" customHeight="1">
      <c r="A30" s="2065" t="str">
        <f t="shared" si="0"/>
        <v/>
      </c>
      <c r="B30" s="2065" t="str">
        <f t="shared" si="1"/>
        <v/>
      </c>
      <c r="C30" s="2065" t="str">
        <f t="shared" si="2"/>
        <v/>
      </c>
      <c r="D30" s="2065" t="str">
        <f t="shared" si="3"/>
        <v/>
      </c>
      <c r="E30" s="2065" t="str">
        <f t="shared" si="4"/>
        <v/>
      </c>
      <c r="F30" s="2065" t="str">
        <f t="shared" si="5"/>
        <v/>
      </c>
      <c r="G30" s="2065" t="str">
        <f t="shared" si="6"/>
        <v/>
      </c>
      <c r="H30" s="2065" t="str">
        <f t="shared" si="7"/>
        <v/>
      </c>
      <c r="I30" s="2065" t="str">
        <f t="shared" si="8"/>
        <v/>
      </c>
      <c r="J30" s="2065" t="str">
        <f t="shared" si="9"/>
        <v/>
      </c>
      <c r="K30" s="2065" t="str">
        <f t="shared" si="10"/>
        <v/>
      </c>
      <c r="L30" s="2065" t="str">
        <f t="shared" si="11"/>
        <v/>
      </c>
      <c r="N30" s="2065">
        <v>25</v>
      </c>
      <c r="O30" s="2065">
        <f t="shared" si="12"/>
        <v>0</v>
      </c>
      <c r="P30" s="2065">
        <f t="shared" si="16"/>
        <v>0</v>
      </c>
      <c r="Q30" s="2065" t="str">
        <f t="shared" si="13"/>
        <v/>
      </c>
      <c r="R30" s="2065" t="str">
        <f>IF(V30&lt;&gt;"","E1_"&amp;U30,"")</f>
        <v/>
      </c>
      <c r="S30" s="2067" t="str">
        <f>IF(V30&lt;&gt;"","Wand gegen Erde 1"&amp;" "&amp;U30,"")</f>
        <v/>
      </c>
      <c r="T30" s="2065" t="str">
        <f>IF(V30&lt;&gt;"",IF(Tiefe1&lt;=2,"Geg Erdreich ≤ 2m","Geg Erdreich &gt; 2m"),"")</f>
        <v/>
      </c>
      <c r="U30" s="2068" t="str">
        <f>IF(V30&lt;&gt;"",IF(dreh=1,"NW","W"),"")</f>
        <v/>
      </c>
      <c r="V30" s="2069" t="str">
        <f>IF(Bau!I42&gt;0,Bau!I42,"")</f>
        <v/>
      </c>
      <c r="W30" s="2069" t="str">
        <f>IF(V30&lt;&gt;"",UWand5,"")</f>
        <v/>
      </c>
      <c r="X30" s="2069" t="str">
        <f>IF(V30&lt;&gt;"",Bau!N42,"")</f>
        <v/>
      </c>
      <c r="Y30" s="2068" t="str">
        <f t="shared" si="15"/>
        <v/>
      </c>
      <c r="Z30" s="2065" t="str">
        <f>""</f>
        <v/>
      </c>
      <c r="AA30" s="2065" t="str">
        <f>""</f>
        <v/>
      </c>
      <c r="AB30" s="2065" t="str">
        <f>""</f>
        <v/>
      </c>
      <c r="AC30" s="2065" t="str">
        <f>""</f>
        <v/>
      </c>
    </row>
    <row r="31" spans="1:29" ht="15" customHeight="1">
      <c r="A31" s="2065" t="str">
        <f t="shared" si="0"/>
        <v/>
      </c>
      <c r="B31" s="2065" t="str">
        <f t="shared" si="1"/>
        <v/>
      </c>
      <c r="C31" s="2065" t="str">
        <f t="shared" si="2"/>
        <v/>
      </c>
      <c r="D31" s="2065" t="str">
        <f t="shared" si="3"/>
        <v/>
      </c>
      <c r="E31" s="2065" t="str">
        <f t="shared" si="4"/>
        <v/>
      </c>
      <c r="F31" s="2065" t="str">
        <f t="shared" si="5"/>
        <v/>
      </c>
      <c r="G31" s="2065" t="str">
        <f t="shared" si="6"/>
        <v/>
      </c>
      <c r="H31" s="2065" t="str">
        <f t="shared" si="7"/>
        <v/>
      </c>
      <c r="I31" s="2065" t="str">
        <f t="shared" si="8"/>
        <v/>
      </c>
      <c r="J31" s="2065" t="str">
        <f t="shared" si="9"/>
        <v/>
      </c>
      <c r="K31" s="2065" t="str">
        <f t="shared" si="10"/>
        <v/>
      </c>
      <c r="L31" s="2065" t="str">
        <f t="shared" si="11"/>
        <v/>
      </c>
      <c r="N31" s="2065">
        <v>26</v>
      </c>
      <c r="O31" s="2065">
        <f t="shared" si="12"/>
        <v>0</v>
      </c>
      <c r="P31" s="2065">
        <f t="shared" si="16"/>
        <v>0</v>
      </c>
      <c r="Q31" s="2065" t="str">
        <f t="shared" si="13"/>
        <v/>
      </c>
      <c r="R31" s="2065" t="str">
        <f>IF(V31&lt;&gt;"","E2_"&amp;U31,"")</f>
        <v/>
      </c>
      <c r="S31" s="2067" t="str">
        <f>IF(V31&lt;&gt;"","Wand gegen Erde 2"&amp;" "&amp;U31,"")</f>
        <v/>
      </c>
      <c r="T31" s="2065" t="str">
        <f>IF(V31&lt;&gt;"",IF(Tiefe2&lt;=2,"Geg Erdreich ≤ 2m","Geg Erdreich &gt; 2m"),"")</f>
        <v/>
      </c>
      <c r="U31" s="2068" t="str">
        <f>IF(V31&lt;&gt;"",IF(dreh=1,"NW","W"),"")</f>
        <v/>
      </c>
      <c r="V31" s="2069" t="str">
        <f>IF(Bau!I43&gt;0,Bau!I43,"")</f>
        <v/>
      </c>
      <c r="W31" s="2069" t="str">
        <f>IF(V31&lt;&gt;"",UWand6,"")</f>
        <v/>
      </c>
      <c r="X31" s="2069" t="str">
        <f>IF(V31&lt;&gt;"",Bau!N43,"")</f>
        <v/>
      </c>
      <c r="Y31" s="2068" t="str">
        <f t="shared" si="15"/>
        <v/>
      </c>
      <c r="Z31" s="2065" t="str">
        <f>""</f>
        <v/>
      </c>
      <c r="AA31" s="2065" t="str">
        <f>""</f>
        <v/>
      </c>
      <c r="AB31" s="2065" t="str">
        <f>""</f>
        <v/>
      </c>
      <c r="AC31" s="2065" t="str">
        <f>""</f>
        <v/>
      </c>
    </row>
    <row r="32" spans="1:29" ht="15" customHeight="1">
      <c r="A32" s="2065" t="str">
        <f t="shared" si="0"/>
        <v/>
      </c>
      <c r="B32" s="2065" t="str">
        <f t="shared" si="1"/>
        <v/>
      </c>
      <c r="C32" s="2065" t="str">
        <f t="shared" si="2"/>
        <v/>
      </c>
      <c r="D32" s="2065" t="str">
        <f t="shared" si="3"/>
        <v/>
      </c>
      <c r="E32" s="2065" t="str">
        <f t="shared" si="4"/>
        <v/>
      </c>
      <c r="F32" s="2065" t="str">
        <f t="shared" si="5"/>
        <v/>
      </c>
      <c r="G32" s="2065" t="str">
        <f t="shared" si="6"/>
        <v/>
      </c>
      <c r="H32" s="2065" t="str">
        <f t="shared" si="7"/>
        <v/>
      </c>
      <c r="I32" s="2065" t="str">
        <f t="shared" si="8"/>
        <v/>
      </c>
      <c r="J32" s="2065" t="str">
        <f t="shared" si="9"/>
        <v/>
      </c>
      <c r="K32" s="2065" t="str">
        <f t="shared" si="10"/>
        <v/>
      </c>
      <c r="L32" s="2065" t="str">
        <f t="shared" si="11"/>
        <v/>
      </c>
      <c r="N32" s="2065">
        <v>27</v>
      </c>
      <c r="O32" s="2065">
        <f t="shared" si="12"/>
        <v>0</v>
      </c>
      <c r="P32" s="2065">
        <f t="shared" si="16"/>
        <v>0</v>
      </c>
      <c r="Q32" s="2065" t="str">
        <f t="shared" si="13"/>
        <v/>
      </c>
      <c r="R32" s="2065" t="str">
        <f>IF(V32&lt;&gt;"","E1_"&amp;U32,"")</f>
        <v/>
      </c>
      <c r="S32" s="2067" t="str">
        <f>IF(V32&lt;&gt;"","Wand gegen Erde 1"&amp;" "&amp;U32,"")</f>
        <v/>
      </c>
      <c r="T32" s="2065" t="str">
        <f>IF(V32&lt;&gt;"",IF(Tiefe1&lt;=2,"Geg Erdreich ≤ 2m","Geg Erdreich &gt; 2m"),"")</f>
        <v/>
      </c>
      <c r="U32" s="2068" t="str">
        <f>IF(V32&lt;&gt;"",IF(dreh=1,"SW","S"),"")</f>
        <v/>
      </c>
      <c r="V32" s="2069" t="str">
        <f>IF(Bau!V42&gt;0,Bau!V42,"")</f>
        <v/>
      </c>
      <c r="W32" s="2069" t="str">
        <f>IF(V32&lt;&gt;"",UWand7,"")</f>
        <v/>
      </c>
      <c r="X32" s="2069" t="str">
        <f>IF(V32&lt;&gt;"",Bau!AA42,"")</f>
        <v/>
      </c>
      <c r="Y32" s="2068" t="str">
        <f t="shared" si="15"/>
        <v/>
      </c>
      <c r="Z32" s="2065" t="str">
        <f>""</f>
        <v/>
      </c>
      <c r="AA32" s="2065" t="str">
        <f>""</f>
        <v/>
      </c>
      <c r="AB32" s="2065" t="str">
        <f>""</f>
        <v/>
      </c>
      <c r="AC32" s="2065" t="str">
        <f>""</f>
        <v/>
      </c>
    </row>
    <row r="33" spans="1:29" ht="15" customHeight="1">
      <c r="A33" s="2065" t="str">
        <f t="shared" si="0"/>
        <v/>
      </c>
      <c r="B33" s="2065" t="str">
        <f t="shared" si="1"/>
        <v/>
      </c>
      <c r="C33" s="2065" t="str">
        <f t="shared" si="2"/>
        <v/>
      </c>
      <c r="D33" s="2065" t="str">
        <f t="shared" si="3"/>
        <v/>
      </c>
      <c r="E33" s="2065" t="str">
        <f t="shared" si="4"/>
        <v/>
      </c>
      <c r="F33" s="2065" t="str">
        <f t="shared" si="5"/>
        <v/>
      </c>
      <c r="G33" s="2065" t="str">
        <f t="shared" si="6"/>
        <v/>
      </c>
      <c r="H33" s="2065" t="str">
        <f t="shared" si="7"/>
        <v/>
      </c>
      <c r="I33" s="2065" t="str">
        <f t="shared" si="8"/>
        <v/>
      </c>
      <c r="J33" s="2065" t="str">
        <f t="shared" si="9"/>
        <v/>
      </c>
      <c r="K33" s="2065" t="str">
        <f t="shared" si="10"/>
        <v/>
      </c>
      <c r="L33" s="2065" t="str">
        <f t="shared" si="11"/>
        <v/>
      </c>
      <c r="N33" s="2065">
        <v>28</v>
      </c>
      <c r="O33" s="2065">
        <f t="shared" si="12"/>
        <v>0</v>
      </c>
      <c r="P33" s="2065">
        <f t="shared" si="16"/>
        <v>0</v>
      </c>
      <c r="Q33" s="2065" t="str">
        <f t="shared" si="13"/>
        <v/>
      </c>
      <c r="R33" s="2065" t="str">
        <f>IF(V33&lt;&gt;"","E2_"&amp;U33,"")</f>
        <v/>
      </c>
      <c r="S33" s="2067" t="str">
        <f>IF(V33&lt;&gt;"","Wand gegen Erde 2"&amp;" "&amp;U33,"")</f>
        <v/>
      </c>
      <c r="T33" s="2065" t="str">
        <f>IF(V33&lt;&gt;"",IF(Tiefe2&lt;=2,"Geg Erdreich ≤ 2m","Geg Erdreich &gt; 2m"),"")</f>
        <v/>
      </c>
      <c r="U33" s="2068" t="str">
        <f>IF(V33&lt;&gt;"",IF(dreh=1,"SW","S"),"")</f>
        <v/>
      </c>
      <c r="V33" s="2069" t="str">
        <f>IF(Bau!V43&gt;0,Bau!V43,"")</f>
        <v/>
      </c>
      <c r="W33" s="2069" t="str">
        <f>IF(V33&lt;&gt;"",UWand8,"")</f>
        <v/>
      </c>
      <c r="X33" s="2069" t="str">
        <f>IF(V33&lt;&gt;"",Bau!AA43,"")</f>
        <v/>
      </c>
      <c r="Y33" s="2068" t="str">
        <f t="shared" si="15"/>
        <v/>
      </c>
      <c r="Z33" s="2065" t="str">
        <f>""</f>
        <v/>
      </c>
      <c r="AA33" s="2065" t="str">
        <f>""</f>
        <v/>
      </c>
      <c r="AB33" s="2065" t="str">
        <f>""</f>
        <v/>
      </c>
      <c r="AC33" s="2065" t="str">
        <f>""</f>
        <v/>
      </c>
    </row>
    <row r="34" spans="1:29" ht="15" customHeight="1">
      <c r="A34" s="2065" t="str">
        <f t="shared" si="0"/>
        <v/>
      </c>
      <c r="B34" s="2065" t="str">
        <f t="shared" si="1"/>
        <v/>
      </c>
      <c r="C34" s="2065" t="str">
        <f t="shared" si="2"/>
        <v/>
      </c>
      <c r="D34" s="2065" t="str">
        <f t="shared" si="3"/>
        <v/>
      </c>
      <c r="E34" s="2065" t="str">
        <f t="shared" si="4"/>
        <v/>
      </c>
      <c r="F34" s="2065" t="str">
        <f t="shared" si="5"/>
        <v/>
      </c>
      <c r="G34" s="2065" t="str">
        <f t="shared" si="6"/>
        <v/>
      </c>
      <c r="H34" s="2065" t="str">
        <f t="shared" si="7"/>
        <v/>
      </c>
      <c r="I34" s="2065" t="str">
        <f t="shared" si="8"/>
        <v/>
      </c>
      <c r="J34" s="2065" t="str">
        <f t="shared" si="9"/>
        <v/>
      </c>
      <c r="K34" s="2065" t="str">
        <f t="shared" si="10"/>
        <v/>
      </c>
      <c r="L34" s="2065" t="str">
        <f t="shared" si="11"/>
        <v/>
      </c>
      <c r="N34" s="2065">
        <v>29</v>
      </c>
      <c r="O34" s="2065">
        <f t="shared" si="12"/>
        <v>0</v>
      </c>
      <c r="P34" s="2065">
        <f t="shared" si="16"/>
        <v>0</v>
      </c>
      <c r="Q34" s="2065" t="str">
        <f t="shared" si="13"/>
        <v/>
      </c>
      <c r="R34" s="2065" t="str">
        <f>IF(V34&lt;&gt;"","I1_"&amp;U34,"")</f>
        <v/>
      </c>
      <c r="S34" s="2067" t="str">
        <f>IF(V34&lt;&gt;"","Wand gegen unbeheizt 1"&amp;" "&amp;U34,"")</f>
        <v/>
      </c>
      <c r="T34" s="2065" t="str">
        <f>IF(V34&lt;&gt;"","Geg Unbeheizt","")</f>
        <v/>
      </c>
      <c r="U34" s="2068" t="str">
        <f>IF(V34&lt;&gt;"",IF(dreh=1,"NO","N"),"")</f>
        <v/>
      </c>
      <c r="V34" s="2069" t="str">
        <f>IF(Bau!I25&gt;0,Bau!I25,"")</f>
        <v/>
      </c>
      <c r="W34" s="2069" t="str">
        <f>IF(V34&lt;&gt;"",Bau!M25,"")</f>
        <v/>
      </c>
      <c r="X34" s="2069" t="str">
        <f>IF(V34&lt;&gt;"",Bau!N25,"")</f>
        <v/>
      </c>
      <c r="Y34" s="2068" t="str">
        <f t="shared" si="15"/>
        <v/>
      </c>
      <c r="Z34" s="2065" t="str">
        <f>""</f>
        <v/>
      </c>
      <c r="AA34" s="2065" t="str">
        <f>""</f>
        <v/>
      </c>
      <c r="AB34" s="2065" t="str">
        <f>""</f>
        <v/>
      </c>
      <c r="AC34" s="2065" t="str">
        <f>""</f>
        <v/>
      </c>
    </row>
    <row r="35" spans="1:29" ht="15" customHeight="1">
      <c r="A35" s="2065" t="str">
        <f t="shared" si="0"/>
        <v/>
      </c>
      <c r="B35" s="2065" t="str">
        <f t="shared" si="1"/>
        <v/>
      </c>
      <c r="C35" s="2065" t="str">
        <f t="shared" si="2"/>
        <v/>
      </c>
      <c r="D35" s="2065" t="str">
        <f t="shared" si="3"/>
        <v/>
      </c>
      <c r="E35" s="2065" t="str">
        <f t="shared" si="4"/>
        <v/>
      </c>
      <c r="F35" s="2065" t="str">
        <f t="shared" si="5"/>
        <v/>
      </c>
      <c r="G35" s="2065" t="str">
        <f t="shared" si="6"/>
        <v/>
      </c>
      <c r="H35" s="2065" t="str">
        <f t="shared" si="7"/>
        <v/>
      </c>
      <c r="I35" s="2065" t="str">
        <f t="shared" si="8"/>
        <v/>
      </c>
      <c r="J35" s="2065" t="str">
        <f t="shared" si="9"/>
        <v/>
      </c>
      <c r="K35" s="2065" t="str">
        <f t="shared" si="10"/>
        <v/>
      </c>
      <c r="L35" s="2065" t="str">
        <f t="shared" si="11"/>
        <v/>
      </c>
      <c r="N35" s="2065">
        <v>30</v>
      </c>
      <c r="O35" s="2065">
        <f t="shared" si="12"/>
        <v>0</v>
      </c>
      <c r="P35" s="2065">
        <f t="shared" si="16"/>
        <v>0</v>
      </c>
      <c r="Q35" s="2065" t="str">
        <f t="shared" si="13"/>
        <v/>
      </c>
      <c r="R35" s="2065" t="str">
        <f>IF(V35&lt;&gt;"","I2_"&amp;U35,"")</f>
        <v/>
      </c>
      <c r="S35" s="2067" t="str">
        <f>IF(V35&lt;&gt;"","Wand gegen unbeheizt 2"&amp;" "&amp;U35,"")</f>
        <v/>
      </c>
      <c r="T35" s="2065" t="str">
        <f t="shared" ref="T35:T41" si="18">IF(V35&lt;&gt;"","Geg Unbeheizt","")</f>
        <v/>
      </c>
      <c r="U35" s="2068" t="str">
        <f>IF(V35&lt;&gt;"",IF(dreh=1,"NO","N"),"")</f>
        <v/>
      </c>
      <c r="V35" s="2069" t="str">
        <f>IF(Bau!I26&gt;0,Bau!I26,"")</f>
        <v/>
      </c>
      <c r="W35" s="2069" t="str">
        <f>IF(V35&lt;&gt;"",Bau!M26,"")</f>
        <v/>
      </c>
      <c r="X35" s="2069" t="str">
        <f>IF(V35&lt;&gt;"",Bau!N26,"")</f>
        <v/>
      </c>
      <c r="Y35" s="2068" t="str">
        <f t="shared" si="15"/>
        <v/>
      </c>
      <c r="Z35" s="2065" t="str">
        <f>""</f>
        <v/>
      </c>
      <c r="AA35" s="2065" t="str">
        <f>""</f>
        <v/>
      </c>
      <c r="AB35" s="2065" t="str">
        <f>""</f>
        <v/>
      </c>
      <c r="AC35" s="2065" t="str">
        <f>""</f>
        <v/>
      </c>
    </row>
    <row r="36" spans="1:29" ht="15" customHeight="1">
      <c r="A36" s="2065" t="str">
        <f t="shared" si="0"/>
        <v/>
      </c>
      <c r="B36" s="2065" t="str">
        <f t="shared" si="1"/>
        <v/>
      </c>
      <c r="C36" s="2065" t="str">
        <f t="shared" si="2"/>
        <v/>
      </c>
      <c r="D36" s="2065" t="str">
        <f t="shared" si="3"/>
        <v/>
      </c>
      <c r="E36" s="2065" t="str">
        <f t="shared" si="4"/>
        <v/>
      </c>
      <c r="F36" s="2065" t="str">
        <f t="shared" si="5"/>
        <v/>
      </c>
      <c r="G36" s="2065" t="str">
        <f t="shared" si="6"/>
        <v/>
      </c>
      <c r="H36" s="2065" t="str">
        <f t="shared" si="7"/>
        <v/>
      </c>
      <c r="I36" s="2065" t="str">
        <f t="shared" si="8"/>
        <v/>
      </c>
      <c r="J36" s="2065" t="str">
        <f t="shared" si="9"/>
        <v/>
      </c>
      <c r="K36" s="2065" t="str">
        <f t="shared" si="10"/>
        <v/>
      </c>
      <c r="L36" s="2065" t="str">
        <f t="shared" si="11"/>
        <v/>
      </c>
      <c r="N36" s="2065">
        <v>31</v>
      </c>
      <c r="O36" s="2065">
        <f t="shared" si="12"/>
        <v>0</v>
      </c>
      <c r="P36" s="2065">
        <f t="shared" si="16"/>
        <v>0</v>
      </c>
      <c r="Q36" s="2065" t="str">
        <f t="shared" si="13"/>
        <v/>
      </c>
      <c r="R36" s="2065" t="str">
        <f>IF(V36&lt;&gt;"","I1_"&amp;U36,"")</f>
        <v/>
      </c>
      <c r="S36" s="2067" t="str">
        <f>IF(V36&lt;&gt;"","Wand gegen unbeheizt 1"&amp;" "&amp;U36,"")</f>
        <v/>
      </c>
      <c r="T36" s="2065" t="str">
        <f t="shared" si="18"/>
        <v/>
      </c>
      <c r="U36" s="2068" t="str">
        <f>IF(V36&lt;&gt;"",IF(dreh=1,"SO","O"),"")</f>
        <v/>
      </c>
      <c r="V36" s="2069" t="str">
        <f>IF(Bau!V25&gt;0,Bau!V25,"")</f>
        <v/>
      </c>
      <c r="W36" s="2069" t="str">
        <f>IF(V36&lt;&gt;"",Bau!Z25,"")</f>
        <v/>
      </c>
      <c r="X36" s="2069" t="str">
        <f>IF(V36&lt;&gt;"",Bau!AA25,"")</f>
        <v/>
      </c>
      <c r="Y36" s="2068" t="str">
        <f t="shared" si="15"/>
        <v/>
      </c>
      <c r="Z36" s="2065" t="str">
        <f>""</f>
        <v/>
      </c>
      <c r="AA36" s="2065" t="str">
        <f>""</f>
        <v/>
      </c>
      <c r="AB36" s="2065" t="str">
        <f>""</f>
        <v/>
      </c>
      <c r="AC36" s="2065" t="str">
        <f>""</f>
        <v/>
      </c>
    </row>
    <row r="37" spans="1:29" ht="15" customHeight="1">
      <c r="A37" s="2065" t="str">
        <f t="shared" si="0"/>
        <v/>
      </c>
      <c r="B37" s="2065" t="str">
        <f t="shared" si="1"/>
        <v/>
      </c>
      <c r="C37" s="2065" t="str">
        <f t="shared" si="2"/>
        <v/>
      </c>
      <c r="D37" s="2065" t="str">
        <f t="shared" si="3"/>
        <v/>
      </c>
      <c r="E37" s="2065" t="str">
        <f t="shared" si="4"/>
        <v/>
      </c>
      <c r="F37" s="2065" t="str">
        <f t="shared" si="5"/>
        <v/>
      </c>
      <c r="G37" s="2065" t="str">
        <f t="shared" si="6"/>
        <v/>
      </c>
      <c r="H37" s="2065" t="str">
        <f t="shared" si="7"/>
        <v/>
      </c>
      <c r="I37" s="2065" t="str">
        <f t="shared" si="8"/>
        <v/>
      </c>
      <c r="J37" s="2065" t="str">
        <f t="shared" si="9"/>
        <v/>
      </c>
      <c r="K37" s="2065" t="str">
        <f t="shared" si="10"/>
        <v/>
      </c>
      <c r="L37" s="2065" t="str">
        <f t="shared" si="11"/>
        <v/>
      </c>
      <c r="N37" s="2065">
        <v>32</v>
      </c>
      <c r="O37" s="2065">
        <f t="shared" si="12"/>
        <v>0</v>
      </c>
      <c r="P37" s="2065">
        <f t="shared" si="16"/>
        <v>0</v>
      </c>
      <c r="Q37" s="2065" t="str">
        <f t="shared" si="13"/>
        <v/>
      </c>
      <c r="R37" s="2065" t="str">
        <f>IF(V37&lt;&gt;"","I2_"&amp;U37,"")</f>
        <v/>
      </c>
      <c r="S37" s="2067" t="str">
        <f>IF(V37&lt;&gt;"","Wand gegen unbeheizt 2"&amp;" "&amp;U37,"")</f>
        <v/>
      </c>
      <c r="T37" s="2065" t="str">
        <f t="shared" si="18"/>
        <v/>
      </c>
      <c r="U37" s="2068" t="str">
        <f>IF(V37&lt;&gt;"",IF(dreh=1,"SO","O"),"")</f>
        <v/>
      </c>
      <c r="V37" s="2069" t="str">
        <f>IF(Bau!V26&gt;0,Bau!V26,"")</f>
        <v/>
      </c>
      <c r="W37" s="2069" t="str">
        <f>IF(V37&lt;&gt;"",Bau!Z26,"")</f>
        <v/>
      </c>
      <c r="X37" s="2069" t="str">
        <f>IF(V37&lt;&gt;"",Bau!AA26,"")</f>
        <v/>
      </c>
      <c r="Y37" s="2068" t="str">
        <f t="shared" si="15"/>
        <v/>
      </c>
      <c r="Z37" s="2065" t="str">
        <f>""</f>
        <v/>
      </c>
      <c r="AA37" s="2065" t="str">
        <f>""</f>
        <v/>
      </c>
      <c r="AB37" s="2065" t="str">
        <f>""</f>
        <v/>
      </c>
      <c r="AC37" s="2065" t="str">
        <f>""</f>
        <v/>
      </c>
    </row>
    <row r="38" spans="1:29" ht="15" customHeight="1">
      <c r="A38" s="2065" t="str">
        <f t="shared" si="0"/>
        <v/>
      </c>
      <c r="B38" s="2065" t="str">
        <f t="shared" si="1"/>
        <v/>
      </c>
      <c r="C38" s="2065" t="str">
        <f t="shared" si="2"/>
        <v/>
      </c>
      <c r="D38" s="2065" t="str">
        <f t="shared" si="3"/>
        <v/>
      </c>
      <c r="E38" s="2065" t="str">
        <f t="shared" si="4"/>
        <v/>
      </c>
      <c r="F38" s="2065" t="str">
        <f t="shared" si="5"/>
        <v/>
      </c>
      <c r="G38" s="2065" t="str">
        <f t="shared" si="6"/>
        <v/>
      </c>
      <c r="H38" s="2065" t="str">
        <f t="shared" si="7"/>
        <v/>
      </c>
      <c r="I38" s="2065" t="str">
        <f t="shared" si="8"/>
        <v/>
      </c>
      <c r="J38" s="2065" t="str">
        <f t="shared" si="9"/>
        <v/>
      </c>
      <c r="K38" s="2065" t="str">
        <f t="shared" si="10"/>
        <v/>
      </c>
      <c r="L38" s="2065" t="str">
        <f t="shared" si="11"/>
        <v/>
      </c>
      <c r="N38" s="2065">
        <v>33</v>
      </c>
      <c r="O38" s="2065">
        <f t="shared" si="12"/>
        <v>0</v>
      </c>
      <c r="P38" s="2065">
        <f t="shared" si="16"/>
        <v>0</v>
      </c>
      <c r="Q38" s="2065" t="str">
        <f t="shared" si="13"/>
        <v/>
      </c>
      <c r="R38" s="2065" t="str">
        <f>IF(V38&lt;&gt;"","I1_"&amp;U38,"")</f>
        <v/>
      </c>
      <c r="S38" s="2067" t="str">
        <f>IF(V38&lt;&gt;"","Wand gegen unbeheizt 1"&amp;" "&amp;U38,"")</f>
        <v/>
      </c>
      <c r="T38" s="2065" t="str">
        <f t="shared" si="18"/>
        <v/>
      </c>
      <c r="U38" s="2068" t="str">
        <f>IF(V38&lt;&gt;"",IF(dreh=1,"NW","W"),"")</f>
        <v/>
      </c>
      <c r="V38" s="2069" t="str">
        <f>IF(Bau!I44&gt;0,Bau!I44,"")</f>
        <v/>
      </c>
      <c r="W38" s="2069" t="str">
        <f>IF(V38&lt;&gt;"",Bau!M44,"")</f>
        <v/>
      </c>
      <c r="X38" s="2069" t="str">
        <f>IF(V38&lt;&gt;"",Bau!N44,"")</f>
        <v/>
      </c>
      <c r="Y38" s="2068" t="str">
        <f t="shared" si="15"/>
        <v/>
      </c>
      <c r="Z38" s="2065" t="str">
        <f>""</f>
        <v/>
      </c>
      <c r="AA38" s="2065" t="str">
        <f>""</f>
        <v/>
      </c>
      <c r="AB38" s="2065" t="str">
        <f>""</f>
        <v/>
      </c>
      <c r="AC38" s="2065" t="str">
        <f>""</f>
        <v/>
      </c>
    </row>
    <row r="39" spans="1:29" ht="15" customHeight="1">
      <c r="A39" s="2065" t="str">
        <f t="shared" si="0"/>
        <v/>
      </c>
      <c r="B39" s="2065" t="str">
        <f t="shared" si="1"/>
        <v/>
      </c>
      <c r="C39" s="2065" t="str">
        <f t="shared" si="2"/>
        <v/>
      </c>
      <c r="D39" s="2065" t="str">
        <f t="shared" si="3"/>
        <v/>
      </c>
      <c r="E39" s="2065" t="str">
        <f t="shared" si="4"/>
        <v/>
      </c>
      <c r="F39" s="2065" t="str">
        <f t="shared" si="5"/>
        <v/>
      </c>
      <c r="G39" s="2065" t="str">
        <f t="shared" si="6"/>
        <v/>
      </c>
      <c r="H39" s="2065" t="str">
        <f t="shared" si="7"/>
        <v/>
      </c>
      <c r="I39" s="2065" t="str">
        <f t="shared" si="8"/>
        <v/>
      </c>
      <c r="J39" s="2065" t="str">
        <f t="shared" si="9"/>
        <v/>
      </c>
      <c r="K39" s="2065" t="str">
        <f t="shared" si="10"/>
        <v/>
      </c>
      <c r="L39" s="2065" t="str">
        <f t="shared" si="11"/>
        <v/>
      </c>
      <c r="N39" s="2065">
        <v>34</v>
      </c>
      <c r="O39" s="2065">
        <f t="shared" si="12"/>
        <v>0</v>
      </c>
      <c r="P39" s="2065">
        <f t="shared" si="16"/>
        <v>0</v>
      </c>
      <c r="Q39" s="2065" t="str">
        <f t="shared" si="13"/>
        <v/>
      </c>
      <c r="R39" s="2065" t="str">
        <f>IF(V39&lt;&gt;"","I2_"&amp;U39,"")</f>
        <v/>
      </c>
      <c r="S39" s="2067" t="str">
        <f>IF(V39&lt;&gt;"","Wand gegen unbeheizt 2"&amp;" "&amp;U39,"")</f>
        <v/>
      </c>
      <c r="T39" s="2065" t="str">
        <f t="shared" si="18"/>
        <v/>
      </c>
      <c r="U39" s="2068" t="str">
        <f>IF(V39&lt;&gt;"",IF(dreh=1,"NW","W"),"")</f>
        <v/>
      </c>
      <c r="V39" s="2069" t="str">
        <f>IF(Bau!I45&gt;0,Bau!I45,"")</f>
        <v/>
      </c>
      <c r="W39" s="2069" t="str">
        <f>IF(V39&lt;&gt;"",Bau!M45,"")</f>
        <v/>
      </c>
      <c r="X39" s="2069" t="str">
        <f>IF(V39&lt;&gt;"",Bau!N45,"")</f>
        <v/>
      </c>
      <c r="Y39" s="2068" t="str">
        <f t="shared" si="15"/>
        <v/>
      </c>
      <c r="Z39" s="2065" t="str">
        <f>""</f>
        <v/>
      </c>
      <c r="AA39" s="2065" t="str">
        <f>""</f>
        <v/>
      </c>
      <c r="AB39" s="2065" t="str">
        <f>""</f>
        <v/>
      </c>
      <c r="AC39" s="2065" t="str">
        <f>""</f>
        <v/>
      </c>
    </row>
    <row r="40" spans="1:29" ht="15" customHeight="1">
      <c r="A40" s="2065" t="str">
        <f t="shared" si="0"/>
        <v/>
      </c>
      <c r="B40" s="2065" t="str">
        <f t="shared" si="1"/>
        <v/>
      </c>
      <c r="C40" s="2065" t="str">
        <f t="shared" si="2"/>
        <v/>
      </c>
      <c r="D40" s="2065" t="str">
        <f t="shared" si="3"/>
        <v/>
      </c>
      <c r="E40" s="2065" t="str">
        <f t="shared" si="4"/>
        <v/>
      </c>
      <c r="F40" s="2065" t="str">
        <f t="shared" si="5"/>
        <v/>
      </c>
      <c r="G40" s="2065" t="str">
        <f t="shared" si="6"/>
        <v/>
      </c>
      <c r="H40" s="2065" t="str">
        <f t="shared" si="7"/>
        <v/>
      </c>
      <c r="I40" s="2065" t="str">
        <f t="shared" si="8"/>
        <v/>
      </c>
      <c r="J40" s="2065" t="str">
        <f t="shared" si="9"/>
        <v/>
      </c>
      <c r="K40" s="2065" t="str">
        <f t="shared" si="10"/>
        <v/>
      </c>
      <c r="L40" s="2065" t="str">
        <f t="shared" si="11"/>
        <v/>
      </c>
      <c r="N40" s="2065">
        <v>35</v>
      </c>
      <c r="O40" s="2065">
        <f t="shared" si="12"/>
        <v>0</v>
      </c>
      <c r="P40" s="2065">
        <f t="shared" si="16"/>
        <v>0</v>
      </c>
      <c r="Q40" s="2065" t="str">
        <f t="shared" si="13"/>
        <v/>
      </c>
      <c r="R40" s="2065" t="str">
        <f>IF(V40&lt;&gt;"","I1_"&amp;U40,"")</f>
        <v/>
      </c>
      <c r="S40" s="2067" t="str">
        <f>IF(V40&lt;&gt;"","Wand gegen unbeheizt 1"&amp;" "&amp;U40,"")</f>
        <v/>
      </c>
      <c r="T40" s="2065" t="str">
        <f t="shared" si="18"/>
        <v/>
      </c>
      <c r="U40" s="2068" t="str">
        <f>IF(V40&lt;&gt;"",IF(dreh=1,"SW","S"),"")</f>
        <v/>
      </c>
      <c r="V40" s="2069" t="str">
        <f>IF(Bau!V44&gt;0,Bau!V44,"")</f>
        <v/>
      </c>
      <c r="W40" s="2069" t="str">
        <f>IF(V40&lt;&gt;"",Bau!Z44,"")</f>
        <v/>
      </c>
      <c r="X40" s="2069" t="str">
        <f>IF(V40&lt;&gt;"",Bau!AA44,"")</f>
        <v/>
      </c>
      <c r="Y40" s="2068" t="str">
        <f t="shared" si="15"/>
        <v/>
      </c>
      <c r="Z40" s="2065" t="str">
        <f>""</f>
        <v/>
      </c>
      <c r="AA40" s="2065" t="str">
        <f>""</f>
        <v/>
      </c>
      <c r="AB40" s="2065" t="str">
        <f>""</f>
        <v/>
      </c>
      <c r="AC40" s="2065" t="str">
        <f>""</f>
        <v/>
      </c>
    </row>
    <row r="41" spans="1:29" ht="15" customHeight="1">
      <c r="A41" s="2065" t="str">
        <f t="shared" si="0"/>
        <v/>
      </c>
      <c r="B41" s="2065" t="str">
        <f t="shared" si="1"/>
        <v/>
      </c>
      <c r="C41" s="2065" t="str">
        <f t="shared" si="2"/>
        <v/>
      </c>
      <c r="D41" s="2065" t="str">
        <f t="shared" si="3"/>
        <v/>
      </c>
      <c r="E41" s="2065" t="str">
        <f t="shared" si="4"/>
        <v/>
      </c>
      <c r="F41" s="2065" t="str">
        <f t="shared" si="5"/>
        <v/>
      </c>
      <c r="G41" s="2065" t="str">
        <f t="shared" si="6"/>
        <v/>
      </c>
      <c r="H41" s="2065" t="str">
        <f t="shared" si="7"/>
        <v/>
      </c>
      <c r="I41" s="2065" t="str">
        <f t="shared" si="8"/>
        <v/>
      </c>
      <c r="J41" s="2065" t="str">
        <f t="shared" si="9"/>
        <v/>
      </c>
      <c r="K41" s="2065" t="str">
        <f t="shared" si="10"/>
        <v/>
      </c>
      <c r="L41" s="2065" t="str">
        <f t="shared" si="11"/>
        <v/>
      </c>
      <c r="N41" s="2065">
        <v>36</v>
      </c>
      <c r="O41" s="2065">
        <f t="shared" si="12"/>
        <v>0</v>
      </c>
      <c r="P41" s="2065">
        <f t="shared" si="16"/>
        <v>0</v>
      </c>
      <c r="Q41" s="2065" t="str">
        <f t="shared" si="13"/>
        <v/>
      </c>
      <c r="R41" s="2065" t="str">
        <f>IF(V41&lt;&gt;"","I2_"&amp;U41,"")</f>
        <v/>
      </c>
      <c r="S41" s="2067" t="str">
        <f>IF(V41&lt;&gt;"","Wand gegen unbeheizt 2"&amp;" "&amp;U41,"")</f>
        <v/>
      </c>
      <c r="T41" s="2065" t="str">
        <f t="shared" si="18"/>
        <v/>
      </c>
      <c r="U41" s="2068" t="str">
        <f>IF(V41&lt;&gt;"",IF(dreh=1,"SW","S"),"")</f>
        <v/>
      </c>
      <c r="V41" s="2069" t="str">
        <f>IF(Bau!V45&gt;0,Bau!V45,"")</f>
        <v/>
      </c>
      <c r="W41" s="2069" t="str">
        <f>IF(V41&lt;&gt;"",Bau!Z45,"")</f>
        <v/>
      </c>
      <c r="X41" s="2069" t="str">
        <f>IF(V41&lt;&gt;"",Bau!AA45,"")</f>
        <v/>
      </c>
      <c r="Y41" s="2068" t="str">
        <f t="shared" si="15"/>
        <v/>
      </c>
      <c r="Z41" s="2065" t="str">
        <f>""</f>
        <v/>
      </c>
      <c r="AA41" s="2065" t="str">
        <f>""</f>
        <v/>
      </c>
      <c r="AB41" s="2065" t="str">
        <f>""</f>
        <v/>
      </c>
      <c r="AC41" s="2065" t="str">
        <f>""</f>
        <v/>
      </c>
    </row>
    <row r="42" spans="1:29" ht="15" customHeight="1">
      <c r="A42" s="2065" t="str">
        <f t="shared" si="0"/>
        <v/>
      </c>
      <c r="B42" s="2065" t="str">
        <f t="shared" si="1"/>
        <v/>
      </c>
      <c r="C42" s="2065" t="str">
        <f t="shared" si="2"/>
        <v/>
      </c>
      <c r="D42" s="2065" t="str">
        <f t="shared" si="3"/>
        <v/>
      </c>
      <c r="E42" s="2065" t="str">
        <f t="shared" si="4"/>
        <v/>
      </c>
      <c r="F42" s="2065" t="str">
        <f t="shared" si="5"/>
        <v/>
      </c>
      <c r="G42" s="2065" t="str">
        <f t="shared" si="6"/>
        <v/>
      </c>
      <c r="H42" s="2065" t="str">
        <f t="shared" si="7"/>
        <v/>
      </c>
      <c r="I42" s="2065" t="str">
        <f t="shared" si="8"/>
        <v/>
      </c>
      <c r="J42" s="2065" t="str">
        <f t="shared" si="9"/>
        <v/>
      </c>
      <c r="K42" s="2065" t="str">
        <f t="shared" si="10"/>
        <v/>
      </c>
      <c r="L42" s="2065" t="str">
        <f t="shared" si="11"/>
        <v/>
      </c>
      <c r="N42" s="2065">
        <v>37</v>
      </c>
      <c r="O42" s="2065">
        <f t="shared" si="12"/>
        <v>0</v>
      </c>
      <c r="P42" s="2065">
        <f t="shared" si="16"/>
        <v>0</v>
      </c>
      <c r="Q42" s="2065" t="str">
        <f t="shared" si="13"/>
        <v/>
      </c>
      <c r="R42" s="2065" t="str">
        <f>IF(V42&lt;&gt;"","b1_"&amp;U42,"")</f>
        <v/>
      </c>
      <c r="S42" s="2067" t="str">
        <f>IF(V42&lt;&gt;"","Wand gegen beheizt 1"&amp;" "&amp;U42,"")</f>
        <v/>
      </c>
      <c r="T42" s="2065" t="str">
        <f>IF(V42&lt;&gt;"","Geg Beheizt","")</f>
        <v/>
      </c>
      <c r="U42" s="2068" t="str">
        <f>IF(V42&lt;&gt;"",IF(Bau!AC51&lt;2,IF(dreh=1,"NO","N"),IF(Bau!AC51=2,IF(dreh=1,"SO","O"),IF(Bau!AC51=3,IF(dreh=1,"NW","W"),IF(dreh=1,"SW","S")))),"")</f>
        <v/>
      </c>
      <c r="V42" s="2069" t="str">
        <f>IF(Bau!V51&gt;0,Bau!V51,"")</f>
        <v/>
      </c>
      <c r="W42" s="2069" t="str">
        <f>IF(V42&lt;&gt;"",Bau!Z51,"")</f>
        <v/>
      </c>
      <c r="X42" s="2069" t="str">
        <f>IF(V42&lt;&gt;"",1,"")</f>
        <v/>
      </c>
      <c r="Y42" s="2068" t="str">
        <f t="shared" si="15"/>
        <v/>
      </c>
      <c r="Z42" s="2065" t="str">
        <f>""</f>
        <v/>
      </c>
      <c r="AA42" s="2065" t="str">
        <f>IF(V42&lt;&gt;"",Bau!T51,"")</f>
        <v/>
      </c>
      <c r="AB42" s="2065" t="str">
        <f>""</f>
        <v/>
      </c>
      <c r="AC42" s="2065" t="str">
        <f>""</f>
        <v/>
      </c>
    </row>
    <row r="43" spans="1:29" ht="15" customHeight="1">
      <c r="A43" s="2065" t="str">
        <f t="shared" si="0"/>
        <v/>
      </c>
      <c r="B43" s="2065" t="str">
        <f t="shared" si="1"/>
        <v/>
      </c>
      <c r="C43" s="2065" t="str">
        <f t="shared" si="2"/>
        <v/>
      </c>
      <c r="D43" s="2065" t="str">
        <f t="shared" si="3"/>
        <v/>
      </c>
      <c r="E43" s="2065" t="str">
        <f t="shared" si="4"/>
        <v/>
      </c>
      <c r="F43" s="2065" t="str">
        <f t="shared" si="5"/>
        <v/>
      </c>
      <c r="G43" s="2065" t="str">
        <f t="shared" si="6"/>
        <v/>
      </c>
      <c r="H43" s="2065" t="str">
        <f t="shared" si="7"/>
        <v/>
      </c>
      <c r="I43" s="2065" t="str">
        <f t="shared" si="8"/>
        <v/>
      </c>
      <c r="J43" s="2065" t="str">
        <f t="shared" si="9"/>
        <v/>
      </c>
      <c r="K43" s="2065" t="str">
        <f t="shared" si="10"/>
        <v/>
      </c>
      <c r="L43" s="2065" t="str">
        <f t="shared" si="11"/>
        <v/>
      </c>
      <c r="N43" s="2065">
        <v>38</v>
      </c>
      <c r="O43" s="2065">
        <f t="shared" si="12"/>
        <v>0</v>
      </c>
      <c r="P43" s="2065">
        <f t="shared" si="16"/>
        <v>0</v>
      </c>
      <c r="Q43" s="2065" t="str">
        <f t="shared" si="13"/>
        <v/>
      </c>
      <c r="R43" s="2065" t="str">
        <f>IF(V43&lt;&gt;"","b2_"&amp;U43,"")</f>
        <v/>
      </c>
      <c r="S43" s="2067" t="str">
        <f>IF(V43&lt;&gt;"","Wand gegen beheizt 1"&amp;" "&amp;U43,"")</f>
        <v/>
      </c>
      <c r="T43" s="2065" t="str">
        <f>IF(V43&lt;&gt;"","Geg Beheizt","")</f>
        <v/>
      </c>
      <c r="U43" s="2068" t="str">
        <f>IF(V43&lt;&gt;"",IF(Bau!AC52&lt;2,IF(dreh=1,"NO","N"),IF(Bau!AC52=2,IF(dreh=1,"SO","O"),IF(Bau!AC52=3,IF(dreh=1,"NW","W"),IF(dreh=1,"SW","S")))),"")</f>
        <v/>
      </c>
      <c r="V43" s="2069" t="str">
        <f>IF(Bau!V52&gt;0,Bau!V52,"")</f>
        <v/>
      </c>
      <c r="W43" s="2069" t="str">
        <f>IF(V43&lt;&gt;"",Bau!Z52,"")</f>
        <v/>
      </c>
      <c r="X43" s="2069" t="str">
        <f>IF(V43&lt;&gt;"",1,"")</f>
        <v/>
      </c>
      <c r="Y43" s="2068" t="str">
        <f t="shared" si="15"/>
        <v/>
      </c>
      <c r="Z43" s="2065" t="str">
        <f>""</f>
        <v/>
      </c>
      <c r="AA43" s="2065" t="str">
        <f>IF(V43&lt;&gt;"",Bau!T52,"")</f>
        <v/>
      </c>
      <c r="AB43" s="2065" t="str">
        <f>""</f>
        <v/>
      </c>
      <c r="AC43" s="2065" t="str">
        <f>""</f>
        <v/>
      </c>
    </row>
    <row r="44" spans="1:29" ht="15" customHeight="1">
      <c r="D44" s="2068"/>
      <c r="E44" s="2069"/>
      <c r="F44" s="2069"/>
      <c r="G44" s="2069"/>
      <c r="H44" s="2068"/>
    </row>
    <row r="45" spans="1:29" ht="15" customHeight="1">
      <c r="D45" s="2068"/>
      <c r="E45" s="2069"/>
      <c r="F45" s="2069"/>
      <c r="G45" s="2069"/>
      <c r="H45" s="2068"/>
    </row>
    <row r="46" spans="1:29" ht="15" customHeight="1">
      <c r="D46" s="2068"/>
      <c r="E46" s="2069"/>
      <c r="F46" s="2069"/>
      <c r="G46" s="2069"/>
      <c r="H46" s="2068"/>
    </row>
    <row r="47" spans="1:29" ht="15" customHeight="1">
      <c r="D47" s="2068"/>
      <c r="E47" s="2069"/>
      <c r="F47" s="2069"/>
      <c r="G47" s="2069"/>
      <c r="H47" s="2068"/>
    </row>
    <row r="48" spans="1:29" ht="15" customHeight="1">
      <c r="D48" s="2068"/>
      <c r="E48" s="2069"/>
      <c r="F48" s="2069"/>
      <c r="G48" s="2069"/>
      <c r="H48" s="2068"/>
    </row>
    <row r="49" spans="4:8" ht="15" customHeight="1">
      <c r="D49" s="2068"/>
      <c r="E49" s="2069"/>
      <c r="F49" s="2069"/>
      <c r="G49" s="2069"/>
      <c r="H49" s="2068"/>
    </row>
    <row r="50" spans="4:8" ht="15" customHeight="1">
      <c r="D50" s="2068"/>
      <c r="E50" s="2069"/>
      <c r="F50" s="2069"/>
      <c r="G50" s="2069"/>
      <c r="H50" s="2068"/>
    </row>
    <row r="51" spans="4:8" ht="15" customHeight="1">
      <c r="D51" s="2068"/>
      <c r="E51" s="2069"/>
      <c r="F51" s="2069"/>
      <c r="G51" s="2069"/>
      <c r="H51" s="2068"/>
    </row>
    <row r="52" spans="4:8" ht="15" customHeight="1">
      <c r="D52" s="2068"/>
      <c r="E52" s="2069"/>
      <c r="F52" s="2069"/>
      <c r="G52" s="2069"/>
      <c r="H52" s="2068"/>
    </row>
    <row r="53" spans="4:8" ht="15" customHeight="1">
      <c r="D53" s="2068"/>
      <c r="E53" s="2069"/>
      <c r="F53" s="2069"/>
      <c r="G53" s="2069"/>
      <c r="H53" s="2068"/>
    </row>
    <row r="54" spans="4:8" ht="15" customHeight="1">
      <c r="D54" s="2068"/>
      <c r="E54" s="2069"/>
      <c r="F54" s="2069"/>
      <c r="G54" s="2069"/>
      <c r="H54" s="2068"/>
    </row>
    <row r="55" spans="4:8" ht="15" customHeight="1">
      <c r="D55" s="2068"/>
      <c r="E55" s="2069"/>
      <c r="F55" s="2069"/>
      <c r="G55" s="2069"/>
      <c r="H55" s="2068"/>
    </row>
    <row r="56" spans="4:8" ht="15" customHeight="1">
      <c r="D56" s="2068"/>
      <c r="E56" s="2069"/>
      <c r="F56" s="2069"/>
      <c r="G56" s="2069"/>
      <c r="H56" s="2068"/>
    </row>
    <row r="57" spans="4:8" ht="15" customHeight="1">
      <c r="D57" s="2068"/>
      <c r="E57" s="2069"/>
      <c r="F57" s="2069"/>
      <c r="G57" s="2069"/>
      <c r="H57" s="2068"/>
    </row>
    <row r="58" spans="4:8" ht="15" customHeight="1">
      <c r="D58" s="2068"/>
      <c r="E58" s="2069"/>
      <c r="F58" s="2069"/>
      <c r="G58" s="2069"/>
      <c r="H58" s="2068"/>
    </row>
    <row r="59" spans="4:8" ht="15" customHeight="1">
      <c r="D59" s="2068"/>
      <c r="E59" s="2069"/>
      <c r="F59" s="2069"/>
      <c r="G59" s="2069"/>
      <c r="H59" s="2068"/>
    </row>
    <row r="60" spans="4:8" ht="15" customHeight="1">
      <c r="D60" s="2068"/>
      <c r="E60" s="2069"/>
      <c r="F60" s="2069"/>
      <c r="G60" s="2069"/>
      <c r="H60" s="2068"/>
    </row>
    <row r="61" spans="4:8" ht="15" customHeight="1">
      <c r="D61" s="2068"/>
      <c r="E61" s="2069"/>
      <c r="F61" s="2069"/>
      <c r="G61" s="2069"/>
      <c r="H61" s="2068"/>
    </row>
    <row r="62" spans="4:8" ht="15" customHeight="1">
      <c r="D62" s="2068"/>
      <c r="E62" s="2069"/>
      <c r="F62" s="2069"/>
      <c r="G62" s="2069"/>
      <c r="H62" s="2068"/>
    </row>
    <row r="63" spans="4:8" ht="15" customHeight="1">
      <c r="D63" s="2068"/>
      <c r="E63" s="2069"/>
      <c r="F63" s="2069"/>
      <c r="G63" s="2069"/>
      <c r="H63" s="2068"/>
    </row>
    <row r="64" spans="4:8" ht="15" customHeight="1">
      <c r="D64" s="2068"/>
      <c r="E64" s="2069"/>
      <c r="F64" s="2069"/>
      <c r="G64" s="2069"/>
      <c r="H64" s="2068"/>
    </row>
    <row r="65" spans="4:8" ht="15" customHeight="1">
      <c r="D65" s="2068"/>
      <c r="E65" s="2069"/>
      <c r="F65" s="2069"/>
      <c r="G65" s="2069"/>
      <c r="H65" s="2068"/>
    </row>
    <row r="66" spans="4:8" ht="15" customHeight="1">
      <c r="D66" s="2068"/>
      <c r="E66" s="2069"/>
      <c r="F66" s="2069"/>
      <c r="G66" s="2069"/>
      <c r="H66" s="2068"/>
    </row>
    <row r="67" spans="4:8" ht="15" customHeight="1">
      <c r="D67" s="2068"/>
      <c r="E67" s="2069"/>
      <c r="F67" s="2069"/>
      <c r="G67" s="2069"/>
      <c r="H67" s="2068"/>
    </row>
    <row r="68" spans="4:8" ht="15" customHeight="1">
      <c r="D68" s="2068"/>
      <c r="E68" s="2069"/>
      <c r="F68" s="2069"/>
      <c r="G68" s="2069"/>
      <c r="H68" s="2068"/>
    </row>
    <row r="69" spans="4:8" ht="15" customHeight="1">
      <c r="D69" s="2068"/>
      <c r="E69" s="2069"/>
      <c r="F69" s="2069"/>
      <c r="G69" s="2069"/>
      <c r="H69" s="2068"/>
    </row>
    <row r="70" spans="4:8" ht="15" customHeight="1">
      <c r="D70" s="2068"/>
      <c r="E70" s="2069"/>
      <c r="F70" s="2069"/>
      <c r="G70" s="2069"/>
      <c r="H70" s="2068"/>
    </row>
    <row r="71" spans="4:8" ht="15" customHeight="1">
      <c r="D71" s="2068"/>
      <c r="E71" s="2069"/>
      <c r="F71" s="2069"/>
      <c r="G71" s="2069"/>
      <c r="H71" s="2068"/>
    </row>
    <row r="72" spans="4:8" ht="15" customHeight="1">
      <c r="D72" s="2068"/>
      <c r="E72" s="2069"/>
      <c r="F72" s="2069"/>
      <c r="G72" s="2069"/>
      <c r="H72" s="2068"/>
    </row>
    <row r="73" spans="4:8" ht="15" customHeight="1">
      <c r="D73" s="2068"/>
      <c r="E73" s="2069"/>
      <c r="F73" s="2069"/>
      <c r="G73" s="2069"/>
      <c r="H73" s="2068"/>
    </row>
    <row r="74" spans="4:8" ht="15" customHeight="1">
      <c r="D74" s="2068"/>
      <c r="E74" s="2069"/>
      <c r="F74" s="2069"/>
      <c r="G74" s="2069"/>
      <c r="H74" s="2068"/>
    </row>
    <row r="75" spans="4:8" ht="15" customHeight="1">
      <c r="D75" s="2068"/>
      <c r="E75" s="2069"/>
      <c r="F75" s="2069"/>
      <c r="G75" s="2069"/>
      <c r="H75" s="2068"/>
    </row>
    <row r="76" spans="4:8" ht="15" customHeight="1">
      <c r="D76" s="2068"/>
      <c r="E76" s="2069"/>
      <c r="F76" s="2069"/>
      <c r="G76" s="2069"/>
      <c r="H76" s="2068"/>
    </row>
    <row r="77" spans="4:8" ht="15" customHeight="1">
      <c r="D77" s="2068"/>
      <c r="E77" s="2069"/>
      <c r="F77" s="2069"/>
      <c r="G77" s="2069"/>
      <c r="H77" s="2068"/>
    </row>
    <row r="78" spans="4:8" ht="15" customHeight="1">
      <c r="D78" s="2068"/>
      <c r="E78" s="2069"/>
      <c r="F78" s="2069"/>
      <c r="G78" s="2069"/>
      <c r="H78" s="2068"/>
    </row>
    <row r="79" spans="4:8" ht="15" customHeight="1">
      <c r="D79" s="2068"/>
      <c r="E79" s="2069"/>
      <c r="F79" s="2069"/>
      <c r="G79" s="2069"/>
      <c r="H79" s="2068"/>
    </row>
    <row r="80" spans="4:8" ht="15" customHeight="1">
      <c r="D80" s="2068"/>
      <c r="E80" s="2069"/>
      <c r="F80" s="2069"/>
      <c r="G80" s="2069"/>
      <c r="H80" s="2068"/>
    </row>
    <row r="81" spans="4:8" ht="15" customHeight="1">
      <c r="D81" s="2068"/>
      <c r="E81" s="2069"/>
      <c r="F81" s="2069"/>
      <c r="G81" s="2069"/>
      <c r="H81" s="2068"/>
    </row>
    <row r="82" spans="4:8" ht="15" customHeight="1">
      <c r="D82" s="2068"/>
      <c r="E82" s="2069"/>
      <c r="F82" s="2069"/>
      <c r="G82" s="2069"/>
      <c r="H82" s="2068"/>
    </row>
    <row r="83" spans="4:8" ht="15" customHeight="1">
      <c r="D83" s="2068"/>
      <c r="E83" s="2069"/>
      <c r="F83" s="2069"/>
      <c r="G83" s="2069"/>
      <c r="H83" s="2068"/>
    </row>
    <row r="84" spans="4:8" ht="15" customHeight="1">
      <c r="D84" s="2068"/>
      <c r="E84" s="2069"/>
      <c r="F84" s="2069"/>
      <c r="G84" s="2069"/>
      <c r="H84" s="2068"/>
    </row>
    <row r="85" spans="4:8" ht="15" customHeight="1">
      <c r="D85" s="2068"/>
      <c r="E85" s="2069"/>
      <c r="F85" s="2069"/>
      <c r="G85" s="2069"/>
      <c r="H85" s="2068"/>
    </row>
    <row r="86" spans="4:8" ht="15" customHeight="1">
      <c r="D86" s="2068"/>
      <c r="E86" s="2069"/>
      <c r="F86" s="2069"/>
      <c r="G86" s="2069"/>
      <c r="H86" s="2068"/>
    </row>
    <row r="87" spans="4:8" ht="15" customHeight="1">
      <c r="D87" s="2068"/>
      <c r="E87" s="2069"/>
      <c r="F87" s="2069"/>
      <c r="G87" s="2069"/>
      <c r="H87" s="2068"/>
    </row>
    <row r="88" spans="4:8" ht="15" customHeight="1">
      <c r="D88" s="2068"/>
      <c r="E88" s="2069"/>
      <c r="F88" s="2069"/>
      <c r="G88" s="2069"/>
      <c r="H88" s="2068"/>
    </row>
    <row r="89" spans="4:8" ht="15" customHeight="1">
      <c r="D89" s="2068"/>
      <c r="E89" s="2069"/>
      <c r="F89" s="2069"/>
      <c r="G89" s="2069"/>
      <c r="H89" s="2068"/>
    </row>
    <row r="90" spans="4:8" ht="15" customHeight="1">
      <c r="D90" s="2068"/>
      <c r="E90" s="2069"/>
      <c r="F90" s="2069"/>
      <c r="G90" s="2069"/>
      <c r="H90" s="2068"/>
    </row>
    <row r="91" spans="4:8" ht="15" customHeight="1">
      <c r="D91" s="2068"/>
      <c r="E91" s="2069"/>
      <c r="F91" s="2069"/>
      <c r="G91" s="2069"/>
      <c r="H91" s="2068"/>
    </row>
    <row r="92" spans="4:8" ht="15" customHeight="1">
      <c r="D92" s="2068"/>
      <c r="E92" s="2069"/>
      <c r="F92" s="2069"/>
      <c r="G92" s="2069"/>
      <c r="H92" s="2068"/>
    </row>
    <row r="93" spans="4:8" ht="15" customHeight="1">
      <c r="D93" s="2068"/>
      <c r="E93" s="2069"/>
      <c r="F93" s="2069"/>
      <c r="G93" s="2069"/>
      <c r="H93" s="2068"/>
    </row>
    <row r="94" spans="4:8" ht="15" customHeight="1">
      <c r="D94" s="2068"/>
      <c r="E94" s="2069"/>
      <c r="F94" s="2069"/>
      <c r="G94" s="2069"/>
      <c r="H94" s="2068"/>
    </row>
    <row r="95" spans="4:8" ht="15" customHeight="1">
      <c r="D95" s="2068"/>
      <c r="E95" s="2069"/>
      <c r="F95" s="2069"/>
      <c r="G95" s="2069"/>
      <c r="H95" s="2068"/>
    </row>
    <row r="96" spans="4:8" ht="15" customHeight="1">
      <c r="D96" s="2068"/>
      <c r="E96" s="2069"/>
      <c r="F96" s="2069"/>
      <c r="G96" s="2069"/>
      <c r="H96" s="2068"/>
    </row>
    <row r="97" spans="4:8" ht="15" customHeight="1">
      <c r="D97" s="2068"/>
      <c r="E97" s="2069"/>
      <c r="F97" s="2069"/>
      <c r="G97" s="2069"/>
      <c r="H97" s="2068"/>
    </row>
    <row r="98" spans="4:8" ht="15" customHeight="1">
      <c r="D98" s="2068"/>
      <c r="E98" s="2069"/>
      <c r="F98" s="2069"/>
      <c r="G98" s="2069"/>
      <c r="H98" s="2068"/>
    </row>
    <row r="99" spans="4:8" ht="15" customHeight="1">
      <c r="D99" s="2068"/>
      <c r="E99" s="2069"/>
      <c r="F99" s="2069"/>
      <c r="G99" s="2069"/>
      <c r="H99" s="2068"/>
    </row>
    <row r="100" spans="4:8" ht="15" customHeight="1">
      <c r="D100" s="2068"/>
      <c r="E100" s="2069"/>
      <c r="F100" s="2069"/>
      <c r="G100" s="2069"/>
      <c r="H100" s="2068"/>
    </row>
    <row r="101" spans="4:8" ht="15" customHeight="1">
      <c r="D101" s="2068"/>
      <c r="E101" s="2069"/>
      <c r="F101" s="2069"/>
      <c r="G101" s="2069"/>
      <c r="H101" s="2068"/>
    </row>
    <row r="102" spans="4:8" ht="15" customHeight="1">
      <c r="D102" s="2068"/>
      <c r="E102" s="2069"/>
      <c r="F102" s="2069"/>
      <c r="G102" s="2069"/>
      <c r="H102" s="2068"/>
    </row>
    <row r="103" spans="4:8" ht="15" customHeight="1">
      <c r="D103" s="2068"/>
      <c r="E103" s="2069"/>
      <c r="F103" s="2069"/>
      <c r="G103" s="2069"/>
      <c r="H103" s="2068"/>
    </row>
    <row r="104" spans="4:8" ht="15" customHeight="1">
      <c r="D104" s="2068"/>
      <c r="E104" s="2069"/>
      <c r="F104" s="2069"/>
      <c r="G104" s="2069"/>
      <c r="H104" s="2068"/>
    </row>
    <row r="105" spans="4:8" ht="15" customHeight="1">
      <c r="D105" s="2068"/>
      <c r="E105" s="2069"/>
      <c r="F105" s="2069"/>
      <c r="G105" s="2069"/>
      <c r="H105" s="2068"/>
    </row>
    <row r="106" spans="4:8" ht="15" customHeight="1">
      <c r="D106" s="2068"/>
      <c r="E106" s="2069"/>
      <c r="F106" s="2069"/>
      <c r="G106" s="2069"/>
      <c r="H106" s="2068"/>
    </row>
    <row r="107" spans="4:8" ht="15" customHeight="1">
      <c r="D107" s="2068"/>
      <c r="E107" s="2069"/>
      <c r="F107" s="2069"/>
      <c r="G107" s="2069"/>
      <c r="H107" s="2068"/>
    </row>
    <row r="108" spans="4:8" ht="15" customHeight="1">
      <c r="D108" s="2068"/>
      <c r="E108" s="2069"/>
      <c r="F108" s="2069"/>
      <c r="G108" s="2069"/>
      <c r="H108" s="2068"/>
    </row>
    <row r="109" spans="4:8" ht="15" customHeight="1">
      <c r="D109" s="2068"/>
      <c r="E109" s="2069"/>
      <c r="F109" s="2069"/>
      <c r="G109" s="2069"/>
      <c r="H109" s="2068"/>
    </row>
    <row r="110" spans="4:8" ht="15" customHeight="1">
      <c r="D110" s="2068"/>
      <c r="E110" s="2069"/>
      <c r="F110" s="2069"/>
      <c r="G110" s="2069"/>
      <c r="H110" s="2068"/>
    </row>
    <row r="111" spans="4:8" ht="15" customHeight="1">
      <c r="D111" s="2068"/>
      <c r="E111" s="2069"/>
      <c r="F111" s="2069"/>
      <c r="G111" s="2069"/>
      <c r="H111" s="2068"/>
    </row>
    <row r="112" spans="4:8" ht="15" customHeight="1">
      <c r="D112" s="2068"/>
      <c r="E112" s="2069"/>
      <c r="F112" s="2069"/>
      <c r="G112" s="2069"/>
      <c r="H112" s="2068"/>
    </row>
    <row r="113" spans="4:8" ht="15" customHeight="1">
      <c r="D113" s="2068"/>
      <c r="E113" s="2069"/>
      <c r="F113" s="2069"/>
      <c r="G113" s="2069"/>
      <c r="H113" s="2068"/>
    </row>
    <row r="114" spans="4:8" ht="15" customHeight="1">
      <c r="D114" s="2068"/>
      <c r="E114" s="2069"/>
      <c r="F114" s="2069"/>
      <c r="G114" s="2069"/>
      <c r="H114" s="2068"/>
    </row>
    <row r="115" spans="4:8" ht="15" customHeight="1">
      <c r="D115" s="2068"/>
      <c r="E115" s="2069"/>
      <c r="F115" s="2069"/>
      <c r="G115" s="2069"/>
      <c r="H115" s="2068"/>
    </row>
    <row r="116" spans="4:8" ht="15" customHeight="1">
      <c r="D116" s="2068"/>
      <c r="E116" s="2069"/>
      <c r="F116" s="2069"/>
      <c r="G116" s="2069"/>
      <c r="H116" s="2068"/>
    </row>
    <row r="117" spans="4:8" ht="15" customHeight="1">
      <c r="D117" s="2068"/>
      <c r="E117" s="2069"/>
      <c r="F117" s="2069"/>
      <c r="G117" s="2069"/>
      <c r="H117" s="2068"/>
    </row>
    <row r="118" spans="4:8" ht="15" customHeight="1">
      <c r="D118" s="2068"/>
      <c r="E118" s="2069"/>
      <c r="F118" s="2069"/>
      <c r="G118" s="2069"/>
      <c r="H118" s="2068"/>
    </row>
    <row r="119" spans="4:8" ht="15" customHeight="1">
      <c r="D119" s="2068"/>
      <c r="E119" s="2069"/>
      <c r="F119" s="2069"/>
      <c r="G119" s="2069"/>
      <c r="H119" s="2068"/>
    </row>
    <row r="120" spans="4:8" ht="15" customHeight="1">
      <c r="D120" s="2068"/>
      <c r="E120" s="2069"/>
      <c r="F120" s="2069"/>
      <c r="G120" s="2069"/>
      <c r="H120" s="2068"/>
    </row>
    <row r="121" spans="4:8" ht="15" customHeight="1">
      <c r="D121" s="2068"/>
      <c r="E121" s="2069"/>
      <c r="F121" s="2069"/>
      <c r="G121" s="2069"/>
      <c r="H121" s="2068"/>
    </row>
    <row r="122" spans="4:8" ht="15" customHeight="1">
      <c r="D122" s="2068"/>
      <c r="E122" s="2069"/>
      <c r="F122" s="2069"/>
      <c r="G122" s="2069"/>
      <c r="H122" s="2068"/>
    </row>
    <row r="123" spans="4:8" ht="15" customHeight="1">
      <c r="D123" s="2068"/>
      <c r="E123" s="2069"/>
      <c r="F123" s="2069"/>
      <c r="G123" s="2069"/>
      <c r="H123" s="2068"/>
    </row>
    <row r="124" spans="4:8" ht="15" customHeight="1">
      <c r="D124" s="2068"/>
      <c r="E124" s="2069"/>
      <c r="F124" s="2069"/>
      <c r="G124" s="2069"/>
      <c r="H124" s="2068"/>
    </row>
    <row r="125" spans="4:8" ht="15" customHeight="1">
      <c r="D125" s="2068"/>
      <c r="E125" s="2069"/>
      <c r="F125" s="2069"/>
      <c r="G125" s="2069"/>
      <c r="H125" s="2068"/>
    </row>
    <row r="126" spans="4:8" ht="15" customHeight="1">
      <c r="D126" s="2068"/>
      <c r="E126" s="2069"/>
      <c r="F126" s="2069"/>
      <c r="G126" s="2069"/>
      <c r="H126" s="2068"/>
    </row>
    <row r="127" spans="4:8" ht="15" customHeight="1">
      <c r="D127" s="2068"/>
      <c r="E127" s="2069"/>
      <c r="F127" s="2069"/>
      <c r="G127" s="2069"/>
      <c r="H127" s="2068"/>
    </row>
    <row r="128" spans="4:8" ht="15" customHeight="1">
      <c r="D128" s="2068"/>
      <c r="E128" s="2069"/>
      <c r="F128" s="2069"/>
      <c r="G128" s="2069"/>
      <c r="H128" s="2068"/>
    </row>
    <row r="129" spans="4:8" ht="15" customHeight="1">
      <c r="D129" s="2068"/>
      <c r="E129" s="2069"/>
      <c r="F129" s="2069"/>
      <c r="G129" s="2069"/>
      <c r="H129" s="2068"/>
    </row>
    <row r="130" spans="4:8" ht="15" customHeight="1">
      <c r="D130" s="2068"/>
      <c r="E130" s="2069"/>
      <c r="F130" s="2069"/>
      <c r="G130" s="2069"/>
      <c r="H130" s="2068"/>
    </row>
    <row r="131" spans="4:8" ht="15" customHeight="1">
      <c r="D131" s="2068"/>
      <c r="E131" s="2069"/>
      <c r="F131" s="2069"/>
      <c r="G131" s="2069"/>
      <c r="H131" s="2068"/>
    </row>
    <row r="132" spans="4:8" ht="15" customHeight="1">
      <c r="D132" s="2068"/>
      <c r="F132" s="2071"/>
      <c r="G132" s="2071"/>
      <c r="H132" s="2068"/>
    </row>
    <row r="133" spans="4:8" ht="15" customHeight="1">
      <c r="D133" s="2068"/>
      <c r="F133" s="2071"/>
      <c r="G133" s="2071"/>
      <c r="H133" s="2068"/>
    </row>
    <row r="134" spans="4:8" ht="15" customHeight="1">
      <c r="D134" s="2068"/>
      <c r="F134" s="2071"/>
      <c r="G134" s="2071"/>
      <c r="H134" s="2068"/>
    </row>
    <row r="135" spans="4:8" ht="15" customHeight="1">
      <c r="D135" s="2068"/>
      <c r="F135" s="2071"/>
      <c r="G135" s="2071"/>
      <c r="H135" s="2068"/>
    </row>
    <row r="136" spans="4:8" ht="15" customHeight="1">
      <c r="D136" s="2068"/>
      <c r="F136" s="2071"/>
      <c r="G136" s="2071"/>
      <c r="H136" s="2068"/>
    </row>
    <row r="137" spans="4:8" ht="15" customHeight="1">
      <c r="D137" s="2068"/>
      <c r="F137" s="2071"/>
      <c r="G137" s="2071"/>
      <c r="H137" s="2068"/>
    </row>
    <row r="138" spans="4:8" ht="15" customHeight="1">
      <c r="D138" s="2068"/>
      <c r="F138" s="2071"/>
      <c r="G138" s="2071"/>
      <c r="H138" s="2071"/>
    </row>
    <row r="139" spans="4:8" ht="15" customHeight="1">
      <c r="D139" s="2068"/>
      <c r="F139" s="2071"/>
      <c r="G139" s="2071"/>
      <c r="H139" s="2071"/>
    </row>
    <row r="140" spans="4:8" ht="15" customHeight="1">
      <c r="D140" s="2068"/>
      <c r="F140" s="2071"/>
      <c r="G140" s="2071"/>
      <c r="H140" s="2071"/>
    </row>
    <row r="141" spans="4:8" ht="15" customHeight="1">
      <c r="D141" s="2068"/>
      <c r="F141" s="2071"/>
      <c r="G141" s="2071"/>
      <c r="H141" s="2071"/>
    </row>
    <row r="142" spans="4:8" ht="15" customHeight="1">
      <c r="D142" s="2068"/>
      <c r="F142" s="2071"/>
      <c r="G142" s="2071"/>
      <c r="H142" s="2071"/>
    </row>
    <row r="143" spans="4:8" ht="15" customHeight="1">
      <c r="D143" s="2068"/>
      <c r="F143" s="2071"/>
      <c r="G143" s="2071"/>
      <c r="H143" s="2071"/>
    </row>
    <row r="144" spans="4:8" ht="15" customHeight="1">
      <c r="D144" s="2068"/>
      <c r="F144" s="2071"/>
      <c r="G144" s="2071"/>
      <c r="H144" s="2071"/>
    </row>
    <row r="145" spans="4:8" ht="15" customHeight="1">
      <c r="D145" s="2068"/>
      <c r="F145" s="2071"/>
      <c r="G145" s="2071"/>
      <c r="H145" s="2071"/>
    </row>
    <row r="146" spans="4:8" ht="15" customHeight="1">
      <c r="D146" s="2068"/>
      <c r="F146" s="2071"/>
      <c r="G146" s="2071"/>
      <c r="H146" s="2071"/>
    </row>
    <row r="147" spans="4:8" ht="15" customHeight="1">
      <c r="D147" s="2068"/>
      <c r="F147" s="2071"/>
      <c r="G147" s="2071"/>
      <c r="H147" s="2071"/>
    </row>
    <row r="148" spans="4:8" ht="15" customHeight="1">
      <c r="D148" s="2068"/>
      <c r="F148" s="2071"/>
      <c r="G148" s="2071"/>
      <c r="H148" s="2071"/>
    </row>
    <row r="149" spans="4:8" ht="15" customHeight="1">
      <c r="D149" s="2068"/>
      <c r="F149" s="2071"/>
      <c r="G149" s="2071"/>
      <c r="H149" s="2071"/>
    </row>
    <row r="150" spans="4:8" ht="15" customHeight="1">
      <c r="D150" s="2068"/>
      <c r="F150" s="2071"/>
      <c r="G150" s="2071"/>
      <c r="H150" s="2071"/>
    </row>
    <row r="151" spans="4:8" ht="15" customHeight="1">
      <c r="D151" s="2068"/>
      <c r="F151" s="2071"/>
      <c r="G151" s="2071"/>
      <c r="H151" s="2071"/>
    </row>
    <row r="152" spans="4:8" ht="15" customHeight="1">
      <c r="D152" s="2068"/>
      <c r="F152" s="2071"/>
      <c r="G152" s="2071"/>
      <c r="H152" s="2071"/>
    </row>
    <row r="153" spans="4:8" ht="15" customHeight="1">
      <c r="D153" s="2068"/>
      <c r="F153" s="2071"/>
      <c r="G153" s="2071"/>
      <c r="H153" s="2071"/>
    </row>
    <row r="154" spans="4:8" ht="15" customHeight="1">
      <c r="D154" s="2068"/>
      <c r="F154" s="2071"/>
      <c r="G154" s="2071"/>
      <c r="H154" s="2071"/>
    </row>
    <row r="155" spans="4:8" ht="15" customHeight="1">
      <c r="D155" s="2068"/>
      <c r="F155" s="2071"/>
      <c r="G155" s="2071"/>
      <c r="H155" s="2071"/>
    </row>
    <row r="156" spans="4:8" ht="15" customHeight="1">
      <c r="D156" s="2068"/>
      <c r="F156" s="2071"/>
      <c r="G156" s="2071"/>
      <c r="H156" s="2071"/>
    </row>
    <row r="157" spans="4:8" ht="15" customHeight="1">
      <c r="D157" s="2068"/>
      <c r="F157" s="2071"/>
      <c r="G157" s="2071"/>
      <c r="H157" s="2071"/>
    </row>
    <row r="158" spans="4:8" ht="15" customHeight="1">
      <c r="D158" s="2068"/>
      <c r="F158" s="2071"/>
      <c r="G158" s="2071"/>
      <c r="H158" s="2071"/>
    </row>
    <row r="159" spans="4:8" ht="15" customHeight="1">
      <c r="D159" s="2068"/>
      <c r="F159" s="2071"/>
      <c r="G159" s="2071"/>
      <c r="H159" s="2071"/>
    </row>
    <row r="160" spans="4:8" ht="15" customHeight="1">
      <c r="D160" s="2068"/>
      <c r="F160" s="2071"/>
      <c r="G160" s="2071"/>
      <c r="H160" s="2071"/>
    </row>
    <row r="161" spans="4:8" ht="15" customHeight="1">
      <c r="D161" s="2068"/>
      <c r="F161" s="2071"/>
      <c r="G161" s="2071"/>
      <c r="H161" s="2071"/>
    </row>
    <row r="162" spans="4:8" ht="15" customHeight="1">
      <c r="D162" s="2068"/>
      <c r="F162" s="2071"/>
      <c r="G162" s="2071"/>
      <c r="H162" s="2071"/>
    </row>
    <row r="163" spans="4:8" ht="15" customHeight="1">
      <c r="D163" s="2068"/>
      <c r="F163" s="2071"/>
      <c r="G163" s="2071"/>
      <c r="H163" s="2071"/>
    </row>
    <row r="164" spans="4:8" ht="15" customHeight="1">
      <c r="D164" s="2068"/>
      <c r="F164" s="2071"/>
      <c r="G164" s="2071"/>
      <c r="H164" s="2071"/>
    </row>
    <row r="165" spans="4:8" ht="15" customHeight="1">
      <c r="D165" s="2068"/>
      <c r="F165" s="2071"/>
      <c r="G165" s="2071"/>
      <c r="H165" s="2071"/>
    </row>
    <row r="166" spans="4:8" ht="15" customHeight="1">
      <c r="D166" s="2068"/>
      <c r="F166" s="2071"/>
      <c r="G166" s="2071"/>
      <c r="H166" s="2071"/>
    </row>
    <row r="167" spans="4:8" ht="15" customHeight="1">
      <c r="D167" s="2068"/>
      <c r="F167" s="2071"/>
      <c r="G167" s="2071"/>
      <c r="H167" s="2071"/>
    </row>
    <row r="168" spans="4:8" ht="15" customHeight="1">
      <c r="D168" s="2068"/>
      <c r="F168" s="2071"/>
      <c r="G168" s="2071"/>
      <c r="H168" s="2071"/>
    </row>
    <row r="169" spans="4:8" ht="15" customHeight="1">
      <c r="D169" s="2068"/>
      <c r="F169" s="2071"/>
      <c r="G169" s="2071"/>
      <c r="H169" s="2071"/>
    </row>
    <row r="170" spans="4:8" ht="15" customHeight="1">
      <c r="D170" s="2068"/>
      <c r="F170" s="2071"/>
      <c r="G170" s="2071"/>
      <c r="H170" s="2071"/>
    </row>
    <row r="171" spans="4:8" ht="15" customHeight="1">
      <c r="D171" s="2068"/>
      <c r="F171" s="2071"/>
      <c r="G171" s="2071"/>
      <c r="H171" s="2071"/>
    </row>
    <row r="172" spans="4:8" ht="15" customHeight="1">
      <c r="D172" s="2068"/>
      <c r="F172" s="2071"/>
      <c r="G172" s="2071"/>
      <c r="H172" s="2071"/>
    </row>
    <row r="173" spans="4:8" ht="15" customHeight="1">
      <c r="D173" s="2068"/>
      <c r="F173" s="2071"/>
      <c r="G173" s="2071"/>
      <c r="H173" s="2071"/>
    </row>
    <row r="174" spans="4:8" ht="15" customHeight="1">
      <c r="D174" s="2068"/>
      <c r="F174" s="2071"/>
      <c r="G174" s="2071"/>
      <c r="H174" s="2071"/>
    </row>
    <row r="175" spans="4:8" ht="15" customHeight="1">
      <c r="D175" s="2068"/>
      <c r="F175" s="2071"/>
      <c r="G175" s="2071"/>
      <c r="H175" s="2071"/>
    </row>
    <row r="176" spans="4:8" ht="15" customHeight="1">
      <c r="D176" s="2068"/>
      <c r="F176" s="2071"/>
      <c r="G176" s="2071"/>
      <c r="H176" s="2071"/>
    </row>
    <row r="177" spans="4:8" ht="15" customHeight="1">
      <c r="D177" s="2068"/>
      <c r="F177" s="2071"/>
      <c r="G177" s="2071"/>
      <c r="H177" s="2071"/>
    </row>
    <row r="178" spans="4:8" ht="15" customHeight="1">
      <c r="D178" s="2068"/>
      <c r="F178" s="2071"/>
      <c r="G178" s="2071"/>
      <c r="H178" s="2071"/>
    </row>
    <row r="179" spans="4:8" ht="15" customHeight="1">
      <c r="D179" s="2068"/>
      <c r="F179" s="2071"/>
      <c r="G179" s="2071"/>
      <c r="H179" s="2071"/>
    </row>
    <row r="180" spans="4:8" ht="15" customHeight="1">
      <c r="D180" s="2068"/>
      <c r="F180" s="2071"/>
      <c r="G180" s="2071"/>
      <c r="H180" s="2071"/>
    </row>
    <row r="181" spans="4:8" ht="15" customHeight="1">
      <c r="D181" s="2068"/>
      <c r="F181" s="2071"/>
      <c r="G181" s="2071"/>
      <c r="H181" s="2071"/>
    </row>
    <row r="182" spans="4:8" ht="15" customHeight="1">
      <c r="D182" s="2068"/>
      <c r="F182" s="2071"/>
      <c r="G182" s="2071"/>
      <c r="H182" s="2071"/>
    </row>
    <row r="183" spans="4:8" ht="15" customHeight="1">
      <c r="D183" s="2068"/>
      <c r="F183" s="2071"/>
      <c r="G183" s="2071"/>
      <c r="H183" s="2071"/>
    </row>
    <row r="184" spans="4:8" ht="15" customHeight="1">
      <c r="D184" s="2068"/>
      <c r="F184" s="2071"/>
      <c r="G184" s="2071"/>
      <c r="H184" s="2071"/>
    </row>
    <row r="185" spans="4:8" ht="15" customHeight="1">
      <c r="D185" s="2068"/>
      <c r="F185" s="2071"/>
      <c r="G185" s="2071"/>
      <c r="H185" s="2071"/>
    </row>
    <row r="186" spans="4:8" ht="15" customHeight="1">
      <c r="D186" s="2068"/>
      <c r="F186" s="2071"/>
      <c r="G186" s="2071"/>
      <c r="H186" s="2071"/>
    </row>
    <row r="187" spans="4:8" ht="15" customHeight="1">
      <c r="D187" s="2068"/>
      <c r="F187" s="2071"/>
      <c r="G187" s="2071"/>
      <c r="H187" s="2071"/>
    </row>
    <row r="188" spans="4:8" ht="15" customHeight="1">
      <c r="D188" s="2068"/>
      <c r="F188" s="2071"/>
      <c r="G188" s="2071"/>
      <c r="H188" s="2071"/>
    </row>
    <row r="189" spans="4:8" ht="15" customHeight="1">
      <c r="D189" s="2068"/>
      <c r="F189" s="2071"/>
      <c r="G189" s="2071"/>
      <c r="H189" s="2071"/>
    </row>
    <row r="190" spans="4:8" ht="15" customHeight="1">
      <c r="D190" s="2068"/>
      <c r="F190" s="2071"/>
      <c r="G190" s="2071"/>
      <c r="H190" s="2071"/>
    </row>
    <row r="191" spans="4:8" ht="15" customHeight="1">
      <c r="D191" s="2068"/>
      <c r="F191" s="2071"/>
      <c r="G191" s="2071"/>
      <c r="H191" s="2071"/>
    </row>
    <row r="192" spans="4:8" ht="15" customHeight="1">
      <c r="D192" s="2068"/>
      <c r="F192" s="2071"/>
      <c r="G192" s="2071"/>
      <c r="H192" s="2071"/>
    </row>
    <row r="193" spans="4:8" ht="15" customHeight="1">
      <c r="D193" s="2068"/>
      <c r="F193" s="2071"/>
      <c r="G193" s="2071"/>
      <c r="H193" s="2071"/>
    </row>
    <row r="194" spans="4:8" ht="15" customHeight="1">
      <c r="D194" s="2068"/>
      <c r="F194" s="2071"/>
      <c r="G194" s="2071"/>
      <c r="H194" s="2071"/>
    </row>
    <row r="195" spans="4:8" ht="15" customHeight="1">
      <c r="D195" s="2068"/>
      <c r="F195" s="2071"/>
      <c r="G195" s="2071"/>
      <c r="H195" s="2071"/>
    </row>
    <row r="196" spans="4:8" ht="15" customHeight="1">
      <c r="D196" s="2068"/>
      <c r="F196" s="2071"/>
      <c r="G196" s="2071"/>
      <c r="H196" s="2071"/>
    </row>
    <row r="197" spans="4:8" ht="15" customHeight="1">
      <c r="D197" s="2068"/>
      <c r="F197" s="2071"/>
      <c r="G197" s="2071"/>
      <c r="H197" s="2071"/>
    </row>
    <row r="198" spans="4:8" ht="15" customHeight="1">
      <c r="D198" s="2068"/>
      <c r="F198" s="2071"/>
      <c r="G198" s="2071"/>
      <c r="H198" s="2071"/>
    </row>
    <row r="199" spans="4:8" ht="15" customHeight="1">
      <c r="D199" s="2068"/>
      <c r="F199" s="2071"/>
      <c r="G199" s="2071"/>
      <c r="H199" s="2071"/>
    </row>
    <row r="200" spans="4:8" ht="15" customHeight="1">
      <c r="D200" s="2068"/>
      <c r="F200" s="2071"/>
      <c r="G200" s="2071"/>
      <c r="H200" s="2071"/>
    </row>
    <row r="201" spans="4:8" ht="15" customHeight="1">
      <c r="D201" s="2068"/>
      <c r="F201" s="2071"/>
      <c r="G201" s="2071"/>
      <c r="H201" s="2071"/>
    </row>
    <row r="202" spans="4:8" ht="15" customHeight="1">
      <c r="D202" s="2068"/>
      <c r="F202" s="2069"/>
      <c r="G202" s="2069"/>
      <c r="H202" s="2069"/>
    </row>
    <row r="203" spans="4:8" ht="15" customHeight="1">
      <c r="D203" s="2068"/>
      <c r="F203" s="2069"/>
      <c r="G203" s="2069"/>
      <c r="H203" s="2069"/>
    </row>
  </sheetData>
  <sheetProtection password="C9AE" sheet="1" objects="1" scenarios="1"/>
  <mergeCells count="7">
    <mergeCell ref="A4:B4"/>
    <mergeCell ref="C4:J4"/>
    <mergeCell ref="A1:J1"/>
    <mergeCell ref="A2:B2"/>
    <mergeCell ref="D2:J2"/>
    <mergeCell ref="A3:B3"/>
    <mergeCell ref="D3:J3"/>
  </mergeCells>
  <conditionalFormatting sqref="C2">
    <cfRule type="expression" dxfId="40" priority="1" stopIfTrue="1">
      <formula>LEN(TRIM(C2))=0</formula>
    </cfRule>
  </conditionalFormatting>
  <conditionalFormatting sqref="C3">
    <cfRule type="expression" dxfId="39" priority="2" stopIfTrue="1">
      <formula>LEN(TRIM(C3))=0</formula>
    </cfRule>
  </conditionalFormatting>
  <conditionalFormatting sqref="A44:H105 R6:Y43">
    <cfRule type="expression" dxfId="38" priority="3" stopIfTrue="1">
      <formula>AND(COUNTA($A6:$L6)&gt;0,ISBLANK(A6))</formula>
    </cfRule>
  </conditionalFormatting>
  <dataValidations count="5">
    <dataValidation type="list" showInputMessage="1" showErrorMessage="1" sqref="WVL983046:WVL983145 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D44:D105">
      <formula1>Orientation</formula1>
    </dataValidation>
    <dataValidation type="list" showInputMessage="1" showErrorMessage="1" sqref="WVK983046:WVK983145 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T6:T43 C44:C105">
      <formula1>WallType</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FacadeStructure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U6:U43">
      <formula1>Orientation</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BD141"/>
  <sheetViews>
    <sheetView showZeros="0" zoomScaleNormal="100" workbookViewId="0">
      <selection activeCell="E27" sqref="E27:L27"/>
    </sheetView>
  </sheetViews>
  <sheetFormatPr baseColWidth="10" defaultColWidth="11.28515625" defaultRowHeight="12.75"/>
  <cols>
    <col min="1" max="1" width="3" style="29" customWidth="1"/>
    <col min="2" max="2" width="1" style="29" customWidth="1"/>
    <col min="3" max="3" width="11.28515625" style="29" customWidth="1"/>
    <col min="4" max="4" width="2.7109375" style="29" customWidth="1"/>
    <col min="5" max="16" width="7.7109375" style="29" customWidth="1"/>
    <col min="17" max="17" width="2.5703125" style="29" customWidth="1"/>
    <col min="18" max="18" width="2.7109375" style="29" customWidth="1"/>
    <col min="19" max="19" width="2.85546875" style="29" customWidth="1"/>
    <col min="20" max="20" width="11.28515625" style="29" hidden="1" customWidth="1"/>
    <col min="21" max="21" width="11.42578125" style="29" hidden="1" customWidth="1"/>
    <col min="22" max="25" width="11.28515625" style="29" hidden="1" customWidth="1"/>
    <col min="26" max="26" width="2.28515625" style="29" hidden="1" customWidth="1"/>
    <col min="27" max="28" width="11.28515625" style="29" hidden="1" customWidth="1"/>
    <col min="29" max="29" width="2.28515625" style="29" hidden="1" customWidth="1"/>
    <col min="30" max="31" width="11.28515625" style="29" hidden="1" customWidth="1"/>
    <col min="32" max="35" width="4.7109375" style="29" hidden="1" customWidth="1"/>
    <col min="36" max="36" width="3.85546875" style="29" hidden="1" customWidth="1"/>
    <col min="37" max="42" width="4.7109375" style="29" hidden="1" customWidth="1"/>
    <col min="43" max="52" width="11.28515625" style="29" hidden="1" customWidth="1"/>
    <col min="53" max="54" width="14.28515625" style="29" hidden="1" customWidth="1"/>
    <col min="55" max="56" width="11.28515625" style="29" hidden="1" customWidth="1"/>
    <col min="57" max="57" width="11.28515625" style="29" customWidth="1"/>
    <col min="58" max="16384" width="11.28515625" style="29"/>
  </cols>
  <sheetData>
    <row r="1" spans="2:47" ht="15" customHeight="1">
      <c r="B1" s="1078" t="str">
        <f>Uebersetzung!D20</f>
        <v>Programme Entech 380/1, Ver. 6.1, BFE/EnFK-Zert.-Nr. 1639, SIA 380/1 (Edition 2016)</v>
      </c>
      <c r="Q1" s="1993" t="str">
        <f>Bau!Z1</f>
        <v>Qh=0kWh/m2</v>
      </c>
      <c r="AD1" s="625">
        <f>Firma</f>
        <v>0</v>
      </c>
      <c r="AE1" s="623">
        <f>CODE(UPPER(RIGHT(LEFT(AD1,3),1)))</f>
        <v>48</v>
      </c>
      <c r="AF1" s="623">
        <f>CODE(UPPER(RIGHT(LEFT(AD1,2),1)))</f>
        <v>48</v>
      </c>
      <c r="AG1" s="158"/>
    </row>
    <row r="2" spans="2:47" s="64" customFormat="1" ht="15" customHeight="1">
      <c r="B2" s="64" t="str">
        <f>Uebersetzung!D21</f>
        <v>imprimé le:</v>
      </c>
      <c r="D2" s="2145">
        <f ca="1">NOW()</f>
        <v>43566.628989236109</v>
      </c>
      <c r="E2" s="2145"/>
      <c r="F2" s="2145"/>
      <c r="G2" s="64" t="str">
        <f>Uebersetzung!D22</f>
        <v xml:space="preserve">pour </v>
      </c>
      <c r="J2" s="63"/>
      <c r="K2" s="63"/>
      <c r="Q2" s="1325" t="str">
        <f>Uebersetzung!D122</f>
        <v>page 4 de 10</v>
      </c>
      <c r="AD2" s="624"/>
      <c r="AE2" s="624" t="b">
        <f>IF(Info!D16=1,"enblech",IF((MOD((Info!D16-1)/779,AE1+AF1))=0,"entech",IF(UPPER(LEFT(AD1,8))="SCHULUNG",IF(LEFT(RIGHT(AD1,4),12)*10&gt;AD5,IF((LEFT(RIGHT(AD1,4),12)-6)*10&lt;AD5,"entech","enblech"),"enblech"))))</f>
        <v>0</v>
      </c>
      <c r="AF2" s="163"/>
      <c r="AG2" s="163"/>
    </row>
    <row r="3" spans="2:47" ht="12" customHeight="1">
      <c r="C3" s="29" t="s">
        <v>350</v>
      </c>
      <c r="E3" s="64"/>
      <c r="AD3" s="625"/>
      <c r="AE3" s="625" t="b">
        <f>IF(Info!D16=1,"enblech",IF((MOD((Info!D16-1)/779/11,AE1+AF1))=0,"entech",IF(UPPER(LEFT(AD1,8))="SCHULUNG",IF(LEFT(RIGHT(AD1,4),12)*10&gt;AD5,IF((LEFT(RIGHT(AD1,4),12)-6)*10&lt;AD5,"entech","enblech"),"enblech"))))</f>
        <v>0</v>
      </c>
      <c r="AF3" s="158"/>
      <c r="AG3" s="158"/>
    </row>
    <row r="4" spans="2:47" ht="10.15" customHeight="1">
      <c r="B4" s="161"/>
      <c r="C4" s="153"/>
      <c r="D4" s="153"/>
      <c r="E4" s="153"/>
      <c r="F4" s="153"/>
      <c r="G4" s="153"/>
      <c r="H4" s="153"/>
      <c r="I4" s="153"/>
      <c r="J4" s="153"/>
      <c r="K4" s="153"/>
      <c r="L4" s="153"/>
      <c r="M4" s="2154" t="str">
        <f>Uebersetzung!D28</f>
        <v>an de con-struction</v>
      </c>
      <c r="N4" s="153"/>
      <c r="O4" s="153"/>
      <c r="P4" s="153"/>
      <c r="Q4" s="153"/>
      <c r="R4" s="162"/>
      <c r="S4" s="64"/>
      <c r="AD4" s="625"/>
      <c r="AE4" s="158"/>
      <c r="AF4" s="158"/>
      <c r="AG4" s="158"/>
    </row>
    <row r="5" spans="2:47" ht="15" customHeight="1">
      <c r="B5" s="154"/>
      <c r="C5" s="236" t="str">
        <f>Uebersetzung!D24</f>
        <v>Projet:</v>
      </c>
      <c r="D5" s="64"/>
      <c r="E5" s="2150"/>
      <c r="F5" s="2150"/>
      <c r="G5" s="2150"/>
      <c r="H5" s="2150"/>
      <c r="I5" s="2150"/>
      <c r="J5" s="2150"/>
      <c r="K5" s="1968" t="str">
        <f>Uebersetzung!D30</f>
        <v>Cadastre</v>
      </c>
      <c r="L5" s="1787"/>
      <c r="M5" s="2155"/>
      <c r="N5" s="662"/>
      <c r="O5" s="1795" t="str">
        <f>Uebersetzung!D40</f>
        <v>Dossier:</v>
      </c>
      <c r="P5" s="2151"/>
      <c r="Q5" s="2152"/>
      <c r="R5" s="128"/>
      <c r="S5" s="64"/>
      <c r="AD5" s="960">
        <f ca="1">NOW()</f>
        <v>43566.628989236109</v>
      </c>
      <c r="AE5" s="158"/>
      <c r="AF5" s="158"/>
      <c r="AG5" s="158"/>
    </row>
    <row r="6" spans="2:47" ht="4.1500000000000004" customHeight="1">
      <c r="B6" s="154"/>
      <c r="C6" s="64"/>
      <c r="D6" s="64"/>
      <c r="E6" s="64"/>
      <c r="F6" s="64"/>
      <c r="G6" s="64"/>
      <c r="H6" s="64"/>
      <c r="I6" s="64"/>
      <c r="J6" s="64"/>
      <c r="K6" s="64"/>
      <c r="L6" s="64"/>
      <c r="M6" s="56"/>
      <c r="N6" s="64"/>
      <c r="O6" s="64"/>
      <c r="P6" s="64"/>
      <c r="Q6" s="64"/>
      <c r="R6" s="128"/>
      <c r="S6" s="64"/>
    </row>
    <row r="7" spans="2:47" ht="15" customHeight="1">
      <c r="B7" s="154"/>
      <c r="C7" s="64" t="str">
        <f>Uebersetzung!D25</f>
        <v>Adresse:</v>
      </c>
      <c r="D7" s="64"/>
      <c r="E7" s="2153"/>
      <c r="F7" s="2153"/>
      <c r="G7" s="2153"/>
      <c r="H7" s="2153"/>
      <c r="I7" s="1325" t="str">
        <f>Uebersetzung!D27</f>
        <v xml:space="preserve">N°  </v>
      </c>
      <c r="J7" s="662"/>
      <c r="K7" s="1325" t="str">
        <f>Uebersetzung!D29</f>
        <v xml:space="preserve">NP:  </v>
      </c>
      <c r="L7" s="662"/>
      <c r="M7" s="1325" t="str">
        <f>Uebersetzung!D26</f>
        <v>Lieu:</v>
      </c>
      <c r="N7" s="2149"/>
      <c r="O7" s="2149"/>
      <c r="P7" s="2149"/>
      <c r="Q7" s="2149"/>
      <c r="R7" s="128"/>
      <c r="S7" s="64"/>
      <c r="U7" s="384" t="s">
        <v>1673</v>
      </c>
      <c r="V7" s="162"/>
      <c r="W7" s="384" t="s">
        <v>2288</v>
      </c>
      <c r="X7" s="162"/>
      <c r="AA7" s="384" t="s">
        <v>1840</v>
      </c>
      <c r="AB7" s="385"/>
      <c r="AC7" s="384" t="s">
        <v>2012</v>
      </c>
      <c r="AD7" s="385"/>
      <c r="AE7" s="162"/>
      <c r="AF7" s="384" t="s">
        <v>2290</v>
      </c>
      <c r="AG7" s="1550"/>
      <c r="AH7" s="384" t="s">
        <v>2013</v>
      </c>
      <c r="AI7" s="1550"/>
      <c r="AJ7" s="384" t="s">
        <v>2291</v>
      </c>
      <c r="AK7" s="1550"/>
      <c r="AL7" s="384" t="s">
        <v>2292</v>
      </c>
      <c r="AM7" s="1550"/>
      <c r="AN7" s="384" t="s">
        <v>2293</v>
      </c>
      <c r="AO7" s="1550"/>
    </row>
    <row r="8" spans="2:47" ht="4.9000000000000004" customHeight="1">
      <c r="B8" s="155"/>
      <c r="C8" s="35"/>
      <c r="D8" s="35"/>
      <c r="E8" s="35"/>
      <c r="F8" s="35"/>
      <c r="G8" s="35"/>
      <c r="H8" s="35"/>
      <c r="I8" s="35"/>
      <c r="J8" s="35"/>
      <c r="K8" s="35"/>
      <c r="L8" s="35"/>
      <c r="M8" s="35"/>
      <c r="N8" s="35"/>
      <c r="O8" s="35"/>
      <c r="P8" s="35"/>
      <c r="Q8" s="35"/>
      <c r="R8" s="127"/>
      <c r="S8" s="64"/>
      <c r="U8" s="154"/>
      <c r="V8" s="128"/>
      <c r="W8" s="154"/>
      <c r="X8" s="128"/>
      <c r="AA8" s="316"/>
      <c r="AB8" s="208"/>
      <c r="AC8" s="316"/>
      <c r="AD8" s="208"/>
      <c r="AE8" s="128"/>
      <c r="AF8" s="316"/>
      <c r="AG8" s="922"/>
      <c r="AH8" s="316"/>
      <c r="AI8" s="922"/>
      <c r="AJ8" s="316"/>
      <c r="AK8" s="922"/>
      <c r="AL8" s="316"/>
      <c r="AM8" s="922"/>
      <c r="AN8" s="316"/>
      <c r="AO8" s="922"/>
    </row>
    <row r="9" spans="2:47" ht="6" customHeight="1">
      <c r="E9" s="64"/>
      <c r="U9" s="154"/>
      <c r="V9" s="128"/>
      <c r="W9" s="154"/>
      <c r="X9" s="128"/>
      <c r="AA9" s="316"/>
      <c r="AB9" s="208"/>
      <c r="AC9" s="316"/>
      <c r="AD9" s="208"/>
      <c r="AE9" s="128"/>
      <c r="AF9" s="316"/>
      <c r="AG9" s="922"/>
      <c r="AH9" s="316"/>
      <c r="AI9" s="922"/>
      <c r="AJ9" s="316"/>
      <c r="AK9" s="922"/>
      <c r="AL9" s="316"/>
      <c r="AM9" s="922"/>
      <c r="AN9" s="316"/>
      <c r="AO9" s="922"/>
    </row>
    <row r="10" spans="2:47" ht="10.15" customHeight="1">
      <c r="B10" s="161"/>
      <c r="C10" s="2169" t="str">
        <f>Uebersetzung!D32</f>
        <v>Maître de l'ouvrage:</v>
      </c>
      <c r="D10" s="2169"/>
      <c r="E10" s="153"/>
      <c r="F10" s="153"/>
      <c r="G10" s="153"/>
      <c r="H10" s="153"/>
      <c r="I10" s="153"/>
      <c r="J10" s="153"/>
      <c r="K10" s="153"/>
      <c r="L10" s="153"/>
      <c r="M10" s="153"/>
      <c r="N10" s="153"/>
      <c r="O10" s="153"/>
      <c r="P10" s="153"/>
      <c r="Q10" s="153"/>
      <c r="R10" s="162"/>
      <c r="S10" s="64"/>
      <c r="U10" s="154"/>
      <c r="V10" s="128"/>
      <c r="W10" s="154"/>
      <c r="X10" s="128"/>
      <c r="AA10" s="446"/>
      <c r="AB10" s="1422"/>
      <c r="AC10" s="446"/>
      <c r="AD10" s="1422"/>
      <c r="AE10" s="127"/>
      <c r="AF10" s="446"/>
      <c r="AG10" s="923"/>
      <c r="AH10" s="446"/>
      <c r="AI10" s="923"/>
      <c r="AJ10" s="446"/>
      <c r="AK10" s="923"/>
      <c r="AL10" s="446"/>
      <c r="AM10" s="923"/>
      <c r="AN10" s="446"/>
      <c r="AO10" s="923"/>
    </row>
    <row r="11" spans="2:47" ht="15" customHeight="1">
      <c r="B11" s="154"/>
      <c r="C11" s="2170"/>
      <c r="D11" s="2170"/>
      <c r="E11" s="2148"/>
      <c r="F11" s="2148"/>
      <c r="G11" s="2148"/>
      <c r="H11" s="2148"/>
      <c r="I11" s="2148"/>
      <c r="J11" s="2148"/>
      <c r="K11" s="2148"/>
      <c r="L11" s="2148"/>
      <c r="M11" s="56" t="str">
        <f>Uebersetzung!D33</f>
        <v>Tél.:</v>
      </c>
      <c r="N11" s="2171"/>
      <c r="O11" s="2171"/>
      <c r="P11" s="2171"/>
      <c r="Q11" s="2171"/>
      <c r="R11" s="128"/>
      <c r="S11" s="64"/>
      <c r="U11" s="161">
        <f>Tab!C30</f>
        <v>0</v>
      </c>
      <c r="V11" s="213">
        <v>1</v>
      </c>
      <c r="W11" s="161">
        <f>Klima!$U9</f>
        <v>0</v>
      </c>
      <c r="X11" s="379">
        <v>1</v>
      </c>
      <c r="AA11" s="161">
        <f>Bauteile!$K56</f>
        <v>0</v>
      </c>
      <c r="AB11" s="379">
        <v>1</v>
      </c>
      <c r="AC11" s="154"/>
      <c r="AD11" s="64">
        <f>Bauteile!$K72</f>
        <v>0</v>
      </c>
      <c r="AE11" s="62">
        <v>1</v>
      </c>
      <c r="AF11" s="161">
        <f>Bauteile!$K88</f>
        <v>0</v>
      </c>
      <c r="AG11" s="379">
        <v>1</v>
      </c>
      <c r="AH11" s="29">
        <f>Bauteile!$K104</f>
        <v>0</v>
      </c>
      <c r="AI11" s="379">
        <v>1</v>
      </c>
      <c r="AJ11" s="161">
        <f>Bauteile!$K120</f>
        <v>0</v>
      </c>
      <c r="AK11" s="379">
        <v>1</v>
      </c>
      <c r="AL11" s="161">
        <f>Bauteile!$K152</f>
        <v>0</v>
      </c>
      <c r="AM11" s="379">
        <v>1</v>
      </c>
      <c r="AN11" s="161">
        <f>Bauteile!$K136</f>
        <v>0</v>
      </c>
      <c r="AO11" s="379">
        <v>1</v>
      </c>
      <c r="AT11" s="29" t="s">
        <v>921</v>
      </c>
    </row>
    <row r="12" spans="2:47" ht="4.1500000000000004" customHeight="1">
      <c r="B12" s="154"/>
      <c r="C12" s="64"/>
      <c r="D12" s="64"/>
      <c r="E12" s="64"/>
      <c r="F12" s="64"/>
      <c r="G12" s="64"/>
      <c r="H12" s="64"/>
      <c r="I12" s="64"/>
      <c r="J12" s="64"/>
      <c r="K12" s="64"/>
      <c r="L12" s="64"/>
      <c r="M12" s="64"/>
      <c r="N12" s="64"/>
      <c r="O12" s="64"/>
      <c r="P12" s="64"/>
      <c r="Q12" s="64"/>
      <c r="R12" s="128"/>
      <c r="S12" s="64"/>
      <c r="U12" s="154" t="str">
        <f>Tab!C31</f>
        <v>I: habitat collectif</v>
      </c>
      <c r="V12" s="63">
        <v>2</v>
      </c>
      <c r="W12" s="154" t="str">
        <f>Klima!$U10</f>
        <v>Alle</v>
      </c>
      <c r="X12" s="62">
        <v>2</v>
      </c>
      <c r="AA12" s="154" t="str">
        <f>Bauteile!$K57</f>
        <v>Béton, dalle continue, façade/toiture 0.15 W/m2K</v>
      </c>
      <c r="AB12" s="62">
        <v>2</v>
      </c>
      <c r="AC12" s="154"/>
      <c r="AD12" s="64" t="str">
        <f>Bauteile!$K73</f>
        <v>Sous-sol non chauffé, façade en brique 0.2 W/m2K</v>
      </c>
      <c r="AE12" s="62">
        <v>2</v>
      </c>
      <c r="AF12" s="154" t="str">
        <f>Bauteile!$K89</f>
        <v>dalle continue, mur en brique 0.15 W/m2K</v>
      </c>
      <c r="AG12" s="62">
        <v>2</v>
      </c>
      <c r="AH12" s="29" t="str">
        <f>Bauteile!$K105</f>
        <v>&lt; 2 cm isolation thermique</v>
      </c>
      <c r="AI12" s="62">
        <v>2</v>
      </c>
      <c r="AJ12" s="154" t="str">
        <f>Bauteile!$K121</f>
        <v>isolation thermique suspendu, &lt; 2 cm isolation thermique</v>
      </c>
      <c r="AK12" s="62">
        <v>2</v>
      </c>
      <c r="AL12" s="154" t="str">
        <f>Bauteile!$K153</f>
        <v>isolation du linteau de fenêtre et du cadre 2cm</v>
      </c>
      <c r="AM12" s="62">
        <v>2</v>
      </c>
      <c r="AN12" s="154" t="str">
        <f>Bauteile!$K137</f>
        <v>en aluminium, sans isolation sur les flancs</v>
      </c>
      <c r="AO12" s="62">
        <v>2</v>
      </c>
    </row>
    <row r="13" spans="2:47" ht="15" customHeight="1">
      <c r="B13" s="154"/>
      <c r="C13" s="64" t="str">
        <f>Uebersetzung!D35</f>
        <v>Représentant:</v>
      </c>
      <c r="D13" s="64"/>
      <c r="E13" s="2148"/>
      <c r="F13" s="2148"/>
      <c r="G13" s="2148"/>
      <c r="H13" s="2148"/>
      <c r="I13" s="2148"/>
      <c r="J13" s="2148"/>
      <c r="K13" s="2148"/>
      <c r="L13" s="2148"/>
      <c r="M13" s="1325" t="str">
        <f>Uebersetzung!D34</f>
        <v>Email:</v>
      </c>
      <c r="N13" s="2147"/>
      <c r="O13" s="2147"/>
      <c r="P13" s="2147"/>
      <c r="Q13" s="2147"/>
      <c r="R13" s="128"/>
      <c r="S13" s="64"/>
      <c r="U13" s="154" t="str">
        <f>Tab!C32</f>
        <v>II: habitat individuel</v>
      </c>
      <c r="V13" s="63">
        <v>3</v>
      </c>
      <c r="W13" s="154" t="str">
        <f>Klima!$U11</f>
        <v>Aargau</v>
      </c>
      <c r="X13" s="62">
        <v>3</v>
      </c>
      <c r="AA13" s="154" t="str">
        <f>Bauteile!$K58</f>
        <v>Béton, dalle continue, façade/toiture 0.25 W/m2K</v>
      </c>
      <c r="AB13" s="62">
        <v>3</v>
      </c>
      <c r="AC13" s="154"/>
      <c r="AD13" s="64" t="str">
        <f>Bauteile!$K74</f>
        <v>Sous-sol non chauffé, façade en brique 0.3 W/m2K</v>
      </c>
      <c r="AE13" s="62">
        <v>3</v>
      </c>
      <c r="AF13" s="154" t="str">
        <f>Bauteile!$K90</f>
        <v>dalle continue, mur en brique 0.25 W/m2K</v>
      </c>
      <c r="AG13" s="62">
        <v>3</v>
      </c>
      <c r="AH13" s="29" t="str">
        <f>Bauteile!$K106</f>
        <v>2-4 cm isolation thermique</v>
      </c>
      <c r="AI13" s="62">
        <v>3</v>
      </c>
      <c r="AJ13" s="154" t="str">
        <f>Bauteile!$K122</f>
        <v>isolation thermique suspendu, 2-4 cm isolation thermique</v>
      </c>
      <c r="AK13" s="62">
        <v>3</v>
      </c>
      <c r="AL13" s="154" t="str">
        <f>Bauteile!$K154</f>
        <v>isolation du linteau de fenêtre et du cadre 4cm</v>
      </c>
      <c r="AM13" s="62">
        <v>3</v>
      </c>
      <c r="AN13" s="154" t="str">
        <f>Bauteile!$K138</f>
        <v>en acier, sans isolation sur les flancs</v>
      </c>
      <c r="AO13" s="62">
        <v>3</v>
      </c>
      <c r="AT13" s="429">
        <f ca="1">IF($N$5="",YEAR(TODAY()),$N$5)</f>
        <v>2019</v>
      </c>
      <c r="AU13" s="430"/>
    </row>
    <row r="14" spans="2:47" ht="4.1500000000000004" customHeight="1">
      <c r="B14" s="154"/>
      <c r="C14" s="64"/>
      <c r="D14" s="64"/>
      <c r="E14" s="64"/>
      <c r="F14" s="64"/>
      <c r="G14" s="64"/>
      <c r="H14" s="64"/>
      <c r="I14" s="64"/>
      <c r="J14" s="64"/>
      <c r="K14" s="64"/>
      <c r="L14" s="64"/>
      <c r="M14" s="64"/>
      <c r="N14" s="64"/>
      <c r="O14" s="64"/>
      <c r="P14" s="64"/>
      <c r="Q14" s="64"/>
      <c r="R14" s="128"/>
      <c r="S14" s="64"/>
      <c r="U14" s="154" t="str">
        <f>Tab!C33</f>
        <v>III: administration</v>
      </c>
      <c r="V14" s="63">
        <v>4</v>
      </c>
      <c r="W14" s="154" t="str">
        <f>Klima!$U12</f>
        <v>Appenzell Innerrhoden</v>
      </c>
      <c r="X14" s="62">
        <v>4</v>
      </c>
      <c r="AA14" s="154" t="str">
        <f>Bauteile!$K59</f>
        <v>Béton, dalle continue, façade/toiture 0.35 W/m2K</v>
      </c>
      <c r="AB14" s="62">
        <v>4</v>
      </c>
      <c r="AC14" s="154"/>
      <c r="AD14" s="64" t="str">
        <f>Bauteile!$K75</f>
        <v>Sous-sol non chauffé, façade en béton, 0.2 W/m2K</v>
      </c>
      <c r="AE14" s="62">
        <v>4</v>
      </c>
      <c r="AF14" s="154" t="str">
        <f>Bauteile!$K91</f>
        <v>dalle continue, mur en brique 0.35 W/m2K</v>
      </c>
      <c r="AG14" s="62">
        <v>4</v>
      </c>
      <c r="AH14" s="29">
        <f>Bauteile!$K107</f>
        <v>0</v>
      </c>
      <c r="AI14" s="62">
        <v>4</v>
      </c>
      <c r="AJ14" s="154" t="str">
        <f>Bauteile!$K123</f>
        <v>bords de bâtiment avec isolation thermique</v>
      </c>
      <c r="AK14" s="62">
        <v>4</v>
      </c>
      <c r="AL14" s="154" t="str">
        <f>Bauteile!$K155</f>
        <v>isolation du linteau de fenêtre 4cm et cadre isolant</v>
      </c>
      <c r="AM14" s="62">
        <v>4</v>
      </c>
      <c r="AN14" s="154" t="str">
        <f>Bauteile!$K139</f>
        <v>en béton, sans isolation sur les flancs</v>
      </c>
      <c r="AO14" s="62">
        <v>4</v>
      </c>
    </row>
    <row r="15" spans="2:47" ht="15" customHeight="1">
      <c r="B15" s="154"/>
      <c r="C15" s="64" t="str">
        <f>Uebersetzung!D31</f>
        <v>Adresse:</v>
      </c>
      <c r="D15" s="64"/>
      <c r="E15" s="2153"/>
      <c r="F15" s="2148"/>
      <c r="G15" s="2148"/>
      <c r="H15" s="2148"/>
      <c r="I15" s="1325" t="str">
        <f>Uebersetzung!D27</f>
        <v xml:space="preserve">N°  </v>
      </c>
      <c r="J15" s="1786"/>
      <c r="K15" s="1325" t="str">
        <f>Uebersetzung!D29</f>
        <v xml:space="preserve">NP:  </v>
      </c>
      <c r="L15" s="1786"/>
      <c r="M15" s="1325" t="str">
        <f>Uebersetzung!D26</f>
        <v>Lieu:</v>
      </c>
      <c r="N15" s="2149"/>
      <c r="O15" s="2149"/>
      <c r="P15" s="2149"/>
      <c r="Q15" s="2149"/>
      <c r="R15" s="128"/>
      <c r="S15" s="64"/>
      <c r="U15" s="154" t="str">
        <f>Tab!C34</f>
        <v>IV: écoles</v>
      </c>
      <c r="V15" s="63">
        <v>5</v>
      </c>
      <c r="W15" s="154" t="str">
        <f>Klima!$U13</f>
        <v>Appenzell Ausserrhoden</v>
      </c>
      <c r="X15" s="62">
        <v>5</v>
      </c>
      <c r="AA15" s="154" t="str">
        <f>Bauteile!$K60</f>
        <v>Béton, isolation sous bord de dalle, façade/toit. 0.15 W/m2K</v>
      </c>
      <c r="AB15" s="62">
        <v>5</v>
      </c>
      <c r="AC15" s="154"/>
      <c r="AD15" s="64" t="str">
        <f>Bauteile!$K76</f>
        <v>Sous-sol non chauffé, façade en béton, 0.3 W/m2K</v>
      </c>
      <c r="AE15" s="62">
        <v>5</v>
      </c>
      <c r="AF15" s="154" t="str">
        <f>Bauteile!$K92</f>
        <v>dalle continue, mur en béton 0.15 W/m2K</v>
      </c>
      <c r="AG15" s="62">
        <v>5</v>
      </c>
      <c r="AH15" s="29">
        <f>Bauteile!$K108</f>
        <v>0</v>
      </c>
      <c r="AI15" s="62">
        <v>5</v>
      </c>
      <c r="AJ15" s="154" t="str">
        <f>Bauteile!$K124</f>
        <v>paroi sous la dalle sur sous-sol, chauf. par sol, 0.2 W/m2K</v>
      </c>
      <c r="AK15" s="62">
        <v>5</v>
      </c>
      <c r="AL15" s="154">
        <f>Bauteile!$K156</f>
        <v>0</v>
      </c>
      <c r="AM15" s="62">
        <v>5</v>
      </c>
      <c r="AN15" s="154" t="str">
        <f>Bauteile!$K140</f>
        <v>consoles métalliques massive</v>
      </c>
      <c r="AO15" s="62">
        <v>5</v>
      </c>
    </row>
    <row r="16" spans="2:47" ht="7.9" customHeight="1">
      <c r="B16" s="154"/>
      <c r="C16" s="64"/>
      <c r="D16" s="64"/>
      <c r="E16" s="64"/>
      <c r="F16" s="64"/>
      <c r="G16" s="64"/>
      <c r="H16" s="64"/>
      <c r="I16" s="64"/>
      <c r="J16" s="64"/>
      <c r="K16" s="64"/>
      <c r="L16" s="64"/>
      <c r="M16" s="64"/>
      <c r="N16" s="64"/>
      <c r="O16" s="64"/>
      <c r="P16" s="64"/>
      <c r="Q16" s="64"/>
      <c r="R16" s="128"/>
      <c r="S16" s="64"/>
      <c r="U16" s="154" t="str">
        <f>Tab!C35</f>
        <v>V: commerce</v>
      </c>
      <c r="V16" s="63">
        <v>6</v>
      </c>
      <c r="W16" s="154" t="str">
        <f>Klima!$U14</f>
        <v>Bern</v>
      </c>
      <c r="X16" s="62">
        <v>6</v>
      </c>
      <c r="AA16" s="154" t="str">
        <f>Bauteile!$K61</f>
        <v>Béton, isolation sous bord de dalle, façade/toit. 0.25 W/m2K</v>
      </c>
      <c r="AB16" s="62">
        <v>6</v>
      </c>
      <c r="AC16" s="154"/>
      <c r="AD16" s="64" t="str">
        <f>Bauteile!$K77</f>
        <v>Sous-sol non chauffé, brique, isol. 50cm sous nu inf.dalle</v>
      </c>
      <c r="AE16" s="62">
        <v>6</v>
      </c>
      <c r="AF16" s="154" t="str">
        <f>Bauteile!$K93</f>
        <v>dalle continue, mur en béton 0.25 W/m2K</v>
      </c>
      <c r="AG16" s="62">
        <v>6</v>
      </c>
      <c r="AH16" s="29">
        <f>Bauteile!$K109</f>
        <v>0</v>
      </c>
      <c r="AI16" s="62">
        <v>6</v>
      </c>
      <c r="AJ16" s="154" t="str">
        <f>Bauteile!$K125</f>
        <v>paroi sous la dalle sur sous-sol, chauf. par sol, 0.3 W/m2K</v>
      </c>
      <c r="AK16" s="62">
        <v>6</v>
      </c>
      <c r="AL16" s="154">
        <f>Bauteile!$K157</f>
        <v>0</v>
      </c>
      <c r="AM16" s="62">
        <v>6</v>
      </c>
      <c r="AN16" s="154">
        <f>Bauteile!$K141</f>
        <v>0</v>
      </c>
      <c r="AO16" s="62">
        <v>6</v>
      </c>
    </row>
    <row r="17" spans="2:55" ht="15" customHeight="1">
      <c r="B17" s="154"/>
      <c r="C17" s="208" t="str">
        <f>Uebersetzung!D36</f>
        <v>Auteur du projet:</v>
      </c>
      <c r="D17" s="64"/>
      <c r="E17" s="64"/>
      <c r="F17" s="64"/>
      <c r="G17" s="64"/>
      <c r="H17" s="64"/>
      <c r="I17" s="64"/>
      <c r="J17" s="64"/>
      <c r="K17" s="64"/>
      <c r="L17" s="64"/>
      <c r="M17" s="64"/>
      <c r="N17" s="64"/>
      <c r="O17" s="64"/>
      <c r="P17" s="64"/>
      <c r="Q17" s="64"/>
      <c r="R17" s="128"/>
      <c r="S17" s="64"/>
      <c r="U17" s="154" t="str">
        <f>Tab!C36</f>
        <v>VI: restauration</v>
      </c>
      <c r="V17" s="63">
        <v>7</v>
      </c>
      <c r="W17" s="154" t="str">
        <f>Klima!$U15</f>
        <v>Basel Land</v>
      </c>
      <c r="X17" s="62">
        <v>7</v>
      </c>
      <c r="AA17" s="154" t="str">
        <f>Bauteile!$K62</f>
        <v>Béton, isolation sous bord de dalle, façade/toit. 0.35 W/m2K</v>
      </c>
      <c r="AB17" s="62">
        <v>7</v>
      </c>
      <c r="AC17" s="154"/>
      <c r="AD17" s="64" t="str">
        <f>Bauteile!$K78</f>
        <v>Sous-sol non chauffé, béton, isol. 50cm sous nu inf.dalle</v>
      </c>
      <c r="AE17" s="62">
        <v>7</v>
      </c>
      <c r="AF17" s="154" t="str">
        <f>Bauteile!$K94</f>
        <v>dalle continue, mur en béton 0.35 W/m2K</v>
      </c>
      <c r="AG17" s="62">
        <v>7</v>
      </c>
      <c r="AH17" s="29">
        <f>Bauteile!$K110</f>
        <v>0</v>
      </c>
      <c r="AI17" s="62">
        <v>7</v>
      </c>
      <c r="AJ17" s="154" t="str">
        <f>Bauteile!$K126</f>
        <v>paroi sous la dalle, sans chauffage par le sol, 0.2 W/m2K</v>
      </c>
      <c r="AK17" s="62">
        <v>7</v>
      </c>
      <c r="AL17" s="154">
        <f>Bauteile!$K158</f>
        <v>0</v>
      </c>
      <c r="AM17" s="62">
        <v>7</v>
      </c>
      <c r="AN17" s="154">
        <f>Bauteile!$K142</f>
        <v>0</v>
      </c>
      <c r="AO17" s="62">
        <v>7</v>
      </c>
    </row>
    <row r="18" spans="2:55" ht="15" customHeight="1">
      <c r="B18" s="154"/>
      <c r="C18" s="173" t="str">
        <f>Uebersetzung!D37</f>
        <v>Entreprise:</v>
      </c>
      <c r="D18" s="64"/>
      <c r="E18" s="2153"/>
      <c r="F18" s="2148"/>
      <c r="G18" s="2148"/>
      <c r="H18" s="2148"/>
      <c r="I18" s="2148"/>
      <c r="J18" s="2148"/>
      <c r="K18" s="2148"/>
      <c r="L18" s="2148"/>
      <c r="M18" s="56" t="str">
        <f>Uebersetzung!D33</f>
        <v>Tél.:</v>
      </c>
      <c r="N18" s="2171"/>
      <c r="O18" s="2171"/>
      <c r="P18" s="2171"/>
      <c r="Q18" s="2171"/>
      <c r="R18" s="128"/>
      <c r="S18" s="64"/>
      <c r="U18" s="154" t="str">
        <f>Tab!C37</f>
        <v>VII: lieux de rassemblement</v>
      </c>
      <c r="V18" s="63">
        <v>8</v>
      </c>
      <c r="W18" s="154" t="str">
        <f>Klima!$U16</f>
        <v>Basel Stadt</v>
      </c>
      <c r="X18" s="62">
        <v>8</v>
      </c>
      <c r="AA18" s="154" t="str">
        <f>Bauteile!$K63</f>
        <v>façade en brique, dalle continue, façade/toit. 0.15 W/m2K</v>
      </c>
      <c r="AB18" s="62">
        <v>8</v>
      </c>
      <c r="AC18" s="154"/>
      <c r="AD18" s="64" t="str">
        <f>Bauteile!$K79</f>
        <v>Sous-sol chauffé, façade en brique, chauffage par sol</v>
      </c>
      <c r="AE18" s="62">
        <v>8</v>
      </c>
      <c r="AF18" s="154" t="str">
        <f>Bauteile!$K95</f>
        <v>avec consoles de dalle isolante d'acier</v>
      </c>
      <c r="AG18" s="62">
        <v>8</v>
      </c>
      <c r="AH18" s="29">
        <f>Bauteile!$K111</f>
        <v>0</v>
      </c>
      <c r="AI18" s="62">
        <v>8</v>
      </c>
      <c r="AJ18" s="154" t="str">
        <f>Bauteile!$K127</f>
        <v>paroi sous la dalle, sans chauffage par le sol, 0.3 W/m2K</v>
      </c>
      <c r="AK18" s="62">
        <v>8</v>
      </c>
      <c r="AL18" s="154">
        <f>Bauteile!$K159</f>
        <v>0</v>
      </c>
      <c r="AM18" s="62">
        <v>8</v>
      </c>
      <c r="AN18" s="154">
        <f>Bauteile!$K143</f>
        <v>0</v>
      </c>
      <c r="AO18" s="62">
        <v>8</v>
      </c>
      <c r="AT18" s="29" t="s">
        <v>1922</v>
      </c>
    </row>
    <row r="19" spans="2:55" ht="3.6" customHeight="1">
      <c r="B19" s="154"/>
      <c r="C19" s="208"/>
      <c r="D19" s="64"/>
      <c r="E19" s="64"/>
      <c r="F19" s="64"/>
      <c r="G19" s="64"/>
      <c r="H19" s="64"/>
      <c r="I19" s="64"/>
      <c r="J19" s="64"/>
      <c r="K19" s="64"/>
      <c r="L19" s="64"/>
      <c r="M19" s="64"/>
      <c r="N19" s="64"/>
      <c r="O19" s="64"/>
      <c r="P19" s="64"/>
      <c r="Q19" s="64"/>
      <c r="R19" s="128"/>
      <c r="S19" s="64"/>
      <c r="U19" s="154" t="str">
        <f>Tab!C38</f>
        <v>VIII: hôpitaux</v>
      </c>
      <c r="V19" s="63">
        <v>9</v>
      </c>
      <c r="W19" s="154" t="str">
        <f>Klima!$U17</f>
        <v>Fribourg</v>
      </c>
      <c r="X19" s="62">
        <v>9</v>
      </c>
      <c r="AA19" s="154" t="str">
        <f>Bauteile!$K64</f>
        <v>façade en brique, dalle continue, façade/toit. 0.25 W/m2K</v>
      </c>
      <c r="AB19" s="62">
        <v>9</v>
      </c>
      <c r="AC19" s="154"/>
      <c r="AD19" s="64" t="str">
        <f>Bauteile!$K80</f>
        <v>Sous-sol chauffé, Betonwand, chauffage par le sol</v>
      </c>
      <c r="AE19" s="62">
        <v>9</v>
      </c>
      <c r="AF19" s="154" t="str">
        <f>Bauteile!$K96</f>
        <v>consoles de dalle isolante d'acier fin, paroi 0.15 W/m2K</v>
      </c>
      <c r="AG19" s="62">
        <v>9</v>
      </c>
      <c r="AH19" s="29">
        <f>Bauteile!$K112</f>
        <v>0</v>
      </c>
      <c r="AI19" s="62">
        <v>9</v>
      </c>
      <c r="AJ19" s="154">
        <f>Bauteile!$K128</f>
        <v>0</v>
      </c>
      <c r="AK19" s="62">
        <v>9</v>
      </c>
      <c r="AL19" s="154">
        <f>Bauteile!$K160</f>
        <v>0</v>
      </c>
      <c r="AM19" s="62">
        <v>9</v>
      </c>
      <c r="AN19" s="154">
        <f>Bauteile!$K144</f>
        <v>0</v>
      </c>
      <c r="AO19" s="62">
        <v>9</v>
      </c>
    </row>
    <row r="20" spans="2:55" ht="15" customHeight="1">
      <c r="B20" s="154"/>
      <c r="C20" s="173" t="str">
        <f>Uebersetzung!D38</f>
        <v>Collaborateur:</v>
      </c>
      <c r="D20" s="64"/>
      <c r="E20" s="2153"/>
      <c r="F20" s="2148"/>
      <c r="G20" s="2148"/>
      <c r="H20" s="2148"/>
      <c r="I20" s="2148"/>
      <c r="J20" s="2148"/>
      <c r="K20" s="2148"/>
      <c r="L20" s="2148"/>
      <c r="M20" s="1325" t="str">
        <f>Uebersetzung!D34</f>
        <v>Email:</v>
      </c>
      <c r="N20" s="2146"/>
      <c r="O20" s="2147"/>
      <c r="P20" s="2147"/>
      <c r="Q20" s="2147"/>
      <c r="R20" s="128"/>
      <c r="S20" s="64"/>
      <c r="U20" s="154" t="str">
        <f>Tab!C39</f>
        <v>IX: industrie</v>
      </c>
      <c r="V20" s="63">
        <v>10</v>
      </c>
      <c r="W20" s="154" t="str">
        <f>Klima!$U18</f>
        <v>Genève</v>
      </c>
      <c r="X20" s="62">
        <v>10</v>
      </c>
      <c r="AA20" s="154" t="str">
        <f>Bauteile!$K65</f>
        <v>façade en brique, dalle continue, façade/toit. 0.35 W/m2K</v>
      </c>
      <c r="AB20" s="62">
        <v>10</v>
      </c>
      <c r="AC20" s="154"/>
      <c r="AD20" s="64" t="str">
        <f>Bauteile!$K81</f>
        <v>Sous-sol chauffé, brique,  50cm isol. sous bord de dalle</v>
      </c>
      <c r="AE20" s="62">
        <v>10</v>
      </c>
      <c r="AF20" s="154" t="str">
        <f>Bauteile!$K97</f>
        <v>consoles de dalle isolante d'acier fin, paroi 0.25 W/m2K</v>
      </c>
      <c r="AG20" s="62">
        <v>10</v>
      </c>
      <c r="AH20" s="29">
        <f>Bauteile!$K113</f>
        <v>0</v>
      </c>
      <c r="AI20" s="62">
        <v>10</v>
      </c>
      <c r="AJ20" s="154">
        <f>Bauteile!$K129</f>
        <v>0</v>
      </c>
      <c r="AK20" s="62">
        <v>10</v>
      </c>
      <c r="AL20" s="154">
        <f>Bauteile!$K161</f>
        <v>0</v>
      </c>
      <c r="AM20" s="62">
        <v>10</v>
      </c>
      <c r="AN20" s="154">
        <f>Bauteile!$K145</f>
        <v>0</v>
      </c>
      <c r="AO20" s="62">
        <v>10</v>
      </c>
      <c r="AT20" s="283" t="s">
        <v>1923</v>
      </c>
      <c r="AU20" s="284"/>
      <c r="AV20" s="427" t="b">
        <f>IF(OR(UPPER(LEFT(E5,4))="WETT",UPPER(LEFT(E5,4))="COMP",UPPER(LEFT(E5,4))="CONC"),TRUE,FALSE)</f>
        <v>0</v>
      </c>
    </row>
    <row r="21" spans="2:55" ht="4.1500000000000004" customHeight="1">
      <c r="B21" s="154"/>
      <c r="C21" s="64"/>
      <c r="D21" s="64"/>
      <c r="E21" s="64"/>
      <c r="F21" s="64"/>
      <c r="G21" s="64"/>
      <c r="H21" s="64"/>
      <c r="I21" s="64"/>
      <c r="J21" s="64"/>
      <c r="K21" s="64"/>
      <c r="L21" s="64"/>
      <c r="M21" s="64"/>
      <c r="N21" s="64"/>
      <c r="O21" s="64"/>
      <c r="P21" s="64"/>
      <c r="Q21" s="64"/>
      <c r="R21" s="128"/>
      <c r="S21" s="64"/>
      <c r="U21" s="154" t="str">
        <f>Tab!C40</f>
        <v>X: dépôts</v>
      </c>
      <c r="V21" s="63">
        <v>11</v>
      </c>
      <c r="W21" s="154" t="str">
        <f>Klima!$U19</f>
        <v>Glarus</v>
      </c>
      <c r="X21" s="62">
        <v>11</v>
      </c>
      <c r="AA21" s="154">
        <f>Bauteile!$K66</f>
        <v>0</v>
      </c>
      <c r="AB21" s="62">
        <v>11</v>
      </c>
      <c r="AC21" s="154"/>
      <c r="AD21" s="64" t="str">
        <f>Bauteile!$K82</f>
        <v>Sous-sol chauffé, brique, isol. 50cm sous nu inf. dalle</v>
      </c>
      <c r="AE21" s="62">
        <v>11</v>
      </c>
      <c r="AF21" s="154" t="str">
        <f>Bauteile!$K98</f>
        <v>consoles de dalle isolante d'acier fin, paroi 0.35 W/m2K</v>
      </c>
      <c r="AG21" s="62">
        <v>11</v>
      </c>
      <c r="AH21" s="29">
        <f>Bauteile!$K114</f>
        <v>0</v>
      </c>
      <c r="AI21" s="62">
        <v>11</v>
      </c>
      <c r="AJ21" s="154">
        <f>Bauteile!$K130</f>
        <v>0</v>
      </c>
      <c r="AK21" s="62">
        <v>11</v>
      </c>
      <c r="AL21" s="154">
        <f>Bauteile!$K162</f>
        <v>0</v>
      </c>
      <c r="AM21" s="62">
        <v>11</v>
      </c>
      <c r="AN21" s="154">
        <f>Bauteile!$K146</f>
        <v>0</v>
      </c>
      <c r="AO21" s="62">
        <v>11</v>
      </c>
    </row>
    <row r="22" spans="2:55" ht="15" customHeight="1">
      <c r="B22" s="154"/>
      <c r="C22" s="64" t="str">
        <f>Uebersetzung!D31</f>
        <v>Adresse:</v>
      </c>
      <c r="D22" s="64"/>
      <c r="E22" s="2153"/>
      <c r="F22" s="2153"/>
      <c r="G22" s="2153"/>
      <c r="H22" s="2153"/>
      <c r="I22" s="1325" t="str">
        <f>Uebersetzung!D27</f>
        <v xml:space="preserve">N°  </v>
      </c>
      <c r="J22" s="1786"/>
      <c r="K22" s="1325" t="str">
        <f>Uebersetzung!D29</f>
        <v xml:space="preserve">NP:  </v>
      </c>
      <c r="L22" s="1786"/>
      <c r="M22" s="1325" t="str">
        <f>Uebersetzung!D26</f>
        <v>Lieu:</v>
      </c>
      <c r="N22" s="2149"/>
      <c r="O22" s="2149"/>
      <c r="P22" s="2149"/>
      <c r="Q22" s="2149"/>
      <c r="R22" s="128"/>
      <c r="S22" s="64"/>
      <c r="U22" s="154" t="str">
        <f>Tab!C41</f>
        <v>XI: installations sportives</v>
      </c>
      <c r="V22" s="63">
        <v>12</v>
      </c>
      <c r="W22" s="154" t="str">
        <f>Klima!$U20</f>
        <v>Graubünden</v>
      </c>
      <c r="X22" s="62">
        <v>12</v>
      </c>
      <c r="AA22" s="154">
        <f>Bauteile!$K67</f>
        <v>0</v>
      </c>
      <c r="AB22" s="62">
        <v>12</v>
      </c>
      <c r="AC22" s="154"/>
      <c r="AD22" s="64" t="str">
        <f>Bauteile!$K83</f>
        <v>Sous-sol chauffé, brique, isol. 80cm sous nu inf. dalle</v>
      </c>
      <c r="AE22" s="62">
        <v>12</v>
      </c>
      <c r="AF22" s="154">
        <f>Bauteile!$K99</f>
        <v>0</v>
      </c>
      <c r="AG22" s="62">
        <v>12</v>
      </c>
      <c r="AH22" s="29">
        <f>Bauteile!$K115</f>
        <v>0</v>
      </c>
      <c r="AI22" s="62">
        <v>12</v>
      </c>
      <c r="AJ22" s="154">
        <f>Bauteile!$K131</f>
        <v>0</v>
      </c>
      <c r="AK22" s="62">
        <v>12</v>
      </c>
      <c r="AL22" s="154">
        <f>Bauteile!$K163</f>
        <v>0</v>
      </c>
      <c r="AM22" s="62">
        <v>12</v>
      </c>
      <c r="AN22" s="154">
        <f>Bauteile!$K147</f>
        <v>0</v>
      </c>
      <c r="AO22" s="62">
        <v>12</v>
      </c>
    </row>
    <row r="23" spans="2:55" ht="7.9" customHeight="1">
      <c r="B23" s="154"/>
      <c r="C23" s="64"/>
      <c r="D23" s="64"/>
      <c r="E23" s="64"/>
      <c r="F23" s="64"/>
      <c r="G23" s="64"/>
      <c r="H23" s="64"/>
      <c r="I23" s="64"/>
      <c r="J23" s="64"/>
      <c r="K23" s="64"/>
      <c r="L23" s="64"/>
      <c r="M23" s="64"/>
      <c r="N23" s="64"/>
      <c r="O23" s="64"/>
      <c r="P23" s="64"/>
      <c r="Q23" s="64"/>
      <c r="R23" s="128"/>
      <c r="S23" s="64"/>
      <c r="T23" s="64"/>
      <c r="U23" s="155" t="str">
        <f>Tab!C42</f>
        <v>XII: piscines couvertes</v>
      </c>
      <c r="V23" s="59">
        <v>13</v>
      </c>
      <c r="W23" s="154" t="str">
        <f>Klima!$U21</f>
        <v>Jura</v>
      </c>
      <c r="X23" s="62">
        <v>13</v>
      </c>
      <c r="AA23" s="154">
        <f>Bauteile!$K68</f>
        <v>0</v>
      </c>
      <c r="AB23" s="62">
        <v>13</v>
      </c>
      <c r="AC23" s="154"/>
      <c r="AD23" s="64" t="str">
        <f>Bauteile!$K84</f>
        <v>dalle &gt;0.5 m sous le sol</v>
      </c>
      <c r="AE23" s="62">
        <v>13</v>
      </c>
      <c r="AF23" s="154">
        <f>Bauteile!$K100</f>
        <v>0</v>
      </c>
      <c r="AG23" s="62">
        <v>13</v>
      </c>
      <c r="AH23" s="29">
        <f>Bauteile!$K116</f>
        <v>0</v>
      </c>
      <c r="AI23" s="62">
        <v>13</v>
      </c>
      <c r="AJ23" s="154">
        <f>Bauteile!$K132</f>
        <v>0</v>
      </c>
      <c r="AK23" s="62">
        <v>13</v>
      </c>
      <c r="AL23" s="154">
        <f>Bauteile!$K164</f>
        <v>0</v>
      </c>
      <c r="AM23" s="62">
        <v>13</v>
      </c>
      <c r="AN23" s="154">
        <f>Bauteile!$K148</f>
        <v>0</v>
      </c>
      <c r="AO23" s="62">
        <v>13</v>
      </c>
    </row>
    <row r="24" spans="2:55" ht="15" customHeight="1">
      <c r="B24" s="154"/>
      <c r="C24" s="208" t="str">
        <f>Uebersetzung!D39</f>
        <v>Justification:</v>
      </c>
      <c r="D24" s="64"/>
      <c r="E24" s="64"/>
      <c r="F24" s="64"/>
      <c r="G24" s="64"/>
      <c r="H24" s="64"/>
      <c r="I24" s="64"/>
      <c r="J24" s="64"/>
      <c r="K24" s="64"/>
      <c r="L24" s="64"/>
      <c r="M24" s="64"/>
      <c r="N24" s="64"/>
      <c r="O24" s="64"/>
      <c r="P24" s="64"/>
      <c r="Q24" s="64"/>
      <c r="R24" s="128"/>
      <c r="S24" s="64"/>
      <c r="T24" s="64"/>
      <c r="U24" s="1535" t="s">
        <v>2287</v>
      </c>
      <c r="V24" s="1549"/>
      <c r="W24" s="154" t="str">
        <f>Klima!$U22</f>
        <v>Luzern</v>
      </c>
      <c r="X24" s="62">
        <v>14</v>
      </c>
      <c r="AA24" s="154">
        <f>Bauteile!$K69</f>
        <v>0</v>
      </c>
      <c r="AB24" s="62">
        <v>14</v>
      </c>
      <c r="AC24" s="154"/>
      <c r="AD24" s="64">
        <f>Bauteile!$K85</f>
        <v>0</v>
      </c>
      <c r="AE24" s="62">
        <v>14</v>
      </c>
      <c r="AF24" s="154">
        <f>Bauteile!$K101</f>
        <v>0</v>
      </c>
      <c r="AG24" s="62">
        <v>14</v>
      </c>
      <c r="AH24" s="29">
        <f>Bauteile!$K117</f>
        <v>0</v>
      </c>
      <c r="AI24" s="62">
        <v>14</v>
      </c>
      <c r="AJ24" s="154">
        <f>Bauteile!$K133</f>
        <v>0</v>
      </c>
      <c r="AK24" s="62">
        <v>14</v>
      </c>
      <c r="AL24" s="154">
        <f>Bauteile!$K165</f>
        <v>0</v>
      </c>
      <c r="AM24" s="62">
        <v>14</v>
      </c>
      <c r="AN24" s="154">
        <f>Bauteile!$K149</f>
        <v>0</v>
      </c>
      <c r="AO24" s="62">
        <v>14</v>
      </c>
    </row>
    <row r="25" spans="2:55" ht="15" customHeight="1">
      <c r="B25" s="154"/>
      <c r="C25" s="173" t="str">
        <f>Uebersetzung!D37</f>
        <v>Entreprise:</v>
      </c>
      <c r="D25" s="64"/>
      <c r="E25" s="2159">
        <f>IF(Wettbewerb," **** anonymer Programmbenutzer ****",Firma)</f>
        <v>0</v>
      </c>
      <c r="F25" s="2159"/>
      <c r="G25" s="2159"/>
      <c r="H25" s="2159"/>
      <c r="I25" s="2159"/>
      <c r="J25" s="2159"/>
      <c r="K25" s="2159"/>
      <c r="L25" s="2159"/>
      <c r="M25" s="56" t="str">
        <f>Uebersetzung!D33</f>
        <v>Tél.:</v>
      </c>
      <c r="N25" s="2158">
        <f>IF(Wettbewerb,"",Info!D20)</f>
        <v>0</v>
      </c>
      <c r="O25" s="2158"/>
      <c r="P25" s="631"/>
      <c r="Q25" s="631"/>
      <c r="R25" s="128"/>
      <c r="S25" s="64"/>
      <c r="T25" s="163"/>
      <c r="U25" s="154"/>
      <c r="V25" s="194">
        <v>1</v>
      </c>
      <c r="W25" s="154" t="str">
        <f>Klima!$U23</f>
        <v>Neuenburg</v>
      </c>
      <c r="X25" s="62">
        <v>15</v>
      </c>
      <c r="Z25" s="158"/>
      <c r="AA25" s="155">
        <f>Bauteile!$K70</f>
        <v>0</v>
      </c>
      <c r="AB25" s="320">
        <v>15</v>
      </c>
      <c r="AC25" s="155"/>
      <c r="AD25" s="35">
        <f>Bauteile!$K86</f>
        <v>0</v>
      </c>
      <c r="AE25" s="320">
        <v>15</v>
      </c>
      <c r="AF25" s="155">
        <f>Bauteile!$K102</f>
        <v>0</v>
      </c>
      <c r="AG25" s="320">
        <v>15</v>
      </c>
      <c r="AH25" s="155">
        <f>Bauteile!$K118</f>
        <v>0</v>
      </c>
      <c r="AI25" s="320">
        <v>15</v>
      </c>
      <c r="AJ25" s="155">
        <f>Bauteile!$K134</f>
        <v>0</v>
      </c>
      <c r="AK25" s="320">
        <v>15</v>
      </c>
      <c r="AL25" s="155">
        <f>Bauteile!$K166</f>
        <v>0</v>
      </c>
      <c r="AM25" s="320">
        <v>15</v>
      </c>
      <c r="AN25" s="155">
        <f>Bauteile!$K150</f>
        <v>0</v>
      </c>
      <c r="AO25" s="320">
        <v>15</v>
      </c>
    </row>
    <row r="26" spans="2:55" ht="3.6" customHeight="1">
      <c r="B26" s="154"/>
      <c r="C26" s="64"/>
      <c r="D26" s="64"/>
      <c r="E26" s="64"/>
      <c r="F26" s="64"/>
      <c r="G26" s="64"/>
      <c r="H26" s="64"/>
      <c r="I26" s="64"/>
      <c r="J26" s="64"/>
      <c r="K26" s="64"/>
      <c r="L26" s="64"/>
      <c r="M26" s="56"/>
      <c r="N26" s="64"/>
      <c r="O26" s="64"/>
      <c r="P26" s="64"/>
      <c r="Q26" s="64"/>
      <c r="R26" s="128"/>
      <c r="S26" s="64"/>
      <c r="T26" s="158"/>
      <c r="U26" s="154" t="str">
        <f>AX34</f>
        <v>Nouvelle construction</v>
      </c>
      <c r="V26" s="194">
        <v>2</v>
      </c>
      <c r="W26" s="154" t="str">
        <f>Klima!$U24</f>
        <v>Nidwalden</v>
      </c>
      <c r="X26" s="62">
        <v>16</v>
      </c>
      <c r="Z26" s="158"/>
    </row>
    <row r="27" spans="2:55" ht="15" customHeight="1">
      <c r="B27" s="154"/>
      <c r="C27" s="173" t="str">
        <f>Uebersetzung!D38</f>
        <v>Collaborateur:</v>
      </c>
      <c r="D27" s="64"/>
      <c r="E27" s="2153"/>
      <c r="F27" s="2148"/>
      <c r="G27" s="2148"/>
      <c r="H27" s="2148"/>
      <c r="I27" s="2148"/>
      <c r="J27" s="2148"/>
      <c r="K27" s="2148"/>
      <c r="L27" s="2148"/>
      <c r="M27" s="56" t="str">
        <f>Uebersetzung!D34</f>
        <v>Email:</v>
      </c>
      <c r="N27" s="2172"/>
      <c r="O27" s="2147"/>
      <c r="P27" s="2147"/>
      <c r="Q27" s="2147"/>
      <c r="R27" s="128"/>
      <c r="S27" s="64"/>
      <c r="T27" s="158"/>
      <c r="U27" s="154" t="str">
        <f>AX35</f>
        <v>Extension</v>
      </c>
      <c r="V27" s="63">
        <v>3</v>
      </c>
      <c r="W27" s="154" t="str">
        <f>Klima!$U25</f>
        <v>Obwalden</v>
      </c>
      <c r="X27" s="62">
        <v>17</v>
      </c>
      <c r="AT27" s="29" t="s">
        <v>2031</v>
      </c>
      <c r="AW27" s="158"/>
      <c r="AX27" s="29" t="s">
        <v>2312</v>
      </c>
      <c r="BA27" s="29" t="s">
        <v>1730</v>
      </c>
    </row>
    <row r="28" spans="2:55" ht="4.1500000000000004" customHeight="1">
      <c r="B28" s="154"/>
      <c r="C28" s="64"/>
      <c r="D28" s="64"/>
      <c r="E28" s="64"/>
      <c r="F28" s="64"/>
      <c r="G28" s="64"/>
      <c r="H28" s="64"/>
      <c r="I28" s="64"/>
      <c r="J28" s="64"/>
      <c r="K28" s="64"/>
      <c r="L28" s="64"/>
      <c r="M28" s="56"/>
      <c r="N28" s="64"/>
      <c r="O28" s="64"/>
      <c r="P28" s="64"/>
      <c r="Q28" s="64"/>
      <c r="R28" s="128"/>
      <c r="S28" s="64"/>
      <c r="T28" s="158"/>
      <c r="U28" s="154" t="str">
        <f>AX36</f>
        <v>Transformation</v>
      </c>
      <c r="V28" s="63">
        <v>4</v>
      </c>
      <c r="W28" s="154" t="str">
        <f>Klima!$U26</f>
        <v>St. Gallen</v>
      </c>
      <c r="X28" s="62">
        <v>18</v>
      </c>
      <c r="AW28" s="158"/>
    </row>
    <row r="29" spans="2:55" ht="14.45" customHeight="1">
      <c r="B29" s="154"/>
      <c r="C29" s="64" t="str">
        <f>Uebersetzung!D31</f>
        <v>Adresse:</v>
      </c>
      <c r="D29" s="64"/>
      <c r="E29" s="2159" t="str">
        <f>IF(Wettbewerb," **** anonymer Programmbenutzer ****",Info!D18&amp;" "&amp;Info!H18&amp;", "&amp;Info!D19&amp;" "&amp;Info!F19)</f>
        <v xml:space="preserve"> ,  </v>
      </c>
      <c r="F29" s="2159"/>
      <c r="G29" s="2159"/>
      <c r="H29" s="2159"/>
      <c r="I29" s="2159"/>
      <c r="J29" s="2159"/>
      <c r="K29" s="2159"/>
      <c r="L29" s="2159"/>
      <c r="M29" s="56" t="str">
        <f>Uebersetzung!D34</f>
        <v>Email:</v>
      </c>
      <c r="N29" s="2158">
        <f>IF(Wettbewerb,"",Info!D21)</f>
        <v>0</v>
      </c>
      <c r="O29" s="2158"/>
      <c r="P29" s="2158"/>
      <c r="Q29" s="2158"/>
      <c r="R29" s="128"/>
      <c r="S29" s="64"/>
      <c r="U29" s="155" t="str">
        <f>AX37</f>
        <v>Transformation</v>
      </c>
      <c r="V29" s="59">
        <v>5</v>
      </c>
      <c r="W29" s="154" t="str">
        <f>Klima!$U27</f>
        <v>Schaffhausen</v>
      </c>
      <c r="X29" s="62">
        <v>19</v>
      </c>
      <c r="AT29" s="283" t="s">
        <v>1673</v>
      </c>
      <c r="AU29" s="284"/>
      <c r="AV29" s="285">
        <f>IF($N$33="",1,VLOOKUP($N$33,$U$11:$V$23,2,FALSE))</f>
        <v>1</v>
      </c>
      <c r="AW29" s="158"/>
    </row>
    <row r="30" spans="2:55" ht="6" customHeight="1">
      <c r="B30" s="155"/>
      <c r="C30" s="35"/>
      <c r="D30" s="35"/>
      <c r="E30" s="35"/>
      <c r="F30" s="35"/>
      <c r="G30" s="35"/>
      <c r="H30" s="35"/>
      <c r="I30" s="35"/>
      <c r="J30" s="35"/>
      <c r="K30" s="35"/>
      <c r="L30" s="35"/>
      <c r="M30" s="35"/>
      <c r="N30" s="35"/>
      <c r="O30" s="35"/>
      <c r="P30" s="35"/>
      <c r="Q30" s="35"/>
      <c r="R30" s="127"/>
      <c r="S30" s="64"/>
      <c r="U30" s="29">
        <f>AX38</f>
        <v>0</v>
      </c>
      <c r="W30" s="154" t="str">
        <f>Klima!$U28</f>
        <v>Solothurn</v>
      </c>
      <c r="X30" s="62">
        <v>20</v>
      </c>
      <c r="AW30" s="158"/>
      <c r="BA30" s="161"/>
      <c r="BB30" s="153"/>
      <c r="BC30" s="162"/>
    </row>
    <row r="31" spans="2:55" ht="12" customHeight="1">
      <c r="F31" s="431" t="str">
        <f>IF($AE$2="entech","","Lizenznummer falsch!")</f>
        <v>Lizenznummer falsch!</v>
      </c>
      <c r="O31" s="64"/>
      <c r="P31" s="64"/>
      <c r="Q31" s="64"/>
      <c r="U31" s="72"/>
      <c r="W31" s="154" t="str">
        <f>Klima!$U29</f>
        <v>Schwyz</v>
      </c>
      <c r="X31" s="62">
        <v>21</v>
      </c>
      <c r="AT31" s="283" t="s">
        <v>1412</v>
      </c>
      <c r="AU31" s="284"/>
      <c r="AV31" s="286">
        <f>IF($F$33="",1,VLOOKUP($F$33,$U$25:$V$29,2,FALSE))</f>
        <v>1</v>
      </c>
      <c r="AX31" s="161" t="s">
        <v>1412</v>
      </c>
      <c r="AY31" s="161" t="s">
        <v>1681</v>
      </c>
      <c r="AZ31" s="162"/>
      <c r="BA31" s="64"/>
      <c r="BB31" s="64"/>
      <c r="BC31" s="128"/>
    </row>
    <row r="32" spans="2:55" ht="6" customHeight="1">
      <c r="B32" s="161"/>
      <c r="C32" s="153"/>
      <c r="D32" s="153"/>
      <c r="E32" s="153"/>
      <c r="F32" s="153"/>
      <c r="G32" s="153"/>
      <c r="H32" s="153"/>
      <c r="I32" s="153"/>
      <c r="J32" s="153"/>
      <c r="K32" s="153"/>
      <c r="L32" s="153"/>
      <c r="M32" s="153"/>
      <c r="N32" s="153"/>
      <c r="O32" s="153"/>
      <c r="P32" s="153"/>
      <c r="Q32" s="153"/>
      <c r="R32" s="162"/>
      <c r="U32" s="72"/>
      <c r="W32" s="154" t="str">
        <f>Klima!$U30</f>
        <v>Thurgau</v>
      </c>
      <c r="X32" s="62">
        <v>22</v>
      </c>
      <c r="AX32" s="155"/>
      <c r="AY32" s="154"/>
      <c r="AZ32" s="128"/>
      <c r="BA32" s="64"/>
      <c r="BB32" s="64">
        <v>1</v>
      </c>
      <c r="BC32" s="128"/>
    </row>
    <row r="33" spans="1:56" ht="15" customHeight="1">
      <c r="B33" s="154"/>
      <c r="C33" s="236" t="str">
        <f>Uebersetzung!D42</f>
        <v>Nature des travaux:</v>
      </c>
      <c r="D33" s="64"/>
      <c r="E33" s="64"/>
      <c r="F33" s="2149"/>
      <c r="G33" s="2164"/>
      <c r="H33" s="2164"/>
      <c r="I33" s="1537" t="str">
        <f>IF(F33="","  &lt;----",)</f>
        <v xml:space="preserve">  &lt;----</v>
      </c>
      <c r="J33" s="64"/>
      <c r="K33" s="208" t="str">
        <f>Uebersetzung!D59</f>
        <v>Catégorie d'ouvrage:</v>
      </c>
      <c r="L33" s="64"/>
      <c r="M33" s="64"/>
      <c r="N33" s="2149"/>
      <c r="O33" s="2149"/>
      <c r="P33" s="2149"/>
      <c r="Q33" s="1537" t="str">
        <f>IF(N33=""," &lt;--",)</f>
        <v xml:space="preserve"> &lt;--</v>
      </c>
      <c r="R33" s="128"/>
      <c r="U33" s="1540" t="s">
        <v>2289</v>
      </c>
      <c r="W33" s="154" t="str">
        <f>Klima!$U31</f>
        <v>Tessin</v>
      </c>
      <c r="X33" s="62">
        <v>23</v>
      </c>
      <c r="AT33" s="1407" t="s">
        <v>1681</v>
      </c>
      <c r="AU33" s="1410">
        <f>IF($F$37="",1,IF(VLOOKUP($F$37,$AY$33:$AZ$38,2,FALSE)=1,2,VLOOKUP($F$37,$AY$33:$AZ$38,2,FALSE)))</f>
        <v>2</v>
      </c>
      <c r="AV33" s="1411">
        <f>IF(AU33=1,2,AU33)</f>
        <v>2</v>
      </c>
      <c r="AX33" s="161"/>
      <c r="AY33" s="1536" t="str">
        <f>Uebersetzung!D49</f>
        <v>SIA 380/1 (Edition 2016)</v>
      </c>
      <c r="AZ33" s="162">
        <v>1</v>
      </c>
      <c r="BA33" s="64" t="str">
        <f>IF($AU$33=1,IF($BC$33=2,Klima!U42,IF(INDEX(Klima!W$9:W$37,$BC$33,)="","",INDEX(Klima!W$9:W$37,$BC$33,))),IF($BC$33=2,Klima!U42,IF(INDEX(Klima!AH$9:AH$37,$BC$33,)="","",INDEX(Klima!AH$9:AH$37,$BC$33,))))</f>
        <v/>
      </c>
      <c r="BB33" s="64">
        <v>2</v>
      </c>
      <c r="BC33" s="169">
        <f>IF($F$35="",1,VLOOKUP($F$35,$W$11:$X$39,2,FALSE))</f>
        <v>1</v>
      </c>
    </row>
    <row r="34" spans="1:56" ht="12" customHeight="1">
      <c r="B34" s="154"/>
      <c r="C34" s="64"/>
      <c r="D34" s="64"/>
      <c r="E34" s="64"/>
      <c r="F34" s="64"/>
      <c r="G34" s="64"/>
      <c r="H34" s="64"/>
      <c r="I34" s="64"/>
      <c r="J34" s="64"/>
      <c r="K34" s="64"/>
      <c r="L34" s="64"/>
      <c r="M34" s="64"/>
      <c r="N34" s="64"/>
      <c r="O34" s="64"/>
      <c r="P34" s="64"/>
      <c r="Q34" s="64"/>
      <c r="R34" s="128"/>
      <c r="U34" s="290" t="s">
        <v>446</v>
      </c>
      <c r="W34" s="154" t="str">
        <f>Klima!$U32</f>
        <v>Uri</v>
      </c>
      <c r="X34" s="62">
        <v>24</v>
      </c>
      <c r="AT34" s="1408" t="s">
        <v>3074</v>
      </c>
      <c r="AU34" s="1412" t="b">
        <f>IF(OR(VLOOKUP($F$37,$AY$33:$AZ$38,2,FALSE)=2,VLOOKUP($F$37,$AY$33:$AZ$38,2,FALSE)=5,VLOOKUP($F$37,$AY$33:$AZ$38,2,FALSE)=6),TRUE,FALSE)</f>
        <v>0</v>
      </c>
      <c r="AV34" s="1413" t="str">
        <f>IF(VLOOKUP($F$37,$AY$33:$AZ$38,2,FALSE)=1,AY33,INDEX(AY33:AY38,AV33,))</f>
        <v>SIA 380/1 (Edition 2016)</v>
      </c>
      <c r="AX34" s="118" t="str">
        <f>Uebersetzung!D54</f>
        <v>Nouvelle construction</v>
      </c>
      <c r="AY34" s="166" t="str">
        <f>Uebersetzung!D50</f>
        <v>SIA 380/1 (Edition 2009)</v>
      </c>
      <c r="AZ34" s="128">
        <v>2</v>
      </c>
      <c r="BA34" s="64" t="str">
        <f>IF($AU$33=1,IF($BC$33=2,Klima!U43,IF(INDEX(Klima!X$9:X$37,$BC$33,)="","",INDEX(Klima!X$9:X$37,$BC$33,))),IF($BC$33=2,Klima!U43,IF(INDEX(Klima!AI$9:AI$37,$BC$33,)="","",INDEX(Klima!AI$9:AI$37,$BC$33,))))</f>
        <v/>
      </c>
      <c r="BB34" s="64">
        <v>3</v>
      </c>
      <c r="BC34" s="169">
        <f>IF(N35="",1,VLOOKUP(N35,BA32:BB140,2,FALSE))</f>
        <v>1</v>
      </c>
      <c r="BD34" s="1538"/>
    </row>
    <row r="35" spans="1:56" ht="15" customHeight="1">
      <c r="B35" s="154"/>
      <c r="C35" s="208" t="str">
        <f>Uebersetzung!D60</f>
        <v>Canton (justification):</v>
      </c>
      <c r="D35" s="64"/>
      <c r="E35" s="64"/>
      <c r="F35" s="2149"/>
      <c r="G35" s="2149"/>
      <c r="H35" s="2149"/>
      <c r="I35" s="1537" t="str">
        <f>IF(F35="","  &lt;----",)</f>
        <v xml:space="preserve">  &lt;----</v>
      </c>
      <c r="J35" s="64"/>
      <c r="K35" s="208" t="str">
        <f>Uebersetzung!D61</f>
        <v>Station météorologique:</v>
      </c>
      <c r="L35" s="64"/>
      <c r="M35" s="64"/>
      <c r="N35" s="2149"/>
      <c r="O35" s="2149"/>
      <c r="P35" s="2149"/>
      <c r="Q35" s="1537" t="str">
        <f>IF(N35=""," &lt;--",IF(N35&lt;&gt;BC35," &lt;--",))</f>
        <v xml:space="preserve"> &lt;--</v>
      </c>
      <c r="R35" s="128"/>
      <c r="U35" s="1539" t="s">
        <v>350</v>
      </c>
      <c r="W35" s="154" t="str">
        <f>Klima!$U33</f>
        <v>Waadt</v>
      </c>
      <c r="X35" s="62">
        <v>25</v>
      </c>
      <c r="AT35" s="1409" t="s">
        <v>436</v>
      </c>
      <c r="AU35" s="1414" t="str">
        <f>IF(_Ver09,"0915","1639")</f>
        <v>1639</v>
      </c>
      <c r="AV35" s="1415" t="str">
        <f>IF(VLOOKUP($F$37,$AY$33:$AZ$38,2,FALSE)=1,AY33,INDEX(AY33:AY38,AU33,))</f>
        <v>SIA 380/1 (Edition 2016)</v>
      </c>
      <c r="AX35" s="118" t="str">
        <f>Uebersetzung!D55</f>
        <v>Extension</v>
      </c>
      <c r="AY35" s="166" t="str">
        <f>Uebersetzung!D52</f>
        <v>Optimisation</v>
      </c>
      <c r="AZ35" s="128">
        <v>3</v>
      </c>
      <c r="BA35" s="64" t="str">
        <f>IF($AU$33=1,IF($BC$33=2,Klima!U44,IF(INDEX(Klima!Y$9:Y$37,$BC$33,)="","",INDEX(Klima!Y$9:Y$37,$BC$33,))),IF($BC$33=2,Klima!U44,IF(INDEX(Klima!AJ$9:AJ$37,$BC$33,)="","",INDEX(Klima!AJ$9:AJ$37,$BC$33,))))</f>
        <v/>
      </c>
      <c r="BB35" s="64">
        <v>4</v>
      </c>
      <c r="BC35" s="128">
        <f>INDEX(BA32:BA140,BC34,)</f>
        <v>0</v>
      </c>
    </row>
    <row r="36" spans="1:56" ht="12" customHeight="1">
      <c r="B36" s="154"/>
      <c r="C36" s="64"/>
      <c r="D36" s="64"/>
      <c r="E36" s="64"/>
      <c r="F36" s="64"/>
      <c r="G36" s="64"/>
      <c r="H36" s="64"/>
      <c r="I36" s="64"/>
      <c r="J36" s="64"/>
      <c r="K36" s="64"/>
      <c r="L36" s="64"/>
      <c r="M36" s="64"/>
      <c r="N36" s="64"/>
      <c r="O36" s="64"/>
      <c r="P36" s="64"/>
      <c r="Q36" s="64"/>
      <c r="R36" s="128"/>
      <c r="U36" s="39"/>
      <c r="W36" s="154" t="str">
        <f>Klima!$U34</f>
        <v>Wallis</v>
      </c>
      <c r="X36" s="62">
        <v>26</v>
      </c>
      <c r="AT36" s="155" t="s">
        <v>2032</v>
      </c>
      <c r="AU36" s="35"/>
      <c r="AV36" s="289">
        <f>IF($C$49="",1,VLOOKUP($C$49,$U$41:$V$45,2,FALSE))</f>
        <v>2</v>
      </c>
      <c r="AX36" s="118" t="str">
        <f>Uebersetzung!D56</f>
        <v>Transformation</v>
      </c>
      <c r="AY36" s="166" t="str">
        <f>Uebersetzung!D53</f>
        <v>Comparaison</v>
      </c>
      <c r="AZ36" s="128">
        <v>4</v>
      </c>
      <c r="BA36" s="64" t="str">
        <f>IF($AU$33=1,IF($BC$33=2,Klima!U45,IF(INDEX(Klima!Z$9:Z$37,$BC$33,)="","",INDEX(Klima!Z$9:Z$37,$BC$33,))),IF($BC$33=2,Klima!U45,IF(INDEX(Klima!AK$9:AK$37,$BC$33,)="","",INDEX(Klima!AK$9:AK$37,$BC$33,))))</f>
        <v/>
      </c>
      <c r="BB36" s="64">
        <v>5</v>
      </c>
      <c r="BC36" s="348">
        <f ca="1">IF(AND($BC$33=2,$AV$33=2),0,SUMIF(Klima!U41:U140,BC35,Klima!W41:W110))</f>
        <v>147</v>
      </c>
    </row>
    <row r="37" spans="1:56" ht="15" customHeight="1">
      <c r="B37" s="154"/>
      <c r="C37" s="208" t="str">
        <f>Uebersetzung!D62</f>
        <v>Fonction:</v>
      </c>
      <c r="D37" s="64"/>
      <c r="E37" s="64"/>
      <c r="F37" s="2149" t="s">
        <v>2647</v>
      </c>
      <c r="G37" s="2149"/>
      <c r="H37" s="2149"/>
      <c r="I37" s="1537">
        <f>IF(F37="","  &lt;----",)</f>
        <v>0</v>
      </c>
      <c r="J37" s="64"/>
      <c r="K37" s="107" t="str">
        <f>Uebersetzung!D63</f>
        <v>Altitude:</v>
      </c>
      <c r="L37" s="24"/>
      <c r="M37" s="237" t="str">
        <f>IF(AV33=2,"","m")</f>
        <v/>
      </c>
      <c r="N37" s="64"/>
      <c r="O37" s="63">
        <f>IF($BC$34=1,0,IF($AV$33=2,INDEX(Klima!G1:G2500,Projekt!Klimastation*25+1,),IF(L37&lt;&gt;"",L37,INDEX(Klima!G1:G2500,Klimastation*25+1,))))</f>
        <v>0</v>
      </c>
      <c r="P37" s="64" t="s">
        <v>808</v>
      </c>
      <c r="Q37" s="64"/>
      <c r="R37" s="128"/>
      <c r="U37" s="165"/>
      <c r="W37" s="154" t="str">
        <f>Klima!$U35</f>
        <v>Zug</v>
      </c>
      <c r="X37" s="62">
        <v>27</v>
      </c>
      <c r="AT37" s="283" t="s">
        <v>1044</v>
      </c>
      <c r="AU37" s="284"/>
      <c r="AV37" s="427">
        <f>IF(AV36=1,0,IF(AV36=2,0,IF(AV36=3,-1,IF(AV36=4,-2,-3))))</f>
        <v>0</v>
      </c>
      <c r="AX37" s="119" t="str">
        <f>Uebersetzung!D57</f>
        <v>Transformation</v>
      </c>
      <c r="AY37" s="166" t="str">
        <f>Uebersetzung!D51</f>
        <v>Norme bernoise 2016</v>
      </c>
      <c r="AZ37" s="128">
        <v>5</v>
      </c>
      <c r="BA37" s="64" t="str">
        <f>IF($AU$33=1,IF($BC$33=2,Klima!U46,IF(INDEX(Klima!AA$9:AA$37,$BC$33,)="","",INDEX(Klima!AA$9:AA$37,$BC$33,))),IF($BC$33=2,Klima!U46,IF(INDEX(Klima!AL$9:AL$37,$BC$33,)="","",INDEX(Klima!AL$9:AL$37,$BC$33,))))</f>
        <v/>
      </c>
      <c r="BB37" s="64">
        <v>6</v>
      </c>
      <c r="BC37" s="349">
        <f ca="1">IF(BC36=1,"",BC36-3)</f>
        <v>144</v>
      </c>
    </row>
    <row r="38" spans="1:56" ht="15" customHeight="1">
      <c r="B38" s="154"/>
      <c r="C38" s="64"/>
      <c r="D38" s="64"/>
      <c r="E38" s="64"/>
      <c r="F38" s="64"/>
      <c r="G38" s="64"/>
      <c r="H38" s="64"/>
      <c r="K38" s="252"/>
      <c r="L38" s="1799" t="str">
        <f>IF(OR(AND(OR(AV33=2,AV33=5),AND(L37&lt;&gt;"",L37&lt;&gt;h)),AND(OR(AV33=2,AV33=5),AND(L39&lt;&gt;"",L39&lt;&gt;Thetai)),AND(OR(AV33=2,AV33=5),AND(L40&lt;&gt;"",L40&lt;&gt;AP)),AND(OR(AV33=2,AV33=5),AND(L41&lt;&gt;"",L41&lt;&gt;QP)),AND(OR(AV33=2,AV33=5),AND(L42&lt;&gt;"",L42&lt;&gt;tP)),AND(OR(AV33=2,AV33=5),AND(L43&lt;&gt;"",L43&lt;&gt;QE)),AND(OR(AV33=2,AV33=5),AND(L44&lt;&gt;"",L44&lt;&gt;fE)),,AND(OR(AV33=2,AV33=5),AND(L46&lt;&gt;"",L46&lt;&gt;QWW))),Uebersetzung!D64,"")</f>
        <v/>
      </c>
      <c r="M38" s="64"/>
      <c r="N38" s="64"/>
      <c r="O38" s="1731" t="str">
        <f>IF(OR(AV33=2,AV33=5),Uebersetzung!D58,)</f>
        <v>Valeurs d'utilisation normale</v>
      </c>
      <c r="P38" s="64"/>
      <c r="Q38" s="64"/>
      <c r="R38" s="128"/>
      <c r="U38" s="164"/>
      <c r="W38" s="154" t="str">
        <f>Klima!$U36</f>
        <v>Zürich</v>
      </c>
      <c r="X38" s="62">
        <v>28</v>
      </c>
      <c r="AT38" s="283" t="s">
        <v>2033</v>
      </c>
      <c r="AU38" s="284"/>
      <c r="AV38" s="288">
        <f>IF($K$49="",1,VLOOKUP($K$49,$W$41:$X$44,2,FALSE))</f>
        <v>3</v>
      </c>
      <c r="AW38" s="158"/>
      <c r="AY38" s="167" t="s">
        <v>3075</v>
      </c>
      <c r="AZ38" s="127">
        <v>6</v>
      </c>
      <c r="BA38" s="64" t="str">
        <f>IF($AU$33=1,IF($BC$33=2,Klima!U47,IF(INDEX(Klima!AB$9:AB$37,$BC$33,)="","",INDEX(Klima!AB$9:AB$37,$BC$33,))),IF($BC$33=2,Klima!U47,IF(INDEX(Klima!AM$9:AM$37,$BC$33,)="","",INDEX(Klima!AM$9:AM$37,$BC$33,))))</f>
        <v/>
      </c>
      <c r="BB38" s="64">
        <v>7</v>
      </c>
      <c r="BC38" s="128" t="s">
        <v>350</v>
      </c>
    </row>
    <row r="39" spans="1:56" ht="15" customHeight="1">
      <c r="B39" s="154"/>
      <c r="C39" s="2165" t="str">
        <f>Uebersetzung!D65</f>
        <v>Valeurs d'utilisation</v>
      </c>
      <c r="D39" s="2165"/>
      <c r="E39" s="1375" t="str">
        <f>Uebersetzung!D66</f>
        <v>Température ambiante + supplément de régulation</v>
      </c>
      <c r="F39" s="64"/>
      <c r="G39" s="64"/>
      <c r="H39" s="64"/>
      <c r="I39" s="64"/>
      <c r="J39" s="64"/>
      <c r="K39" s="173" t="s">
        <v>2583</v>
      </c>
      <c r="L39" s="232"/>
      <c r="M39" s="237" t="str">
        <f>IF($AV$33=2,"","°C")</f>
        <v/>
      </c>
      <c r="N39" s="64"/>
      <c r="O39" s="280">
        <f>IF(OR(AV33=2,AV33=5),AX41,IF(L39&lt;&gt;"",L39,AX41))+Q49</f>
        <v>21</v>
      </c>
      <c r="P39" s="64" t="s">
        <v>2324</v>
      </c>
      <c r="Q39" s="64"/>
      <c r="R39" s="128"/>
      <c r="U39" s="164"/>
      <c r="W39" s="155" t="str">
        <f>Klima!$U37</f>
        <v>Fürstentum Liechtenstein</v>
      </c>
      <c r="X39" s="320">
        <v>29</v>
      </c>
      <c r="AT39" s="1726" t="s">
        <v>2418</v>
      </c>
      <c r="AU39" s="284"/>
      <c r="AV39" s="427" t="b">
        <f>IF(OR(Funktion=5,Funktion=6),TRUE,FALSE)</f>
        <v>0</v>
      </c>
      <c r="AW39" s="158"/>
      <c r="BA39" s="154" t="str">
        <f>IF($AU$33=1,IF($BC$33=2,Klima!U48,IF(INDEX(Klima!AC$9:AC$37,$BC$33,)="","",INDEX(Klima!AC$9:AC$37,$BC$33,))),IF($BC$33=2,Klima!U48,IF(INDEX(Klima!AN$9:AN$37,$BC$33,)="","",INDEX(Klima!AN$9:AN$37,$BC$33,))))</f>
        <v/>
      </c>
      <c r="BB39" s="64">
        <v>8</v>
      </c>
      <c r="BC39" s="128"/>
    </row>
    <row r="40" spans="1:56" ht="15" customHeight="1">
      <c r="B40" s="154"/>
      <c r="C40" s="2165"/>
      <c r="D40" s="2165"/>
      <c r="E40" s="64" t="str">
        <f>Uebersetzung!D67</f>
        <v>Surface par personne</v>
      </c>
      <c r="F40" s="64"/>
      <c r="G40" s="64"/>
      <c r="H40" s="64"/>
      <c r="I40" s="64"/>
      <c r="J40" s="64"/>
      <c r="K40" s="64"/>
      <c r="L40" s="232"/>
      <c r="M40" s="237" t="str">
        <f>IF($AV$33=2,"","m2/P")</f>
        <v/>
      </c>
      <c r="N40" s="64"/>
      <c r="O40" s="63">
        <f>IF(OR(AV33=2,AV33=5),AX42,IF(L40&lt;&gt;"",L40,AX42))</f>
        <v>0</v>
      </c>
      <c r="P40" s="64" t="s">
        <v>1164</v>
      </c>
      <c r="Q40" s="64"/>
      <c r="R40" s="128"/>
      <c r="T40" s="1538"/>
      <c r="U40" s="1548" t="s">
        <v>1380</v>
      </c>
      <c r="V40" s="427"/>
      <c r="W40" s="1535" t="s">
        <v>964</v>
      </c>
      <c r="X40" s="427"/>
      <c r="AT40" s="161" t="s">
        <v>2034</v>
      </c>
      <c r="AU40" s="153" t="s">
        <v>2011</v>
      </c>
      <c r="AV40" s="1551">
        <f>IF($G75="",1,VLOOKUP($G75,$AA$11:$AB$25,2,FALSE))</f>
        <v>1</v>
      </c>
      <c r="AW40" s="158"/>
      <c r="AX40" s="290" t="str">
        <f>Uebersetzung!D58</f>
        <v>Valeurs d'utilisation normale</v>
      </c>
      <c r="BA40" s="154" t="str">
        <f>IF($AU$33=1,IF($BC$33=2,Klima!U49,IF(INDEX(Klima!AD$9:AD$37,$BC$33,)="","",INDEX(Klima!AD$9:AD$37,$BC$33,))),IF($BC$33=2,Klima!U49,IF(INDEX(Klima!AO$9:AO$37,$BC$33,)="","",INDEX(Klima!AO$9:AO$37,$BC$33,))))</f>
        <v/>
      </c>
      <c r="BB40" s="64">
        <v>9</v>
      </c>
      <c r="BC40" s="128"/>
    </row>
    <row r="41" spans="1:56" ht="15" customHeight="1">
      <c r="B41" s="154"/>
      <c r="C41" s="64"/>
      <c r="D41" s="64"/>
      <c r="E41" s="64" t="str">
        <f>Uebersetzung!D68</f>
        <v>Chaleur moyenne dégagée par une personne</v>
      </c>
      <c r="F41" s="64"/>
      <c r="G41" s="64"/>
      <c r="H41" s="64"/>
      <c r="I41" s="64"/>
      <c r="J41" s="64"/>
      <c r="K41" s="64"/>
      <c r="L41" s="232"/>
      <c r="M41" s="237" t="str">
        <f>IF($AV$33=2,"","W/P")</f>
        <v/>
      </c>
      <c r="N41" s="64"/>
      <c r="O41" s="63">
        <f>IF(OR(AV33=2,AV33=5),AX43,IF(L41&lt;&gt;"",L41,AX43))</f>
        <v>0</v>
      </c>
      <c r="P41" s="64" t="s">
        <v>1124</v>
      </c>
      <c r="Q41" s="64"/>
      <c r="R41" s="128"/>
      <c r="U41" s="1546">
        <f>Tab!B60</f>
        <v>0</v>
      </c>
      <c r="V41" s="62">
        <v>1</v>
      </c>
      <c r="W41" s="161">
        <f>Tab!B67</f>
        <v>0</v>
      </c>
      <c r="X41" s="379">
        <v>1</v>
      </c>
      <c r="AT41" s="154"/>
      <c r="AU41" s="64" t="s">
        <v>644</v>
      </c>
      <c r="AV41" s="169">
        <f>IF($G77="",1,VLOOKUP($G77,$AD$11:$AE$25,2,FALSE))</f>
        <v>1</v>
      </c>
      <c r="AW41" s="158"/>
      <c r="AX41" s="215">
        <f>IF($AV$29&gt;1,INDEX(Tab!$H8:$S8,,Projekt!$AV$29-1),20)</f>
        <v>20</v>
      </c>
      <c r="BA41" s="154" t="str">
        <f>IF($BC$33=2,Klima!U50,"")</f>
        <v/>
      </c>
      <c r="BB41" s="64">
        <v>10</v>
      </c>
      <c r="BC41" s="128"/>
    </row>
    <row r="42" spans="1:56" ht="15" customHeight="1">
      <c r="B42" s="154"/>
      <c r="C42" s="64"/>
      <c r="D42" s="64"/>
      <c r="E42" s="64" t="str">
        <f>Uebersetzung!D69</f>
        <v>Durée de présence des personnes</v>
      </c>
      <c r="F42" s="64"/>
      <c r="G42" s="64"/>
      <c r="H42" s="64"/>
      <c r="I42" s="64"/>
      <c r="J42" s="64"/>
      <c r="K42" s="64"/>
      <c r="L42" s="232"/>
      <c r="M42" s="237" t="str">
        <f>IF($AV$33=2,"","h")</f>
        <v/>
      </c>
      <c r="N42" s="64"/>
      <c r="O42" s="63">
        <f>IF(OR(AV33=2,AV33=5),AX44,IF(L42&lt;&gt;"",L42,AX44))</f>
        <v>0</v>
      </c>
      <c r="P42" s="64" t="s">
        <v>1125</v>
      </c>
      <c r="Q42" s="64"/>
      <c r="R42" s="128"/>
      <c r="T42" s="156"/>
      <c r="U42" s="1546" t="str">
        <f>Tab!B61</f>
        <v xml:space="preserve">construction massive </v>
      </c>
      <c r="V42" s="62">
        <v>2</v>
      </c>
      <c r="W42" s="154" t="str">
        <f>Tab!B68</f>
        <v>régulation par pièce</v>
      </c>
      <c r="X42" s="62">
        <v>2</v>
      </c>
      <c r="AT42" s="154"/>
      <c r="AU42" s="64" t="s">
        <v>645</v>
      </c>
      <c r="AV42" s="169">
        <f>IF($G79="",1,VLOOKUP($G79,AF11:AG25,2,FALSE))</f>
        <v>1</v>
      </c>
      <c r="AX42" s="215">
        <f>IF($AV$29&gt;1,INDEX(Tab!$H9:$S9,,Projekt!$AV$29-1),0)</f>
        <v>0</v>
      </c>
      <c r="BA42" s="154" t="str">
        <f>IF($BC$33=2,Klima!U51,"")</f>
        <v/>
      </c>
      <c r="BB42" s="64">
        <v>11</v>
      </c>
      <c r="BC42" s="128"/>
    </row>
    <row r="43" spans="1:56" ht="15" customHeight="1">
      <c r="B43" s="154"/>
      <c r="C43" s="64"/>
      <c r="D43" s="64"/>
      <c r="E43" s="64" t="str">
        <f>Uebersetzung!D70</f>
        <v>Consommation d'électricité</v>
      </c>
      <c r="F43" s="64"/>
      <c r="G43" s="64"/>
      <c r="H43" s="64"/>
      <c r="I43" s="64"/>
      <c r="J43" s="64"/>
      <c r="K43" s="64"/>
      <c r="L43" s="232"/>
      <c r="M43" s="237" t="str">
        <f>IF($AV$33=2,"","MJ/m2")</f>
        <v/>
      </c>
      <c r="N43" s="64"/>
      <c r="O43" s="1934">
        <f>IF(_Ver09,QE,QE/3.6)</f>
        <v>0</v>
      </c>
      <c r="P43" s="64" t="str">
        <f>IF(_Ver09,"MJ/m2","kWh/m2")</f>
        <v>kWh/m2</v>
      </c>
      <c r="Q43" s="64"/>
      <c r="R43" s="128"/>
      <c r="T43" s="1962">
        <f>IF(OR(AV33=2,AV33=5),AX45,IF(L43&lt;&gt;"",L43,AX45))</f>
        <v>0</v>
      </c>
      <c r="U43" s="1546" t="str">
        <f>Tab!B62</f>
        <v xml:space="preserve">construction moyenne </v>
      </c>
      <c r="V43" s="591">
        <v>3</v>
      </c>
      <c r="W43" s="154" t="str">
        <f>Tab!B69</f>
        <v>régulation à partir d' une pièce de référence</v>
      </c>
      <c r="X43" s="591">
        <v>3</v>
      </c>
      <c r="AT43" s="154"/>
      <c r="AU43" s="64" t="s">
        <v>1848</v>
      </c>
      <c r="AV43" s="169">
        <f>IF($G81="",1,VLOOKUP($G81,AH11:AI25,2,FALSE))</f>
        <v>1</v>
      </c>
      <c r="AX43" s="215">
        <f>IF($AV$29&gt;1,INDEX(Tab!$H10:$S10,,Projekt!$AV$29-1),0)</f>
        <v>0</v>
      </c>
      <c r="BA43" s="154" t="str">
        <f>IF($BC$33=2,Klima!U52,"")</f>
        <v/>
      </c>
      <c r="BB43" s="64">
        <v>12</v>
      </c>
      <c r="BC43" s="128"/>
    </row>
    <row r="44" spans="1:56" s="33" customFormat="1" ht="15" customHeight="1">
      <c r="A44" s="29"/>
      <c r="B44" s="154"/>
      <c r="C44" s="64"/>
      <c r="D44" s="64"/>
      <c r="E44" s="173" t="str">
        <f>Uebersetzung!D71</f>
        <v>Facteur de réduction des apports de chaleur des installations électr.</v>
      </c>
      <c r="F44" s="64"/>
      <c r="G44" s="64"/>
      <c r="H44" s="64"/>
      <c r="I44" s="64"/>
      <c r="J44" s="64"/>
      <c r="K44" s="64"/>
      <c r="L44" s="227"/>
      <c r="M44" s="237" t="str">
        <f>IF($AV$33=2,"","-")</f>
        <v/>
      </c>
      <c r="N44" s="64"/>
      <c r="O44" s="63">
        <f>IF(OR(AV33=2,AV33=5),AX46,IF(L44&lt;&gt;"",L44,AX46))</f>
        <v>0</v>
      </c>
      <c r="P44" s="64" t="s">
        <v>2325</v>
      </c>
      <c r="Q44" s="64"/>
      <c r="R44" s="128"/>
      <c r="S44" s="29"/>
      <c r="U44" s="1546" t="str">
        <f>Tab!B63</f>
        <v>construction légère</v>
      </c>
      <c r="V44" s="62">
        <v>4</v>
      </c>
      <c r="W44" s="155" t="str">
        <f>Tab!B70</f>
        <v>commande par la température extérieure</v>
      </c>
      <c r="X44" s="320">
        <v>4</v>
      </c>
      <c r="AA44" s="29"/>
      <c r="AB44" s="29"/>
      <c r="AC44" s="29"/>
      <c r="AD44" s="29"/>
      <c r="AT44" s="1544"/>
      <c r="AU44" s="168" t="s">
        <v>1195</v>
      </c>
      <c r="AV44" s="169">
        <f>IF($G83="",1,VLOOKUP($G83,AJ11:AK25,2,FALSE))</f>
        <v>1</v>
      </c>
      <c r="AX44" s="215">
        <f>IF($AV$29&gt;1,INDEX(Tab!$H11:$S11,,Projekt!$AV$29-1),0)</f>
        <v>0</v>
      </c>
      <c r="BA44" s="154" t="str">
        <f>IF($BC$33=2,Klima!U53,"")</f>
        <v/>
      </c>
      <c r="BB44" s="64">
        <v>13</v>
      </c>
      <c r="BC44" s="128"/>
    </row>
    <row r="45" spans="1:56" ht="15" customHeight="1">
      <c r="B45" s="154"/>
      <c r="C45" s="64"/>
      <c r="D45" s="64"/>
      <c r="E45" s="64" t="str">
        <f>Uebersetzung!D72</f>
        <v>Débit d'air neuf thermiquement significatif</v>
      </c>
      <c r="F45" s="64"/>
      <c r="G45" s="64"/>
      <c r="H45" s="64"/>
      <c r="I45" s="64"/>
      <c r="K45" s="1798" t="s">
        <v>2624</v>
      </c>
      <c r="L45" s="461"/>
      <c r="M45" s="64" t="s">
        <v>919</v>
      </c>
      <c r="N45" s="64"/>
      <c r="O45" s="63">
        <f>IF(OR(Funktion=2,Funktion=5),AX47,IF(L45&lt;&gt;"",L45,AX47))</f>
        <v>0</v>
      </c>
      <c r="P45" s="64" t="s">
        <v>1165</v>
      </c>
      <c r="Q45" s="64"/>
      <c r="R45" s="128"/>
      <c r="U45" s="1547" t="str">
        <f>Tab!B64</f>
        <v>construction très légère: ossature bois</v>
      </c>
      <c r="V45" s="320">
        <v>5</v>
      </c>
      <c r="AT45" s="1552"/>
      <c r="AU45" s="1273" t="s">
        <v>2310</v>
      </c>
      <c r="AV45" s="169">
        <f>IF(G87="",1,VLOOKUP($G87,AN11:AO25,2,FALSE))</f>
        <v>1</v>
      </c>
      <c r="AW45" s="64"/>
      <c r="AX45" s="215">
        <f>IF($AV$29&gt;1,INDEX(Tab!$H12:$S12,,Projekt!$AV$29-1),0)</f>
        <v>0</v>
      </c>
      <c r="BA45" s="154" t="str">
        <f>IF($BC$33=2,Klima!U54,"")</f>
        <v/>
      </c>
      <c r="BB45" s="64">
        <v>14</v>
      </c>
      <c r="BC45" s="128"/>
    </row>
    <row r="46" spans="1:56" s="33" customFormat="1" ht="15" customHeight="1">
      <c r="A46" s="29"/>
      <c r="B46" s="154"/>
      <c r="C46" s="64"/>
      <c r="D46" s="64"/>
      <c r="E46" s="64" t="str">
        <f>Uebersetzung!D73</f>
        <v>Besoins de chaleur pour l'eau chaude san. par année et par SRE</v>
      </c>
      <c r="F46" s="64"/>
      <c r="G46" s="64"/>
      <c r="H46" s="64"/>
      <c r="I46" s="64"/>
      <c r="J46" s="64"/>
      <c r="K46" s="64"/>
      <c r="L46" s="232"/>
      <c r="M46" s="237" t="str">
        <f>IF($AV$33=2,"","MJ/m2")</f>
        <v/>
      </c>
      <c r="N46" s="64"/>
      <c r="O46" s="1180">
        <f>IF(_Ver09,QWW,QWW/3.6)</f>
        <v>0</v>
      </c>
      <c r="P46" s="64" t="str">
        <f>IF(_Ver09,"MJ/m2","kWh/m2")</f>
        <v>kWh/m2</v>
      </c>
      <c r="Q46" s="64"/>
      <c r="R46" s="128"/>
      <c r="S46" s="29"/>
      <c r="T46" s="1962">
        <f>IF(OR(AV33=2,AV33=5),AX48,IF(L46&lt;&gt;"",L46,AX48))</f>
        <v>0</v>
      </c>
      <c r="AA46" s="29"/>
      <c r="AB46" s="29"/>
      <c r="AC46" s="29"/>
      <c r="AD46" s="29"/>
      <c r="AT46" s="1545"/>
      <c r="AU46" s="1553" t="s">
        <v>871</v>
      </c>
      <c r="AV46" s="289">
        <f>IF($G85="",1,VLOOKUP($G85,AL11:AM25,2,FALSE))</f>
        <v>1</v>
      </c>
      <c r="AW46" s="168"/>
      <c r="AX46" s="215">
        <f>IF($AV$29&gt;1,INDEX(Tab!$H13:$S13,,Projekt!$AV$29-1),0)</f>
        <v>0</v>
      </c>
      <c r="BA46" s="154" t="str">
        <f>IF($BC$33=2,Klima!U55,"")</f>
        <v/>
      </c>
      <c r="BB46" s="64">
        <v>15</v>
      </c>
      <c r="BC46" s="128"/>
    </row>
    <row r="47" spans="1:56" ht="15" customHeight="1">
      <c r="B47" s="154"/>
      <c r="C47" s="318"/>
      <c r="D47" s="64"/>
      <c r="E47" s="64"/>
      <c r="F47" s="64"/>
      <c r="G47" s="64"/>
      <c r="H47" s="64"/>
      <c r="I47" s="64"/>
      <c r="J47" s="64"/>
      <c r="K47" s="64"/>
      <c r="L47" s="168"/>
      <c r="M47" s="237"/>
      <c r="N47" s="64"/>
      <c r="O47" s="361"/>
      <c r="P47" s="237"/>
      <c r="Q47" s="64"/>
      <c r="R47" s="128"/>
      <c r="AT47" s="72"/>
      <c r="AV47" s="64"/>
      <c r="AW47" s="64"/>
      <c r="AX47" s="215">
        <f>IF($AV$29&gt;1,INDEX(Tab!$H14:$S14,,Projekt!$AV$29-1),0)</f>
        <v>0</v>
      </c>
      <c r="BA47" s="154" t="str">
        <f>IF($BC$33=2,Klima!U56,"")</f>
        <v/>
      </c>
      <c r="BB47" s="64">
        <v>16</v>
      </c>
      <c r="BC47" s="128"/>
    </row>
    <row r="48" spans="1:56" ht="15" customHeight="1">
      <c r="B48" s="154"/>
      <c r="C48" s="208" t="str">
        <f>Uebersetzung!D74</f>
        <v>Capacité thermique / SRE:</v>
      </c>
      <c r="D48" s="64"/>
      <c r="E48" s="64"/>
      <c r="F48" s="64"/>
      <c r="G48" s="64"/>
      <c r="H48" s="64"/>
      <c r="I48" s="64"/>
      <c r="J48" s="56" t="str">
        <f>IF(_Ver09,"MJ/m2K","kWh/m2K")</f>
        <v>kWh/m2K</v>
      </c>
      <c r="K48" s="208" t="str">
        <f>Uebersetzung!D75</f>
        <v>Supplément de régulation</v>
      </c>
      <c r="L48" s="64"/>
      <c r="M48" s="64"/>
      <c r="N48" s="64"/>
      <c r="O48" s="64"/>
      <c r="P48" s="64"/>
      <c r="Q48" s="1067" t="s">
        <v>1202</v>
      </c>
      <c r="R48" s="128"/>
      <c r="U48" s="161" t="s">
        <v>1203</v>
      </c>
      <c r="V48" s="153"/>
      <c r="W48" s="162"/>
      <c r="AT48" s="72" t="s">
        <v>2311</v>
      </c>
      <c r="AV48" s="64"/>
      <c r="AW48" s="64"/>
      <c r="AX48" s="268">
        <f>IF($AV$29&gt;1,INDEX(Tab!$H15:$S15,,Projekt!$AV$29-1),0)</f>
        <v>0</v>
      </c>
      <c r="BA48" s="154" t="str">
        <f>IF($BC$33=2,Klima!U57,"")</f>
        <v/>
      </c>
      <c r="BB48" s="64">
        <v>17</v>
      </c>
      <c r="BC48" s="128"/>
    </row>
    <row r="49" spans="2:56" ht="15" customHeight="1">
      <c r="B49" s="154"/>
      <c r="C49" s="2149" t="s">
        <v>2693</v>
      </c>
      <c r="D49" s="2149"/>
      <c r="E49" s="2149"/>
      <c r="F49" s="2149"/>
      <c r="G49" s="2149"/>
      <c r="H49" s="2149"/>
      <c r="I49" s="2149"/>
      <c r="J49" s="29">
        <f>IF(_Ver09,CEBF0,CEBF0/3.6)</f>
        <v>0.15</v>
      </c>
      <c r="K49" s="2149" t="s">
        <v>2698</v>
      </c>
      <c r="L49" s="2149"/>
      <c r="M49" s="2149"/>
      <c r="N49" s="2149"/>
      <c r="O49" s="2149"/>
      <c r="P49" s="2149"/>
      <c r="Q49" s="2173">
        <f>INDEX(Tab!J67:J70,AV38)</f>
        <v>1</v>
      </c>
      <c r="R49" s="2174"/>
      <c r="T49" s="1963">
        <f>IF(AV36=1,0.1,IF(_Ver09,INDEX(Tab!J60:J64,AV36),INDEX(Tab!I60:I64,AV36)))</f>
        <v>0.54</v>
      </c>
      <c r="U49" s="1069">
        <v>1</v>
      </c>
      <c r="V49" s="35"/>
      <c r="W49" s="127"/>
      <c r="AT49" s="1536" t="s">
        <v>2343</v>
      </c>
      <c r="AU49" s="153"/>
      <c r="AV49" s="1551">
        <f>IF(D53=$U$34,1,2)</f>
        <v>1</v>
      </c>
      <c r="AW49" s="64"/>
      <c r="BA49" s="154" t="str">
        <f>IF($BC$33=2,Klima!U58,"")</f>
        <v/>
      </c>
      <c r="BB49" s="64">
        <v>18</v>
      </c>
      <c r="BC49" s="128"/>
    </row>
    <row r="50" spans="2:56" ht="15" customHeight="1">
      <c r="B50" s="238"/>
      <c r="C50" s="64"/>
      <c r="D50" s="64"/>
      <c r="E50" s="64"/>
      <c r="F50" s="64"/>
      <c r="G50" s="64"/>
      <c r="H50" s="64"/>
      <c r="I50" s="64"/>
      <c r="J50" s="64"/>
      <c r="K50" s="64"/>
      <c r="L50" s="64"/>
      <c r="M50" s="64"/>
      <c r="N50" s="64"/>
      <c r="O50" s="64"/>
      <c r="P50" s="64"/>
      <c r="Q50" s="64"/>
      <c r="R50" s="128"/>
      <c r="AT50" s="155" t="s">
        <v>1180</v>
      </c>
      <c r="AU50" s="35"/>
      <c r="AV50" s="289">
        <f>IF(D57=$U$34,1,2)</f>
        <v>2</v>
      </c>
      <c r="AW50" s="64"/>
      <c r="AX50" s="64"/>
      <c r="AY50" s="64"/>
      <c r="AZ50" s="64"/>
      <c r="BA50" s="154" t="str">
        <f>IF($BC$33=2,Klima!U59,"")</f>
        <v/>
      </c>
      <c r="BB50" s="64">
        <v>19</v>
      </c>
      <c r="BC50" s="128"/>
      <c r="BD50" s="64"/>
    </row>
    <row r="51" spans="2:56" ht="15" customHeight="1">
      <c r="B51" s="161"/>
      <c r="C51" s="385" t="str">
        <f>Uebersetzung!D76</f>
        <v>Systèmes de chauffage intégrés aux éléments d'enveloppe</v>
      </c>
      <c r="D51" s="153"/>
      <c r="E51" s="153"/>
      <c r="F51" s="153"/>
      <c r="G51" s="153"/>
      <c r="H51" s="153"/>
      <c r="I51" s="153"/>
      <c r="J51" s="153"/>
      <c r="K51" s="153"/>
      <c r="L51" s="153"/>
      <c r="M51" s="153"/>
      <c r="N51" s="153"/>
      <c r="O51" s="153"/>
      <c r="P51" s="153"/>
      <c r="Q51" s="153"/>
      <c r="R51" s="162"/>
      <c r="U51" s="1717" t="s">
        <v>1732</v>
      </c>
      <c r="V51" s="153" t="b">
        <f>IF(BC33=29,TRUE,FALSE)</f>
        <v>0</v>
      </c>
      <c r="W51" s="162"/>
      <c r="AT51" s="64"/>
      <c r="AU51" s="64"/>
      <c r="AV51" s="168"/>
      <c r="AW51" s="64"/>
      <c r="AX51" s="64"/>
      <c r="AY51" s="64"/>
      <c r="AZ51" s="64"/>
      <c r="BA51" s="154" t="str">
        <f>IF($BC$33=2,Klima!U60,"")</f>
        <v/>
      </c>
      <c r="BB51" s="64">
        <v>20</v>
      </c>
      <c r="BC51" s="128"/>
      <c r="BD51" s="64"/>
    </row>
    <row r="52" spans="2:56" ht="12" customHeight="1">
      <c r="B52" s="154"/>
      <c r="E52" s="30"/>
      <c r="F52" s="124"/>
      <c r="G52" s="30" t="str">
        <f>Uebersetzung!D77</f>
        <v>Température de départ maximale</v>
      </c>
      <c r="H52" s="64"/>
      <c r="I52" s="64"/>
      <c r="J52" s="64"/>
      <c r="K52" s="25">
        <v>50</v>
      </c>
      <c r="L52" s="234" t="s">
        <v>2324</v>
      </c>
      <c r="M52" s="171">
        <f>IF($AV$49=1,K52,"")</f>
        <v>50</v>
      </c>
      <c r="N52" s="64" t="str">
        <f>IF($AV$49=1,"°C","")</f>
        <v>°C</v>
      </c>
      <c r="O52" s="64"/>
      <c r="P52" s="64"/>
      <c r="Q52" s="64"/>
      <c r="R52" s="128"/>
      <c r="U52" s="154" t="s">
        <v>1734</v>
      </c>
      <c r="V52" s="64">
        <f>IF(Liechtenstein,F66,0)</f>
        <v>0</v>
      </c>
      <c r="W52" s="128" t="s">
        <v>1735</v>
      </c>
      <c r="AT52" s="173"/>
      <c r="AU52" s="64"/>
      <c r="AV52" s="168"/>
      <c r="AW52" s="64"/>
      <c r="AX52" s="64"/>
      <c r="AY52" s="64"/>
      <c r="AZ52" s="30"/>
      <c r="BA52" s="154" t="str">
        <f>IF($BC$33=2,Klima!U61,"")</f>
        <v/>
      </c>
      <c r="BB52" s="64">
        <v>21</v>
      </c>
      <c r="BC52" s="128"/>
      <c r="BD52" s="64"/>
    </row>
    <row r="53" spans="2:56" ht="15" customHeight="1">
      <c r="B53" s="154"/>
      <c r="C53" s="173" t="str">
        <f>Uebersetzung!D78</f>
        <v>existant</v>
      </c>
      <c r="D53" s="1541" t="s">
        <v>446</v>
      </c>
      <c r="E53" s="64"/>
      <c r="F53" s="64"/>
      <c r="G53" s="64" t="str">
        <f>IF($AV$49=1,Uebersetzung!D79,"")</f>
        <v>Majoration de la température</v>
      </c>
      <c r="H53" s="64"/>
      <c r="I53" s="64"/>
      <c r="J53" s="64"/>
      <c r="K53" s="273"/>
      <c r="L53" s="64"/>
      <c r="M53" s="171">
        <f>IF(AV49=1,(Thetah-Thetai+Q49)/4,0)</f>
        <v>7.5</v>
      </c>
      <c r="N53" s="64" t="str">
        <f>IF($AV$49=1,"°C","")</f>
        <v>°C</v>
      </c>
      <c r="O53" s="64"/>
      <c r="P53" s="64"/>
      <c r="Q53" s="64"/>
      <c r="R53" s="128"/>
      <c r="U53" s="155" t="s">
        <v>308</v>
      </c>
      <c r="V53" s="35" t="b">
        <f>IF(AND(Liechtenstein,V52&gt;=2000),TRUE,FALSE)</f>
        <v>0</v>
      </c>
      <c r="W53" s="127"/>
      <c r="AT53" s="283" t="s">
        <v>1643</v>
      </c>
      <c r="AU53" s="284"/>
      <c r="AV53" s="427">
        <f>IF(EBF0&gt;0,Vbrutto/EBF0,)</f>
        <v>0</v>
      </c>
      <c r="AW53" s="64"/>
      <c r="AX53" s="64"/>
      <c r="AY53" s="64"/>
      <c r="AZ53" s="30"/>
      <c r="BA53" s="154" t="str">
        <f>IF($BC$33=2,Klima!U62,"")</f>
        <v/>
      </c>
      <c r="BB53" s="64">
        <v>22</v>
      </c>
      <c r="BC53" s="128"/>
      <c r="BD53" s="64"/>
    </row>
    <row r="54" spans="2:56" ht="7.9" customHeight="1">
      <c r="B54" s="155"/>
      <c r="C54" s="35"/>
      <c r="D54" s="35"/>
      <c r="E54" s="35"/>
      <c r="F54" s="35"/>
      <c r="G54" s="35"/>
      <c r="H54" s="35"/>
      <c r="I54" s="35"/>
      <c r="J54" s="35"/>
      <c r="K54" s="35"/>
      <c r="L54" s="35"/>
      <c r="M54" s="35"/>
      <c r="N54" s="35"/>
      <c r="O54" s="35"/>
      <c r="P54" s="35"/>
      <c r="Q54" s="35"/>
      <c r="R54" s="127"/>
      <c r="U54" s="64"/>
      <c r="V54" s="64"/>
      <c r="AT54" s="64"/>
      <c r="AU54" s="64"/>
      <c r="AV54" s="64"/>
      <c r="AW54" s="64"/>
      <c r="AX54" s="64"/>
      <c r="AY54" s="64"/>
      <c r="AZ54" s="30"/>
      <c r="BA54" s="154" t="str">
        <f>IF($BC$33=2,Klima!U63,"")</f>
        <v/>
      </c>
      <c r="BB54" s="64">
        <v>23</v>
      </c>
      <c r="BC54" s="128"/>
      <c r="BD54" s="64"/>
    </row>
    <row r="55" spans="2:56" ht="15" customHeight="1">
      <c r="B55" s="154"/>
      <c r="C55" s="208" t="str">
        <f>Uebersetzung!D80</f>
        <v>Corps de chauffe placés devant des éléments translucides</v>
      </c>
      <c r="D55" s="64"/>
      <c r="E55" s="64"/>
      <c r="F55" s="64"/>
      <c r="G55" s="64"/>
      <c r="H55" s="64"/>
      <c r="I55" s="64"/>
      <c r="J55" s="64"/>
      <c r="K55" s="64"/>
      <c r="L55" s="64"/>
      <c r="M55" s="64"/>
      <c r="N55" s="64"/>
      <c r="O55" s="64"/>
      <c r="P55" s="64"/>
      <c r="Q55" s="64"/>
      <c r="R55" s="128"/>
      <c r="U55" s="64"/>
      <c r="V55" s="64"/>
      <c r="AT55" s="64"/>
      <c r="AU55" s="64"/>
      <c r="AV55" s="64"/>
      <c r="AW55" s="64"/>
      <c r="AX55" s="64"/>
      <c r="AY55" s="64"/>
      <c r="AZ55" s="64"/>
      <c r="BA55" s="154" t="str">
        <f>IF($BC$33=2,Klima!U64,"")</f>
        <v/>
      </c>
      <c r="BB55" s="64">
        <v>24</v>
      </c>
      <c r="BC55" s="128"/>
      <c r="BD55" s="64"/>
    </row>
    <row r="56" spans="2:56" ht="12" customHeight="1">
      <c r="B56" s="154"/>
      <c r="E56" s="30"/>
      <c r="F56" s="124"/>
      <c r="G56" s="30" t="str">
        <f>Uebersetzung!D81</f>
        <v>Température de départ maximale</v>
      </c>
      <c r="H56" s="64"/>
      <c r="I56" s="64"/>
      <c r="J56" s="64"/>
      <c r="K56" s="25">
        <v>50</v>
      </c>
      <c r="L56" s="234" t="s">
        <v>2324</v>
      </c>
      <c r="M56" s="171" t="str">
        <f>IF($AV$50=1,K56,"")</f>
        <v/>
      </c>
      <c r="N56" s="64" t="str">
        <f>IF($AV$50=1,"°C","")</f>
        <v/>
      </c>
      <c r="O56" s="64"/>
      <c r="P56" s="64"/>
      <c r="Q56" s="64"/>
      <c r="R56" s="128"/>
      <c r="U56" s="64"/>
      <c r="V56" s="64"/>
      <c r="AT56" s="161" t="s">
        <v>917</v>
      </c>
      <c r="AU56" s="153"/>
      <c r="AV56" s="162"/>
      <c r="AW56" s="64"/>
      <c r="AX56" s="64"/>
      <c r="AY56" s="64"/>
      <c r="AZ56" s="64"/>
      <c r="BA56" s="154" t="str">
        <f>IF($BC$33=2,Klima!U65,"")</f>
        <v/>
      </c>
      <c r="BB56" s="64">
        <v>25</v>
      </c>
      <c r="BC56" s="128"/>
      <c r="BD56" s="64"/>
    </row>
    <row r="57" spans="2:56" ht="15" customHeight="1">
      <c r="B57" s="154"/>
      <c r="C57" s="64" t="str">
        <f>Uebersetzung!D78</f>
        <v>existant</v>
      </c>
      <c r="D57" s="1541"/>
      <c r="E57" s="64"/>
      <c r="F57" s="64"/>
      <c r="G57" s="64" t="str">
        <f>IF($AV$50=1,Uebersetzung!D79,"")</f>
        <v/>
      </c>
      <c r="H57" s="64"/>
      <c r="I57" s="64"/>
      <c r="J57" s="64"/>
      <c r="K57" s="273"/>
      <c r="L57" s="64"/>
      <c r="M57" s="281">
        <f>IF(AV50=1,(ThetahH-Thetai+Q49)/2,0)</f>
        <v>0</v>
      </c>
      <c r="N57" s="64" t="str">
        <f>IF($AV$50=1,"°C","")</f>
        <v/>
      </c>
      <c r="O57" s="64"/>
      <c r="P57" s="64"/>
      <c r="Q57" s="64"/>
      <c r="R57" s="128"/>
      <c r="U57" s="64"/>
      <c r="V57" s="64"/>
      <c r="AT57" s="155" t="s">
        <v>918</v>
      </c>
      <c r="AU57" s="35"/>
      <c r="AV57" s="127">
        <f>IF(L45&gt;0.001,L45,VEBF0)</f>
        <v>0</v>
      </c>
      <c r="AW57" s="64"/>
      <c r="AX57" s="64"/>
      <c r="AY57" s="64"/>
      <c r="AZ57" s="64"/>
      <c r="BA57" s="154" t="str">
        <f>IF($BC$33=2,Klima!U66,"")</f>
        <v/>
      </c>
      <c r="BB57" s="64">
        <v>26</v>
      </c>
      <c r="BC57" s="128"/>
      <c r="BD57" s="64"/>
    </row>
    <row r="58" spans="2:56" ht="6" customHeight="1">
      <c r="B58" s="155"/>
      <c r="C58" s="35"/>
      <c r="D58" s="35"/>
      <c r="E58" s="35"/>
      <c r="F58" s="35"/>
      <c r="G58" s="35"/>
      <c r="H58" s="35"/>
      <c r="I58" s="35"/>
      <c r="J58" s="35"/>
      <c r="K58" s="35"/>
      <c r="L58" s="35"/>
      <c r="M58" s="35"/>
      <c r="N58" s="35"/>
      <c r="O58" s="35"/>
      <c r="P58" s="35"/>
      <c r="Q58" s="35"/>
      <c r="R58" s="127"/>
      <c r="U58" s="64"/>
      <c r="V58" s="64"/>
      <c r="AT58" s="64"/>
      <c r="AU58" s="64"/>
      <c r="AV58" s="64"/>
      <c r="AW58" s="64"/>
      <c r="AX58" s="64"/>
      <c r="AY58" s="64"/>
      <c r="AZ58" s="64"/>
      <c r="BA58" s="154" t="str">
        <f>IF($BC$33=2,Klima!U67,"")</f>
        <v/>
      </c>
      <c r="BB58" s="64">
        <v>27</v>
      </c>
      <c r="BC58" s="128"/>
      <c r="BD58" s="64"/>
    </row>
    <row r="59" spans="2:56" ht="15" customHeight="1">
      <c r="U59" s="64"/>
      <c r="V59" s="64"/>
      <c r="AT59" s="64"/>
      <c r="AU59" s="64"/>
      <c r="AV59" s="64"/>
      <c r="AW59" s="64"/>
      <c r="AX59" s="64"/>
      <c r="AY59" s="64"/>
      <c r="AZ59" s="64"/>
      <c r="BA59" s="154" t="str">
        <f>IF($BC$33=2,Klima!U68,"")</f>
        <v/>
      </c>
      <c r="BB59" s="64">
        <v>28</v>
      </c>
      <c r="BC59" s="128"/>
      <c r="BD59" s="64"/>
    </row>
    <row r="60" spans="2:56" ht="6" customHeight="1">
      <c r="B60" s="161"/>
      <c r="C60" s="153"/>
      <c r="D60" s="153"/>
      <c r="E60" s="153"/>
      <c r="F60" s="153"/>
      <c r="G60" s="153"/>
      <c r="H60" s="153"/>
      <c r="I60" s="153"/>
      <c r="J60" s="153"/>
      <c r="K60" s="153"/>
      <c r="L60" s="153"/>
      <c r="M60" s="153"/>
      <c r="N60" s="153"/>
      <c r="O60" s="153"/>
      <c r="P60" s="153"/>
      <c r="Q60" s="153"/>
      <c r="R60" s="162"/>
      <c r="U60" s="64"/>
      <c r="V60" s="237"/>
      <c r="AT60" s="64"/>
      <c r="AU60" s="64"/>
      <c r="AV60" s="64"/>
      <c r="AW60" s="64"/>
      <c r="AX60" s="64"/>
      <c r="AY60" s="64"/>
      <c r="AZ60" s="64"/>
      <c r="BA60" s="154" t="str">
        <f>IF($BC$33=2,Klima!U69,"")</f>
        <v/>
      </c>
      <c r="BB60" s="64">
        <v>29</v>
      </c>
      <c r="BC60" s="128"/>
      <c r="BD60" s="64"/>
    </row>
    <row r="61" spans="2:56" ht="15" customHeight="1">
      <c r="B61" s="154"/>
      <c r="C61" s="236" t="str">
        <f>Uebersetzung!D82</f>
        <v>Surface de référence énergétique SRE  ( AE ):</v>
      </c>
      <c r="D61" s="64"/>
      <c r="E61" s="64"/>
      <c r="F61" s="173"/>
      <c r="G61" s="235"/>
      <c r="H61" s="173"/>
      <c r="I61" s="173"/>
      <c r="J61" s="64"/>
      <c r="K61" s="157"/>
      <c r="L61" s="64"/>
      <c r="M61" s="157"/>
      <c r="N61" s="2166" t="str">
        <f>Uebersetzung!D87</f>
        <v>Hauteur
brute [m]</v>
      </c>
      <c r="O61" s="2166"/>
      <c r="P61" s="2167" t="str">
        <f>Uebersetzung!D84</f>
        <v>SRE avec chauffage actif</v>
      </c>
      <c r="Q61" s="2167"/>
      <c r="R61" s="2168"/>
      <c r="U61" s="1074" t="s">
        <v>670</v>
      </c>
      <c r="V61" s="162"/>
      <c r="X61" s="1389" t="s">
        <v>211</v>
      </c>
      <c r="Y61" s="1390">
        <v>3</v>
      </c>
      <c r="AT61" s="64"/>
      <c r="AU61" s="64"/>
      <c r="AV61" s="64"/>
      <c r="AW61" s="64"/>
      <c r="AX61" s="64"/>
      <c r="AY61" s="64"/>
      <c r="AZ61" s="64"/>
      <c r="BA61" s="154" t="str">
        <f>IF($BC$33=2,Klima!U70,"")</f>
        <v/>
      </c>
      <c r="BB61" s="64">
        <v>30</v>
      </c>
      <c r="BC61" s="128"/>
      <c r="BD61" s="64"/>
    </row>
    <row r="62" spans="2:56" ht="15" customHeight="1">
      <c r="B62" s="154"/>
      <c r="C62" s="64"/>
      <c r="D62" s="64"/>
      <c r="E62" s="64"/>
      <c r="F62" s="64"/>
      <c r="G62" s="233"/>
      <c r="H62" s="64"/>
      <c r="I62" s="247" t="str">
        <f>Uebersetzung!D85</f>
        <v>Description:</v>
      </c>
      <c r="K62" s="64"/>
      <c r="L62" s="64"/>
      <c r="M62" s="422" t="str">
        <f>Uebersetzung!D86</f>
        <v>SRE</v>
      </c>
      <c r="N62" s="2166"/>
      <c r="O62" s="2166"/>
      <c r="P62" s="2167"/>
      <c r="Q62" s="2167"/>
      <c r="R62" s="2168"/>
      <c r="U62" s="1542" t="s">
        <v>668</v>
      </c>
      <c r="V62" s="128"/>
      <c r="X62" s="964" t="s">
        <v>212</v>
      </c>
      <c r="Y62" s="128"/>
      <c r="AT62" s="64"/>
      <c r="AU62" s="64"/>
      <c r="AV62" s="64"/>
      <c r="AW62" s="64"/>
      <c r="AX62" s="64"/>
      <c r="AY62" s="64"/>
      <c r="AZ62" s="64"/>
      <c r="BA62" s="154" t="str">
        <f>IF($BC$33=2,Klima!U71,"")</f>
        <v/>
      </c>
      <c r="BB62" s="64">
        <v>31</v>
      </c>
      <c r="BC62" s="128"/>
      <c r="BD62" s="64"/>
    </row>
    <row r="63" spans="2:56" ht="15" customHeight="1">
      <c r="B63" s="154"/>
      <c r="C63" s="208" t="str">
        <f>Uebersetzung!D83</f>
        <v>Total SRE (AE):</v>
      </c>
      <c r="D63" s="64"/>
      <c r="E63" s="64"/>
      <c r="F63" s="282">
        <f>SUM(M63:M69)</f>
        <v>0</v>
      </c>
      <c r="G63" s="278" t="s">
        <v>122</v>
      </c>
      <c r="H63" s="64"/>
      <c r="I63" s="2160"/>
      <c r="J63" s="2160"/>
      <c r="K63" s="2160"/>
      <c r="L63" s="2161"/>
      <c r="M63" s="461"/>
      <c r="N63" s="1072" t="s">
        <v>243</v>
      </c>
      <c r="O63" s="228"/>
      <c r="P63" s="1071"/>
      <c r="Q63" s="1541" t="s">
        <v>446</v>
      </c>
      <c r="R63" s="128"/>
      <c r="U63" s="1543" t="b">
        <f t="shared" ref="U63:U69" si="0">IF(Q63=$U$34,TRUE,FALSE)</f>
        <v>1</v>
      </c>
      <c r="V63" s="162">
        <f>IF(U63,1,0)</f>
        <v>1</v>
      </c>
      <c r="X63" s="1391">
        <f>IF(O63&lt;=hkorr,M63,M63*O63/hkorr)</f>
        <v>0</v>
      </c>
      <c r="Y63" s="1392" t="s">
        <v>808</v>
      </c>
      <c r="BA63" s="154" t="str">
        <f>IF($BC$33=2,Klima!U72,"")</f>
        <v/>
      </c>
      <c r="BB63" s="64">
        <v>32</v>
      </c>
      <c r="BC63" s="128"/>
    </row>
    <row r="64" spans="2:56" ht="15" customHeight="1">
      <c r="B64" s="154"/>
      <c r="C64" s="208" t="str">
        <f>Uebersetzung!D84</f>
        <v>SRE avec chauffage actif</v>
      </c>
      <c r="D64" s="64"/>
      <c r="E64" s="64"/>
      <c r="F64" s="1365">
        <f>M63*V63+M64*V64+M65*V65+M66*V66+M67*U67+M68*V68+M69*V69</f>
        <v>0</v>
      </c>
      <c r="G64" s="278" t="s">
        <v>122</v>
      </c>
      <c r="H64" s="64"/>
      <c r="I64" s="2156"/>
      <c r="J64" s="2156"/>
      <c r="K64" s="2156"/>
      <c r="L64" s="2157"/>
      <c r="M64" s="461"/>
      <c r="N64" s="1072" t="s">
        <v>243</v>
      </c>
      <c r="O64" s="228"/>
      <c r="P64" s="1071"/>
      <c r="Q64" s="1541" t="s">
        <v>446</v>
      </c>
      <c r="R64" s="128"/>
      <c r="S64" s="156"/>
      <c r="U64" s="1544" t="b">
        <f t="shared" si="0"/>
        <v>1</v>
      </c>
      <c r="V64" s="128">
        <f t="shared" ref="V64:V70" si="1">IF(U64,1,0)</f>
        <v>1</v>
      </c>
      <c r="X64" s="1391">
        <f t="shared" ref="X64:X69" si="2">IF(O64&lt;=hkorr,M64,M64*O64/hkorr)</f>
        <v>0</v>
      </c>
      <c r="Y64" s="1392" t="s">
        <v>808</v>
      </c>
      <c r="AL64" s="27"/>
      <c r="BA64" s="154" t="str">
        <f>IF($BC$33=2,Klima!U73,"")</f>
        <v/>
      </c>
      <c r="BB64" s="64">
        <v>33</v>
      </c>
      <c r="BC64" s="128"/>
    </row>
    <row r="65" spans="2:55" ht="15" customHeight="1">
      <c r="B65" s="154"/>
      <c r="H65" s="64"/>
      <c r="I65" s="2156"/>
      <c r="J65" s="2156"/>
      <c r="K65" s="2156"/>
      <c r="L65" s="2157"/>
      <c r="M65" s="461"/>
      <c r="N65" s="1072" t="s">
        <v>243</v>
      </c>
      <c r="O65" s="228"/>
      <c r="P65" s="1071"/>
      <c r="Q65" s="1541" t="s">
        <v>446</v>
      </c>
      <c r="R65" s="128"/>
      <c r="S65" s="156"/>
      <c r="U65" s="1544" t="b">
        <f t="shared" si="0"/>
        <v>1</v>
      </c>
      <c r="V65" s="128">
        <f t="shared" si="1"/>
        <v>1</v>
      </c>
      <c r="X65" s="1391">
        <f t="shared" si="2"/>
        <v>0</v>
      </c>
      <c r="Y65" s="1392" t="s">
        <v>808</v>
      </c>
      <c r="AL65" s="27"/>
      <c r="BA65" s="154" t="str">
        <f>IF($BC$33=2,Klima!U74,"")</f>
        <v/>
      </c>
      <c r="BB65" s="64">
        <v>34</v>
      </c>
      <c r="BC65" s="128"/>
    </row>
    <row r="66" spans="2:55" ht="15" customHeight="1">
      <c r="B66" s="238"/>
      <c r="C66" s="1078" t="str">
        <f>Uebersetzung!D295</f>
        <v>Volume (Liechtenstein)</v>
      </c>
      <c r="F66" s="1716">
        <v>2001</v>
      </c>
      <c r="G66" s="1078" t="s">
        <v>1735</v>
      </c>
      <c r="H66" s="64"/>
      <c r="I66" s="2156"/>
      <c r="J66" s="2156"/>
      <c r="K66" s="2156"/>
      <c r="L66" s="2157"/>
      <c r="M66" s="461"/>
      <c r="N66" s="1072" t="s">
        <v>243</v>
      </c>
      <c r="O66" s="228"/>
      <c r="P66" s="1071"/>
      <c r="Q66" s="1541" t="s">
        <v>446</v>
      </c>
      <c r="R66" s="128"/>
      <c r="U66" s="1544" t="b">
        <f t="shared" si="0"/>
        <v>1</v>
      </c>
      <c r="V66" s="128">
        <f t="shared" si="1"/>
        <v>1</v>
      </c>
      <c r="X66" s="1391">
        <f t="shared" si="2"/>
        <v>0</v>
      </c>
      <c r="Y66" s="1392" t="s">
        <v>808</v>
      </c>
      <c r="AL66" s="27"/>
      <c r="BA66" s="154" t="str">
        <f>IF($BC$33=2,Klima!U75,"")</f>
        <v/>
      </c>
      <c r="BB66" s="64">
        <v>35</v>
      </c>
      <c r="BC66" s="128"/>
    </row>
    <row r="67" spans="2:55" ht="15" customHeight="1">
      <c r="B67" s="154"/>
      <c r="C67" s="64"/>
      <c r="D67" s="64"/>
      <c r="E67" s="64"/>
      <c r="F67" s="64"/>
      <c r="G67" s="208"/>
      <c r="H67" s="64"/>
      <c r="I67" s="2156"/>
      <c r="J67" s="2156"/>
      <c r="K67" s="2156"/>
      <c r="L67" s="2157"/>
      <c r="M67" s="461"/>
      <c r="N67" s="1072" t="s">
        <v>243</v>
      </c>
      <c r="O67" s="228"/>
      <c r="P67" s="1071"/>
      <c r="Q67" s="1541" t="s">
        <v>446</v>
      </c>
      <c r="R67" s="128"/>
      <c r="U67" s="1544" t="b">
        <f t="shared" si="0"/>
        <v>1</v>
      </c>
      <c r="V67" s="128">
        <f t="shared" si="1"/>
        <v>1</v>
      </c>
      <c r="X67" s="1391">
        <f t="shared" si="2"/>
        <v>0</v>
      </c>
      <c r="Y67" s="1392" t="s">
        <v>808</v>
      </c>
      <c r="AL67" s="27"/>
      <c r="BA67" s="154" t="str">
        <f>IF($BC$33=2,Klima!U76,"")</f>
        <v/>
      </c>
      <c r="BB67" s="64">
        <v>36</v>
      </c>
      <c r="BC67" s="128"/>
    </row>
    <row r="68" spans="2:55" ht="15" customHeight="1">
      <c r="B68" s="154"/>
      <c r="C68" s="208" t="str">
        <f>Uebersetzung!D88</f>
        <v>Volume:</v>
      </c>
      <c r="D68" s="208" t="str">
        <f>Uebersetzung!D89</f>
        <v>brut</v>
      </c>
      <c r="E68" s="64"/>
      <c r="F68" s="282">
        <f>M63*O63*V63+M64*O64*V64+M65*O65*V65+M66*O66*V66+M67*O67*V67+M68*O68*V68+M69*O69*V69</f>
        <v>0</v>
      </c>
      <c r="G68" s="208" t="s">
        <v>123</v>
      </c>
      <c r="H68" s="64"/>
      <c r="I68" s="2156"/>
      <c r="J68" s="2156"/>
      <c r="K68" s="2156"/>
      <c r="L68" s="2157"/>
      <c r="M68" s="461"/>
      <c r="N68" s="1072" t="s">
        <v>243</v>
      </c>
      <c r="O68" s="228"/>
      <c r="P68" s="1071"/>
      <c r="Q68" s="1541" t="s">
        <v>446</v>
      </c>
      <c r="R68" s="128"/>
      <c r="U68" s="1544" t="b">
        <f t="shared" si="0"/>
        <v>1</v>
      </c>
      <c r="V68" s="128">
        <f t="shared" si="1"/>
        <v>1</v>
      </c>
      <c r="X68" s="1391">
        <f t="shared" si="2"/>
        <v>0</v>
      </c>
      <c r="Y68" s="1392" t="s">
        <v>808</v>
      </c>
      <c r="AL68" s="27"/>
      <c r="BA68" s="154" t="str">
        <f>IF($BC$33=2,Klima!U77,"")</f>
        <v/>
      </c>
      <c r="BB68" s="64">
        <v>37</v>
      </c>
      <c r="BC68" s="128"/>
    </row>
    <row r="69" spans="2:55" ht="15" customHeight="1">
      <c r="B69" s="154"/>
      <c r="C69" s="279"/>
      <c r="D69" s="208" t="str">
        <f>Uebersetzung!D90</f>
        <v>net</v>
      </c>
      <c r="E69" s="64"/>
      <c r="F69" s="277">
        <f>Vbrutto*0.8</f>
        <v>0</v>
      </c>
      <c r="G69" s="208" t="s">
        <v>123</v>
      </c>
      <c r="H69" s="64"/>
      <c r="I69" s="2156"/>
      <c r="J69" s="2156"/>
      <c r="K69" s="2156"/>
      <c r="L69" s="2157"/>
      <c r="M69" s="461"/>
      <c r="N69" s="1072" t="s">
        <v>243</v>
      </c>
      <c r="O69" s="228"/>
      <c r="P69" s="1073"/>
      <c r="Q69" s="1541" t="s">
        <v>446</v>
      </c>
      <c r="R69" s="128"/>
      <c r="U69" s="1545" t="b">
        <f t="shared" si="0"/>
        <v>1</v>
      </c>
      <c r="V69" s="127">
        <f t="shared" si="1"/>
        <v>1</v>
      </c>
      <c r="X69" s="1393">
        <f t="shared" si="2"/>
        <v>0</v>
      </c>
      <c r="Y69" s="1394" t="s">
        <v>808</v>
      </c>
      <c r="AL69" s="27"/>
      <c r="BA69" s="154" t="str">
        <f>IF($BC$33=2,Klima!U78,"")</f>
        <v/>
      </c>
      <c r="BB69" s="64">
        <v>38</v>
      </c>
      <c r="BC69" s="128"/>
    </row>
    <row r="70" spans="2:55" ht="6" customHeight="1">
      <c r="B70" s="155"/>
      <c r="C70" s="35"/>
      <c r="D70" s="35"/>
      <c r="E70" s="35"/>
      <c r="F70" s="35"/>
      <c r="G70" s="35"/>
      <c r="H70" s="35"/>
      <c r="I70" s="35"/>
      <c r="J70" s="35"/>
      <c r="K70" s="35"/>
      <c r="L70" s="35"/>
      <c r="M70" s="35"/>
      <c r="N70" s="35"/>
      <c r="O70" s="35"/>
      <c r="P70" s="35"/>
      <c r="Q70" s="35"/>
      <c r="R70" s="127"/>
      <c r="V70" s="29">
        <f t="shared" si="1"/>
        <v>0</v>
      </c>
      <c r="AL70" s="27"/>
      <c r="BA70" s="154" t="str">
        <f>IF($BC$33=2,Klima!U79,"")</f>
        <v/>
      </c>
      <c r="BB70" s="64">
        <v>39</v>
      </c>
      <c r="BC70" s="128"/>
    </row>
    <row r="71" spans="2:55" ht="15" customHeight="1" thickBot="1">
      <c r="B71" s="35"/>
      <c r="X71" s="1395">
        <f>SUM(X63:X69)</f>
        <v>0</v>
      </c>
      <c r="Y71" s="1396" t="s">
        <v>808</v>
      </c>
      <c r="AL71" s="27"/>
      <c r="BA71" s="154" t="str">
        <f>IF($BC$33=2,Klima!U80,"")</f>
        <v/>
      </c>
      <c r="BB71" s="64">
        <v>40</v>
      </c>
      <c r="BC71" s="128"/>
    </row>
    <row r="72" spans="2:55" ht="6" customHeight="1" thickTop="1">
      <c r="B72" s="161"/>
      <c r="C72" s="153"/>
      <c r="D72" s="153"/>
      <c r="E72" s="153"/>
      <c r="F72" s="153"/>
      <c r="G72" s="153"/>
      <c r="H72" s="153"/>
      <c r="I72" s="153"/>
      <c r="J72" s="153"/>
      <c r="K72" s="153"/>
      <c r="L72" s="153"/>
      <c r="M72" s="153"/>
      <c r="N72" s="153"/>
      <c r="O72" s="153"/>
      <c r="P72" s="153"/>
      <c r="Q72" s="153"/>
      <c r="R72" s="162"/>
      <c r="AL72" s="27"/>
      <c r="BA72" s="154" t="str">
        <f>IF($BC$33=2,Klima!U81,"")</f>
        <v/>
      </c>
      <c r="BB72" s="64">
        <v>41</v>
      </c>
      <c r="BC72" s="128"/>
    </row>
    <row r="73" spans="2:55" ht="15" customHeight="1">
      <c r="B73" s="154"/>
      <c r="C73" s="236" t="str">
        <f>Uebersetzung!D91</f>
        <v>Ponts thermiques:</v>
      </c>
      <c r="D73" s="64"/>
      <c r="E73" s="64"/>
      <c r="F73" s="64"/>
      <c r="G73" s="64"/>
      <c r="H73" s="64"/>
      <c r="I73" s="64"/>
      <c r="J73" s="64"/>
      <c r="K73" s="64"/>
      <c r="L73" s="1373"/>
      <c r="M73" s="1373"/>
      <c r="N73" s="266" t="s">
        <v>2612</v>
      </c>
      <c r="O73" s="64"/>
      <c r="P73" s="266" t="s">
        <v>2612</v>
      </c>
      <c r="Q73" s="64"/>
      <c r="R73" s="128"/>
      <c r="U73" s="2084" t="s">
        <v>9185</v>
      </c>
      <c r="V73" s="162"/>
      <c r="AL73" s="27"/>
      <c r="BA73" s="154" t="str">
        <f>IF($BC$33=2,Klima!U82,"")</f>
        <v/>
      </c>
      <c r="BB73" s="64">
        <v>42</v>
      </c>
      <c r="BC73" s="128"/>
    </row>
    <row r="74" spans="2:55" ht="15" customHeight="1">
      <c r="B74" s="154"/>
      <c r="C74" s="64"/>
      <c r="D74" s="64"/>
      <c r="E74" s="64"/>
      <c r="F74" s="636" t="str">
        <f>Uebersetzung!D92</f>
        <v>No. du catalogue</v>
      </c>
      <c r="G74" s="64"/>
      <c r="H74" s="157"/>
      <c r="I74" s="64"/>
      <c r="J74" s="64"/>
      <c r="K74" s="64"/>
      <c r="L74" s="245" t="str">
        <f>Uebersetzung!D93</f>
        <v>Longeur l</v>
      </c>
      <c r="M74" s="64"/>
      <c r="N74" s="1797" t="str">
        <f>Uebersetzung!D94</f>
        <v>Valeur</v>
      </c>
      <c r="O74" s="64"/>
      <c r="P74" s="1797" t="str">
        <f>N74</f>
        <v>Valeur</v>
      </c>
      <c r="Q74" s="64"/>
      <c r="R74" s="128"/>
      <c r="U74" s="2085">
        <f>IF(AND(EBF&gt;0,SUM(O63:O69)&gt;0),(O63*M63+O64*M64+O65*M65+O66*M66+O67*M67+O68*M68+O69*M69)/EBF*0.8,2.4)</f>
        <v>2.4</v>
      </c>
      <c r="V74" s="127"/>
      <c r="AL74" s="27"/>
      <c r="BA74" s="154" t="str">
        <f>IF($BC$33=2,Klima!U83,"")</f>
        <v/>
      </c>
      <c r="BB74" s="64">
        <v>43</v>
      </c>
      <c r="BC74" s="128"/>
    </row>
    <row r="75" spans="2:55" ht="15" customHeight="1">
      <c r="B75" s="238"/>
      <c r="C75" s="2143" t="str">
        <f>Uebersetzung!D95</f>
        <v>Toiture / façade:</v>
      </c>
      <c r="D75" s="2143"/>
      <c r="E75" s="2143"/>
      <c r="F75" s="663"/>
      <c r="G75" s="2162"/>
      <c r="H75" s="2162"/>
      <c r="I75" s="2162"/>
      <c r="J75" s="2162"/>
      <c r="K75" s="2163"/>
      <c r="L75" s="226"/>
      <c r="M75" s="64" t="s">
        <v>808</v>
      </c>
      <c r="N75" s="228"/>
      <c r="O75" s="247" t="s">
        <v>1190</v>
      </c>
      <c r="P75" s="294">
        <f>IF(N75,IF(AV40&gt;1,"Doppelt!",N75),IF(AV40=1,0,INDEX(Bauteile!Q56:Q70,AV40,)))</f>
        <v>0</v>
      </c>
      <c r="Q75" s="247" t="s">
        <v>1190</v>
      </c>
      <c r="R75" s="128"/>
      <c r="AL75" s="27"/>
      <c r="BA75" s="154" t="str">
        <f>IF($BC$33=2,Klima!U84,"")</f>
        <v/>
      </c>
      <c r="BB75" s="64">
        <v>44</v>
      </c>
      <c r="BC75" s="128"/>
    </row>
    <row r="76" spans="2:55" ht="4.9000000000000004" customHeight="1">
      <c r="B76" s="238"/>
      <c r="C76" s="208"/>
      <c r="D76" s="64"/>
      <c r="E76" s="64"/>
      <c r="F76" s="64"/>
      <c r="G76" s="64"/>
      <c r="H76" s="64"/>
      <c r="I76" s="64"/>
      <c r="J76" s="64"/>
      <c r="K76" s="64"/>
      <c r="L76" s="64"/>
      <c r="M76" s="64"/>
      <c r="N76" s="64"/>
      <c r="O76" s="247"/>
      <c r="P76" s="64"/>
      <c r="Q76" s="64"/>
      <c r="R76" s="128"/>
      <c r="T76" s="33"/>
      <c r="AL76" s="27"/>
      <c r="BA76" s="154" t="str">
        <f>IF($BC$33=2,Klima!U85,"")</f>
        <v/>
      </c>
      <c r="BB76" s="64">
        <v>45</v>
      </c>
      <c r="BC76" s="128"/>
    </row>
    <row r="77" spans="2:55" ht="15" customHeight="1">
      <c r="B77" s="154"/>
      <c r="C77" s="2143" t="str">
        <f>Uebersetzung!D96</f>
        <v>Pied de façade:</v>
      </c>
      <c r="D77" s="2143"/>
      <c r="E77" s="2143"/>
      <c r="F77" s="663"/>
      <c r="G77" s="2162"/>
      <c r="H77" s="2162"/>
      <c r="I77" s="2162"/>
      <c r="J77" s="2162"/>
      <c r="K77" s="2163"/>
      <c r="L77" s="226"/>
      <c r="M77" s="64" t="s">
        <v>808</v>
      </c>
      <c r="N77" s="228"/>
      <c r="O77" s="247" t="s">
        <v>1190</v>
      </c>
      <c r="P77" s="294">
        <f>IF(N77,IF(AV41&gt;1,"Doppelt!",N77),IF(AV41=1,0,INDEX(Bauteile!Q72:Q86,AV41,)))</f>
        <v>0</v>
      </c>
      <c r="Q77" s="247" t="s">
        <v>1190</v>
      </c>
      <c r="R77" s="128"/>
      <c r="AL77" s="27"/>
      <c r="BA77" s="154" t="str">
        <f>IF($BC$33=2,Klima!U86,"")</f>
        <v/>
      </c>
      <c r="BB77" s="64">
        <v>46</v>
      </c>
      <c r="BC77" s="128"/>
    </row>
    <row r="78" spans="2:55" ht="4.9000000000000004" customHeight="1">
      <c r="B78" s="154"/>
      <c r="C78" s="208"/>
      <c r="D78" s="64"/>
      <c r="E78" s="64"/>
      <c r="F78" s="64"/>
      <c r="G78" s="64"/>
      <c r="H78" s="64"/>
      <c r="I78" s="64"/>
      <c r="J78" s="64"/>
      <c r="K78" s="64"/>
      <c r="L78" s="64"/>
      <c r="M78" s="64"/>
      <c r="N78" s="64"/>
      <c r="O78" s="247"/>
      <c r="P78" s="194"/>
      <c r="Q78" s="247"/>
      <c r="R78" s="128"/>
      <c r="T78" s="33"/>
      <c r="AL78" s="27"/>
      <c r="BA78" s="154" t="str">
        <f>IF($BC$33=2,Klima!U87,"")</f>
        <v/>
      </c>
      <c r="BB78" s="64">
        <v>47</v>
      </c>
      <c r="BC78" s="128"/>
    </row>
    <row r="79" spans="2:55" ht="15" customHeight="1">
      <c r="B79" s="154"/>
      <c r="C79" s="2143" t="str">
        <f>Uebersetzung!D97</f>
        <v>Dalle de balcon:</v>
      </c>
      <c r="D79" s="2143"/>
      <c r="E79" s="2143"/>
      <c r="F79" s="663"/>
      <c r="G79" s="2162"/>
      <c r="H79" s="2162"/>
      <c r="I79" s="2162"/>
      <c r="J79" s="2162"/>
      <c r="K79" s="2163"/>
      <c r="L79" s="226"/>
      <c r="M79" s="64" t="s">
        <v>808</v>
      </c>
      <c r="N79" s="228"/>
      <c r="O79" s="247" t="s">
        <v>1190</v>
      </c>
      <c r="P79" s="294">
        <f>IF(N79,IF(AV42&gt;1,"Doppelt!",N79),IF(AV42=1,0,INDEX(Bauteile!Q88:Q102,AV42,)))</f>
        <v>0</v>
      </c>
      <c r="Q79" s="247" t="s">
        <v>1190</v>
      </c>
      <c r="R79" s="128"/>
      <c r="AL79" s="27"/>
      <c r="BA79" s="154" t="str">
        <f>IF($BC$33=2,Klima!U88,"")</f>
        <v/>
      </c>
      <c r="BB79" s="64">
        <v>48</v>
      </c>
      <c r="BC79" s="128"/>
    </row>
    <row r="80" spans="2:55" ht="4.9000000000000004" customHeight="1">
      <c r="B80" s="154"/>
      <c r="C80" s="208"/>
      <c r="D80" s="64"/>
      <c r="E80" s="64"/>
      <c r="F80" s="64"/>
      <c r="G80" s="64"/>
      <c r="H80" s="64"/>
      <c r="I80" s="64"/>
      <c r="J80" s="64"/>
      <c r="K80" s="64"/>
      <c r="L80" s="64"/>
      <c r="M80" s="64"/>
      <c r="N80" s="64"/>
      <c r="O80" s="247"/>
      <c r="P80" s="194"/>
      <c r="Q80" s="247"/>
      <c r="R80" s="128"/>
      <c r="T80" s="33"/>
      <c r="AL80" s="27"/>
      <c r="BA80" s="154" t="str">
        <f>IF($BC$33=2,Klima!U89,"")</f>
        <v/>
      </c>
      <c r="BB80" s="64">
        <v>49</v>
      </c>
      <c r="BC80" s="128"/>
    </row>
    <row r="81" spans="2:55" ht="15" customHeight="1">
      <c r="B81" s="154"/>
      <c r="C81" s="2144" t="str">
        <f>Uebersetzung!D98</f>
        <v>Appui fenêtre / mur:</v>
      </c>
      <c r="D81" s="2144"/>
      <c r="E81" s="2144"/>
      <c r="F81" s="663"/>
      <c r="G81" s="2162"/>
      <c r="H81" s="2162"/>
      <c r="I81" s="2162"/>
      <c r="J81" s="2162"/>
      <c r="K81" s="2163"/>
      <c r="L81" s="226">
        <f>3*(Fenster!H27+Fenster!H50+Fenster!H73+Fenster!H96+Fenster!H119)</f>
        <v>0</v>
      </c>
      <c r="M81" s="64" t="s">
        <v>1320</v>
      </c>
      <c r="N81" s="228"/>
      <c r="O81" s="247" t="s">
        <v>1190</v>
      </c>
      <c r="P81" s="294">
        <f>IF(N81,IF(AV43&gt;1,"Doppelt!",N81),IF(AV43=1,0,INDEX(Bauteile!Q104:Q118,AV43,)))</f>
        <v>0</v>
      </c>
      <c r="Q81" s="247" t="s">
        <v>1190</v>
      </c>
      <c r="R81" s="128"/>
      <c r="AL81" s="27"/>
      <c r="BA81" s="154" t="str">
        <f>IF($BC$33=2,Klima!U90,"")</f>
        <v/>
      </c>
      <c r="BB81" s="64">
        <v>50</v>
      </c>
      <c r="BC81" s="128"/>
    </row>
    <row r="82" spans="2:55" ht="4.9000000000000004" customHeight="1">
      <c r="B82" s="154"/>
      <c r="C82" s="208"/>
      <c r="D82" s="64"/>
      <c r="E82" s="64"/>
      <c r="F82" s="64"/>
      <c r="G82" s="64"/>
      <c r="H82" s="64"/>
      <c r="I82" s="64"/>
      <c r="J82" s="64"/>
      <c r="K82" s="64"/>
      <c r="L82" s="64"/>
      <c r="M82" s="64"/>
      <c r="N82" s="64"/>
      <c r="O82" s="247"/>
      <c r="P82" s="194"/>
      <c r="Q82" s="247"/>
      <c r="R82" s="128"/>
      <c r="T82" s="33"/>
      <c r="AL82" s="27"/>
      <c r="BA82" s="154" t="str">
        <f>IF($BC$33=2,Klima!U91,"")</f>
        <v/>
      </c>
      <c r="BB82" s="64">
        <v>51</v>
      </c>
      <c r="BC82" s="128"/>
    </row>
    <row r="83" spans="2:55" ht="15" customHeight="1">
      <c r="B83" s="154"/>
      <c r="C83" s="2143" t="str">
        <f>Uebersetzung!D99</f>
        <v>Sol / mur de cave:</v>
      </c>
      <c r="D83" s="2143"/>
      <c r="E83" s="2143"/>
      <c r="F83" s="663"/>
      <c r="G83" s="2162"/>
      <c r="H83" s="2162"/>
      <c r="I83" s="2162"/>
      <c r="J83" s="2162"/>
      <c r="K83" s="2163"/>
      <c r="L83" s="226"/>
      <c r="M83" s="64" t="s">
        <v>808</v>
      </c>
      <c r="N83" s="228"/>
      <c r="O83" s="247" t="s">
        <v>1190</v>
      </c>
      <c r="P83" s="294">
        <f>IF(N83,IF(AV44&gt;1,"Doppelt!",N83),IF(AV44=1,0,INDEX(Bauteile!Q120:Q134,AV44,)))</f>
        <v>0</v>
      </c>
      <c r="Q83" s="247" t="s">
        <v>1190</v>
      </c>
      <c r="R83" s="128"/>
      <c r="BA83" s="154" t="str">
        <f>IF($BC$33=2,Klima!U92,"")</f>
        <v/>
      </c>
      <c r="BB83" s="64">
        <v>52</v>
      </c>
      <c r="BC83" s="128"/>
    </row>
    <row r="84" spans="2:55" ht="4.9000000000000004" customHeight="1">
      <c r="B84" s="154"/>
      <c r="C84" s="208"/>
      <c r="D84" s="64"/>
      <c r="E84" s="64"/>
      <c r="F84" s="64"/>
      <c r="G84" s="64"/>
      <c r="H84" s="64"/>
      <c r="I84" s="64"/>
      <c r="J84" s="64"/>
      <c r="K84" s="64"/>
      <c r="L84" s="64"/>
      <c r="M84" s="64"/>
      <c r="N84" s="64"/>
      <c r="O84" s="247"/>
      <c r="P84" s="194"/>
      <c r="Q84" s="247"/>
      <c r="R84" s="128"/>
      <c r="T84" s="33"/>
      <c r="AL84" s="27"/>
      <c r="BA84" s="154" t="str">
        <f>IF($BC$33=2,Klima!U93,"")</f>
        <v/>
      </c>
      <c r="BB84" s="64">
        <v>53</v>
      </c>
      <c r="BC84" s="128"/>
    </row>
    <row r="85" spans="2:55" ht="15" customHeight="1">
      <c r="B85" s="154"/>
      <c r="C85" s="2143" t="str">
        <f>Uebersetzung!D100</f>
        <v>caisson de volet roulant:</v>
      </c>
      <c r="D85" s="2143"/>
      <c r="E85" s="2143"/>
      <c r="F85" s="663"/>
      <c r="G85" s="2162"/>
      <c r="H85" s="2162"/>
      <c r="I85" s="2162"/>
      <c r="J85" s="2162"/>
      <c r="K85" s="2163"/>
      <c r="L85" s="226"/>
      <c r="M85" s="64" t="s">
        <v>808</v>
      </c>
      <c r="N85" s="228"/>
      <c r="O85" s="247" t="s">
        <v>1190</v>
      </c>
      <c r="P85" s="294">
        <f>IF(N85,IF(AV46&gt;1,"Doppelt!",N85),IF(AV46=1,0,INDEX(Bauteile!Q152:Q166,AV46,)))</f>
        <v>0</v>
      </c>
      <c r="Q85" s="247" t="s">
        <v>1190</v>
      </c>
      <c r="R85" s="128"/>
      <c r="AL85" s="27"/>
      <c r="BA85" s="154" t="str">
        <f>IF($BC$33=2,Klima!U94,"")</f>
        <v/>
      </c>
      <c r="BB85" s="64">
        <v>54</v>
      </c>
      <c r="BC85" s="128"/>
    </row>
    <row r="86" spans="2:55" ht="4.9000000000000004" customHeight="1">
      <c r="B86" s="154"/>
      <c r="C86" s="208"/>
      <c r="D86" s="64"/>
      <c r="E86" s="64"/>
      <c r="F86" s="64"/>
      <c r="G86" s="64"/>
      <c r="H86" s="64"/>
      <c r="I86" s="64"/>
      <c r="J86" s="64"/>
      <c r="K86" s="64"/>
      <c r="L86" s="64"/>
      <c r="M86" s="64"/>
      <c r="N86" s="64"/>
      <c r="O86" s="247"/>
      <c r="P86" s="194"/>
      <c r="Q86" s="247"/>
      <c r="R86" s="128"/>
      <c r="AL86" s="27"/>
      <c r="BA86" s="154" t="str">
        <f>IF($BC$33=2,Klima!U95,"")</f>
        <v/>
      </c>
      <c r="BB86" s="64">
        <v>55</v>
      </c>
      <c r="BC86" s="128"/>
    </row>
    <row r="87" spans="2:55" ht="15" customHeight="1">
      <c r="B87" s="154"/>
      <c r="C87" s="2143" t="str">
        <f>Uebersetzung!D101</f>
        <v>Piliers, supports:</v>
      </c>
      <c r="D87" s="2143"/>
      <c r="E87" s="2143"/>
      <c r="F87" s="663"/>
      <c r="G87" s="2162"/>
      <c r="H87" s="2162"/>
      <c r="I87" s="2162"/>
      <c r="J87" s="2162"/>
      <c r="K87" s="2163"/>
      <c r="L87" s="226"/>
      <c r="M87" s="64" t="s">
        <v>1816</v>
      </c>
      <c r="N87" s="228"/>
      <c r="O87" s="247" t="s">
        <v>46</v>
      </c>
      <c r="P87" s="294">
        <f>IF(N87,IF(AV45&gt;1,"Doppelt!",N87),IF(AV45=1,0,INDEX(Bauteile!Q136:Q150,AV45,)))</f>
        <v>0</v>
      </c>
      <c r="Q87" s="247" t="s">
        <v>46</v>
      </c>
      <c r="R87" s="128"/>
      <c r="AL87" s="27"/>
      <c r="BA87" s="154" t="str">
        <f>IF($BC$33=2,Klima!U96,"")</f>
        <v/>
      </c>
      <c r="BB87" s="64">
        <v>56</v>
      </c>
      <c r="BC87" s="128"/>
    </row>
    <row r="88" spans="2:55" ht="15" customHeight="1">
      <c r="B88" s="155"/>
      <c r="C88" s="35"/>
      <c r="D88" s="35"/>
      <c r="E88" s="35"/>
      <c r="F88" s="35"/>
      <c r="G88" s="35"/>
      <c r="H88" s="35"/>
      <c r="I88" s="35"/>
      <c r="J88" s="35"/>
      <c r="K88" s="35"/>
      <c r="L88" s="1374" t="str">
        <f>Uebersetzung!D102</f>
        <v>**  Longeur des appuis fenêtre / mur: 3m/m2</v>
      </c>
      <c r="M88" s="35"/>
      <c r="N88" s="35"/>
      <c r="O88" s="35"/>
      <c r="P88" s="35"/>
      <c r="Q88" s="35"/>
      <c r="R88" s="127"/>
      <c r="AL88" s="27"/>
      <c r="BA88" s="154" t="str">
        <f>IF($BC$33=2,Klima!U97,"")</f>
        <v/>
      </c>
      <c r="BB88" s="64">
        <v>57</v>
      </c>
      <c r="BC88" s="128"/>
    </row>
    <row r="89" spans="2:55">
      <c r="BA89" s="154" t="str">
        <f>IF($BC$33=2,Klima!U98,"")</f>
        <v/>
      </c>
      <c r="BB89" s="64">
        <v>58</v>
      </c>
      <c r="BC89" s="128"/>
    </row>
    <row r="90" spans="2:55">
      <c r="I90" s="265"/>
      <c r="AL90" s="27"/>
      <c r="BA90" s="154" t="str">
        <f>IF($BC$33=2,Klima!U99,"")</f>
        <v/>
      </c>
      <c r="BB90" s="64">
        <v>59</v>
      </c>
      <c r="BC90" s="128"/>
    </row>
    <row r="91" spans="2:55">
      <c r="I91" s="265"/>
      <c r="BA91" s="154" t="str">
        <f>IF($BC$33=2,Klima!U100,"")</f>
        <v/>
      </c>
      <c r="BB91" s="64">
        <v>60</v>
      </c>
      <c r="BC91" s="128"/>
    </row>
    <row r="92" spans="2:55">
      <c r="AL92" s="27"/>
      <c r="BA92" s="154" t="str">
        <f>IF($BC$33=2,Klima!U101,"")</f>
        <v/>
      </c>
      <c r="BB92" s="64">
        <v>61</v>
      </c>
      <c r="BC92" s="128"/>
    </row>
    <row r="93" spans="2:55">
      <c r="BA93" s="154" t="str">
        <f>IF($BC$33=2,Klima!U102,"")</f>
        <v/>
      </c>
      <c r="BB93" s="64">
        <v>62</v>
      </c>
      <c r="BC93" s="128"/>
    </row>
    <row r="94" spans="2:55">
      <c r="E94" s="64"/>
      <c r="F94" s="64"/>
      <c r="G94" s="64"/>
      <c r="H94" s="64"/>
      <c r="I94" s="64"/>
      <c r="J94" s="64"/>
      <c r="K94" s="64"/>
      <c r="L94" s="64"/>
      <c r="M94" s="64"/>
      <c r="N94" s="64"/>
      <c r="O94" s="64"/>
      <c r="P94" s="64"/>
      <c r="AL94" s="27"/>
      <c r="BA94" s="154" t="str">
        <f>IF($BC$33=2,Klima!U103,"")</f>
        <v/>
      </c>
      <c r="BB94" s="64">
        <v>63</v>
      </c>
      <c r="BC94" s="128"/>
    </row>
    <row r="95" spans="2:55">
      <c r="E95" s="64"/>
      <c r="F95" s="64"/>
      <c r="G95" s="64"/>
      <c r="H95" s="64"/>
      <c r="I95" s="64"/>
      <c r="J95" s="64"/>
      <c r="K95" s="64"/>
      <c r="L95" s="64"/>
      <c r="M95" s="64"/>
      <c r="N95" s="64"/>
      <c r="O95" s="64"/>
      <c r="P95" s="64"/>
      <c r="AL95" s="27"/>
      <c r="BA95" s="154" t="str">
        <f>IF($BC$33=2,Klima!U104,"")</f>
        <v/>
      </c>
      <c r="BB95" s="64">
        <v>64</v>
      </c>
      <c r="BC95" s="128"/>
    </row>
    <row r="96" spans="2:55">
      <c r="E96" s="64"/>
      <c r="F96" s="64"/>
      <c r="G96" s="64"/>
      <c r="H96" s="64"/>
      <c r="I96" s="64"/>
      <c r="J96" s="64"/>
      <c r="K96" s="64"/>
      <c r="L96" s="64"/>
      <c r="M96" s="64"/>
      <c r="N96" s="64"/>
      <c r="O96" s="64"/>
      <c r="P96" s="64"/>
      <c r="BA96" s="154" t="str">
        <f>IF($BC$33=2,Klima!U105,"")</f>
        <v/>
      </c>
      <c r="BB96" s="64">
        <v>65</v>
      </c>
      <c r="BC96" s="128"/>
    </row>
    <row r="97" spans="2:55">
      <c r="E97" s="64"/>
      <c r="F97" s="64"/>
      <c r="G97" s="64"/>
      <c r="H97" s="64"/>
      <c r="I97" s="64"/>
      <c r="J97" s="64"/>
      <c r="K97" s="64"/>
      <c r="L97" s="64"/>
      <c r="M97" s="64"/>
      <c r="N97" s="64"/>
      <c r="O97" s="64"/>
      <c r="P97" s="64"/>
      <c r="AL97" s="27"/>
      <c r="BA97" s="154" t="str">
        <f>IF($BC$33=2,Klima!U106,"")</f>
        <v/>
      </c>
      <c r="BB97" s="64">
        <v>66</v>
      </c>
      <c r="BC97" s="128"/>
    </row>
    <row r="98" spans="2:55">
      <c r="E98" s="64"/>
      <c r="F98" s="64"/>
      <c r="G98" s="64"/>
      <c r="H98" s="64"/>
      <c r="I98" s="64"/>
      <c r="J98" s="64"/>
      <c r="K98" s="64"/>
      <c r="L98" s="64"/>
      <c r="M98" s="64"/>
      <c r="N98" s="64"/>
      <c r="O98" s="64"/>
      <c r="P98" s="64"/>
      <c r="AL98" s="27"/>
      <c r="BA98" s="154" t="str">
        <f>IF($BC$33=2,Klima!U107,"")</f>
        <v/>
      </c>
      <c r="BB98" s="64">
        <v>67</v>
      </c>
      <c r="BC98" s="128"/>
    </row>
    <row r="99" spans="2:55">
      <c r="E99" s="64"/>
      <c r="F99" s="64"/>
      <c r="G99" s="64"/>
      <c r="H99" s="64"/>
      <c r="I99" s="64"/>
      <c r="J99" s="64"/>
      <c r="K99" s="64"/>
      <c r="L99" s="64"/>
      <c r="M99" s="64"/>
      <c r="N99" s="64"/>
      <c r="O99" s="64"/>
      <c r="P99" s="64"/>
      <c r="AL99" s="27"/>
      <c r="BA99" s="154" t="str">
        <f>IF($BC$33=2,Klima!U108,"")</f>
        <v/>
      </c>
      <c r="BB99" s="64">
        <v>68</v>
      </c>
      <c r="BC99" s="128"/>
    </row>
    <row r="100" spans="2:55">
      <c r="C100" s="64"/>
      <c r="D100" s="64"/>
      <c r="E100" s="64"/>
      <c r="F100" s="64"/>
      <c r="G100" s="64"/>
      <c r="H100" s="64"/>
      <c r="O100" s="64"/>
      <c r="P100" s="64"/>
      <c r="AL100" s="342"/>
      <c r="BA100" s="154" t="str">
        <f>IF($BC$33=2,Klima!U109,"")</f>
        <v/>
      </c>
      <c r="BB100" s="64">
        <v>69</v>
      </c>
      <c r="BC100" s="128"/>
    </row>
    <row r="101" spans="2:55">
      <c r="O101" s="64"/>
      <c r="P101" s="64"/>
      <c r="AL101" s="342"/>
      <c r="BA101" s="154" t="str">
        <f>IF($BC$33=2,Klima!U110,"")</f>
        <v/>
      </c>
      <c r="BB101" s="64">
        <v>70</v>
      </c>
      <c r="BC101" s="128"/>
    </row>
    <row r="102" spans="2:55">
      <c r="O102" s="64"/>
      <c r="P102" s="64"/>
      <c r="AL102" s="342"/>
      <c r="BA102" s="154" t="str">
        <f>IF($BC$33=2,Klima!U111,"")</f>
        <v/>
      </c>
      <c r="BB102" s="64">
        <v>71</v>
      </c>
      <c r="BC102" s="128"/>
    </row>
    <row r="103" spans="2:55" ht="15.75">
      <c r="B103" s="38"/>
      <c r="O103" s="64"/>
      <c r="P103" s="64"/>
      <c r="AL103" s="342"/>
      <c r="BA103" s="154" t="str">
        <f>IF($BC$33=2,Klima!U112,"")</f>
        <v/>
      </c>
      <c r="BB103" s="64">
        <v>72</v>
      </c>
      <c r="BC103" s="128"/>
    </row>
    <row r="104" spans="2:55">
      <c r="O104" s="64"/>
      <c r="P104" s="64"/>
      <c r="AL104" s="342"/>
      <c r="BA104" s="154" t="str">
        <f>IF($BC$33=2,Klima!U113,"")</f>
        <v/>
      </c>
      <c r="BB104" s="64">
        <v>73</v>
      </c>
      <c r="BC104" s="128"/>
    </row>
    <row r="105" spans="2:55">
      <c r="O105" s="64"/>
      <c r="P105" s="64"/>
      <c r="AL105" s="342"/>
      <c r="BA105" s="154" t="str">
        <f>IF($BC$33=2,Klima!U114,"")</f>
        <v/>
      </c>
      <c r="BB105" s="64">
        <v>74</v>
      </c>
      <c r="BC105" s="128"/>
    </row>
    <row r="106" spans="2:55">
      <c r="O106" s="64"/>
      <c r="P106" s="64"/>
      <c r="BA106" s="154" t="str">
        <f>IF($BC$33=2,Klima!U115,"")</f>
        <v/>
      </c>
      <c r="BB106" s="64">
        <v>75</v>
      </c>
      <c r="BC106" s="128"/>
    </row>
    <row r="107" spans="2:55">
      <c r="O107" s="64"/>
      <c r="P107" s="64"/>
      <c r="BA107" s="154" t="str">
        <f>IF($BC$33=2,Klima!U116,"")</f>
        <v/>
      </c>
      <c r="BB107" s="64">
        <v>76</v>
      </c>
      <c r="BC107" s="128"/>
    </row>
    <row r="108" spans="2:55">
      <c r="O108" s="64"/>
      <c r="P108" s="64"/>
      <c r="BA108" s="154" t="str">
        <f>IF($BC$33=2,Klima!U117,"")</f>
        <v/>
      </c>
      <c r="BB108" s="64">
        <v>77</v>
      </c>
      <c r="BC108" s="128"/>
    </row>
    <row r="109" spans="2:55">
      <c r="O109" s="64"/>
      <c r="P109" s="64"/>
      <c r="BA109" s="154" t="str">
        <f>IF($BC$33=2,Klima!U118,"")</f>
        <v/>
      </c>
      <c r="BB109" s="64">
        <v>78</v>
      </c>
      <c r="BC109" s="128"/>
    </row>
    <row r="110" spans="2:55">
      <c r="O110" s="64"/>
      <c r="P110" s="64"/>
      <c r="BA110" s="154" t="str">
        <f>IF($BC$33=2,Klima!U119,"")</f>
        <v/>
      </c>
      <c r="BB110" s="64">
        <v>79</v>
      </c>
      <c r="BC110" s="128"/>
    </row>
    <row r="111" spans="2:55">
      <c r="O111" s="64"/>
      <c r="P111" s="64"/>
      <c r="BA111" s="154" t="str">
        <f>IF($BC$33=2,Klima!U120,"")</f>
        <v/>
      </c>
      <c r="BB111" s="64">
        <v>80</v>
      </c>
      <c r="BC111" s="128"/>
    </row>
    <row r="112" spans="2:55">
      <c r="O112" s="64"/>
      <c r="P112" s="64"/>
      <c r="BA112" s="154" t="str">
        <f>IF($BC$33=2,Klima!U121,"")</f>
        <v/>
      </c>
      <c r="BB112" s="64">
        <v>81</v>
      </c>
      <c r="BC112" s="128"/>
    </row>
    <row r="113" spans="3:55">
      <c r="BA113" s="154" t="str">
        <f>IF($BC$33=2,Klima!U122,"")</f>
        <v/>
      </c>
      <c r="BB113" s="64">
        <v>82</v>
      </c>
      <c r="BC113" s="128"/>
    </row>
    <row r="114" spans="3:55">
      <c r="C114" s="36"/>
      <c r="D114" s="36"/>
      <c r="E114" s="36"/>
      <c r="F114" s="36"/>
      <c r="G114" s="36"/>
      <c r="H114" s="36"/>
      <c r="I114" s="36"/>
      <c r="J114" s="36"/>
      <c r="BA114" s="154" t="str">
        <f>IF($BC$33=2,Klima!U123,"")</f>
        <v/>
      </c>
      <c r="BB114" s="64">
        <v>83</v>
      </c>
      <c r="BC114" s="128"/>
    </row>
    <row r="115" spans="3:55">
      <c r="C115" s="36"/>
      <c r="D115" s="36"/>
      <c r="E115" s="36"/>
      <c r="F115" s="36"/>
      <c r="G115" s="36"/>
      <c r="H115" s="36"/>
      <c r="I115" s="36"/>
      <c r="J115" s="36"/>
      <c r="BA115" s="154" t="str">
        <f>IF($BC$33=2,Klima!U124,"")</f>
        <v/>
      </c>
      <c r="BB115" s="64">
        <v>84</v>
      </c>
      <c r="BC115" s="128"/>
    </row>
    <row r="116" spans="3:55">
      <c r="C116" s="36"/>
      <c r="D116" s="36"/>
      <c r="E116" s="36"/>
      <c r="F116" s="36"/>
      <c r="G116" s="36"/>
      <c r="H116" s="36"/>
      <c r="I116" s="36"/>
      <c r="J116" s="36"/>
      <c r="BA116" s="154" t="str">
        <f>IF($BC$33=2,Klima!U125,"")</f>
        <v/>
      </c>
      <c r="BB116" s="64">
        <v>85</v>
      </c>
      <c r="BC116" s="128"/>
    </row>
    <row r="117" spans="3:55">
      <c r="C117" s="36"/>
      <c r="D117" s="36"/>
      <c r="E117" s="36"/>
      <c r="F117" s="36"/>
      <c r="G117" s="36"/>
      <c r="H117" s="36"/>
      <c r="I117" s="36"/>
      <c r="J117" s="36"/>
      <c r="BA117" s="154" t="str">
        <f>IF($BC$33=2,Klima!U126,"")</f>
        <v/>
      </c>
      <c r="BB117" s="64">
        <v>86</v>
      </c>
      <c r="BC117" s="128"/>
    </row>
    <row r="118" spans="3:55">
      <c r="C118" s="36"/>
      <c r="D118" s="36"/>
      <c r="E118" s="36"/>
      <c r="F118" s="36"/>
      <c r="G118" s="36"/>
      <c r="H118" s="36"/>
      <c r="I118" s="36"/>
      <c r="J118" s="36"/>
      <c r="BA118" s="154" t="str">
        <f>IF($BC$33=2,Klima!U127,"")</f>
        <v/>
      </c>
      <c r="BB118" s="64">
        <v>87</v>
      </c>
      <c r="BC118" s="128"/>
    </row>
    <row r="119" spans="3:55">
      <c r="C119" s="36"/>
      <c r="D119" s="36"/>
      <c r="E119" s="36"/>
      <c r="F119" s="36"/>
      <c r="G119" s="36"/>
      <c r="H119" s="36"/>
      <c r="I119" s="36"/>
      <c r="J119" s="36"/>
      <c r="BA119" s="154" t="str">
        <f>IF($BC$33=2,Klima!U128,"")</f>
        <v/>
      </c>
      <c r="BB119" s="64">
        <v>88</v>
      </c>
      <c r="BC119" s="128"/>
    </row>
    <row r="120" spans="3:55">
      <c r="C120" s="36"/>
      <c r="D120" s="36"/>
      <c r="E120" s="36"/>
      <c r="F120" s="36"/>
      <c r="G120" s="36"/>
      <c r="H120" s="36"/>
      <c r="I120" s="36"/>
      <c r="J120" s="36"/>
      <c r="K120" s="36"/>
      <c r="BA120" s="154" t="str">
        <f>IF($BC$33=2,Klima!U129,"")</f>
        <v/>
      </c>
      <c r="BB120" s="64">
        <v>89</v>
      </c>
      <c r="BC120" s="128"/>
    </row>
    <row r="121" spans="3:55">
      <c r="C121" s="36"/>
      <c r="D121" s="36"/>
      <c r="E121" s="36"/>
      <c r="F121" s="36"/>
      <c r="G121" s="36"/>
      <c r="H121" s="36"/>
      <c r="I121" s="36"/>
      <c r="J121" s="36"/>
      <c r="K121" s="36"/>
      <c r="BA121" s="154" t="str">
        <f>IF($BC$33=2,Klima!U130,"")</f>
        <v/>
      </c>
      <c r="BB121" s="64">
        <v>90</v>
      </c>
      <c r="BC121" s="128"/>
    </row>
    <row r="122" spans="3:55">
      <c r="C122" s="36"/>
      <c r="D122" s="36"/>
      <c r="E122" s="36"/>
      <c r="F122" s="36"/>
      <c r="G122" s="36"/>
      <c r="H122" s="36"/>
      <c r="I122" s="36"/>
      <c r="J122" s="36"/>
      <c r="K122" s="36"/>
      <c r="BA122" s="154" t="str">
        <f>IF($BC$33=2,Klima!U131,"")</f>
        <v/>
      </c>
      <c r="BB122" s="64">
        <v>91</v>
      </c>
      <c r="BC122" s="128"/>
    </row>
    <row r="123" spans="3:55">
      <c r="C123" s="36"/>
      <c r="D123" s="36"/>
      <c r="E123" s="36"/>
      <c r="F123" s="36"/>
      <c r="G123" s="36"/>
      <c r="H123" s="36"/>
      <c r="I123" s="36"/>
      <c r="J123" s="36"/>
      <c r="K123" s="36"/>
      <c r="BA123" s="154" t="str">
        <f>IF($BC$33=2,Klima!U132,"")</f>
        <v/>
      </c>
      <c r="BB123" s="64">
        <v>92</v>
      </c>
      <c r="BC123" s="128"/>
    </row>
    <row r="124" spans="3:55">
      <c r="C124" s="36"/>
      <c r="D124" s="36"/>
      <c r="E124" s="36"/>
      <c r="F124" s="36"/>
      <c r="G124" s="36"/>
      <c r="H124" s="36"/>
      <c r="I124" s="36"/>
      <c r="J124" s="36"/>
      <c r="K124" s="36"/>
      <c r="BA124" s="154" t="str">
        <f>IF($BC$33=2,Klima!U133,"")</f>
        <v/>
      </c>
      <c r="BB124" s="64">
        <v>93</v>
      </c>
      <c r="BC124" s="128"/>
    </row>
    <row r="125" spans="3:55">
      <c r="C125" s="36"/>
      <c r="D125" s="36"/>
      <c r="E125" s="36"/>
      <c r="F125" s="36"/>
      <c r="G125" s="36"/>
      <c r="H125" s="36"/>
      <c r="I125" s="36"/>
      <c r="J125" s="36"/>
      <c r="K125" s="36"/>
      <c r="BA125" s="154" t="str">
        <f>IF($BC$33=2,Klima!U134,"")</f>
        <v/>
      </c>
      <c r="BB125" s="64">
        <v>94</v>
      </c>
      <c r="BC125" s="128"/>
    </row>
    <row r="126" spans="3:55">
      <c r="C126" s="36"/>
      <c r="D126" s="36"/>
      <c r="E126" s="36"/>
      <c r="F126" s="36"/>
      <c r="G126" s="36"/>
      <c r="H126" s="36"/>
      <c r="I126" s="36"/>
      <c r="J126" s="36"/>
      <c r="K126" s="36"/>
      <c r="BA126" s="154" t="str">
        <f>IF($BC$33=2,Klima!U135,"")</f>
        <v/>
      </c>
      <c r="BB126" s="64">
        <v>95</v>
      </c>
      <c r="BC126" s="128"/>
    </row>
    <row r="127" spans="3:55">
      <c r="C127" s="36"/>
      <c r="D127" s="36"/>
      <c r="E127" s="36"/>
      <c r="F127" s="36"/>
      <c r="G127" s="36"/>
      <c r="H127" s="36"/>
      <c r="I127" s="36"/>
      <c r="J127" s="36"/>
      <c r="K127" s="36"/>
      <c r="BA127" s="154" t="str">
        <f>IF($BC$33=2,Klima!U136,"")</f>
        <v/>
      </c>
      <c r="BB127" s="64">
        <v>96</v>
      </c>
      <c r="BC127" s="128"/>
    </row>
    <row r="128" spans="3:55">
      <c r="C128" s="36"/>
      <c r="D128" s="36"/>
      <c r="E128" s="36"/>
      <c r="F128" s="36"/>
      <c r="G128" s="36"/>
      <c r="H128" s="36"/>
      <c r="I128" s="36"/>
      <c r="J128" s="36"/>
      <c r="K128" s="36"/>
      <c r="BA128" s="154" t="str">
        <f>IF($BC$33=2,Klima!U137,"")</f>
        <v/>
      </c>
      <c r="BB128" s="64">
        <v>97</v>
      </c>
      <c r="BC128" s="128"/>
    </row>
    <row r="129" spans="3:55">
      <c r="C129" s="36"/>
      <c r="D129" s="36"/>
      <c r="E129" s="36"/>
      <c r="F129" s="36"/>
      <c r="G129" s="36"/>
      <c r="H129" s="36"/>
      <c r="I129" s="36"/>
      <c r="J129" s="36"/>
      <c r="K129" s="36"/>
      <c r="BA129" s="154" t="str">
        <f>IF($BC$33=2,Klima!U138,"")</f>
        <v/>
      </c>
      <c r="BB129" s="64">
        <v>98</v>
      </c>
      <c r="BC129" s="128"/>
    </row>
    <row r="130" spans="3:55">
      <c r="C130" s="36"/>
      <c r="D130" s="36"/>
      <c r="E130" s="36"/>
      <c r="F130" s="36"/>
      <c r="G130" s="36"/>
      <c r="H130" s="36"/>
      <c r="I130" s="36"/>
      <c r="J130" s="36"/>
      <c r="K130" s="36"/>
      <c r="BA130" s="154" t="str">
        <f>IF($BC$33=2,Klima!U139,"")</f>
        <v/>
      </c>
      <c r="BB130" s="64">
        <v>99</v>
      </c>
      <c r="BC130" s="128"/>
    </row>
    <row r="131" spans="3:55">
      <c r="C131" s="36"/>
      <c r="D131" s="36"/>
      <c r="E131" s="36"/>
      <c r="F131" s="36"/>
      <c r="G131" s="36"/>
      <c r="H131" s="36"/>
      <c r="I131" s="36"/>
      <c r="J131" s="36"/>
      <c r="K131" s="36"/>
      <c r="BA131" s="154" t="str">
        <f>IF($BC$33=2,Klima!U140,"")</f>
        <v/>
      </c>
      <c r="BB131" s="64">
        <v>100</v>
      </c>
      <c r="BC131" s="128"/>
    </row>
    <row r="132" spans="3:55">
      <c r="C132" s="36"/>
      <c r="D132" s="36"/>
      <c r="E132" s="36"/>
      <c r="F132" s="36"/>
      <c r="G132" s="36"/>
      <c r="H132" s="36"/>
      <c r="I132" s="36"/>
      <c r="J132" s="36"/>
      <c r="K132" s="36"/>
      <c r="BA132" s="154" t="str">
        <f>IF($BC$33=2,Klima!U141,"")</f>
        <v/>
      </c>
      <c r="BB132" s="64">
        <v>101</v>
      </c>
      <c r="BC132" s="128"/>
    </row>
    <row r="133" spans="3:55">
      <c r="C133" s="36"/>
      <c r="D133" s="36"/>
      <c r="E133" s="36"/>
      <c r="F133" s="36"/>
      <c r="G133" s="36"/>
      <c r="H133" s="36"/>
      <c r="I133" s="36"/>
      <c r="J133" s="36"/>
      <c r="K133" s="36"/>
      <c r="BA133" s="154" t="str">
        <f>IF($BC$33=2,Klima!U142,"")</f>
        <v/>
      </c>
      <c r="BB133" s="64">
        <v>102</v>
      </c>
      <c r="BC133" s="128"/>
    </row>
    <row r="134" spans="3:55">
      <c r="C134" s="36"/>
      <c r="D134" s="36"/>
      <c r="E134" s="36"/>
      <c r="F134" s="36"/>
      <c r="G134" s="36"/>
      <c r="H134" s="36"/>
      <c r="I134" s="36"/>
      <c r="J134" s="36"/>
      <c r="K134" s="36"/>
      <c r="BA134" s="154" t="str">
        <f>IF($BC$33=2,Klima!U143,"")</f>
        <v/>
      </c>
      <c r="BB134" s="64">
        <v>103</v>
      </c>
      <c r="BC134" s="128"/>
    </row>
    <row r="135" spans="3:55">
      <c r="C135" s="36"/>
      <c r="D135" s="36"/>
      <c r="E135" s="36"/>
      <c r="F135" s="36"/>
      <c r="G135" s="36"/>
      <c r="H135" s="36"/>
      <c r="I135" s="36"/>
      <c r="J135" s="36"/>
      <c r="BA135" s="154" t="str">
        <f>IF($BC$33=2,Klima!U144,"")</f>
        <v/>
      </c>
      <c r="BB135" s="64">
        <v>104</v>
      </c>
      <c r="BC135" s="128"/>
    </row>
    <row r="136" spans="3:55">
      <c r="C136" s="36"/>
      <c r="D136" s="36"/>
      <c r="E136" s="36"/>
      <c r="F136" s="36"/>
      <c r="G136" s="36"/>
      <c r="H136" s="36"/>
      <c r="I136" s="36"/>
      <c r="J136" s="36"/>
      <c r="BA136" s="154" t="str">
        <f>IF($BC$33=2,Klima!U145,"")</f>
        <v/>
      </c>
      <c r="BB136" s="64">
        <v>105</v>
      </c>
      <c r="BC136" s="128"/>
    </row>
    <row r="137" spans="3:55">
      <c r="C137" s="36"/>
      <c r="D137" s="36"/>
      <c r="E137" s="36"/>
      <c r="F137" s="36"/>
      <c r="G137" s="36"/>
      <c r="H137" s="36"/>
      <c r="I137" s="36"/>
      <c r="J137" s="36"/>
      <c r="BA137" s="154" t="str">
        <f>IF($BC$33=2,Klima!U146,"")</f>
        <v/>
      </c>
      <c r="BB137" s="64">
        <v>106</v>
      </c>
      <c r="BC137" s="128"/>
    </row>
    <row r="138" spans="3:55">
      <c r="C138" s="36"/>
      <c r="D138" s="36"/>
      <c r="E138" s="36"/>
      <c r="F138" s="36"/>
      <c r="G138" s="36"/>
      <c r="H138" s="36"/>
      <c r="I138" s="36"/>
      <c r="J138" s="36"/>
      <c r="BA138" s="154" t="str">
        <f>IF($BC$33=2,Klima!U147,"")</f>
        <v/>
      </c>
      <c r="BB138" s="64">
        <v>107</v>
      </c>
      <c r="BC138" s="128"/>
    </row>
    <row r="139" spans="3:55">
      <c r="C139" s="36"/>
      <c r="D139" s="36"/>
      <c r="E139" s="36"/>
      <c r="F139" s="36"/>
      <c r="G139" s="36"/>
      <c r="H139" s="36"/>
      <c r="I139" s="36"/>
      <c r="J139" s="36"/>
      <c r="BA139" s="154" t="str">
        <f>IF($BC$33=2,Klima!U148,"")</f>
        <v/>
      </c>
      <c r="BB139" s="64">
        <v>108</v>
      </c>
      <c r="BC139" s="128"/>
    </row>
    <row r="140" spans="3:55">
      <c r="C140" s="36"/>
      <c r="D140" s="36"/>
      <c r="E140" s="36"/>
      <c r="F140" s="36"/>
      <c r="G140" s="36"/>
      <c r="H140" s="36"/>
      <c r="I140" s="36"/>
      <c r="J140" s="36"/>
      <c r="BA140" s="155" t="str">
        <f>IF($BC$33=2,Klima!U149,"")</f>
        <v/>
      </c>
      <c r="BB140" s="35">
        <v>109</v>
      </c>
      <c r="BC140" s="127"/>
    </row>
    <row r="141" spans="3:55">
      <c r="C141" s="36"/>
      <c r="D141" s="36"/>
      <c r="E141" s="36"/>
      <c r="F141" s="36"/>
      <c r="G141" s="36"/>
      <c r="H141" s="36"/>
      <c r="I141" s="36"/>
      <c r="J141" s="36"/>
    </row>
  </sheetData>
  <sheetProtection password="C9AE" sheet="1" objects="1" scenarios="1"/>
  <mergeCells count="57">
    <mergeCell ref="C39:D40"/>
    <mergeCell ref="N61:O62"/>
    <mergeCell ref="P61:R62"/>
    <mergeCell ref="C10:D11"/>
    <mergeCell ref="N11:Q11"/>
    <mergeCell ref="N18:Q18"/>
    <mergeCell ref="N27:Q27"/>
    <mergeCell ref="E15:H15"/>
    <mergeCell ref="N22:Q22"/>
    <mergeCell ref="N15:Q15"/>
    <mergeCell ref="E22:H22"/>
    <mergeCell ref="N29:Q29"/>
    <mergeCell ref="E18:L18"/>
    <mergeCell ref="Q49:R49"/>
    <mergeCell ref="G83:K83"/>
    <mergeCell ref="G85:K85"/>
    <mergeCell ref="G87:K87"/>
    <mergeCell ref="N35:P35"/>
    <mergeCell ref="N33:P33"/>
    <mergeCell ref="G77:K77"/>
    <mergeCell ref="F33:H33"/>
    <mergeCell ref="F35:H35"/>
    <mergeCell ref="F37:H37"/>
    <mergeCell ref="G75:K75"/>
    <mergeCell ref="G79:K79"/>
    <mergeCell ref="G81:K81"/>
    <mergeCell ref="I69:L69"/>
    <mergeCell ref="C49:I49"/>
    <mergeCell ref="K49:P49"/>
    <mergeCell ref="C87:E87"/>
    <mergeCell ref="I67:L67"/>
    <mergeCell ref="I68:L68"/>
    <mergeCell ref="N25:O25"/>
    <mergeCell ref="E20:L20"/>
    <mergeCell ref="E25:L25"/>
    <mergeCell ref="E27:L27"/>
    <mergeCell ref="I63:L63"/>
    <mergeCell ref="I64:L64"/>
    <mergeCell ref="I65:L65"/>
    <mergeCell ref="I66:L66"/>
    <mergeCell ref="E29:L29"/>
    <mergeCell ref="D2:F2"/>
    <mergeCell ref="N20:Q20"/>
    <mergeCell ref="E11:L11"/>
    <mergeCell ref="N7:Q7"/>
    <mergeCell ref="E13:L13"/>
    <mergeCell ref="N13:Q13"/>
    <mergeCell ref="E5:J5"/>
    <mergeCell ref="P5:Q5"/>
    <mergeCell ref="E7:H7"/>
    <mergeCell ref="M4:M5"/>
    <mergeCell ref="C75:E75"/>
    <mergeCell ref="C77:E77"/>
    <mergeCell ref="C79:E79"/>
    <mergeCell ref="C81:E81"/>
    <mergeCell ref="C85:E85"/>
    <mergeCell ref="C83:E83"/>
  </mergeCells>
  <phoneticPr fontId="0" type="noConversion"/>
  <conditionalFormatting sqref="E5 L75 N5 E7 E11:L11 E13:L13 E15 N7:Q7 N11:O11 N18:O18 N13:Q13 E22 E20:L20 E18:L18 E27:L27 L37 L39:L46 K52 K56 O63:O69 L77 L79 L81 L83 L87 N75 N77 N79 N81 N83 N87 I63:M69 L85 N85 N35 F35:H35 F37:H37 F33:H33 N33 F75:G75 N20:Q20 C49 K49 F77:G77 F79:G79 F81:G81 F83:G83 F85:G85 F87:G87 J7 L7">
    <cfRule type="cellIs" dxfId="180" priority="11" stopIfTrue="1" operator="notEqual">
      <formula>""</formula>
    </cfRule>
  </conditionalFormatting>
  <conditionalFormatting sqref="C66 G66">
    <cfRule type="expression" dxfId="179" priority="13" stopIfTrue="1">
      <formula>Liechtenstein=FALSE</formula>
    </cfRule>
  </conditionalFormatting>
  <conditionalFormatting sqref="F66">
    <cfRule type="expression" dxfId="178" priority="14" stopIfTrue="1">
      <formula>Liechtenstein=FALSE</formula>
    </cfRule>
    <cfRule type="cellIs" dxfId="177" priority="15" stopIfTrue="1" operator="notEqual">
      <formula>""</formula>
    </cfRule>
  </conditionalFormatting>
  <conditionalFormatting sqref="L5">
    <cfRule type="cellIs" dxfId="176" priority="10" stopIfTrue="1" operator="notEqual">
      <formula>""</formula>
    </cfRule>
  </conditionalFormatting>
  <conditionalFormatting sqref="J15">
    <cfRule type="cellIs" dxfId="175" priority="9" stopIfTrue="1" operator="notEqual">
      <formula>""</formula>
    </cfRule>
  </conditionalFormatting>
  <conditionalFormatting sqref="J22">
    <cfRule type="cellIs" dxfId="174" priority="8" stopIfTrue="1" operator="notEqual">
      <formula>""</formula>
    </cfRule>
  </conditionalFormatting>
  <conditionalFormatting sqref="L15">
    <cfRule type="cellIs" dxfId="173" priority="7" stopIfTrue="1" operator="notEqual">
      <formula>""</formula>
    </cfRule>
  </conditionalFormatting>
  <conditionalFormatting sqref="N22:Q22">
    <cfRule type="cellIs" dxfId="172" priority="6" stopIfTrue="1" operator="notEqual">
      <formula>""</formula>
    </cfRule>
  </conditionalFormatting>
  <conditionalFormatting sqref="N15:Q15">
    <cfRule type="cellIs" dxfId="171" priority="5" stopIfTrue="1" operator="notEqual">
      <formula>""</formula>
    </cfRule>
  </conditionalFormatting>
  <conditionalFormatting sqref="L22">
    <cfRule type="cellIs" dxfId="170" priority="4" stopIfTrue="1" operator="notEqual">
      <formula>""</formula>
    </cfRule>
  </conditionalFormatting>
  <conditionalFormatting sqref="N27:Q27">
    <cfRule type="cellIs" dxfId="169" priority="2" stopIfTrue="1" operator="notEqual">
      <formula>""</formula>
    </cfRule>
  </conditionalFormatting>
  <conditionalFormatting sqref="P5">
    <cfRule type="cellIs" dxfId="168" priority="1" stopIfTrue="1" operator="notEqual">
      <formula>""</formula>
    </cfRule>
  </conditionalFormatting>
  <dataValidations count="17">
    <dataValidation type="list" allowBlank="1" showInputMessage="1" showErrorMessage="1" sqref="N33">
      <formula1>$U$11:$U$23</formula1>
    </dataValidation>
    <dataValidation type="list" allowBlank="1" showInputMessage="1" showErrorMessage="1" sqref="N35">
      <formula1>$BA$32:$BA$140</formula1>
    </dataValidation>
    <dataValidation type="list" allowBlank="1" showInputMessage="1" showErrorMessage="1" sqref="F33:H33">
      <formula1>$U$25:$U$28</formula1>
    </dataValidation>
    <dataValidation type="list" allowBlank="1" showInputMessage="1" showErrorMessage="1" sqref="F35:H35">
      <formula1>$W$11:$W$39</formula1>
    </dataValidation>
    <dataValidation type="list" allowBlank="1" showInputMessage="1" showErrorMessage="1" sqref="F37:H37">
      <formula1>$AY$33:$AY$37</formula1>
    </dataValidation>
    <dataValidation type="list" allowBlank="1" showInputMessage="1" showErrorMessage="1" sqref="Q63:Q69 D53 D57">
      <formula1>$U$34:$U$35</formula1>
    </dataValidation>
    <dataValidation type="list" allowBlank="1" showInputMessage="1" showErrorMessage="1" sqref="C49">
      <formula1>$U$41:$U$45</formula1>
    </dataValidation>
    <dataValidation type="list" allowBlank="1" showInputMessage="1" showErrorMessage="1" sqref="K49">
      <formula1>$W$41:$W$44</formula1>
    </dataValidation>
    <dataValidation type="list" allowBlank="1" showInputMessage="1" showErrorMessage="1" sqref="G75:K75">
      <formula1>$AA$11:$AA$25</formula1>
    </dataValidation>
    <dataValidation type="list" allowBlank="1" showInputMessage="1" showErrorMessage="1" sqref="G77:K77">
      <formula1>$AD$11:$AD$25</formula1>
    </dataValidation>
    <dataValidation type="list" allowBlank="1" showInputMessage="1" showErrorMessage="1" sqref="G79:K79">
      <formula1>$AF$11:$AF$25</formula1>
    </dataValidation>
    <dataValidation type="list" allowBlank="1" showInputMessage="1" showErrorMessage="1" sqref="G81:K81">
      <formula1>$AH$11:$AH$25</formula1>
    </dataValidation>
    <dataValidation type="list" allowBlank="1" showInputMessage="1" showErrorMessage="1" sqref="G83:K83">
      <formula1>$AJ$11:$AJ$25</formula1>
    </dataValidation>
    <dataValidation type="list" allowBlank="1" showInputMessage="1" showErrorMessage="1" sqref="G85:K85">
      <formula1>$AL$11:$AL$25</formula1>
    </dataValidation>
    <dataValidation type="list" allowBlank="1" showInputMessage="1" showErrorMessage="1" sqref="G87:K87">
      <formula1>$AN$11:$AN$25</formula1>
    </dataValidation>
    <dataValidation type="whole" allowBlank="1" showInputMessage="1" showErrorMessage="1" sqref="L7">
      <formula1>0</formula1>
      <formula2>9999</formula2>
    </dataValidation>
    <dataValidation type="whole" operator="greaterThan" allowBlank="1" showInputMessage="1" showErrorMessage="1" sqref="N5">
      <formula1>1200</formula1>
    </dataValidation>
  </dataValidations>
  <pageMargins left="0.62992125984251968" right="0.39370078740157483" top="0.39370078740157483" bottom="0.39370078740157483" header="0.19685039370078741" footer="0.19685039370078741"/>
  <pageSetup paperSize="9" scale="7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1"/>
  <sheetViews>
    <sheetView workbookViewId="0">
      <selection sqref="A1:L1"/>
    </sheetView>
  </sheetViews>
  <sheetFormatPr baseColWidth="10" defaultColWidth="9.140625" defaultRowHeight="12"/>
  <cols>
    <col min="1" max="1" width="7.42578125" style="2065" customWidth="1"/>
    <col min="2" max="2" width="31.85546875" style="2065" customWidth="1"/>
    <col min="3" max="3" width="16.140625" style="2065" customWidth="1"/>
    <col min="4" max="4" width="11.42578125" style="2065" customWidth="1"/>
    <col min="5" max="5" width="8.28515625" style="2065" customWidth="1"/>
    <col min="6" max="6" width="8.5703125" style="2065" customWidth="1"/>
    <col min="7" max="7" width="7.85546875" style="2065" customWidth="1"/>
    <col min="8" max="8" width="10.7109375" style="2065" customWidth="1"/>
    <col min="9" max="10" width="12.140625" style="2065" customWidth="1"/>
    <col min="11" max="11" width="8.140625" style="2065" customWidth="1"/>
    <col min="12" max="12" width="15.85546875" style="2065" customWidth="1"/>
    <col min="13" max="13" width="9.140625" style="2065"/>
    <col min="14" max="18" width="9.140625" style="2065" hidden="1" customWidth="1"/>
    <col min="19" max="19" width="14.5703125" style="2065" hidden="1" customWidth="1"/>
    <col min="20" max="30" width="9.140625" style="2065" hidden="1" customWidth="1"/>
    <col min="31" max="33" width="9.140625" style="2065" customWidth="1"/>
    <col min="34" max="256" width="9.140625" style="2065"/>
    <col min="257" max="257" width="7.42578125" style="2065" customWidth="1"/>
    <col min="258" max="258" width="31.85546875" style="2065" customWidth="1"/>
    <col min="259" max="259" width="16.140625" style="2065" customWidth="1"/>
    <col min="260" max="260" width="11.42578125" style="2065" customWidth="1"/>
    <col min="261" max="261" width="8.28515625" style="2065" customWidth="1"/>
    <col min="262" max="262" width="8.5703125" style="2065" customWidth="1"/>
    <col min="263" max="263" width="7.85546875" style="2065" customWidth="1"/>
    <col min="264" max="264" width="10.7109375" style="2065" customWidth="1"/>
    <col min="265" max="266" width="12.140625" style="2065" customWidth="1"/>
    <col min="267" max="267" width="8.140625" style="2065" customWidth="1"/>
    <col min="268" max="268" width="15.85546875" style="2065" customWidth="1"/>
    <col min="269" max="512" width="9.140625" style="2065"/>
    <col min="513" max="513" width="7.42578125" style="2065" customWidth="1"/>
    <col min="514" max="514" width="31.85546875" style="2065" customWidth="1"/>
    <col min="515" max="515" width="16.140625" style="2065" customWidth="1"/>
    <col min="516" max="516" width="11.42578125" style="2065" customWidth="1"/>
    <col min="517" max="517" width="8.28515625" style="2065" customWidth="1"/>
    <col min="518" max="518" width="8.5703125" style="2065" customWidth="1"/>
    <col min="519" max="519" width="7.85546875" style="2065" customWidth="1"/>
    <col min="520" max="520" width="10.7109375" style="2065" customWidth="1"/>
    <col min="521" max="522" width="12.140625" style="2065" customWidth="1"/>
    <col min="523" max="523" width="8.140625" style="2065" customWidth="1"/>
    <col min="524" max="524" width="15.85546875" style="2065" customWidth="1"/>
    <col min="525" max="768" width="9.140625" style="2065"/>
    <col min="769" max="769" width="7.42578125" style="2065" customWidth="1"/>
    <col min="770" max="770" width="31.85546875" style="2065" customWidth="1"/>
    <col min="771" max="771" width="16.140625" style="2065" customWidth="1"/>
    <col min="772" max="772" width="11.42578125" style="2065" customWidth="1"/>
    <col min="773" max="773" width="8.28515625" style="2065" customWidth="1"/>
    <col min="774" max="774" width="8.5703125" style="2065" customWidth="1"/>
    <col min="775" max="775" width="7.85546875" style="2065" customWidth="1"/>
    <col min="776" max="776" width="10.7109375" style="2065" customWidth="1"/>
    <col min="777" max="778" width="12.140625" style="2065" customWidth="1"/>
    <col min="779" max="779" width="8.140625" style="2065" customWidth="1"/>
    <col min="780" max="780" width="15.85546875" style="2065" customWidth="1"/>
    <col min="781" max="1024" width="9.140625" style="2065"/>
    <col min="1025" max="1025" width="7.42578125" style="2065" customWidth="1"/>
    <col min="1026" max="1026" width="31.85546875" style="2065" customWidth="1"/>
    <col min="1027" max="1027" width="16.140625" style="2065" customWidth="1"/>
    <col min="1028" max="1028" width="11.42578125" style="2065" customWidth="1"/>
    <col min="1029" max="1029" width="8.28515625" style="2065" customWidth="1"/>
    <col min="1030" max="1030" width="8.5703125" style="2065" customWidth="1"/>
    <col min="1031" max="1031" width="7.85546875" style="2065" customWidth="1"/>
    <col min="1032" max="1032" width="10.7109375" style="2065" customWidth="1"/>
    <col min="1033" max="1034" width="12.140625" style="2065" customWidth="1"/>
    <col min="1035" max="1035" width="8.140625" style="2065" customWidth="1"/>
    <col min="1036" max="1036" width="15.85546875" style="2065" customWidth="1"/>
    <col min="1037" max="1280" width="9.140625" style="2065"/>
    <col min="1281" max="1281" width="7.42578125" style="2065" customWidth="1"/>
    <col min="1282" max="1282" width="31.85546875" style="2065" customWidth="1"/>
    <col min="1283" max="1283" width="16.140625" style="2065" customWidth="1"/>
    <col min="1284" max="1284" width="11.42578125" style="2065" customWidth="1"/>
    <col min="1285" max="1285" width="8.28515625" style="2065" customWidth="1"/>
    <col min="1286" max="1286" width="8.5703125" style="2065" customWidth="1"/>
    <col min="1287" max="1287" width="7.85546875" style="2065" customWidth="1"/>
    <col min="1288" max="1288" width="10.7109375" style="2065" customWidth="1"/>
    <col min="1289" max="1290" width="12.140625" style="2065" customWidth="1"/>
    <col min="1291" max="1291" width="8.140625" style="2065" customWidth="1"/>
    <col min="1292" max="1292" width="15.85546875" style="2065" customWidth="1"/>
    <col min="1293" max="1536" width="9.140625" style="2065"/>
    <col min="1537" max="1537" width="7.42578125" style="2065" customWidth="1"/>
    <col min="1538" max="1538" width="31.85546875" style="2065" customWidth="1"/>
    <col min="1539" max="1539" width="16.140625" style="2065" customWidth="1"/>
    <col min="1540" max="1540" width="11.42578125" style="2065" customWidth="1"/>
    <col min="1541" max="1541" width="8.28515625" style="2065" customWidth="1"/>
    <col min="1542" max="1542" width="8.5703125" style="2065" customWidth="1"/>
    <col min="1543" max="1543" width="7.85546875" style="2065" customWidth="1"/>
    <col min="1544" max="1544" width="10.7109375" style="2065" customWidth="1"/>
    <col min="1545" max="1546" width="12.140625" style="2065" customWidth="1"/>
    <col min="1547" max="1547" width="8.140625" style="2065" customWidth="1"/>
    <col min="1548" max="1548" width="15.85546875" style="2065" customWidth="1"/>
    <col min="1549" max="1792" width="9.140625" style="2065"/>
    <col min="1793" max="1793" width="7.42578125" style="2065" customWidth="1"/>
    <col min="1794" max="1794" width="31.85546875" style="2065" customWidth="1"/>
    <col min="1795" max="1795" width="16.140625" style="2065" customWidth="1"/>
    <col min="1796" max="1796" width="11.42578125" style="2065" customWidth="1"/>
    <col min="1797" max="1797" width="8.28515625" style="2065" customWidth="1"/>
    <col min="1798" max="1798" width="8.5703125" style="2065" customWidth="1"/>
    <col min="1799" max="1799" width="7.85546875" style="2065" customWidth="1"/>
    <col min="1800" max="1800" width="10.7109375" style="2065" customWidth="1"/>
    <col min="1801" max="1802" width="12.140625" style="2065" customWidth="1"/>
    <col min="1803" max="1803" width="8.140625" style="2065" customWidth="1"/>
    <col min="1804" max="1804" width="15.85546875" style="2065" customWidth="1"/>
    <col min="1805" max="2048" width="9.140625" style="2065"/>
    <col min="2049" max="2049" width="7.42578125" style="2065" customWidth="1"/>
    <col min="2050" max="2050" width="31.85546875" style="2065" customWidth="1"/>
    <col min="2051" max="2051" width="16.140625" style="2065" customWidth="1"/>
    <col min="2052" max="2052" width="11.42578125" style="2065" customWidth="1"/>
    <col min="2053" max="2053" width="8.28515625" style="2065" customWidth="1"/>
    <col min="2054" max="2054" width="8.5703125" style="2065" customWidth="1"/>
    <col min="2055" max="2055" width="7.85546875" style="2065" customWidth="1"/>
    <col min="2056" max="2056" width="10.7109375" style="2065" customWidth="1"/>
    <col min="2057" max="2058" width="12.140625" style="2065" customWidth="1"/>
    <col min="2059" max="2059" width="8.140625" style="2065" customWidth="1"/>
    <col min="2060" max="2060" width="15.85546875" style="2065" customWidth="1"/>
    <col min="2061" max="2304" width="9.140625" style="2065"/>
    <col min="2305" max="2305" width="7.42578125" style="2065" customWidth="1"/>
    <col min="2306" max="2306" width="31.85546875" style="2065" customWidth="1"/>
    <col min="2307" max="2307" width="16.140625" style="2065" customWidth="1"/>
    <col min="2308" max="2308" width="11.42578125" style="2065" customWidth="1"/>
    <col min="2309" max="2309" width="8.28515625" style="2065" customWidth="1"/>
    <col min="2310" max="2310" width="8.5703125" style="2065" customWidth="1"/>
    <col min="2311" max="2311" width="7.85546875" style="2065" customWidth="1"/>
    <col min="2312" max="2312" width="10.7109375" style="2065" customWidth="1"/>
    <col min="2313" max="2314" width="12.140625" style="2065" customWidth="1"/>
    <col min="2315" max="2315" width="8.140625" style="2065" customWidth="1"/>
    <col min="2316" max="2316" width="15.85546875" style="2065" customWidth="1"/>
    <col min="2317" max="2560" width="9.140625" style="2065"/>
    <col min="2561" max="2561" width="7.42578125" style="2065" customWidth="1"/>
    <col min="2562" max="2562" width="31.85546875" style="2065" customWidth="1"/>
    <col min="2563" max="2563" width="16.140625" style="2065" customWidth="1"/>
    <col min="2564" max="2564" width="11.42578125" style="2065" customWidth="1"/>
    <col min="2565" max="2565" width="8.28515625" style="2065" customWidth="1"/>
    <col min="2566" max="2566" width="8.5703125" style="2065" customWidth="1"/>
    <col min="2567" max="2567" width="7.85546875" style="2065" customWidth="1"/>
    <col min="2568" max="2568" width="10.7109375" style="2065" customWidth="1"/>
    <col min="2569" max="2570" width="12.140625" style="2065" customWidth="1"/>
    <col min="2571" max="2571" width="8.140625" style="2065" customWidth="1"/>
    <col min="2572" max="2572" width="15.85546875" style="2065" customWidth="1"/>
    <col min="2573" max="2816" width="9.140625" style="2065"/>
    <col min="2817" max="2817" width="7.42578125" style="2065" customWidth="1"/>
    <col min="2818" max="2818" width="31.85546875" style="2065" customWidth="1"/>
    <col min="2819" max="2819" width="16.140625" style="2065" customWidth="1"/>
    <col min="2820" max="2820" width="11.42578125" style="2065" customWidth="1"/>
    <col min="2821" max="2821" width="8.28515625" style="2065" customWidth="1"/>
    <col min="2822" max="2822" width="8.5703125" style="2065" customWidth="1"/>
    <col min="2823" max="2823" width="7.85546875" style="2065" customWidth="1"/>
    <col min="2824" max="2824" width="10.7109375" style="2065" customWidth="1"/>
    <col min="2825" max="2826" width="12.140625" style="2065" customWidth="1"/>
    <col min="2827" max="2827" width="8.140625" style="2065" customWidth="1"/>
    <col min="2828" max="2828" width="15.85546875" style="2065" customWidth="1"/>
    <col min="2829" max="3072" width="9.140625" style="2065"/>
    <col min="3073" max="3073" width="7.42578125" style="2065" customWidth="1"/>
    <col min="3074" max="3074" width="31.85546875" style="2065" customWidth="1"/>
    <col min="3075" max="3075" width="16.140625" style="2065" customWidth="1"/>
    <col min="3076" max="3076" width="11.42578125" style="2065" customWidth="1"/>
    <col min="3077" max="3077" width="8.28515625" style="2065" customWidth="1"/>
    <col min="3078" max="3078" width="8.5703125" style="2065" customWidth="1"/>
    <col min="3079" max="3079" width="7.85546875" style="2065" customWidth="1"/>
    <col min="3080" max="3080" width="10.7109375" style="2065" customWidth="1"/>
    <col min="3081" max="3082" width="12.140625" style="2065" customWidth="1"/>
    <col min="3083" max="3083" width="8.140625" style="2065" customWidth="1"/>
    <col min="3084" max="3084" width="15.85546875" style="2065" customWidth="1"/>
    <col min="3085" max="3328" width="9.140625" style="2065"/>
    <col min="3329" max="3329" width="7.42578125" style="2065" customWidth="1"/>
    <col min="3330" max="3330" width="31.85546875" style="2065" customWidth="1"/>
    <col min="3331" max="3331" width="16.140625" style="2065" customWidth="1"/>
    <col min="3332" max="3332" width="11.42578125" style="2065" customWidth="1"/>
    <col min="3333" max="3333" width="8.28515625" style="2065" customWidth="1"/>
    <col min="3334" max="3334" width="8.5703125" style="2065" customWidth="1"/>
    <col min="3335" max="3335" width="7.85546875" style="2065" customWidth="1"/>
    <col min="3336" max="3336" width="10.7109375" style="2065" customWidth="1"/>
    <col min="3337" max="3338" width="12.140625" style="2065" customWidth="1"/>
    <col min="3339" max="3339" width="8.140625" style="2065" customWidth="1"/>
    <col min="3340" max="3340" width="15.85546875" style="2065" customWidth="1"/>
    <col min="3341" max="3584" width="9.140625" style="2065"/>
    <col min="3585" max="3585" width="7.42578125" style="2065" customWidth="1"/>
    <col min="3586" max="3586" width="31.85546875" style="2065" customWidth="1"/>
    <col min="3587" max="3587" width="16.140625" style="2065" customWidth="1"/>
    <col min="3588" max="3588" width="11.42578125" style="2065" customWidth="1"/>
    <col min="3589" max="3589" width="8.28515625" style="2065" customWidth="1"/>
    <col min="3590" max="3590" width="8.5703125" style="2065" customWidth="1"/>
    <col min="3591" max="3591" width="7.85546875" style="2065" customWidth="1"/>
    <col min="3592" max="3592" width="10.7109375" style="2065" customWidth="1"/>
    <col min="3593" max="3594" width="12.140625" style="2065" customWidth="1"/>
    <col min="3595" max="3595" width="8.140625" style="2065" customWidth="1"/>
    <col min="3596" max="3596" width="15.85546875" style="2065" customWidth="1"/>
    <col min="3597" max="3840" width="9.140625" style="2065"/>
    <col min="3841" max="3841" width="7.42578125" style="2065" customWidth="1"/>
    <col min="3842" max="3842" width="31.85546875" style="2065" customWidth="1"/>
    <col min="3843" max="3843" width="16.140625" style="2065" customWidth="1"/>
    <col min="3844" max="3844" width="11.42578125" style="2065" customWidth="1"/>
    <col min="3845" max="3845" width="8.28515625" style="2065" customWidth="1"/>
    <col min="3846" max="3846" width="8.5703125" style="2065" customWidth="1"/>
    <col min="3847" max="3847" width="7.85546875" style="2065" customWidth="1"/>
    <col min="3848" max="3848" width="10.7109375" style="2065" customWidth="1"/>
    <col min="3849" max="3850" width="12.140625" style="2065" customWidth="1"/>
    <col min="3851" max="3851" width="8.140625" style="2065" customWidth="1"/>
    <col min="3852" max="3852" width="15.85546875" style="2065" customWidth="1"/>
    <col min="3853" max="4096" width="9.140625" style="2065"/>
    <col min="4097" max="4097" width="7.42578125" style="2065" customWidth="1"/>
    <col min="4098" max="4098" width="31.85546875" style="2065" customWidth="1"/>
    <col min="4099" max="4099" width="16.140625" style="2065" customWidth="1"/>
    <col min="4100" max="4100" width="11.42578125" style="2065" customWidth="1"/>
    <col min="4101" max="4101" width="8.28515625" style="2065" customWidth="1"/>
    <col min="4102" max="4102" width="8.5703125" style="2065" customWidth="1"/>
    <col min="4103" max="4103" width="7.85546875" style="2065" customWidth="1"/>
    <col min="4104" max="4104" width="10.7109375" style="2065" customWidth="1"/>
    <col min="4105" max="4106" width="12.140625" style="2065" customWidth="1"/>
    <col min="4107" max="4107" width="8.140625" style="2065" customWidth="1"/>
    <col min="4108" max="4108" width="15.85546875" style="2065" customWidth="1"/>
    <col min="4109" max="4352" width="9.140625" style="2065"/>
    <col min="4353" max="4353" width="7.42578125" style="2065" customWidth="1"/>
    <col min="4354" max="4354" width="31.85546875" style="2065" customWidth="1"/>
    <col min="4355" max="4355" width="16.140625" style="2065" customWidth="1"/>
    <col min="4356" max="4356" width="11.42578125" style="2065" customWidth="1"/>
    <col min="4357" max="4357" width="8.28515625" style="2065" customWidth="1"/>
    <col min="4358" max="4358" width="8.5703125" style="2065" customWidth="1"/>
    <col min="4359" max="4359" width="7.85546875" style="2065" customWidth="1"/>
    <col min="4360" max="4360" width="10.7109375" style="2065" customWidth="1"/>
    <col min="4361" max="4362" width="12.140625" style="2065" customWidth="1"/>
    <col min="4363" max="4363" width="8.140625" style="2065" customWidth="1"/>
    <col min="4364" max="4364" width="15.85546875" style="2065" customWidth="1"/>
    <col min="4365" max="4608" width="9.140625" style="2065"/>
    <col min="4609" max="4609" width="7.42578125" style="2065" customWidth="1"/>
    <col min="4610" max="4610" width="31.85546875" style="2065" customWidth="1"/>
    <col min="4611" max="4611" width="16.140625" style="2065" customWidth="1"/>
    <col min="4612" max="4612" width="11.42578125" style="2065" customWidth="1"/>
    <col min="4613" max="4613" width="8.28515625" style="2065" customWidth="1"/>
    <col min="4614" max="4614" width="8.5703125" style="2065" customWidth="1"/>
    <col min="4615" max="4615" width="7.85546875" style="2065" customWidth="1"/>
    <col min="4616" max="4616" width="10.7109375" style="2065" customWidth="1"/>
    <col min="4617" max="4618" width="12.140625" style="2065" customWidth="1"/>
    <col min="4619" max="4619" width="8.140625" style="2065" customWidth="1"/>
    <col min="4620" max="4620" width="15.85546875" style="2065" customWidth="1"/>
    <col min="4621" max="4864" width="9.140625" style="2065"/>
    <col min="4865" max="4865" width="7.42578125" style="2065" customWidth="1"/>
    <col min="4866" max="4866" width="31.85546875" style="2065" customWidth="1"/>
    <col min="4867" max="4867" width="16.140625" style="2065" customWidth="1"/>
    <col min="4868" max="4868" width="11.42578125" style="2065" customWidth="1"/>
    <col min="4869" max="4869" width="8.28515625" style="2065" customWidth="1"/>
    <col min="4870" max="4870" width="8.5703125" style="2065" customWidth="1"/>
    <col min="4871" max="4871" width="7.85546875" style="2065" customWidth="1"/>
    <col min="4872" max="4872" width="10.7109375" style="2065" customWidth="1"/>
    <col min="4873" max="4874" width="12.140625" style="2065" customWidth="1"/>
    <col min="4875" max="4875" width="8.140625" style="2065" customWidth="1"/>
    <col min="4876" max="4876" width="15.85546875" style="2065" customWidth="1"/>
    <col min="4877" max="5120" width="9.140625" style="2065"/>
    <col min="5121" max="5121" width="7.42578125" style="2065" customWidth="1"/>
    <col min="5122" max="5122" width="31.85546875" style="2065" customWidth="1"/>
    <col min="5123" max="5123" width="16.140625" style="2065" customWidth="1"/>
    <col min="5124" max="5124" width="11.42578125" style="2065" customWidth="1"/>
    <col min="5125" max="5125" width="8.28515625" style="2065" customWidth="1"/>
    <col min="5126" max="5126" width="8.5703125" style="2065" customWidth="1"/>
    <col min="5127" max="5127" width="7.85546875" style="2065" customWidth="1"/>
    <col min="5128" max="5128" width="10.7109375" style="2065" customWidth="1"/>
    <col min="5129" max="5130" width="12.140625" style="2065" customWidth="1"/>
    <col min="5131" max="5131" width="8.140625" style="2065" customWidth="1"/>
    <col min="5132" max="5132" width="15.85546875" style="2065" customWidth="1"/>
    <col min="5133" max="5376" width="9.140625" style="2065"/>
    <col min="5377" max="5377" width="7.42578125" style="2065" customWidth="1"/>
    <col min="5378" max="5378" width="31.85546875" style="2065" customWidth="1"/>
    <col min="5379" max="5379" width="16.140625" style="2065" customWidth="1"/>
    <col min="5380" max="5380" width="11.42578125" style="2065" customWidth="1"/>
    <col min="5381" max="5381" width="8.28515625" style="2065" customWidth="1"/>
    <col min="5382" max="5382" width="8.5703125" style="2065" customWidth="1"/>
    <col min="5383" max="5383" width="7.85546875" style="2065" customWidth="1"/>
    <col min="5384" max="5384" width="10.7109375" style="2065" customWidth="1"/>
    <col min="5385" max="5386" width="12.140625" style="2065" customWidth="1"/>
    <col min="5387" max="5387" width="8.140625" style="2065" customWidth="1"/>
    <col min="5388" max="5388" width="15.85546875" style="2065" customWidth="1"/>
    <col min="5389" max="5632" width="9.140625" style="2065"/>
    <col min="5633" max="5633" width="7.42578125" style="2065" customWidth="1"/>
    <col min="5634" max="5634" width="31.85546875" style="2065" customWidth="1"/>
    <col min="5635" max="5635" width="16.140625" style="2065" customWidth="1"/>
    <col min="5636" max="5636" width="11.42578125" style="2065" customWidth="1"/>
    <col min="5637" max="5637" width="8.28515625" style="2065" customWidth="1"/>
    <col min="5638" max="5638" width="8.5703125" style="2065" customWidth="1"/>
    <col min="5639" max="5639" width="7.85546875" style="2065" customWidth="1"/>
    <col min="5640" max="5640" width="10.7109375" style="2065" customWidth="1"/>
    <col min="5641" max="5642" width="12.140625" style="2065" customWidth="1"/>
    <col min="5643" max="5643" width="8.140625" style="2065" customWidth="1"/>
    <col min="5644" max="5644" width="15.85546875" style="2065" customWidth="1"/>
    <col min="5645" max="5888" width="9.140625" style="2065"/>
    <col min="5889" max="5889" width="7.42578125" style="2065" customWidth="1"/>
    <col min="5890" max="5890" width="31.85546875" style="2065" customWidth="1"/>
    <col min="5891" max="5891" width="16.140625" style="2065" customWidth="1"/>
    <col min="5892" max="5892" width="11.42578125" style="2065" customWidth="1"/>
    <col min="5893" max="5893" width="8.28515625" style="2065" customWidth="1"/>
    <col min="5894" max="5894" width="8.5703125" style="2065" customWidth="1"/>
    <col min="5895" max="5895" width="7.85546875" style="2065" customWidth="1"/>
    <col min="5896" max="5896" width="10.7109375" style="2065" customWidth="1"/>
    <col min="5897" max="5898" width="12.140625" style="2065" customWidth="1"/>
    <col min="5899" max="5899" width="8.140625" style="2065" customWidth="1"/>
    <col min="5900" max="5900" width="15.85546875" style="2065" customWidth="1"/>
    <col min="5901" max="6144" width="9.140625" style="2065"/>
    <col min="6145" max="6145" width="7.42578125" style="2065" customWidth="1"/>
    <col min="6146" max="6146" width="31.85546875" style="2065" customWidth="1"/>
    <col min="6147" max="6147" width="16.140625" style="2065" customWidth="1"/>
    <col min="6148" max="6148" width="11.42578125" style="2065" customWidth="1"/>
    <col min="6149" max="6149" width="8.28515625" style="2065" customWidth="1"/>
    <col min="6150" max="6150" width="8.5703125" style="2065" customWidth="1"/>
    <col min="6151" max="6151" width="7.85546875" style="2065" customWidth="1"/>
    <col min="6152" max="6152" width="10.7109375" style="2065" customWidth="1"/>
    <col min="6153" max="6154" width="12.140625" style="2065" customWidth="1"/>
    <col min="6155" max="6155" width="8.140625" style="2065" customWidth="1"/>
    <col min="6156" max="6156" width="15.85546875" style="2065" customWidth="1"/>
    <col min="6157" max="6400" width="9.140625" style="2065"/>
    <col min="6401" max="6401" width="7.42578125" style="2065" customWidth="1"/>
    <col min="6402" max="6402" width="31.85546875" style="2065" customWidth="1"/>
    <col min="6403" max="6403" width="16.140625" style="2065" customWidth="1"/>
    <col min="6404" max="6404" width="11.42578125" style="2065" customWidth="1"/>
    <col min="6405" max="6405" width="8.28515625" style="2065" customWidth="1"/>
    <col min="6406" max="6406" width="8.5703125" style="2065" customWidth="1"/>
    <col min="6407" max="6407" width="7.85546875" style="2065" customWidth="1"/>
    <col min="6408" max="6408" width="10.7109375" style="2065" customWidth="1"/>
    <col min="6409" max="6410" width="12.140625" style="2065" customWidth="1"/>
    <col min="6411" max="6411" width="8.140625" style="2065" customWidth="1"/>
    <col min="6412" max="6412" width="15.85546875" style="2065" customWidth="1"/>
    <col min="6413" max="6656" width="9.140625" style="2065"/>
    <col min="6657" max="6657" width="7.42578125" style="2065" customWidth="1"/>
    <col min="6658" max="6658" width="31.85546875" style="2065" customWidth="1"/>
    <col min="6659" max="6659" width="16.140625" style="2065" customWidth="1"/>
    <col min="6660" max="6660" width="11.42578125" style="2065" customWidth="1"/>
    <col min="6661" max="6661" width="8.28515625" style="2065" customWidth="1"/>
    <col min="6662" max="6662" width="8.5703125" style="2065" customWidth="1"/>
    <col min="6663" max="6663" width="7.85546875" style="2065" customWidth="1"/>
    <col min="6664" max="6664" width="10.7109375" style="2065" customWidth="1"/>
    <col min="6665" max="6666" width="12.140625" style="2065" customWidth="1"/>
    <col min="6667" max="6667" width="8.140625" style="2065" customWidth="1"/>
    <col min="6668" max="6668" width="15.85546875" style="2065" customWidth="1"/>
    <col min="6669" max="6912" width="9.140625" style="2065"/>
    <col min="6913" max="6913" width="7.42578125" style="2065" customWidth="1"/>
    <col min="6914" max="6914" width="31.85546875" style="2065" customWidth="1"/>
    <col min="6915" max="6915" width="16.140625" style="2065" customWidth="1"/>
    <col min="6916" max="6916" width="11.42578125" style="2065" customWidth="1"/>
    <col min="6917" max="6917" width="8.28515625" style="2065" customWidth="1"/>
    <col min="6918" max="6918" width="8.5703125" style="2065" customWidth="1"/>
    <col min="6919" max="6919" width="7.85546875" style="2065" customWidth="1"/>
    <col min="6920" max="6920" width="10.7109375" style="2065" customWidth="1"/>
    <col min="6921" max="6922" width="12.140625" style="2065" customWidth="1"/>
    <col min="6923" max="6923" width="8.140625" style="2065" customWidth="1"/>
    <col min="6924" max="6924" width="15.85546875" style="2065" customWidth="1"/>
    <col min="6925" max="7168" width="9.140625" style="2065"/>
    <col min="7169" max="7169" width="7.42578125" style="2065" customWidth="1"/>
    <col min="7170" max="7170" width="31.85546875" style="2065" customWidth="1"/>
    <col min="7171" max="7171" width="16.140625" style="2065" customWidth="1"/>
    <col min="7172" max="7172" width="11.42578125" style="2065" customWidth="1"/>
    <col min="7173" max="7173" width="8.28515625" style="2065" customWidth="1"/>
    <col min="7174" max="7174" width="8.5703125" style="2065" customWidth="1"/>
    <col min="7175" max="7175" width="7.85546875" style="2065" customWidth="1"/>
    <col min="7176" max="7176" width="10.7109375" style="2065" customWidth="1"/>
    <col min="7177" max="7178" width="12.140625" style="2065" customWidth="1"/>
    <col min="7179" max="7179" width="8.140625" style="2065" customWidth="1"/>
    <col min="7180" max="7180" width="15.85546875" style="2065" customWidth="1"/>
    <col min="7181" max="7424" width="9.140625" style="2065"/>
    <col min="7425" max="7425" width="7.42578125" style="2065" customWidth="1"/>
    <col min="7426" max="7426" width="31.85546875" style="2065" customWidth="1"/>
    <col min="7427" max="7427" width="16.140625" style="2065" customWidth="1"/>
    <col min="7428" max="7428" width="11.42578125" style="2065" customWidth="1"/>
    <col min="7429" max="7429" width="8.28515625" style="2065" customWidth="1"/>
    <col min="7430" max="7430" width="8.5703125" style="2065" customWidth="1"/>
    <col min="7431" max="7431" width="7.85546875" style="2065" customWidth="1"/>
    <col min="7432" max="7432" width="10.7109375" style="2065" customWidth="1"/>
    <col min="7433" max="7434" width="12.140625" style="2065" customWidth="1"/>
    <col min="7435" max="7435" width="8.140625" style="2065" customWidth="1"/>
    <col min="7436" max="7436" width="15.85546875" style="2065" customWidth="1"/>
    <col min="7437" max="7680" width="9.140625" style="2065"/>
    <col min="7681" max="7681" width="7.42578125" style="2065" customWidth="1"/>
    <col min="7682" max="7682" width="31.85546875" style="2065" customWidth="1"/>
    <col min="7683" max="7683" width="16.140625" style="2065" customWidth="1"/>
    <col min="7684" max="7684" width="11.42578125" style="2065" customWidth="1"/>
    <col min="7685" max="7685" width="8.28515625" style="2065" customWidth="1"/>
    <col min="7686" max="7686" width="8.5703125" style="2065" customWidth="1"/>
    <col min="7687" max="7687" width="7.85546875" style="2065" customWidth="1"/>
    <col min="7688" max="7688" width="10.7109375" style="2065" customWidth="1"/>
    <col min="7689" max="7690" width="12.140625" style="2065" customWidth="1"/>
    <col min="7691" max="7691" width="8.140625" style="2065" customWidth="1"/>
    <col min="7692" max="7692" width="15.85546875" style="2065" customWidth="1"/>
    <col min="7693" max="7936" width="9.140625" style="2065"/>
    <col min="7937" max="7937" width="7.42578125" style="2065" customWidth="1"/>
    <col min="7938" max="7938" width="31.85546875" style="2065" customWidth="1"/>
    <col min="7939" max="7939" width="16.140625" style="2065" customWidth="1"/>
    <col min="7940" max="7940" width="11.42578125" style="2065" customWidth="1"/>
    <col min="7941" max="7941" width="8.28515625" style="2065" customWidth="1"/>
    <col min="7942" max="7942" width="8.5703125" style="2065" customWidth="1"/>
    <col min="7943" max="7943" width="7.85546875" style="2065" customWidth="1"/>
    <col min="7944" max="7944" width="10.7109375" style="2065" customWidth="1"/>
    <col min="7945" max="7946" width="12.140625" style="2065" customWidth="1"/>
    <col min="7947" max="7947" width="8.140625" style="2065" customWidth="1"/>
    <col min="7948" max="7948" width="15.85546875" style="2065" customWidth="1"/>
    <col min="7949" max="8192" width="9.140625" style="2065"/>
    <col min="8193" max="8193" width="7.42578125" style="2065" customWidth="1"/>
    <col min="8194" max="8194" width="31.85546875" style="2065" customWidth="1"/>
    <col min="8195" max="8195" width="16.140625" style="2065" customWidth="1"/>
    <col min="8196" max="8196" width="11.42578125" style="2065" customWidth="1"/>
    <col min="8197" max="8197" width="8.28515625" style="2065" customWidth="1"/>
    <col min="8198" max="8198" width="8.5703125" style="2065" customWidth="1"/>
    <col min="8199" max="8199" width="7.85546875" style="2065" customWidth="1"/>
    <col min="8200" max="8200" width="10.7109375" style="2065" customWidth="1"/>
    <col min="8201" max="8202" width="12.140625" style="2065" customWidth="1"/>
    <col min="8203" max="8203" width="8.140625" style="2065" customWidth="1"/>
    <col min="8204" max="8204" width="15.85546875" style="2065" customWidth="1"/>
    <col min="8205" max="8448" width="9.140625" style="2065"/>
    <col min="8449" max="8449" width="7.42578125" style="2065" customWidth="1"/>
    <col min="8450" max="8450" width="31.85546875" style="2065" customWidth="1"/>
    <col min="8451" max="8451" width="16.140625" style="2065" customWidth="1"/>
    <col min="8452" max="8452" width="11.42578125" style="2065" customWidth="1"/>
    <col min="8453" max="8453" width="8.28515625" style="2065" customWidth="1"/>
    <col min="8454" max="8454" width="8.5703125" style="2065" customWidth="1"/>
    <col min="8455" max="8455" width="7.85546875" style="2065" customWidth="1"/>
    <col min="8456" max="8456" width="10.7109375" style="2065" customWidth="1"/>
    <col min="8457" max="8458" width="12.140625" style="2065" customWidth="1"/>
    <col min="8459" max="8459" width="8.140625" style="2065" customWidth="1"/>
    <col min="8460" max="8460" width="15.85546875" style="2065" customWidth="1"/>
    <col min="8461" max="8704" width="9.140625" style="2065"/>
    <col min="8705" max="8705" width="7.42578125" style="2065" customWidth="1"/>
    <col min="8706" max="8706" width="31.85546875" style="2065" customWidth="1"/>
    <col min="8707" max="8707" width="16.140625" style="2065" customWidth="1"/>
    <col min="8708" max="8708" width="11.42578125" style="2065" customWidth="1"/>
    <col min="8709" max="8709" width="8.28515625" style="2065" customWidth="1"/>
    <col min="8710" max="8710" width="8.5703125" style="2065" customWidth="1"/>
    <col min="8711" max="8711" width="7.85546875" style="2065" customWidth="1"/>
    <col min="8712" max="8712" width="10.7109375" style="2065" customWidth="1"/>
    <col min="8713" max="8714" width="12.140625" style="2065" customWidth="1"/>
    <col min="8715" max="8715" width="8.140625" style="2065" customWidth="1"/>
    <col min="8716" max="8716" width="15.85546875" style="2065" customWidth="1"/>
    <col min="8717" max="8960" width="9.140625" style="2065"/>
    <col min="8961" max="8961" width="7.42578125" style="2065" customWidth="1"/>
    <col min="8962" max="8962" width="31.85546875" style="2065" customWidth="1"/>
    <col min="8963" max="8963" width="16.140625" style="2065" customWidth="1"/>
    <col min="8964" max="8964" width="11.42578125" style="2065" customWidth="1"/>
    <col min="8965" max="8965" width="8.28515625" style="2065" customWidth="1"/>
    <col min="8966" max="8966" width="8.5703125" style="2065" customWidth="1"/>
    <col min="8967" max="8967" width="7.85546875" style="2065" customWidth="1"/>
    <col min="8968" max="8968" width="10.7109375" style="2065" customWidth="1"/>
    <col min="8969" max="8970" width="12.140625" style="2065" customWidth="1"/>
    <col min="8971" max="8971" width="8.140625" style="2065" customWidth="1"/>
    <col min="8972" max="8972" width="15.85546875" style="2065" customWidth="1"/>
    <col min="8973" max="9216" width="9.140625" style="2065"/>
    <col min="9217" max="9217" width="7.42578125" style="2065" customWidth="1"/>
    <col min="9218" max="9218" width="31.85546875" style="2065" customWidth="1"/>
    <col min="9219" max="9219" width="16.140625" style="2065" customWidth="1"/>
    <col min="9220" max="9220" width="11.42578125" style="2065" customWidth="1"/>
    <col min="9221" max="9221" width="8.28515625" style="2065" customWidth="1"/>
    <col min="9222" max="9222" width="8.5703125" style="2065" customWidth="1"/>
    <col min="9223" max="9223" width="7.85546875" style="2065" customWidth="1"/>
    <col min="9224" max="9224" width="10.7109375" style="2065" customWidth="1"/>
    <col min="9225" max="9226" width="12.140625" style="2065" customWidth="1"/>
    <col min="9227" max="9227" width="8.140625" style="2065" customWidth="1"/>
    <col min="9228" max="9228" width="15.85546875" style="2065" customWidth="1"/>
    <col min="9229" max="9472" width="9.140625" style="2065"/>
    <col min="9473" max="9473" width="7.42578125" style="2065" customWidth="1"/>
    <col min="9474" max="9474" width="31.85546875" style="2065" customWidth="1"/>
    <col min="9475" max="9475" width="16.140625" style="2065" customWidth="1"/>
    <col min="9476" max="9476" width="11.42578125" style="2065" customWidth="1"/>
    <col min="9477" max="9477" width="8.28515625" style="2065" customWidth="1"/>
    <col min="9478" max="9478" width="8.5703125" style="2065" customWidth="1"/>
    <col min="9479" max="9479" width="7.85546875" style="2065" customWidth="1"/>
    <col min="9480" max="9480" width="10.7109375" style="2065" customWidth="1"/>
    <col min="9481" max="9482" width="12.140625" style="2065" customWidth="1"/>
    <col min="9483" max="9483" width="8.140625" style="2065" customWidth="1"/>
    <col min="9484" max="9484" width="15.85546875" style="2065" customWidth="1"/>
    <col min="9485" max="9728" width="9.140625" style="2065"/>
    <col min="9729" max="9729" width="7.42578125" style="2065" customWidth="1"/>
    <col min="9730" max="9730" width="31.85546875" style="2065" customWidth="1"/>
    <col min="9731" max="9731" width="16.140625" style="2065" customWidth="1"/>
    <col min="9732" max="9732" width="11.42578125" style="2065" customWidth="1"/>
    <col min="9733" max="9733" width="8.28515625" style="2065" customWidth="1"/>
    <col min="9734" max="9734" width="8.5703125" style="2065" customWidth="1"/>
    <col min="9735" max="9735" width="7.85546875" style="2065" customWidth="1"/>
    <col min="9736" max="9736" width="10.7109375" style="2065" customWidth="1"/>
    <col min="9737" max="9738" width="12.140625" style="2065" customWidth="1"/>
    <col min="9739" max="9739" width="8.140625" style="2065" customWidth="1"/>
    <col min="9740" max="9740" width="15.85546875" style="2065" customWidth="1"/>
    <col min="9741" max="9984" width="9.140625" style="2065"/>
    <col min="9985" max="9985" width="7.42578125" style="2065" customWidth="1"/>
    <col min="9986" max="9986" width="31.85546875" style="2065" customWidth="1"/>
    <col min="9987" max="9987" width="16.140625" style="2065" customWidth="1"/>
    <col min="9988" max="9988" width="11.42578125" style="2065" customWidth="1"/>
    <col min="9989" max="9989" width="8.28515625" style="2065" customWidth="1"/>
    <col min="9990" max="9990" width="8.5703125" style="2065" customWidth="1"/>
    <col min="9991" max="9991" width="7.85546875" style="2065" customWidth="1"/>
    <col min="9992" max="9992" width="10.7109375" style="2065" customWidth="1"/>
    <col min="9993" max="9994" width="12.140625" style="2065" customWidth="1"/>
    <col min="9995" max="9995" width="8.140625" style="2065" customWidth="1"/>
    <col min="9996" max="9996" width="15.85546875" style="2065" customWidth="1"/>
    <col min="9997" max="10240" width="9.140625" style="2065"/>
    <col min="10241" max="10241" width="7.42578125" style="2065" customWidth="1"/>
    <col min="10242" max="10242" width="31.85546875" style="2065" customWidth="1"/>
    <col min="10243" max="10243" width="16.140625" style="2065" customWidth="1"/>
    <col min="10244" max="10244" width="11.42578125" style="2065" customWidth="1"/>
    <col min="10245" max="10245" width="8.28515625" style="2065" customWidth="1"/>
    <col min="10246" max="10246" width="8.5703125" style="2065" customWidth="1"/>
    <col min="10247" max="10247" width="7.85546875" style="2065" customWidth="1"/>
    <col min="10248" max="10248" width="10.7109375" style="2065" customWidth="1"/>
    <col min="10249" max="10250" width="12.140625" style="2065" customWidth="1"/>
    <col min="10251" max="10251" width="8.140625" style="2065" customWidth="1"/>
    <col min="10252" max="10252" width="15.85546875" style="2065" customWidth="1"/>
    <col min="10253" max="10496" width="9.140625" style="2065"/>
    <col min="10497" max="10497" width="7.42578125" style="2065" customWidth="1"/>
    <col min="10498" max="10498" width="31.85546875" style="2065" customWidth="1"/>
    <col min="10499" max="10499" width="16.140625" style="2065" customWidth="1"/>
    <col min="10500" max="10500" width="11.42578125" style="2065" customWidth="1"/>
    <col min="10501" max="10501" width="8.28515625" style="2065" customWidth="1"/>
    <col min="10502" max="10502" width="8.5703125" style="2065" customWidth="1"/>
    <col min="10503" max="10503" width="7.85546875" style="2065" customWidth="1"/>
    <col min="10504" max="10504" width="10.7109375" style="2065" customWidth="1"/>
    <col min="10505" max="10506" width="12.140625" style="2065" customWidth="1"/>
    <col min="10507" max="10507" width="8.140625" style="2065" customWidth="1"/>
    <col min="10508" max="10508" width="15.85546875" style="2065" customWidth="1"/>
    <col min="10509" max="10752" width="9.140625" style="2065"/>
    <col min="10753" max="10753" width="7.42578125" style="2065" customWidth="1"/>
    <col min="10754" max="10754" width="31.85546875" style="2065" customWidth="1"/>
    <col min="10755" max="10755" width="16.140625" style="2065" customWidth="1"/>
    <col min="10756" max="10756" width="11.42578125" style="2065" customWidth="1"/>
    <col min="10757" max="10757" width="8.28515625" style="2065" customWidth="1"/>
    <col min="10758" max="10758" width="8.5703125" style="2065" customWidth="1"/>
    <col min="10759" max="10759" width="7.85546875" style="2065" customWidth="1"/>
    <col min="10760" max="10760" width="10.7109375" style="2065" customWidth="1"/>
    <col min="10761" max="10762" width="12.140625" style="2065" customWidth="1"/>
    <col min="10763" max="10763" width="8.140625" style="2065" customWidth="1"/>
    <col min="10764" max="10764" width="15.85546875" style="2065" customWidth="1"/>
    <col min="10765" max="11008" width="9.140625" style="2065"/>
    <col min="11009" max="11009" width="7.42578125" style="2065" customWidth="1"/>
    <col min="11010" max="11010" width="31.85546875" style="2065" customWidth="1"/>
    <col min="11011" max="11011" width="16.140625" style="2065" customWidth="1"/>
    <col min="11012" max="11012" width="11.42578125" style="2065" customWidth="1"/>
    <col min="11013" max="11013" width="8.28515625" style="2065" customWidth="1"/>
    <col min="11014" max="11014" width="8.5703125" style="2065" customWidth="1"/>
    <col min="11015" max="11015" width="7.85546875" style="2065" customWidth="1"/>
    <col min="11016" max="11016" width="10.7109375" style="2065" customWidth="1"/>
    <col min="11017" max="11018" width="12.140625" style="2065" customWidth="1"/>
    <col min="11019" max="11019" width="8.140625" style="2065" customWidth="1"/>
    <col min="11020" max="11020" width="15.85546875" style="2065" customWidth="1"/>
    <col min="11021" max="11264" width="9.140625" style="2065"/>
    <col min="11265" max="11265" width="7.42578125" style="2065" customWidth="1"/>
    <col min="11266" max="11266" width="31.85546875" style="2065" customWidth="1"/>
    <col min="11267" max="11267" width="16.140625" style="2065" customWidth="1"/>
    <col min="11268" max="11268" width="11.42578125" style="2065" customWidth="1"/>
    <col min="11269" max="11269" width="8.28515625" style="2065" customWidth="1"/>
    <col min="11270" max="11270" width="8.5703125" style="2065" customWidth="1"/>
    <col min="11271" max="11271" width="7.85546875" style="2065" customWidth="1"/>
    <col min="11272" max="11272" width="10.7109375" style="2065" customWidth="1"/>
    <col min="11273" max="11274" width="12.140625" style="2065" customWidth="1"/>
    <col min="11275" max="11275" width="8.140625" style="2065" customWidth="1"/>
    <col min="11276" max="11276" width="15.85546875" style="2065" customWidth="1"/>
    <col min="11277" max="11520" width="9.140625" style="2065"/>
    <col min="11521" max="11521" width="7.42578125" style="2065" customWidth="1"/>
    <col min="11522" max="11522" width="31.85546875" style="2065" customWidth="1"/>
    <col min="11523" max="11523" width="16.140625" style="2065" customWidth="1"/>
    <col min="11524" max="11524" width="11.42578125" style="2065" customWidth="1"/>
    <col min="11525" max="11525" width="8.28515625" style="2065" customWidth="1"/>
    <col min="11526" max="11526" width="8.5703125" style="2065" customWidth="1"/>
    <col min="11527" max="11527" width="7.85546875" style="2065" customWidth="1"/>
    <col min="11528" max="11528" width="10.7109375" style="2065" customWidth="1"/>
    <col min="11529" max="11530" width="12.140625" style="2065" customWidth="1"/>
    <col min="11531" max="11531" width="8.140625" style="2065" customWidth="1"/>
    <col min="11532" max="11532" width="15.85546875" style="2065" customWidth="1"/>
    <col min="11533" max="11776" width="9.140625" style="2065"/>
    <col min="11777" max="11777" width="7.42578125" style="2065" customWidth="1"/>
    <col min="11778" max="11778" width="31.85546875" style="2065" customWidth="1"/>
    <col min="11779" max="11779" width="16.140625" style="2065" customWidth="1"/>
    <col min="11780" max="11780" width="11.42578125" style="2065" customWidth="1"/>
    <col min="11781" max="11781" width="8.28515625" style="2065" customWidth="1"/>
    <col min="11782" max="11782" width="8.5703125" style="2065" customWidth="1"/>
    <col min="11783" max="11783" width="7.85546875" style="2065" customWidth="1"/>
    <col min="11784" max="11784" width="10.7109375" style="2065" customWidth="1"/>
    <col min="11785" max="11786" width="12.140625" style="2065" customWidth="1"/>
    <col min="11787" max="11787" width="8.140625" style="2065" customWidth="1"/>
    <col min="11788" max="11788" width="15.85546875" style="2065" customWidth="1"/>
    <col min="11789" max="12032" width="9.140625" style="2065"/>
    <col min="12033" max="12033" width="7.42578125" style="2065" customWidth="1"/>
    <col min="12034" max="12034" width="31.85546875" style="2065" customWidth="1"/>
    <col min="12035" max="12035" width="16.140625" style="2065" customWidth="1"/>
    <col min="12036" max="12036" width="11.42578125" style="2065" customWidth="1"/>
    <col min="12037" max="12037" width="8.28515625" style="2065" customWidth="1"/>
    <col min="12038" max="12038" width="8.5703125" style="2065" customWidth="1"/>
    <col min="12039" max="12039" width="7.85546875" style="2065" customWidth="1"/>
    <col min="12040" max="12040" width="10.7109375" style="2065" customWidth="1"/>
    <col min="12041" max="12042" width="12.140625" style="2065" customWidth="1"/>
    <col min="12043" max="12043" width="8.140625" style="2065" customWidth="1"/>
    <col min="12044" max="12044" width="15.85546875" style="2065" customWidth="1"/>
    <col min="12045" max="12288" width="9.140625" style="2065"/>
    <col min="12289" max="12289" width="7.42578125" style="2065" customWidth="1"/>
    <col min="12290" max="12290" width="31.85546875" style="2065" customWidth="1"/>
    <col min="12291" max="12291" width="16.140625" style="2065" customWidth="1"/>
    <col min="12292" max="12292" width="11.42578125" style="2065" customWidth="1"/>
    <col min="12293" max="12293" width="8.28515625" style="2065" customWidth="1"/>
    <col min="12294" max="12294" width="8.5703125" style="2065" customWidth="1"/>
    <col min="12295" max="12295" width="7.85546875" style="2065" customWidth="1"/>
    <col min="12296" max="12296" width="10.7109375" style="2065" customWidth="1"/>
    <col min="12297" max="12298" width="12.140625" style="2065" customWidth="1"/>
    <col min="12299" max="12299" width="8.140625" style="2065" customWidth="1"/>
    <col min="12300" max="12300" width="15.85546875" style="2065" customWidth="1"/>
    <col min="12301" max="12544" width="9.140625" style="2065"/>
    <col min="12545" max="12545" width="7.42578125" style="2065" customWidth="1"/>
    <col min="12546" max="12546" width="31.85546875" style="2065" customWidth="1"/>
    <col min="12547" max="12547" width="16.140625" style="2065" customWidth="1"/>
    <col min="12548" max="12548" width="11.42578125" style="2065" customWidth="1"/>
    <col min="12549" max="12549" width="8.28515625" style="2065" customWidth="1"/>
    <col min="12550" max="12550" width="8.5703125" style="2065" customWidth="1"/>
    <col min="12551" max="12551" width="7.85546875" style="2065" customWidth="1"/>
    <col min="12552" max="12552" width="10.7109375" style="2065" customWidth="1"/>
    <col min="12553" max="12554" width="12.140625" style="2065" customWidth="1"/>
    <col min="12555" max="12555" width="8.140625" style="2065" customWidth="1"/>
    <col min="12556" max="12556" width="15.85546875" style="2065" customWidth="1"/>
    <col min="12557" max="12800" width="9.140625" style="2065"/>
    <col min="12801" max="12801" width="7.42578125" style="2065" customWidth="1"/>
    <col min="12802" max="12802" width="31.85546875" style="2065" customWidth="1"/>
    <col min="12803" max="12803" width="16.140625" style="2065" customWidth="1"/>
    <col min="12804" max="12804" width="11.42578125" style="2065" customWidth="1"/>
    <col min="12805" max="12805" width="8.28515625" style="2065" customWidth="1"/>
    <col min="12806" max="12806" width="8.5703125" style="2065" customWidth="1"/>
    <col min="12807" max="12807" width="7.85546875" style="2065" customWidth="1"/>
    <col min="12808" max="12808" width="10.7109375" style="2065" customWidth="1"/>
    <col min="12809" max="12810" width="12.140625" style="2065" customWidth="1"/>
    <col min="12811" max="12811" width="8.140625" style="2065" customWidth="1"/>
    <col min="12812" max="12812" width="15.85546875" style="2065" customWidth="1"/>
    <col min="12813" max="13056" width="9.140625" style="2065"/>
    <col min="13057" max="13057" width="7.42578125" style="2065" customWidth="1"/>
    <col min="13058" max="13058" width="31.85546875" style="2065" customWidth="1"/>
    <col min="13059" max="13059" width="16.140625" style="2065" customWidth="1"/>
    <col min="13060" max="13060" width="11.42578125" style="2065" customWidth="1"/>
    <col min="13061" max="13061" width="8.28515625" style="2065" customWidth="1"/>
    <col min="13062" max="13062" width="8.5703125" style="2065" customWidth="1"/>
    <col min="13063" max="13063" width="7.85546875" style="2065" customWidth="1"/>
    <col min="13064" max="13064" width="10.7109375" style="2065" customWidth="1"/>
    <col min="13065" max="13066" width="12.140625" style="2065" customWidth="1"/>
    <col min="13067" max="13067" width="8.140625" style="2065" customWidth="1"/>
    <col min="13068" max="13068" width="15.85546875" style="2065" customWidth="1"/>
    <col min="13069" max="13312" width="9.140625" style="2065"/>
    <col min="13313" max="13313" width="7.42578125" style="2065" customWidth="1"/>
    <col min="13314" max="13314" width="31.85546875" style="2065" customWidth="1"/>
    <col min="13315" max="13315" width="16.140625" style="2065" customWidth="1"/>
    <col min="13316" max="13316" width="11.42578125" style="2065" customWidth="1"/>
    <col min="13317" max="13317" width="8.28515625" style="2065" customWidth="1"/>
    <col min="13318" max="13318" width="8.5703125" style="2065" customWidth="1"/>
    <col min="13319" max="13319" width="7.85546875" style="2065" customWidth="1"/>
    <col min="13320" max="13320" width="10.7109375" style="2065" customWidth="1"/>
    <col min="13321" max="13322" width="12.140625" style="2065" customWidth="1"/>
    <col min="13323" max="13323" width="8.140625" style="2065" customWidth="1"/>
    <col min="13324" max="13324" width="15.85546875" style="2065" customWidth="1"/>
    <col min="13325" max="13568" width="9.140625" style="2065"/>
    <col min="13569" max="13569" width="7.42578125" style="2065" customWidth="1"/>
    <col min="13570" max="13570" width="31.85546875" style="2065" customWidth="1"/>
    <col min="13571" max="13571" width="16.140625" style="2065" customWidth="1"/>
    <col min="13572" max="13572" width="11.42578125" style="2065" customWidth="1"/>
    <col min="13573" max="13573" width="8.28515625" style="2065" customWidth="1"/>
    <col min="13574" max="13574" width="8.5703125" style="2065" customWidth="1"/>
    <col min="13575" max="13575" width="7.85546875" style="2065" customWidth="1"/>
    <col min="13576" max="13576" width="10.7109375" style="2065" customWidth="1"/>
    <col min="13577" max="13578" width="12.140625" style="2065" customWidth="1"/>
    <col min="13579" max="13579" width="8.140625" style="2065" customWidth="1"/>
    <col min="13580" max="13580" width="15.85546875" style="2065" customWidth="1"/>
    <col min="13581" max="13824" width="9.140625" style="2065"/>
    <col min="13825" max="13825" width="7.42578125" style="2065" customWidth="1"/>
    <col min="13826" max="13826" width="31.85546875" style="2065" customWidth="1"/>
    <col min="13827" max="13827" width="16.140625" style="2065" customWidth="1"/>
    <col min="13828" max="13828" width="11.42578125" style="2065" customWidth="1"/>
    <col min="13829" max="13829" width="8.28515625" style="2065" customWidth="1"/>
    <col min="13830" max="13830" width="8.5703125" style="2065" customWidth="1"/>
    <col min="13831" max="13831" width="7.85546875" style="2065" customWidth="1"/>
    <col min="13832" max="13832" width="10.7109375" style="2065" customWidth="1"/>
    <col min="13833" max="13834" width="12.140625" style="2065" customWidth="1"/>
    <col min="13835" max="13835" width="8.140625" style="2065" customWidth="1"/>
    <col min="13836" max="13836" width="15.85546875" style="2065" customWidth="1"/>
    <col min="13837" max="14080" width="9.140625" style="2065"/>
    <col min="14081" max="14081" width="7.42578125" style="2065" customWidth="1"/>
    <col min="14082" max="14082" width="31.85546875" style="2065" customWidth="1"/>
    <col min="14083" max="14083" width="16.140625" style="2065" customWidth="1"/>
    <col min="14084" max="14084" width="11.42578125" style="2065" customWidth="1"/>
    <col min="14085" max="14085" width="8.28515625" style="2065" customWidth="1"/>
    <col min="14086" max="14086" width="8.5703125" style="2065" customWidth="1"/>
    <col min="14087" max="14087" width="7.85546875" style="2065" customWidth="1"/>
    <col min="14088" max="14088" width="10.7109375" style="2065" customWidth="1"/>
    <col min="14089" max="14090" width="12.140625" style="2065" customWidth="1"/>
    <col min="14091" max="14091" width="8.140625" style="2065" customWidth="1"/>
    <col min="14092" max="14092" width="15.85546875" style="2065" customWidth="1"/>
    <col min="14093" max="14336" width="9.140625" style="2065"/>
    <col min="14337" max="14337" width="7.42578125" style="2065" customWidth="1"/>
    <col min="14338" max="14338" width="31.85546875" style="2065" customWidth="1"/>
    <col min="14339" max="14339" width="16.140625" style="2065" customWidth="1"/>
    <col min="14340" max="14340" width="11.42578125" style="2065" customWidth="1"/>
    <col min="14341" max="14341" width="8.28515625" style="2065" customWidth="1"/>
    <col min="14342" max="14342" width="8.5703125" style="2065" customWidth="1"/>
    <col min="14343" max="14343" width="7.85546875" style="2065" customWidth="1"/>
    <col min="14344" max="14344" width="10.7109375" style="2065" customWidth="1"/>
    <col min="14345" max="14346" width="12.140625" style="2065" customWidth="1"/>
    <col min="14347" max="14347" width="8.140625" style="2065" customWidth="1"/>
    <col min="14348" max="14348" width="15.85546875" style="2065" customWidth="1"/>
    <col min="14349" max="14592" width="9.140625" style="2065"/>
    <col min="14593" max="14593" width="7.42578125" style="2065" customWidth="1"/>
    <col min="14594" max="14594" width="31.85546875" style="2065" customWidth="1"/>
    <col min="14595" max="14595" width="16.140625" style="2065" customWidth="1"/>
    <col min="14596" max="14596" width="11.42578125" style="2065" customWidth="1"/>
    <col min="14597" max="14597" width="8.28515625" style="2065" customWidth="1"/>
    <col min="14598" max="14598" width="8.5703125" style="2065" customWidth="1"/>
    <col min="14599" max="14599" width="7.85546875" style="2065" customWidth="1"/>
    <col min="14600" max="14600" width="10.7109375" style="2065" customWidth="1"/>
    <col min="14601" max="14602" width="12.140625" style="2065" customWidth="1"/>
    <col min="14603" max="14603" width="8.140625" style="2065" customWidth="1"/>
    <col min="14604" max="14604" width="15.85546875" style="2065" customWidth="1"/>
    <col min="14605" max="14848" width="9.140625" style="2065"/>
    <col min="14849" max="14849" width="7.42578125" style="2065" customWidth="1"/>
    <col min="14850" max="14850" width="31.85546875" style="2065" customWidth="1"/>
    <col min="14851" max="14851" width="16.140625" style="2065" customWidth="1"/>
    <col min="14852" max="14852" width="11.42578125" style="2065" customWidth="1"/>
    <col min="14853" max="14853" width="8.28515625" style="2065" customWidth="1"/>
    <col min="14854" max="14854" width="8.5703125" style="2065" customWidth="1"/>
    <col min="14855" max="14855" width="7.85546875" style="2065" customWidth="1"/>
    <col min="14856" max="14856" width="10.7109375" style="2065" customWidth="1"/>
    <col min="14857" max="14858" width="12.140625" style="2065" customWidth="1"/>
    <col min="14859" max="14859" width="8.140625" style="2065" customWidth="1"/>
    <col min="14860" max="14860" width="15.85546875" style="2065" customWidth="1"/>
    <col min="14861" max="15104" width="9.140625" style="2065"/>
    <col min="15105" max="15105" width="7.42578125" style="2065" customWidth="1"/>
    <col min="15106" max="15106" width="31.85546875" style="2065" customWidth="1"/>
    <col min="15107" max="15107" width="16.140625" style="2065" customWidth="1"/>
    <col min="15108" max="15108" width="11.42578125" style="2065" customWidth="1"/>
    <col min="15109" max="15109" width="8.28515625" style="2065" customWidth="1"/>
    <col min="15110" max="15110" width="8.5703125" style="2065" customWidth="1"/>
    <col min="15111" max="15111" width="7.85546875" style="2065" customWidth="1"/>
    <col min="15112" max="15112" width="10.7109375" style="2065" customWidth="1"/>
    <col min="15113" max="15114" width="12.140625" style="2065" customWidth="1"/>
    <col min="15115" max="15115" width="8.140625" style="2065" customWidth="1"/>
    <col min="15116" max="15116" width="15.85546875" style="2065" customWidth="1"/>
    <col min="15117" max="15360" width="9.140625" style="2065"/>
    <col min="15361" max="15361" width="7.42578125" style="2065" customWidth="1"/>
    <col min="15362" max="15362" width="31.85546875" style="2065" customWidth="1"/>
    <col min="15363" max="15363" width="16.140625" style="2065" customWidth="1"/>
    <col min="15364" max="15364" width="11.42578125" style="2065" customWidth="1"/>
    <col min="15365" max="15365" width="8.28515625" style="2065" customWidth="1"/>
    <col min="15366" max="15366" width="8.5703125" style="2065" customWidth="1"/>
    <col min="15367" max="15367" width="7.85546875" style="2065" customWidth="1"/>
    <col min="15368" max="15368" width="10.7109375" style="2065" customWidth="1"/>
    <col min="15369" max="15370" width="12.140625" style="2065" customWidth="1"/>
    <col min="15371" max="15371" width="8.140625" style="2065" customWidth="1"/>
    <col min="15372" max="15372" width="15.85546875" style="2065" customWidth="1"/>
    <col min="15373" max="15616" width="9.140625" style="2065"/>
    <col min="15617" max="15617" width="7.42578125" style="2065" customWidth="1"/>
    <col min="15618" max="15618" width="31.85546875" style="2065" customWidth="1"/>
    <col min="15619" max="15619" width="16.140625" style="2065" customWidth="1"/>
    <col min="15620" max="15620" width="11.42578125" style="2065" customWidth="1"/>
    <col min="15621" max="15621" width="8.28515625" style="2065" customWidth="1"/>
    <col min="15622" max="15622" width="8.5703125" style="2065" customWidth="1"/>
    <col min="15623" max="15623" width="7.85546875" style="2065" customWidth="1"/>
    <col min="15624" max="15624" width="10.7109375" style="2065" customWidth="1"/>
    <col min="15625" max="15626" width="12.140625" style="2065" customWidth="1"/>
    <col min="15627" max="15627" width="8.140625" style="2065" customWidth="1"/>
    <col min="15628" max="15628" width="15.85546875" style="2065" customWidth="1"/>
    <col min="15629" max="15872" width="9.140625" style="2065"/>
    <col min="15873" max="15873" width="7.42578125" style="2065" customWidth="1"/>
    <col min="15874" max="15874" width="31.85546875" style="2065" customWidth="1"/>
    <col min="15875" max="15875" width="16.140625" style="2065" customWidth="1"/>
    <col min="15876" max="15876" width="11.42578125" style="2065" customWidth="1"/>
    <col min="15877" max="15877" width="8.28515625" style="2065" customWidth="1"/>
    <col min="15878" max="15878" width="8.5703125" style="2065" customWidth="1"/>
    <col min="15879" max="15879" width="7.85546875" style="2065" customWidth="1"/>
    <col min="15880" max="15880" width="10.7109375" style="2065" customWidth="1"/>
    <col min="15881" max="15882" width="12.140625" style="2065" customWidth="1"/>
    <col min="15883" max="15883" width="8.140625" style="2065" customWidth="1"/>
    <col min="15884" max="15884" width="15.85546875" style="2065" customWidth="1"/>
    <col min="15885" max="16128" width="9.140625" style="2065"/>
    <col min="16129" max="16129" width="7.42578125" style="2065" customWidth="1"/>
    <col min="16130" max="16130" width="31.85546875" style="2065" customWidth="1"/>
    <col min="16131" max="16131" width="16.140625" style="2065" customWidth="1"/>
    <col min="16132" max="16132" width="11.42578125" style="2065" customWidth="1"/>
    <col min="16133" max="16133" width="8.28515625" style="2065" customWidth="1"/>
    <col min="16134" max="16134" width="8.5703125" style="2065" customWidth="1"/>
    <col min="16135" max="16135" width="7.85546875" style="2065" customWidth="1"/>
    <col min="16136" max="16136" width="10.7109375" style="2065" customWidth="1"/>
    <col min="16137" max="16138" width="12.140625" style="2065" customWidth="1"/>
    <col min="16139" max="16139" width="8.140625" style="2065" customWidth="1"/>
    <col min="16140" max="16140" width="15.85546875" style="2065" customWidth="1"/>
    <col min="16141" max="16384" width="9.140625" style="2065"/>
  </cols>
  <sheetData>
    <row r="1" spans="1:30" ht="15" customHeight="1">
      <c r="A1" s="2561" t="s">
        <v>9164</v>
      </c>
      <c r="B1" s="2562"/>
      <c r="C1" s="2562"/>
      <c r="D1" s="2562"/>
      <c r="E1" s="2562"/>
      <c r="F1" s="2562"/>
      <c r="G1" s="2562"/>
      <c r="H1" s="2562"/>
      <c r="I1" s="2562"/>
      <c r="J1" s="2562"/>
      <c r="K1" s="2562"/>
      <c r="L1" s="2563"/>
    </row>
    <row r="2" spans="1:30" ht="15" customHeight="1">
      <c r="A2" s="2571" t="s">
        <v>9165</v>
      </c>
      <c r="B2" s="2572"/>
      <c r="C2" s="2074" t="s">
        <v>5699</v>
      </c>
      <c r="D2" s="2569"/>
      <c r="E2" s="2569"/>
      <c r="F2" s="2569"/>
      <c r="G2" s="2569"/>
      <c r="H2" s="2569"/>
      <c r="I2" s="2569"/>
      <c r="J2" s="2569"/>
      <c r="K2" s="2569"/>
      <c r="L2" s="2570"/>
    </row>
    <row r="3" spans="1:30" ht="60" customHeight="1">
      <c r="A3" s="2573" t="s">
        <v>9166</v>
      </c>
      <c r="B3" s="2574"/>
      <c r="C3" s="2575"/>
      <c r="D3" s="2576"/>
      <c r="E3" s="2576"/>
      <c r="F3" s="2576"/>
      <c r="G3" s="2576"/>
      <c r="H3" s="2576"/>
      <c r="I3" s="2576"/>
      <c r="J3" s="2576"/>
      <c r="K3" s="2576"/>
      <c r="L3" s="2577"/>
    </row>
    <row r="4" spans="1:30" ht="15" customHeight="1">
      <c r="A4" s="2564" t="s">
        <v>9167</v>
      </c>
      <c r="B4" s="2568"/>
      <c r="C4" s="2131" t="s">
        <v>1240</v>
      </c>
      <c r="D4" s="2569"/>
      <c r="E4" s="2569"/>
      <c r="F4" s="2569"/>
      <c r="G4" s="2569"/>
      <c r="H4" s="2569"/>
      <c r="I4" s="2569"/>
      <c r="J4" s="2569"/>
      <c r="K4" s="2569"/>
      <c r="L4" s="2570"/>
    </row>
    <row r="5" spans="1:30" ht="30" customHeight="1">
      <c r="A5" s="2066" t="s">
        <v>9154</v>
      </c>
      <c r="B5" s="2066" t="s">
        <v>1502</v>
      </c>
      <c r="C5" s="2066" t="s">
        <v>9155</v>
      </c>
      <c r="D5" s="2066" t="s">
        <v>9156</v>
      </c>
      <c r="E5" s="2066" t="s">
        <v>9157</v>
      </c>
      <c r="F5" s="2066" t="s">
        <v>9158</v>
      </c>
      <c r="G5" s="2066" t="s">
        <v>9168</v>
      </c>
      <c r="H5" s="2066" t="s">
        <v>9159</v>
      </c>
      <c r="I5" s="2066" t="s">
        <v>9169</v>
      </c>
      <c r="J5" s="2066" t="s">
        <v>9170</v>
      </c>
      <c r="K5" s="2066" t="s">
        <v>9160</v>
      </c>
      <c r="L5" s="2066" t="s">
        <v>9171</v>
      </c>
      <c r="M5" s="2066" t="s">
        <v>2343</v>
      </c>
      <c r="R5" s="2066" t="s">
        <v>9154</v>
      </c>
      <c r="S5" s="2066" t="s">
        <v>1502</v>
      </c>
      <c r="T5" s="2066" t="s">
        <v>9155</v>
      </c>
      <c r="U5" s="2066" t="s">
        <v>9156</v>
      </c>
      <c r="V5" s="2066" t="s">
        <v>9157</v>
      </c>
      <c r="W5" s="2066" t="s">
        <v>9158</v>
      </c>
      <c r="X5" s="2066" t="s">
        <v>9168</v>
      </c>
      <c r="Y5" s="2066" t="s">
        <v>9159</v>
      </c>
      <c r="Z5" s="2066" t="s">
        <v>9169</v>
      </c>
      <c r="AA5" s="2066" t="s">
        <v>9170</v>
      </c>
      <c r="AB5" s="2066" t="s">
        <v>9160</v>
      </c>
      <c r="AC5" s="2066" t="s">
        <v>9171</v>
      </c>
      <c r="AD5" s="2066" t="s">
        <v>2343</v>
      </c>
    </row>
    <row r="6" spans="1:30" ht="15" customHeight="1">
      <c r="A6" s="2065" t="str">
        <f t="shared" ref="A6:A53" si="0">IF(MaxNr2&gt;=$N6,VLOOKUP($N6,$Q$6:$AC$53,2,FALSE),"")</f>
        <v/>
      </c>
      <c r="B6" s="2065" t="str">
        <f t="shared" ref="B6:B53" si="1">IF(MaxNr2&gt;=$N6,VLOOKUP($N6,$Q$6:$AC$53,3,FALSE),"")</f>
        <v/>
      </c>
      <c r="C6" s="2065" t="str">
        <f t="shared" ref="C6:C53" si="2">IF(MaxNr2&gt;=$N6,VLOOKUP($N6,$Q$6:$AC$53,4,FALSE),"")</f>
        <v/>
      </c>
      <c r="D6" s="2065" t="str">
        <f t="shared" ref="D6:D53" si="3">IF(MaxNr2&gt;=$N6,VLOOKUP($N6,$Q$6:$AC$53,5,FALSE),"")</f>
        <v/>
      </c>
      <c r="E6" s="2065" t="str">
        <f t="shared" ref="E6:E53" si="4">IF(MaxNr2&gt;=$N6,VLOOKUP($N6,$Q$6:$AC$53,6,FALSE),"")</f>
        <v/>
      </c>
      <c r="F6" s="2065" t="str">
        <f t="shared" ref="F6:F53" si="5">IF(MaxNr2&gt;=$N6,VLOOKUP($N6,$Q$6:$AC$53,7,FALSE),"")</f>
        <v/>
      </c>
      <c r="G6" s="2065" t="str">
        <f t="shared" ref="G6:G53" si="6">IF(MaxNr2&gt;=$N6,VLOOKUP($N6,$Q$6:$AC$53,8,FALSE),"")</f>
        <v/>
      </c>
      <c r="H6" s="2065" t="str">
        <f t="shared" ref="H6:H53" si="7">IF(MaxNr2&gt;=$N6,VLOOKUP($N6,$Q$6:$AC$53,9,FALSE),"")</f>
        <v/>
      </c>
      <c r="I6" s="2065" t="str">
        <f t="shared" ref="I6:I53" si="8">IF(MaxNr2&gt;=$N6,VLOOKUP($N6,$Q$6:$AC$53,10,FALSE),"")</f>
        <v/>
      </c>
      <c r="J6" s="2069" t="str">
        <f t="shared" ref="J6:J53" si="9">IF(MaxNr2&gt;=$N6,VLOOKUP($N6,$Q$6:$AC$53,11,FALSE),"")</f>
        <v/>
      </c>
      <c r="K6" s="2065" t="str">
        <f t="shared" ref="K6:K53" si="10">IF(MaxNr2&gt;=$N6,VLOOKUP($N6,$Q$6:$AC$53,12,FALSE),"")</f>
        <v/>
      </c>
      <c r="L6" s="2065" t="str">
        <f t="shared" ref="L6:L53" si="11">IF(MaxNr2&gt;=$N6,VLOOKUP($N6,$Q$6:$AC$53,13,FALSE),"")</f>
        <v/>
      </c>
      <c r="N6" s="2065">
        <v>1</v>
      </c>
      <c r="O6" s="2065">
        <f>IF(V6&lt;&gt;"",1,0)</f>
        <v>0</v>
      </c>
      <c r="P6" s="2065">
        <f>O6</f>
        <v>0</v>
      </c>
      <c r="Q6" s="2065" t="str">
        <f>IF(O6&gt;0,P6,"")</f>
        <v/>
      </c>
      <c r="R6" s="2065" t="str">
        <f>IF(V6&lt;&gt;"","T_"&amp;U6,"")</f>
        <v/>
      </c>
      <c r="S6" s="2067" t="str">
        <f>IF(V6&lt;&gt;"","Türe"&amp;" "&amp;U6,"")</f>
        <v/>
      </c>
      <c r="T6" s="2065" t="str">
        <f>IF(V6&lt;&gt;"","Tür","")</f>
        <v/>
      </c>
      <c r="U6" s="2068" t="str">
        <f>IF(V6&lt;&gt;"",IF(dreh=1,"NO","N"),"")</f>
        <v/>
      </c>
      <c r="V6" s="2069" t="str">
        <f>IF(Bau!I20&gt;0,Bau!I20,"")</f>
        <v/>
      </c>
      <c r="W6" s="2069" t="str">
        <f>IF(V6&lt;&gt;"",Bau!M20,"")</f>
        <v/>
      </c>
      <c r="X6" s="2069" t="str">
        <f>IF(V6&lt;&gt;"",0,"")</f>
        <v/>
      </c>
      <c r="Y6" s="2069" t="str">
        <f>IF(V6&lt;&gt;"",1,"")</f>
        <v/>
      </c>
      <c r="Z6" s="2069" t="str">
        <f>IF(V6&lt;&gt;"",0,"")</f>
        <v/>
      </c>
      <c r="AA6" s="2069" t="str">
        <f>IF(V6&lt;&gt;"",1,"")</f>
        <v/>
      </c>
      <c r="AB6" s="2068" t="str">
        <f>IF(V6&lt;&gt;"",1,"")</f>
        <v/>
      </c>
      <c r="AC6" s="2068" t="str">
        <f>""</f>
        <v/>
      </c>
      <c r="AD6" s="2070"/>
    </row>
    <row r="7" spans="1:30" ht="15" customHeight="1">
      <c r="A7" s="2065" t="str">
        <f t="shared" si="0"/>
        <v/>
      </c>
      <c r="B7" s="2065" t="str">
        <f t="shared" si="1"/>
        <v/>
      </c>
      <c r="C7" s="2065" t="str">
        <f t="shared" si="2"/>
        <v/>
      </c>
      <c r="D7" s="2065" t="str">
        <f t="shared" si="3"/>
        <v/>
      </c>
      <c r="E7" s="2065" t="str">
        <f t="shared" si="4"/>
        <v/>
      </c>
      <c r="F7" s="2065" t="str">
        <f t="shared" si="5"/>
        <v/>
      </c>
      <c r="G7" s="2065" t="str">
        <f t="shared" si="6"/>
        <v/>
      </c>
      <c r="H7" s="2065" t="str">
        <f t="shared" si="7"/>
        <v/>
      </c>
      <c r="I7" s="2065" t="str">
        <f t="shared" si="8"/>
        <v/>
      </c>
      <c r="J7" s="2069" t="str">
        <f t="shared" si="9"/>
        <v/>
      </c>
      <c r="K7" s="2065" t="str">
        <f t="shared" si="10"/>
        <v/>
      </c>
      <c r="L7" s="2065" t="str">
        <f t="shared" si="11"/>
        <v/>
      </c>
      <c r="N7" s="2065">
        <v>2</v>
      </c>
      <c r="O7" s="2065">
        <f t="shared" ref="O7:O53" si="12">IF(V7&lt;&gt;"",1,0)</f>
        <v>0</v>
      </c>
      <c r="P7" s="2065">
        <f>P6+O7</f>
        <v>0</v>
      </c>
      <c r="Q7" s="2065" t="str">
        <f t="shared" ref="Q7:Q53" si="13">IF(O7&gt;0,P7,"")</f>
        <v/>
      </c>
      <c r="R7" s="2065" t="str">
        <f t="shared" ref="R7:R9" si="14">IF(V7&lt;&gt;"","T_"&amp;U7,"")</f>
        <v/>
      </c>
      <c r="S7" s="2067" t="str">
        <f t="shared" ref="S7:S9" si="15">IF(V7&lt;&gt;"","Türe"&amp;" "&amp;U7,"")</f>
        <v/>
      </c>
      <c r="T7" s="2065" t="str">
        <f t="shared" ref="T7:T13" si="16">IF(V7&lt;&gt;"","Tür","")</f>
        <v/>
      </c>
      <c r="U7" s="2068" t="str">
        <f>IF(V7&lt;&gt;"",IF(dreh=1,"SO","O"),"")</f>
        <v/>
      </c>
      <c r="V7" s="2069" t="str">
        <f>IF(Bau!V20&gt;0,Bau!V20,"")</f>
        <v/>
      </c>
      <c r="W7" s="2069" t="str">
        <f>IF(V7&lt;&gt;"",Bau!Z20,"")</f>
        <v/>
      </c>
      <c r="X7" s="2069" t="str">
        <f t="shared" ref="X7:X13" si="17">IF(V7&lt;&gt;"",0,"")</f>
        <v/>
      </c>
      <c r="Y7" s="2069" t="str">
        <f t="shared" ref="Y7:Y9" si="18">IF(V7&lt;&gt;"",1,"")</f>
        <v/>
      </c>
      <c r="Z7" s="2069" t="str">
        <f t="shared" ref="Z7:Z13" si="19">IF(V7&lt;&gt;"",0,"")</f>
        <v/>
      </c>
      <c r="AA7" s="2069" t="str">
        <f t="shared" ref="AA7:AA13" si="20">IF(V7&lt;&gt;"",1,"")</f>
        <v/>
      </c>
      <c r="AB7" s="2068" t="str">
        <f t="shared" ref="AB7:AB13" si="21">IF(V7&lt;&gt;"",1,"")</f>
        <v/>
      </c>
      <c r="AC7" s="2068" t="str">
        <f>""</f>
        <v/>
      </c>
    </row>
    <row r="8" spans="1:30" ht="15" customHeight="1">
      <c r="A8" s="2065" t="str">
        <f t="shared" si="0"/>
        <v/>
      </c>
      <c r="B8" s="2065" t="str">
        <f t="shared" si="1"/>
        <v/>
      </c>
      <c r="C8" s="2065" t="str">
        <f t="shared" si="2"/>
        <v/>
      </c>
      <c r="D8" s="2065" t="str">
        <f t="shared" si="3"/>
        <v/>
      </c>
      <c r="E8" s="2065" t="str">
        <f t="shared" si="4"/>
        <v/>
      </c>
      <c r="F8" s="2065" t="str">
        <f t="shared" si="5"/>
        <v/>
      </c>
      <c r="G8" s="2065" t="str">
        <f t="shared" si="6"/>
        <v/>
      </c>
      <c r="H8" s="2065" t="str">
        <f t="shared" si="7"/>
        <v/>
      </c>
      <c r="I8" s="2065" t="str">
        <f t="shared" si="8"/>
        <v/>
      </c>
      <c r="J8" s="2069" t="str">
        <f t="shared" si="9"/>
        <v/>
      </c>
      <c r="K8" s="2065" t="str">
        <f t="shared" si="10"/>
        <v/>
      </c>
      <c r="L8" s="2065" t="str">
        <f t="shared" si="11"/>
        <v/>
      </c>
      <c r="N8" s="2065">
        <v>3</v>
      </c>
      <c r="O8" s="2065">
        <f t="shared" si="12"/>
        <v>0</v>
      </c>
      <c r="P8" s="2065">
        <f t="shared" ref="P8:P53" si="22">P7+O8</f>
        <v>0</v>
      </c>
      <c r="Q8" s="2065" t="str">
        <f t="shared" si="13"/>
        <v/>
      </c>
      <c r="R8" s="2065" t="str">
        <f t="shared" si="14"/>
        <v/>
      </c>
      <c r="S8" s="2067" t="str">
        <f t="shared" si="15"/>
        <v/>
      </c>
      <c r="T8" s="2065" t="str">
        <f t="shared" si="16"/>
        <v/>
      </c>
      <c r="U8" s="2068" t="str">
        <f>IF(V8&lt;&gt;"",IF(dreh=1,"NW","W"),"")</f>
        <v/>
      </c>
      <c r="V8" s="2069" t="str">
        <f>IF(Bau!I39&gt;0,Bau!I39,"")</f>
        <v/>
      </c>
      <c r="W8" s="2069" t="str">
        <f>IF(V8&lt;&gt;"",Bau!M39,"")</f>
        <v/>
      </c>
      <c r="X8" s="2069" t="str">
        <f t="shared" si="17"/>
        <v/>
      </c>
      <c r="Y8" s="2069" t="str">
        <f t="shared" si="18"/>
        <v/>
      </c>
      <c r="Z8" s="2069" t="str">
        <f t="shared" si="19"/>
        <v/>
      </c>
      <c r="AA8" s="2069" t="str">
        <f t="shared" si="20"/>
        <v/>
      </c>
      <c r="AB8" s="2068" t="str">
        <f t="shared" si="21"/>
        <v/>
      </c>
      <c r="AC8" s="2068" t="str">
        <f>""</f>
        <v/>
      </c>
    </row>
    <row r="9" spans="1:30" ht="15" customHeight="1">
      <c r="A9" s="2065" t="str">
        <f t="shared" si="0"/>
        <v/>
      </c>
      <c r="B9" s="2065" t="str">
        <f t="shared" si="1"/>
        <v/>
      </c>
      <c r="C9" s="2065" t="str">
        <f t="shared" si="2"/>
        <v/>
      </c>
      <c r="D9" s="2065" t="str">
        <f t="shared" si="3"/>
        <v/>
      </c>
      <c r="E9" s="2065" t="str">
        <f t="shared" si="4"/>
        <v/>
      </c>
      <c r="F9" s="2065" t="str">
        <f t="shared" si="5"/>
        <v/>
      </c>
      <c r="G9" s="2065" t="str">
        <f t="shared" si="6"/>
        <v/>
      </c>
      <c r="H9" s="2065" t="str">
        <f t="shared" si="7"/>
        <v/>
      </c>
      <c r="I9" s="2065" t="str">
        <f t="shared" si="8"/>
        <v/>
      </c>
      <c r="J9" s="2069" t="str">
        <f t="shared" si="9"/>
        <v/>
      </c>
      <c r="K9" s="2065" t="str">
        <f t="shared" si="10"/>
        <v/>
      </c>
      <c r="L9" s="2065" t="str">
        <f t="shared" si="11"/>
        <v/>
      </c>
      <c r="N9" s="2065">
        <v>4</v>
      </c>
      <c r="O9" s="2065">
        <f t="shared" si="12"/>
        <v>0</v>
      </c>
      <c r="P9" s="2065">
        <f t="shared" si="22"/>
        <v>0</v>
      </c>
      <c r="Q9" s="2065" t="str">
        <f t="shared" si="13"/>
        <v/>
      </c>
      <c r="R9" s="2065" t="str">
        <f t="shared" si="14"/>
        <v/>
      </c>
      <c r="S9" s="2067" t="str">
        <f t="shared" si="15"/>
        <v/>
      </c>
      <c r="T9" s="2065" t="str">
        <f t="shared" si="16"/>
        <v/>
      </c>
      <c r="U9" s="2068" t="str">
        <f>IF(V9&lt;&gt;"",IF(dreh=1,"SW","S"),"")</f>
        <v/>
      </c>
      <c r="V9" s="2069" t="str">
        <f>IF(Bau!V39&gt;0,Bau!V39,"")</f>
        <v/>
      </c>
      <c r="W9" s="2069" t="str">
        <f>IF(V9&lt;&gt;"",Bau!Z39,"")</f>
        <v/>
      </c>
      <c r="X9" s="2069" t="str">
        <f t="shared" si="17"/>
        <v/>
      </c>
      <c r="Y9" s="2069" t="str">
        <f t="shared" si="18"/>
        <v/>
      </c>
      <c r="Z9" s="2069" t="str">
        <f t="shared" si="19"/>
        <v/>
      </c>
      <c r="AA9" s="2069" t="str">
        <f t="shared" si="20"/>
        <v/>
      </c>
      <c r="AB9" s="2068" t="str">
        <f t="shared" si="21"/>
        <v/>
      </c>
      <c r="AC9" s="2068" t="str">
        <f>""</f>
        <v/>
      </c>
    </row>
    <row r="10" spans="1:30" ht="15" customHeight="1">
      <c r="A10" s="2065" t="str">
        <f t="shared" si="0"/>
        <v/>
      </c>
      <c r="B10" s="2065" t="str">
        <f t="shared" si="1"/>
        <v/>
      </c>
      <c r="C10" s="2065" t="str">
        <f t="shared" si="2"/>
        <v/>
      </c>
      <c r="D10" s="2065" t="str">
        <f t="shared" si="3"/>
        <v/>
      </c>
      <c r="E10" s="2065" t="str">
        <f t="shared" si="4"/>
        <v/>
      </c>
      <c r="F10" s="2065" t="str">
        <f t="shared" si="5"/>
        <v/>
      </c>
      <c r="G10" s="2065" t="str">
        <f t="shared" si="6"/>
        <v/>
      </c>
      <c r="H10" s="2065" t="str">
        <f t="shared" si="7"/>
        <v/>
      </c>
      <c r="I10" s="2065" t="str">
        <f t="shared" si="8"/>
        <v/>
      </c>
      <c r="J10" s="2069" t="str">
        <f t="shared" si="9"/>
        <v/>
      </c>
      <c r="K10" s="2065" t="str">
        <f t="shared" si="10"/>
        <v/>
      </c>
      <c r="L10" s="2065" t="str">
        <f t="shared" si="11"/>
        <v/>
      </c>
      <c r="N10" s="2065">
        <v>5</v>
      </c>
      <c r="O10" s="2065">
        <f t="shared" si="12"/>
        <v>0</v>
      </c>
      <c r="P10" s="2065">
        <f t="shared" si="22"/>
        <v>0</v>
      </c>
      <c r="Q10" s="2065" t="str">
        <f t="shared" si="13"/>
        <v/>
      </c>
      <c r="R10" s="2065" t="str">
        <f>IF(V10&lt;&gt;"","Tin_"&amp;U10,"")</f>
        <v/>
      </c>
      <c r="S10" s="2067" t="str">
        <f>IF(V10&lt;&gt;"","Türe innen"&amp;" "&amp;U10,"")</f>
        <v/>
      </c>
      <c r="T10" s="2065" t="str">
        <f t="shared" si="16"/>
        <v/>
      </c>
      <c r="U10" s="2068" t="str">
        <f>IF(V10&lt;&gt;"",IF(dreh=1,"NO","N"),"")</f>
        <v/>
      </c>
      <c r="V10" s="2069" t="str">
        <f>IF(Bau!I22&gt;0,Bau!I22,"")</f>
        <v/>
      </c>
      <c r="W10" s="2069" t="str">
        <f>IF(V10&lt;&gt;"",Bau!M22,"")</f>
        <v/>
      </c>
      <c r="X10" s="2069" t="str">
        <f t="shared" si="17"/>
        <v/>
      </c>
      <c r="Y10" s="2069" t="str">
        <f>IF(V10&lt;&gt;"",Bau!N22,"")</f>
        <v/>
      </c>
      <c r="Z10" s="2069" t="str">
        <f t="shared" si="19"/>
        <v/>
      </c>
      <c r="AA10" s="2069" t="str">
        <f t="shared" si="20"/>
        <v/>
      </c>
      <c r="AB10" s="2068" t="str">
        <f t="shared" si="21"/>
        <v/>
      </c>
      <c r="AC10" s="2068" t="str">
        <f>""</f>
        <v/>
      </c>
    </row>
    <row r="11" spans="1:30" ht="15" customHeight="1">
      <c r="A11" s="2065" t="str">
        <f t="shared" si="0"/>
        <v/>
      </c>
      <c r="B11" s="2065" t="str">
        <f t="shared" si="1"/>
        <v/>
      </c>
      <c r="C11" s="2065" t="str">
        <f t="shared" si="2"/>
        <v/>
      </c>
      <c r="D11" s="2065" t="str">
        <f t="shared" si="3"/>
        <v/>
      </c>
      <c r="E11" s="2065" t="str">
        <f t="shared" si="4"/>
        <v/>
      </c>
      <c r="F11" s="2065" t="str">
        <f t="shared" si="5"/>
        <v/>
      </c>
      <c r="G11" s="2065" t="str">
        <f t="shared" si="6"/>
        <v/>
      </c>
      <c r="H11" s="2065" t="str">
        <f t="shared" si="7"/>
        <v/>
      </c>
      <c r="I11" s="2065" t="str">
        <f t="shared" si="8"/>
        <v/>
      </c>
      <c r="J11" s="2069" t="str">
        <f t="shared" si="9"/>
        <v/>
      </c>
      <c r="K11" s="2065" t="str">
        <f t="shared" si="10"/>
        <v/>
      </c>
      <c r="L11" s="2065" t="str">
        <f t="shared" si="11"/>
        <v/>
      </c>
      <c r="N11" s="2065">
        <v>6</v>
      </c>
      <c r="O11" s="2065">
        <f t="shared" si="12"/>
        <v>0</v>
      </c>
      <c r="P11" s="2065">
        <f t="shared" si="22"/>
        <v>0</v>
      </c>
      <c r="Q11" s="2065" t="str">
        <f t="shared" si="13"/>
        <v/>
      </c>
      <c r="R11" s="2065" t="str">
        <f t="shared" ref="R11:R13" si="23">IF(V11&lt;&gt;"","Tin_"&amp;U11,"")</f>
        <v/>
      </c>
      <c r="S11" s="2067" t="str">
        <f t="shared" ref="S11:S13" si="24">IF(V11&lt;&gt;"","Türe innen"&amp;" "&amp;U11,"")</f>
        <v/>
      </c>
      <c r="T11" s="2065" t="str">
        <f t="shared" si="16"/>
        <v/>
      </c>
      <c r="U11" s="2068" t="str">
        <f>IF(V11&lt;&gt;"",IF(dreh=1,"SO","O"),"")</f>
        <v/>
      </c>
      <c r="V11" s="2069" t="str">
        <f>IF(Bau!V22&gt;0,Bau!V22,"")</f>
        <v/>
      </c>
      <c r="W11" s="2069" t="str">
        <f>IF(V11&lt;&gt;"",Bau!Z22,"")</f>
        <v/>
      </c>
      <c r="X11" s="2069" t="str">
        <f t="shared" si="17"/>
        <v/>
      </c>
      <c r="Y11" s="2069" t="str">
        <f>IF(V11&lt;&gt;"",Bau!AA22,"")</f>
        <v/>
      </c>
      <c r="Z11" s="2069" t="str">
        <f t="shared" si="19"/>
        <v/>
      </c>
      <c r="AA11" s="2069" t="str">
        <f t="shared" si="20"/>
        <v/>
      </c>
      <c r="AB11" s="2068" t="str">
        <f t="shared" si="21"/>
        <v/>
      </c>
      <c r="AC11" s="2068" t="str">
        <f>""</f>
        <v/>
      </c>
    </row>
    <row r="12" spans="1:30" ht="15" customHeight="1">
      <c r="A12" s="2065" t="str">
        <f t="shared" si="0"/>
        <v/>
      </c>
      <c r="B12" s="2065" t="str">
        <f t="shared" si="1"/>
        <v/>
      </c>
      <c r="C12" s="2065" t="str">
        <f t="shared" si="2"/>
        <v/>
      </c>
      <c r="D12" s="2065" t="str">
        <f t="shared" si="3"/>
        <v/>
      </c>
      <c r="E12" s="2065" t="str">
        <f t="shared" si="4"/>
        <v/>
      </c>
      <c r="F12" s="2065" t="str">
        <f t="shared" si="5"/>
        <v/>
      </c>
      <c r="G12" s="2065" t="str">
        <f t="shared" si="6"/>
        <v/>
      </c>
      <c r="H12" s="2065" t="str">
        <f t="shared" si="7"/>
        <v/>
      </c>
      <c r="I12" s="2065" t="str">
        <f t="shared" si="8"/>
        <v/>
      </c>
      <c r="J12" s="2069" t="str">
        <f t="shared" si="9"/>
        <v/>
      </c>
      <c r="K12" s="2065" t="str">
        <f t="shared" si="10"/>
        <v/>
      </c>
      <c r="L12" s="2065" t="str">
        <f t="shared" si="11"/>
        <v/>
      </c>
      <c r="N12" s="2065">
        <v>7</v>
      </c>
      <c r="O12" s="2065">
        <f t="shared" si="12"/>
        <v>0</v>
      </c>
      <c r="P12" s="2065">
        <f t="shared" si="22"/>
        <v>0</v>
      </c>
      <c r="Q12" s="2065" t="str">
        <f t="shared" si="13"/>
        <v/>
      </c>
      <c r="R12" s="2065" t="str">
        <f t="shared" si="23"/>
        <v/>
      </c>
      <c r="S12" s="2067" t="str">
        <f t="shared" si="24"/>
        <v/>
      </c>
      <c r="T12" s="2065" t="str">
        <f t="shared" si="16"/>
        <v/>
      </c>
      <c r="U12" s="2068" t="str">
        <f>IF(V12&lt;&gt;"",IF(dreh=1,"NW","W"),"")</f>
        <v/>
      </c>
      <c r="V12" s="2069" t="str">
        <f>IF(Bau!I41&gt;0,Bau!I41,"")</f>
        <v/>
      </c>
      <c r="W12" s="2069" t="str">
        <f>IF(V12&lt;&gt;"",Bau!M41,"")</f>
        <v/>
      </c>
      <c r="X12" s="2069" t="str">
        <f t="shared" si="17"/>
        <v/>
      </c>
      <c r="Y12" s="2069" t="str">
        <f>IF(V12&lt;&gt;"",Bau!N41,"")</f>
        <v/>
      </c>
      <c r="Z12" s="2069" t="str">
        <f t="shared" si="19"/>
        <v/>
      </c>
      <c r="AA12" s="2069" t="str">
        <f t="shared" si="20"/>
        <v/>
      </c>
      <c r="AB12" s="2068" t="str">
        <f t="shared" si="21"/>
        <v/>
      </c>
      <c r="AC12" s="2068" t="str">
        <f>""</f>
        <v/>
      </c>
    </row>
    <row r="13" spans="1:30" ht="15" customHeight="1">
      <c r="A13" s="2065" t="str">
        <f t="shared" si="0"/>
        <v/>
      </c>
      <c r="B13" s="2065" t="str">
        <f t="shared" si="1"/>
        <v/>
      </c>
      <c r="C13" s="2065" t="str">
        <f t="shared" si="2"/>
        <v/>
      </c>
      <c r="D13" s="2065" t="str">
        <f t="shared" si="3"/>
        <v/>
      </c>
      <c r="E13" s="2065" t="str">
        <f t="shared" si="4"/>
        <v/>
      </c>
      <c r="F13" s="2065" t="str">
        <f t="shared" si="5"/>
        <v/>
      </c>
      <c r="G13" s="2065" t="str">
        <f t="shared" si="6"/>
        <v/>
      </c>
      <c r="H13" s="2065" t="str">
        <f t="shared" si="7"/>
        <v/>
      </c>
      <c r="I13" s="2065" t="str">
        <f t="shared" si="8"/>
        <v/>
      </c>
      <c r="J13" s="2069" t="str">
        <f t="shared" si="9"/>
        <v/>
      </c>
      <c r="K13" s="2065" t="str">
        <f t="shared" si="10"/>
        <v/>
      </c>
      <c r="L13" s="2065" t="str">
        <f t="shared" si="11"/>
        <v/>
      </c>
      <c r="N13" s="2065">
        <v>8</v>
      </c>
      <c r="O13" s="2065">
        <f t="shared" si="12"/>
        <v>0</v>
      </c>
      <c r="P13" s="2065">
        <f t="shared" si="22"/>
        <v>0</v>
      </c>
      <c r="Q13" s="2065" t="str">
        <f t="shared" si="13"/>
        <v/>
      </c>
      <c r="R13" s="2065" t="str">
        <f t="shared" si="23"/>
        <v/>
      </c>
      <c r="S13" s="2067" t="str">
        <f t="shared" si="24"/>
        <v/>
      </c>
      <c r="T13" s="2065" t="str">
        <f t="shared" si="16"/>
        <v/>
      </c>
      <c r="U13" s="2068" t="str">
        <f>IF(V13&lt;&gt;"",IF(dreh=1,"SW","S"),"")</f>
        <v/>
      </c>
      <c r="V13" s="2069" t="str">
        <f>IF(Bau!V41&gt;0,Bau!V41,"")</f>
        <v/>
      </c>
      <c r="W13" s="2069" t="str">
        <f>IF(V13&lt;&gt;"",Bau!Z41,"")</f>
        <v/>
      </c>
      <c r="X13" s="2069" t="str">
        <f t="shared" si="17"/>
        <v/>
      </c>
      <c r="Y13" s="2069" t="str">
        <f>IF(V13&lt;&gt;"",Bau!AA41,"")</f>
        <v/>
      </c>
      <c r="Z13" s="2069" t="str">
        <f t="shared" si="19"/>
        <v/>
      </c>
      <c r="AA13" s="2069" t="str">
        <f t="shared" si="20"/>
        <v/>
      </c>
      <c r="AB13" s="2068" t="str">
        <f t="shared" si="21"/>
        <v/>
      </c>
      <c r="AC13" s="2068" t="str">
        <f>""</f>
        <v/>
      </c>
    </row>
    <row r="14" spans="1:30" ht="15" customHeight="1">
      <c r="A14" s="2065" t="str">
        <f t="shared" si="0"/>
        <v/>
      </c>
      <c r="B14" s="2065" t="str">
        <f t="shared" si="1"/>
        <v/>
      </c>
      <c r="C14" s="2065" t="str">
        <f t="shared" si="2"/>
        <v/>
      </c>
      <c r="D14" s="2065" t="str">
        <f t="shared" si="3"/>
        <v/>
      </c>
      <c r="E14" s="2065" t="str">
        <f t="shared" si="4"/>
        <v/>
      </c>
      <c r="F14" s="2065" t="str">
        <f t="shared" si="5"/>
        <v/>
      </c>
      <c r="G14" s="2065" t="str">
        <f t="shared" si="6"/>
        <v/>
      </c>
      <c r="H14" s="2065" t="str">
        <f t="shared" si="7"/>
        <v/>
      </c>
      <c r="I14" s="2065" t="str">
        <f t="shared" si="8"/>
        <v/>
      </c>
      <c r="J14" s="2069" t="str">
        <f t="shared" si="9"/>
        <v/>
      </c>
      <c r="K14" s="2065" t="str">
        <f t="shared" si="10"/>
        <v/>
      </c>
      <c r="L14" s="2065" t="str">
        <f t="shared" si="11"/>
        <v/>
      </c>
      <c r="N14" s="2065">
        <v>9</v>
      </c>
      <c r="O14" s="2065">
        <f t="shared" si="12"/>
        <v>0</v>
      </c>
      <c r="P14" s="2065">
        <f t="shared" si="22"/>
        <v>0</v>
      </c>
      <c r="Q14" s="2065" t="str">
        <f t="shared" si="13"/>
        <v/>
      </c>
      <c r="R14" s="2065" t="str">
        <f>IF(V14&lt;&gt;"","Fe1_H","")</f>
        <v/>
      </c>
      <c r="S14" s="2067" t="str">
        <f>IF(V14&lt;&gt;"",IF(Fenster!D11&lt;&gt;"",Fenster!D11,"Fenster 1"&amp;" "&amp;U14),"")</f>
        <v/>
      </c>
      <c r="T14" s="2065" t="str">
        <f>IF(V14&lt;&gt;"","Fenster","")</f>
        <v/>
      </c>
      <c r="U14" s="2068" t="str">
        <f>IF(V14&lt;&gt;"","Horiz","")</f>
        <v/>
      </c>
      <c r="V14" s="2069" t="str">
        <f>IF(Fenster!H11&gt;0,Fenster!H11,"")</f>
        <v/>
      </c>
      <c r="W14" s="2069" t="str">
        <f>IF(V14&lt;&gt;"",Fenster!L11,"")</f>
        <v/>
      </c>
      <c r="X14" s="2069" t="str">
        <f>IF(V14&lt;&gt;"",Fenster!N11,"")</f>
        <v/>
      </c>
      <c r="Y14" s="2069" t="str">
        <f t="shared" ref="Y14:Y53" si="25">IF(V14&lt;&gt;"",1,"")</f>
        <v/>
      </c>
      <c r="Z14" s="2069" t="str">
        <f>IF(X14&lt;&gt;"",IF(Fenster!O11&gt;0,Fenster!O11,0.75),"")</f>
        <v/>
      </c>
      <c r="AA14" s="2069" t="str">
        <f>IF(V14&lt;&gt;"",Fenster!AK11,"")</f>
        <v/>
      </c>
      <c r="AB14" s="2068" t="str">
        <f>IF(V14&lt;&gt;"",IF(Fenster!F11&gt;0,Fenster!F11,1),"")</f>
        <v/>
      </c>
      <c r="AC14" s="2068" t="str">
        <f>IF(V14&lt;&gt;"",Fenster!BF1,"")</f>
        <v/>
      </c>
    </row>
    <row r="15" spans="1:30" ht="15" customHeight="1">
      <c r="A15" s="2065" t="str">
        <f t="shared" si="0"/>
        <v/>
      </c>
      <c r="B15" s="2065" t="str">
        <f t="shared" si="1"/>
        <v/>
      </c>
      <c r="C15" s="2065" t="str">
        <f t="shared" si="2"/>
        <v/>
      </c>
      <c r="D15" s="2065" t="str">
        <f t="shared" si="3"/>
        <v/>
      </c>
      <c r="E15" s="2065" t="str">
        <f t="shared" si="4"/>
        <v/>
      </c>
      <c r="F15" s="2065" t="str">
        <f t="shared" si="5"/>
        <v/>
      </c>
      <c r="G15" s="2065" t="str">
        <f t="shared" si="6"/>
        <v/>
      </c>
      <c r="H15" s="2065" t="str">
        <f t="shared" si="7"/>
        <v/>
      </c>
      <c r="I15" s="2065" t="str">
        <f t="shared" si="8"/>
        <v/>
      </c>
      <c r="J15" s="2069" t="str">
        <f t="shared" si="9"/>
        <v/>
      </c>
      <c r="K15" s="2065" t="str">
        <f t="shared" si="10"/>
        <v/>
      </c>
      <c r="L15" s="2065" t="str">
        <f t="shared" si="11"/>
        <v/>
      </c>
      <c r="N15" s="2065">
        <v>10</v>
      </c>
      <c r="O15" s="2065">
        <f t="shared" si="12"/>
        <v>0</v>
      </c>
      <c r="P15" s="2065">
        <f t="shared" si="22"/>
        <v>0</v>
      </c>
      <c r="Q15" s="2065" t="str">
        <f t="shared" si="13"/>
        <v/>
      </c>
      <c r="R15" s="2065" t="str">
        <f>IF(V15&lt;&gt;"","Fe2_H","")</f>
        <v/>
      </c>
      <c r="S15" s="2067" t="str">
        <f>IF(V15&lt;&gt;"",IF(Fenster!D13&lt;&gt;"",Fenster!D13,"Fenster 2"&amp;" "&amp;U15),"")</f>
        <v/>
      </c>
      <c r="T15" s="2065" t="str">
        <f t="shared" ref="T15:T21" si="26">IF(V15&lt;&gt;"","Fenster","")</f>
        <v/>
      </c>
      <c r="U15" s="2068" t="str">
        <f t="shared" ref="U15:U21" si="27">IF(V15&lt;&gt;"","Horiz","")</f>
        <v/>
      </c>
      <c r="V15" s="2069" t="str">
        <f>IF(Fenster!H13&gt;0,Fenster!H13,"")</f>
        <v/>
      </c>
      <c r="W15" s="2069" t="str">
        <f>IF(V15&lt;&gt;"",Fenster!L13,"")</f>
        <v/>
      </c>
      <c r="X15" s="2069" t="str">
        <f>IF(V15&lt;&gt;"",Fenster!N13,"")</f>
        <v/>
      </c>
      <c r="Y15" s="2069" t="str">
        <f t="shared" si="25"/>
        <v/>
      </c>
      <c r="Z15" s="2069" t="str">
        <f>IF(X15&lt;&gt;"",IF(Fenster!O13&gt;0,Fenster!O13,0.75),"")</f>
        <v/>
      </c>
      <c r="AA15" s="2069" t="str">
        <f>IF(V15&lt;&gt;"",Fenster!AK13,"")</f>
        <v/>
      </c>
      <c r="AB15" s="2068" t="str">
        <f>IF(V15&lt;&gt;"",IF(Fenster!F13&gt;0,Fenster!F13,1),"")</f>
        <v/>
      </c>
      <c r="AC15" s="2068" t="str">
        <f>IF(V15&lt;&gt;"",Fenster!BF2,"")</f>
        <v/>
      </c>
    </row>
    <row r="16" spans="1:30" ht="15" customHeight="1">
      <c r="A16" s="2065" t="str">
        <f t="shared" si="0"/>
        <v/>
      </c>
      <c r="B16" s="2065" t="str">
        <f t="shared" si="1"/>
        <v/>
      </c>
      <c r="C16" s="2065" t="str">
        <f t="shared" si="2"/>
        <v/>
      </c>
      <c r="D16" s="2065" t="str">
        <f t="shared" si="3"/>
        <v/>
      </c>
      <c r="E16" s="2065" t="str">
        <f t="shared" si="4"/>
        <v/>
      </c>
      <c r="F16" s="2065" t="str">
        <f t="shared" si="5"/>
        <v/>
      </c>
      <c r="G16" s="2065" t="str">
        <f t="shared" si="6"/>
        <v/>
      </c>
      <c r="H16" s="2065" t="str">
        <f t="shared" si="7"/>
        <v/>
      </c>
      <c r="I16" s="2065" t="str">
        <f t="shared" si="8"/>
        <v/>
      </c>
      <c r="J16" s="2069" t="str">
        <f t="shared" si="9"/>
        <v/>
      </c>
      <c r="K16" s="2065" t="str">
        <f t="shared" si="10"/>
        <v/>
      </c>
      <c r="L16" s="2065" t="str">
        <f t="shared" si="11"/>
        <v/>
      </c>
      <c r="N16" s="2065">
        <v>11</v>
      </c>
      <c r="O16" s="2065">
        <f t="shared" si="12"/>
        <v>0</v>
      </c>
      <c r="P16" s="2065">
        <f t="shared" si="22"/>
        <v>0</v>
      </c>
      <c r="Q16" s="2065" t="str">
        <f t="shared" si="13"/>
        <v/>
      </c>
      <c r="R16" s="2065" t="str">
        <f>IF(V16&lt;&gt;"","Fe3_H","")</f>
        <v/>
      </c>
      <c r="S16" s="2067" t="str">
        <f>IF(V16&lt;&gt;"",IF(Fenster!D15&lt;&gt;"",Fenster!D15,"Fenster 3"&amp;" "&amp;U16),"")</f>
        <v/>
      </c>
      <c r="T16" s="2065" t="str">
        <f t="shared" si="26"/>
        <v/>
      </c>
      <c r="U16" s="2068" t="str">
        <f t="shared" si="27"/>
        <v/>
      </c>
      <c r="V16" s="2069" t="str">
        <f>IF(Fenster!H15&gt;0,Fenster!H15,"")</f>
        <v/>
      </c>
      <c r="W16" s="2069" t="str">
        <f>IF(V16&lt;&gt;"",Fenster!L15,"")</f>
        <v/>
      </c>
      <c r="X16" s="2069" t="str">
        <f>IF(V16&lt;&gt;"",Fenster!N15,"")</f>
        <v/>
      </c>
      <c r="Y16" s="2069" t="str">
        <f t="shared" si="25"/>
        <v/>
      </c>
      <c r="Z16" s="2069" t="str">
        <f>IF(X16&lt;&gt;"",IF(Fenster!O15&gt;0,Fenster!O15,0.75),"")</f>
        <v/>
      </c>
      <c r="AA16" s="2069" t="str">
        <f>IF(V16&lt;&gt;"",Fenster!AK15,"")</f>
        <v/>
      </c>
      <c r="AB16" s="2068" t="str">
        <f>IF(V16&lt;&gt;"",IF(Fenster!F15&gt;0,Fenster!F15,1),"")</f>
        <v/>
      </c>
      <c r="AC16" s="2068" t="str">
        <f>IF(V16&lt;&gt;"",Fenster!BF3,"")</f>
        <v/>
      </c>
    </row>
    <row r="17" spans="1:29" ht="15" customHeight="1">
      <c r="A17" s="2065" t="str">
        <f t="shared" si="0"/>
        <v/>
      </c>
      <c r="B17" s="2065" t="str">
        <f t="shared" si="1"/>
        <v/>
      </c>
      <c r="C17" s="2065" t="str">
        <f t="shared" si="2"/>
        <v/>
      </c>
      <c r="D17" s="2065" t="str">
        <f t="shared" si="3"/>
        <v/>
      </c>
      <c r="E17" s="2065" t="str">
        <f t="shared" si="4"/>
        <v/>
      </c>
      <c r="F17" s="2065" t="str">
        <f t="shared" si="5"/>
        <v/>
      </c>
      <c r="G17" s="2065" t="str">
        <f t="shared" si="6"/>
        <v/>
      </c>
      <c r="H17" s="2065" t="str">
        <f t="shared" si="7"/>
        <v/>
      </c>
      <c r="I17" s="2065" t="str">
        <f t="shared" si="8"/>
        <v/>
      </c>
      <c r="J17" s="2069" t="str">
        <f t="shared" si="9"/>
        <v/>
      </c>
      <c r="K17" s="2065" t="str">
        <f t="shared" si="10"/>
        <v/>
      </c>
      <c r="L17" s="2065" t="str">
        <f t="shared" si="11"/>
        <v/>
      </c>
      <c r="N17" s="2065">
        <v>12</v>
      </c>
      <c r="O17" s="2065">
        <f t="shared" si="12"/>
        <v>0</v>
      </c>
      <c r="P17" s="2065">
        <f t="shared" si="22"/>
        <v>0</v>
      </c>
      <c r="Q17" s="2065" t="str">
        <f t="shared" si="13"/>
        <v/>
      </c>
      <c r="R17" s="2065" t="str">
        <f>IF(V17&lt;&gt;"","Fe4_H","")</f>
        <v/>
      </c>
      <c r="S17" s="2067" t="str">
        <f>IF(V17&lt;&gt;"",IF(Fenster!D17&lt;&gt;"",Fenster!D17,"Fenster 4"&amp;" "&amp;U17),"")</f>
        <v/>
      </c>
      <c r="T17" s="2065" t="str">
        <f t="shared" si="26"/>
        <v/>
      </c>
      <c r="U17" s="2068" t="str">
        <f t="shared" si="27"/>
        <v/>
      </c>
      <c r="V17" s="2069" t="str">
        <f>IF(Fenster!H17&gt;0,Fenster!H17,"")</f>
        <v/>
      </c>
      <c r="W17" s="2069" t="str">
        <f>IF(V17&lt;&gt;"",Fenster!L17,"")</f>
        <v/>
      </c>
      <c r="X17" s="2069" t="str">
        <f>IF(V17&lt;&gt;"",Fenster!N17,"")</f>
        <v/>
      </c>
      <c r="Y17" s="2069" t="str">
        <f t="shared" si="25"/>
        <v/>
      </c>
      <c r="Z17" s="2069" t="str">
        <f>IF(X17&lt;&gt;"",IF(Fenster!O17&gt;0,Fenster!O17,0.75),"")</f>
        <v/>
      </c>
      <c r="AA17" s="2069" t="str">
        <f>IF(V17&lt;&gt;"",Fenster!AK17,"")</f>
        <v/>
      </c>
      <c r="AB17" s="2068" t="str">
        <f>IF(V17&lt;&gt;"",IF(Fenster!F17&gt;0,Fenster!F17,1),"")</f>
        <v/>
      </c>
      <c r="AC17" s="2068" t="str">
        <f>IF(V17&lt;&gt;"",Fenster!BF4,"")</f>
        <v/>
      </c>
    </row>
    <row r="18" spans="1:29" ht="15" customHeight="1">
      <c r="A18" s="2065" t="str">
        <f t="shared" si="0"/>
        <v/>
      </c>
      <c r="B18" s="2065" t="str">
        <f t="shared" si="1"/>
        <v/>
      </c>
      <c r="C18" s="2065" t="str">
        <f t="shared" si="2"/>
        <v/>
      </c>
      <c r="D18" s="2065" t="str">
        <f t="shared" si="3"/>
        <v/>
      </c>
      <c r="E18" s="2065" t="str">
        <f t="shared" si="4"/>
        <v/>
      </c>
      <c r="F18" s="2065" t="str">
        <f t="shared" si="5"/>
        <v/>
      </c>
      <c r="G18" s="2065" t="str">
        <f t="shared" si="6"/>
        <v/>
      </c>
      <c r="H18" s="2065" t="str">
        <f t="shared" si="7"/>
        <v/>
      </c>
      <c r="I18" s="2065" t="str">
        <f t="shared" si="8"/>
        <v/>
      </c>
      <c r="J18" s="2069" t="str">
        <f t="shared" si="9"/>
        <v/>
      </c>
      <c r="K18" s="2065" t="str">
        <f t="shared" si="10"/>
        <v/>
      </c>
      <c r="L18" s="2065" t="str">
        <f t="shared" si="11"/>
        <v/>
      </c>
      <c r="N18" s="2065">
        <v>13</v>
      </c>
      <c r="O18" s="2065">
        <f t="shared" si="12"/>
        <v>0</v>
      </c>
      <c r="P18" s="2065">
        <f t="shared" si="22"/>
        <v>0</v>
      </c>
      <c r="Q18" s="2065" t="str">
        <f t="shared" si="13"/>
        <v/>
      </c>
      <c r="R18" s="2065" t="str">
        <f>IF(V18&lt;&gt;"","Fe5_H","")</f>
        <v/>
      </c>
      <c r="S18" s="2067" t="str">
        <f>IF(V18&lt;&gt;"",IF(Fenster!D19&lt;&gt;"",Fenster!D19,"Fenster 5"&amp;" "&amp;U18),"")</f>
        <v/>
      </c>
      <c r="T18" s="2065" t="str">
        <f t="shared" si="26"/>
        <v/>
      </c>
      <c r="U18" s="2068" t="str">
        <f t="shared" si="27"/>
        <v/>
      </c>
      <c r="V18" s="2069" t="str">
        <f>IF(Fenster!H19&gt;0,Fenster!H19,"")</f>
        <v/>
      </c>
      <c r="W18" s="2069" t="str">
        <f>IF(V18&lt;&gt;"",Fenster!L19,"")</f>
        <v/>
      </c>
      <c r="X18" s="2069" t="str">
        <f>IF(V18&lt;&gt;"",Fenster!N19,"")</f>
        <v/>
      </c>
      <c r="Y18" s="2069" t="str">
        <f t="shared" si="25"/>
        <v/>
      </c>
      <c r="Z18" s="2069" t="str">
        <f>IF(X18&lt;&gt;"",IF(Fenster!O19&gt;0,Fenster!O19,0.75),"")</f>
        <v/>
      </c>
      <c r="AA18" s="2069" t="str">
        <f>IF(V18&lt;&gt;"",Fenster!AK19,"")</f>
        <v/>
      </c>
      <c r="AB18" s="2068" t="str">
        <f>IF(V18&lt;&gt;"",IF(Fenster!F19&gt;0,Fenster!F19,1),"")</f>
        <v/>
      </c>
      <c r="AC18" s="2068" t="str">
        <f>IF(V18&lt;&gt;"",Fenster!BF5,"")</f>
        <v/>
      </c>
    </row>
    <row r="19" spans="1:29" ht="15" customHeight="1">
      <c r="A19" s="2065" t="str">
        <f t="shared" si="0"/>
        <v/>
      </c>
      <c r="B19" s="2065" t="str">
        <f t="shared" si="1"/>
        <v/>
      </c>
      <c r="C19" s="2065" t="str">
        <f t="shared" si="2"/>
        <v/>
      </c>
      <c r="D19" s="2065" t="str">
        <f t="shared" si="3"/>
        <v/>
      </c>
      <c r="E19" s="2065" t="str">
        <f t="shared" si="4"/>
        <v/>
      </c>
      <c r="F19" s="2065" t="str">
        <f t="shared" si="5"/>
        <v/>
      </c>
      <c r="G19" s="2065" t="str">
        <f t="shared" si="6"/>
        <v/>
      </c>
      <c r="H19" s="2065" t="str">
        <f t="shared" si="7"/>
        <v/>
      </c>
      <c r="I19" s="2065" t="str">
        <f t="shared" si="8"/>
        <v/>
      </c>
      <c r="J19" s="2069" t="str">
        <f t="shared" si="9"/>
        <v/>
      </c>
      <c r="K19" s="2065" t="str">
        <f t="shared" si="10"/>
        <v/>
      </c>
      <c r="L19" s="2065" t="str">
        <f t="shared" si="11"/>
        <v/>
      </c>
      <c r="N19" s="2065">
        <v>14</v>
      </c>
      <c r="O19" s="2065">
        <f t="shared" si="12"/>
        <v>0</v>
      </c>
      <c r="P19" s="2065">
        <f t="shared" si="22"/>
        <v>0</v>
      </c>
      <c r="Q19" s="2065" t="str">
        <f t="shared" si="13"/>
        <v/>
      </c>
      <c r="R19" s="2065" t="str">
        <f>IF(V19&lt;&gt;"","Fe6_H","")</f>
        <v/>
      </c>
      <c r="S19" s="2067" t="str">
        <f>IF(V19&lt;&gt;"",IF(Fenster!D21&lt;&gt;"",Fenster!D21,"Fenster 6"&amp;" "&amp;U19),"")</f>
        <v/>
      </c>
      <c r="T19" s="2065" t="str">
        <f t="shared" si="26"/>
        <v/>
      </c>
      <c r="U19" s="2068" t="str">
        <f t="shared" si="27"/>
        <v/>
      </c>
      <c r="V19" s="2069" t="str">
        <f>IF(Fenster!H21&gt;0,Fenster!H21,"")</f>
        <v/>
      </c>
      <c r="W19" s="2069" t="str">
        <f>IF(V19&lt;&gt;"",Fenster!L21,"")</f>
        <v/>
      </c>
      <c r="X19" s="2069" t="str">
        <f>IF(V19&lt;&gt;"",Fenster!N21,"")</f>
        <v/>
      </c>
      <c r="Y19" s="2069" t="str">
        <f t="shared" si="25"/>
        <v/>
      </c>
      <c r="Z19" s="2069" t="str">
        <f>IF(X19&lt;&gt;"",IF(Fenster!O21&gt;0,Fenster!O21,0.75),"")</f>
        <v/>
      </c>
      <c r="AA19" s="2069" t="str">
        <f>IF(V19&lt;&gt;"",Fenster!AK21,"")</f>
        <v/>
      </c>
      <c r="AB19" s="2068" t="str">
        <f>IF(V19&lt;&gt;"",IF(Fenster!F21&gt;0,Fenster!F21,1),"")</f>
        <v/>
      </c>
      <c r="AC19" s="2068" t="str">
        <f>IF(V19&lt;&gt;"",Fenster!BF6,"")</f>
        <v/>
      </c>
    </row>
    <row r="20" spans="1:29" ht="15" customHeight="1">
      <c r="A20" s="2065" t="str">
        <f t="shared" si="0"/>
        <v/>
      </c>
      <c r="B20" s="2065" t="str">
        <f t="shared" si="1"/>
        <v/>
      </c>
      <c r="C20" s="2065" t="str">
        <f t="shared" si="2"/>
        <v/>
      </c>
      <c r="D20" s="2065" t="str">
        <f t="shared" si="3"/>
        <v/>
      </c>
      <c r="E20" s="2065" t="str">
        <f t="shared" si="4"/>
        <v/>
      </c>
      <c r="F20" s="2065" t="str">
        <f t="shared" si="5"/>
        <v/>
      </c>
      <c r="G20" s="2065" t="str">
        <f t="shared" si="6"/>
        <v/>
      </c>
      <c r="H20" s="2065" t="str">
        <f t="shared" si="7"/>
        <v/>
      </c>
      <c r="I20" s="2065" t="str">
        <f t="shared" si="8"/>
        <v/>
      </c>
      <c r="J20" s="2069" t="str">
        <f t="shared" si="9"/>
        <v/>
      </c>
      <c r="K20" s="2065" t="str">
        <f t="shared" si="10"/>
        <v/>
      </c>
      <c r="L20" s="2065" t="str">
        <f t="shared" si="11"/>
        <v/>
      </c>
      <c r="N20" s="2065">
        <v>15</v>
      </c>
      <c r="O20" s="2065">
        <f t="shared" si="12"/>
        <v>0</v>
      </c>
      <c r="P20" s="2065">
        <f t="shared" si="22"/>
        <v>0</v>
      </c>
      <c r="Q20" s="2065" t="str">
        <f t="shared" si="13"/>
        <v/>
      </c>
      <c r="R20" s="2065" t="str">
        <f>IF(V20&lt;&gt;"","Fe7_H","")</f>
        <v/>
      </c>
      <c r="S20" s="2067" t="str">
        <f>IF(V20&lt;&gt;"",IF(Fenster!D23&lt;&gt;"",Fenster!D23,"Fenster 7"&amp;" "&amp;U20),"")</f>
        <v/>
      </c>
      <c r="T20" s="2065" t="str">
        <f t="shared" si="26"/>
        <v/>
      </c>
      <c r="U20" s="2068" t="str">
        <f t="shared" si="27"/>
        <v/>
      </c>
      <c r="V20" s="2069" t="str">
        <f>IF(Fenster!H23&gt;0,Fenster!H23,"")</f>
        <v/>
      </c>
      <c r="W20" s="2069" t="str">
        <f>IF(V20&lt;&gt;"",Fenster!L23,"")</f>
        <v/>
      </c>
      <c r="X20" s="2069" t="str">
        <f>IF(V20&lt;&gt;"",Fenster!N23,"")</f>
        <v/>
      </c>
      <c r="Y20" s="2069" t="str">
        <f t="shared" si="25"/>
        <v/>
      </c>
      <c r="Z20" s="2069" t="str">
        <f>IF(X20&lt;&gt;"",IF(Fenster!O23&gt;0,Fenster!O23,0.75),"")</f>
        <v/>
      </c>
      <c r="AA20" s="2069" t="str">
        <f>IF(V20&lt;&gt;"",Fenster!AK23,"")</f>
        <v/>
      </c>
      <c r="AB20" s="2068" t="str">
        <f>IF(V20&lt;&gt;"",IF(Fenster!F23&gt;0,Fenster!F23,1),"")</f>
        <v/>
      </c>
      <c r="AC20" s="2068" t="str">
        <f>IF(V20&lt;&gt;"",Fenster!BF7,"")</f>
        <v/>
      </c>
    </row>
    <row r="21" spans="1:29" ht="15" customHeight="1">
      <c r="A21" s="2065" t="str">
        <f t="shared" si="0"/>
        <v/>
      </c>
      <c r="B21" s="2065" t="str">
        <f t="shared" si="1"/>
        <v/>
      </c>
      <c r="C21" s="2065" t="str">
        <f t="shared" si="2"/>
        <v/>
      </c>
      <c r="D21" s="2065" t="str">
        <f t="shared" si="3"/>
        <v/>
      </c>
      <c r="E21" s="2065" t="str">
        <f t="shared" si="4"/>
        <v/>
      </c>
      <c r="F21" s="2065" t="str">
        <f t="shared" si="5"/>
        <v/>
      </c>
      <c r="G21" s="2065" t="str">
        <f t="shared" si="6"/>
        <v/>
      </c>
      <c r="H21" s="2065" t="str">
        <f t="shared" si="7"/>
        <v/>
      </c>
      <c r="I21" s="2065" t="str">
        <f t="shared" si="8"/>
        <v/>
      </c>
      <c r="J21" s="2069" t="str">
        <f t="shared" si="9"/>
        <v/>
      </c>
      <c r="K21" s="2065" t="str">
        <f t="shared" si="10"/>
        <v/>
      </c>
      <c r="L21" s="2065" t="str">
        <f t="shared" si="11"/>
        <v/>
      </c>
      <c r="N21" s="2065">
        <v>16</v>
      </c>
      <c r="O21" s="2065">
        <f t="shared" si="12"/>
        <v>0</v>
      </c>
      <c r="P21" s="2065">
        <f t="shared" si="22"/>
        <v>0</v>
      </c>
      <c r="Q21" s="2065" t="str">
        <f t="shared" si="13"/>
        <v/>
      </c>
      <c r="R21" s="2065" t="str">
        <f>IF(V21&lt;&gt;"","Fe8_H","")</f>
        <v/>
      </c>
      <c r="S21" s="2067" t="str">
        <f>IF(V21&lt;&gt;"",IF(Fenster!D25&lt;&gt;"",Fenster!D25,"Fenster 8"&amp;" "&amp;U21),"")</f>
        <v/>
      </c>
      <c r="T21" s="2065" t="str">
        <f t="shared" si="26"/>
        <v/>
      </c>
      <c r="U21" s="2068" t="str">
        <f t="shared" si="27"/>
        <v/>
      </c>
      <c r="V21" s="2069" t="str">
        <f>IF(Fenster!H25&gt;0,Fenster!H25,"")</f>
        <v/>
      </c>
      <c r="W21" s="2069" t="str">
        <f>IF(V21&lt;&gt;"",Fenster!L25,"")</f>
        <v/>
      </c>
      <c r="X21" s="2069" t="str">
        <f>IF(V21&lt;&gt;"",Fenster!N25,"")</f>
        <v/>
      </c>
      <c r="Y21" s="2069" t="str">
        <f t="shared" si="25"/>
        <v/>
      </c>
      <c r="Z21" s="2069" t="str">
        <f>IF(X21&lt;&gt;"",IF(Fenster!O25&gt;0,Fenster!O25,0.75),"")</f>
        <v/>
      </c>
      <c r="AA21" s="2069" t="str">
        <f>IF(V21&lt;&gt;"",Fenster!AK25,"")</f>
        <v/>
      </c>
      <c r="AB21" s="2068" t="str">
        <f>IF(V21&lt;&gt;"",IF(Fenster!F25&gt;0,Fenster!F25,1),"")</f>
        <v/>
      </c>
      <c r="AC21" s="2068" t="str">
        <f>IF(V21&lt;&gt;"",Fenster!BF8,"")</f>
        <v/>
      </c>
    </row>
    <row r="22" spans="1:29" ht="15" customHeight="1">
      <c r="A22" s="2065" t="str">
        <f t="shared" si="0"/>
        <v/>
      </c>
      <c r="B22" s="2065" t="str">
        <f t="shared" si="1"/>
        <v/>
      </c>
      <c r="C22" s="2065" t="str">
        <f t="shared" si="2"/>
        <v/>
      </c>
      <c r="D22" s="2065" t="str">
        <f t="shared" si="3"/>
        <v/>
      </c>
      <c r="E22" s="2065" t="str">
        <f t="shared" si="4"/>
        <v/>
      </c>
      <c r="F22" s="2065" t="str">
        <f t="shared" si="5"/>
        <v/>
      </c>
      <c r="G22" s="2065" t="str">
        <f t="shared" si="6"/>
        <v/>
      </c>
      <c r="H22" s="2065" t="str">
        <f t="shared" si="7"/>
        <v/>
      </c>
      <c r="I22" s="2065" t="str">
        <f t="shared" si="8"/>
        <v/>
      </c>
      <c r="J22" s="2069" t="str">
        <f t="shared" si="9"/>
        <v/>
      </c>
      <c r="K22" s="2065" t="str">
        <f t="shared" si="10"/>
        <v/>
      </c>
      <c r="L22" s="2065" t="str">
        <f t="shared" si="11"/>
        <v/>
      </c>
      <c r="N22" s="2065">
        <v>17</v>
      </c>
      <c r="O22" s="2065">
        <f t="shared" si="12"/>
        <v>0</v>
      </c>
      <c r="P22" s="2065">
        <f t="shared" si="22"/>
        <v>0</v>
      </c>
      <c r="Q22" s="2065" t="str">
        <f t="shared" si="13"/>
        <v/>
      </c>
      <c r="R22" s="2065" t="str">
        <f>IF(V22&lt;&gt;"","Fe1_S","")</f>
        <v/>
      </c>
      <c r="S22" s="2067" t="str">
        <f>IF(V22&lt;&gt;"",IF(Fenster!D34&lt;&gt;"",Fenster!D34,"Fenster 1"&amp;" "&amp;U22),"")</f>
        <v/>
      </c>
      <c r="T22" s="2065" t="str">
        <f>IF(V22&lt;&gt;"","Fenster","")</f>
        <v/>
      </c>
      <c r="U22" s="2068" t="str">
        <f t="shared" ref="U22:U29" si="28">IF(V22&lt;&gt;"",IF(dreh=1,"SW","S"),"")</f>
        <v/>
      </c>
      <c r="V22" s="2069" t="str">
        <f>IF(Fenster!H34&gt;0,Fenster!H34,"")</f>
        <v/>
      </c>
      <c r="W22" s="2069" t="str">
        <f>IF(V22&lt;&gt;"",Fenster!L34,"")</f>
        <v/>
      </c>
      <c r="X22" s="2069" t="str">
        <f>IF(V22&lt;&gt;"",Fenster!N34,"")</f>
        <v/>
      </c>
      <c r="Y22" s="2069" t="str">
        <f t="shared" si="25"/>
        <v/>
      </c>
      <c r="Z22" s="2069" t="str">
        <f>IF(X22&lt;&gt;"",IF(Fenster!O34&gt;0,Fenster!O34,0.75),"")</f>
        <v/>
      </c>
      <c r="AA22" s="2069" t="str">
        <f>IF(V22&lt;&gt;"",Fenster!AK34,"")</f>
        <v/>
      </c>
      <c r="AB22" s="2068" t="str">
        <f>IF(V22&lt;&gt;"",IF(Fenster!F34&gt;0,Fenster!F34,1),"")</f>
        <v/>
      </c>
      <c r="AC22" s="2068" t="str">
        <f>IF(V22&lt;&gt;"",Fenster!BB1,"")</f>
        <v/>
      </c>
    </row>
    <row r="23" spans="1:29" ht="15" customHeight="1">
      <c r="A23" s="2065" t="str">
        <f t="shared" si="0"/>
        <v/>
      </c>
      <c r="B23" s="2065" t="str">
        <f t="shared" si="1"/>
        <v/>
      </c>
      <c r="C23" s="2065" t="str">
        <f t="shared" si="2"/>
        <v/>
      </c>
      <c r="D23" s="2065" t="str">
        <f t="shared" si="3"/>
        <v/>
      </c>
      <c r="E23" s="2065" t="str">
        <f t="shared" si="4"/>
        <v/>
      </c>
      <c r="F23" s="2065" t="str">
        <f t="shared" si="5"/>
        <v/>
      </c>
      <c r="G23" s="2065" t="str">
        <f t="shared" si="6"/>
        <v/>
      </c>
      <c r="H23" s="2065" t="str">
        <f t="shared" si="7"/>
        <v/>
      </c>
      <c r="I23" s="2065" t="str">
        <f t="shared" si="8"/>
        <v/>
      </c>
      <c r="J23" s="2069" t="str">
        <f t="shared" si="9"/>
        <v/>
      </c>
      <c r="K23" s="2065" t="str">
        <f t="shared" si="10"/>
        <v/>
      </c>
      <c r="L23" s="2065" t="str">
        <f t="shared" si="11"/>
        <v/>
      </c>
      <c r="N23" s="2065">
        <v>18</v>
      </c>
      <c r="O23" s="2065">
        <f t="shared" si="12"/>
        <v>0</v>
      </c>
      <c r="P23" s="2065">
        <f t="shared" si="22"/>
        <v>0</v>
      </c>
      <c r="Q23" s="2065" t="str">
        <f t="shared" si="13"/>
        <v/>
      </c>
      <c r="R23" s="2065" t="str">
        <f>IF(V23&lt;&gt;"","Fe2_S","")</f>
        <v/>
      </c>
      <c r="S23" s="2067" t="str">
        <f>IF(V23&lt;&gt;"",IF(Fenster!D36&lt;&gt;"",Fenster!D36,"Fenster 2"&amp;" "&amp;U23),"")</f>
        <v/>
      </c>
      <c r="T23" s="2065" t="str">
        <f t="shared" ref="T23:T29" si="29">IF(V23&lt;&gt;"","Fenster","")</f>
        <v/>
      </c>
      <c r="U23" s="2068" t="str">
        <f t="shared" si="28"/>
        <v/>
      </c>
      <c r="V23" s="2069" t="str">
        <f>IF(Fenster!H36&gt;0,Fenster!H36,"")</f>
        <v/>
      </c>
      <c r="W23" s="2069" t="str">
        <f>IF(V23&lt;&gt;"",Fenster!L36,"")</f>
        <v/>
      </c>
      <c r="X23" s="2069" t="str">
        <f>IF(V23&lt;&gt;"",Fenster!N36,"")</f>
        <v/>
      </c>
      <c r="Y23" s="2069" t="str">
        <f t="shared" si="25"/>
        <v/>
      </c>
      <c r="Z23" s="2069" t="str">
        <f>IF(X23&lt;&gt;"",IF(Fenster!O36&gt;0,Fenster!O36,0.75),"")</f>
        <v/>
      </c>
      <c r="AA23" s="2069" t="str">
        <f>IF(V23&lt;&gt;"",Fenster!AK36,"")</f>
        <v/>
      </c>
      <c r="AB23" s="2068" t="str">
        <f>IF(V23&lt;&gt;"",IF(Fenster!F36&gt;0,Fenster!F36,1),"")</f>
        <v/>
      </c>
      <c r="AC23" s="2068" t="str">
        <f>IF(V23&lt;&gt;"",Fenster!BB2,"")</f>
        <v/>
      </c>
    </row>
    <row r="24" spans="1:29" ht="15" customHeight="1">
      <c r="A24" s="2065" t="str">
        <f t="shared" si="0"/>
        <v/>
      </c>
      <c r="B24" s="2065" t="str">
        <f t="shared" si="1"/>
        <v/>
      </c>
      <c r="C24" s="2065" t="str">
        <f t="shared" si="2"/>
        <v/>
      </c>
      <c r="D24" s="2065" t="str">
        <f t="shared" si="3"/>
        <v/>
      </c>
      <c r="E24" s="2065" t="str">
        <f t="shared" si="4"/>
        <v/>
      </c>
      <c r="F24" s="2065" t="str">
        <f t="shared" si="5"/>
        <v/>
      </c>
      <c r="G24" s="2065" t="str">
        <f t="shared" si="6"/>
        <v/>
      </c>
      <c r="H24" s="2065" t="str">
        <f t="shared" si="7"/>
        <v/>
      </c>
      <c r="I24" s="2065" t="str">
        <f t="shared" si="8"/>
        <v/>
      </c>
      <c r="J24" s="2069" t="str">
        <f t="shared" si="9"/>
        <v/>
      </c>
      <c r="K24" s="2065" t="str">
        <f t="shared" si="10"/>
        <v/>
      </c>
      <c r="L24" s="2065" t="str">
        <f t="shared" si="11"/>
        <v/>
      </c>
      <c r="N24" s="2065">
        <v>19</v>
      </c>
      <c r="O24" s="2065">
        <f t="shared" si="12"/>
        <v>0</v>
      </c>
      <c r="P24" s="2065">
        <f t="shared" si="22"/>
        <v>0</v>
      </c>
      <c r="Q24" s="2065" t="str">
        <f t="shared" si="13"/>
        <v/>
      </c>
      <c r="R24" s="2065" t="str">
        <f>IF(V24&lt;&gt;"","Fe3_S","")</f>
        <v/>
      </c>
      <c r="S24" s="2067" t="str">
        <f>IF(V24&lt;&gt;"",IF(Fenster!D38&lt;&gt;"",Fenster!D38,"Fenster 3"&amp;" "&amp;U24),"")</f>
        <v/>
      </c>
      <c r="T24" s="2065" t="str">
        <f t="shared" si="29"/>
        <v/>
      </c>
      <c r="U24" s="2068" t="str">
        <f t="shared" si="28"/>
        <v/>
      </c>
      <c r="V24" s="2069" t="str">
        <f>IF(Fenster!H38&gt;0,Fenster!H38,"")</f>
        <v/>
      </c>
      <c r="W24" s="2069" t="str">
        <f>IF(V24&lt;&gt;"",Fenster!L38,"")</f>
        <v/>
      </c>
      <c r="X24" s="2069" t="str">
        <f>IF(V24&lt;&gt;"",Fenster!N38,"")</f>
        <v/>
      </c>
      <c r="Y24" s="2069" t="str">
        <f t="shared" si="25"/>
        <v/>
      </c>
      <c r="Z24" s="2069" t="str">
        <f>IF(X24&lt;&gt;"",IF(Fenster!O38&gt;0,Fenster!O38,0.75),"")</f>
        <v/>
      </c>
      <c r="AA24" s="2069" t="str">
        <f>IF(V24&lt;&gt;"",Fenster!AK38,"")</f>
        <v/>
      </c>
      <c r="AB24" s="2068" t="str">
        <f>IF(V24&lt;&gt;"",IF(Fenster!F38&gt;0,Fenster!F38,1),"")</f>
        <v/>
      </c>
      <c r="AC24" s="2068" t="str">
        <f>IF(V24&lt;&gt;"",Fenster!BB3,"")</f>
        <v/>
      </c>
    </row>
    <row r="25" spans="1:29" ht="15" customHeight="1">
      <c r="A25" s="2065" t="str">
        <f t="shared" si="0"/>
        <v/>
      </c>
      <c r="B25" s="2065" t="str">
        <f t="shared" si="1"/>
        <v/>
      </c>
      <c r="C25" s="2065" t="str">
        <f t="shared" si="2"/>
        <v/>
      </c>
      <c r="D25" s="2065" t="str">
        <f t="shared" si="3"/>
        <v/>
      </c>
      <c r="E25" s="2065" t="str">
        <f t="shared" si="4"/>
        <v/>
      </c>
      <c r="F25" s="2065" t="str">
        <f t="shared" si="5"/>
        <v/>
      </c>
      <c r="G25" s="2065" t="str">
        <f t="shared" si="6"/>
        <v/>
      </c>
      <c r="H25" s="2065" t="str">
        <f t="shared" si="7"/>
        <v/>
      </c>
      <c r="I25" s="2065" t="str">
        <f t="shared" si="8"/>
        <v/>
      </c>
      <c r="J25" s="2069" t="str">
        <f t="shared" si="9"/>
        <v/>
      </c>
      <c r="K25" s="2065" t="str">
        <f t="shared" si="10"/>
        <v/>
      </c>
      <c r="L25" s="2065" t="str">
        <f t="shared" si="11"/>
        <v/>
      </c>
      <c r="N25" s="2065">
        <v>20</v>
      </c>
      <c r="O25" s="2065">
        <f t="shared" si="12"/>
        <v>0</v>
      </c>
      <c r="P25" s="2065">
        <f t="shared" si="22"/>
        <v>0</v>
      </c>
      <c r="Q25" s="2065" t="str">
        <f t="shared" si="13"/>
        <v/>
      </c>
      <c r="R25" s="2065" t="str">
        <f>IF(V25&lt;&gt;"","Fe4_S","")</f>
        <v/>
      </c>
      <c r="S25" s="2067" t="str">
        <f>IF(V25&lt;&gt;"",IF(Fenster!D40&lt;&gt;"",Fenster!D40,"Fenster 4"&amp;" "&amp;U25),"")</f>
        <v/>
      </c>
      <c r="T25" s="2065" t="str">
        <f t="shared" si="29"/>
        <v/>
      </c>
      <c r="U25" s="2068" t="str">
        <f t="shared" si="28"/>
        <v/>
      </c>
      <c r="V25" s="2069" t="str">
        <f>IF(Fenster!H40&gt;0,Fenster!H40,"")</f>
        <v/>
      </c>
      <c r="W25" s="2069" t="str">
        <f>IF(V25&lt;&gt;"",Fenster!L40,"")</f>
        <v/>
      </c>
      <c r="X25" s="2069" t="str">
        <f>IF(V25&lt;&gt;"",Fenster!N40,"")</f>
        <v/>
      </c>
      <c r="Y25" s="2069" t="str">
        <f t="shared" si="25"/>
        <v/>
      </c>
      <c r="Z25" s="2069" t="str">
        <f>IF(X25&lt;&gt;"",IF(Fenster!O40&gt;0,Fenster!O40,0.75),"")</f>
        <v/>
      </c>
      <c r="AA25" s="2069" t="str">
        <f>IF(V25&lt;&gt;"",Fenster!AK40,"")</f>
        <v/>
      </c>
      <c r="AB25" s="2068" t="str">
        <f>IF(V25&lt;&gt;"",IF(Fenster!F40&gt;0,Fenster!F40,1),"")</f>
        <v/>
      </c>
      <c r="AC25" s="2068" t="str">
        <f>IF(V25&lt;&gt;"",Fenster!BB4,"")</f>
        <v/>
      </c>
    </row>
    <row r="26" spans="1:29" ht="15" customHeight="1">
      <c r="A26" s="2065" t="str">
        <f t="shared" si="0"/>
        <v/>
      </c>
      <c r="B26" s="2065" t="str">
        <f t="shared" si="1"/>
        <v/>
      </c>
      <c r="C26" s="2065" t="str">
        <f t="shared" si="2"/>
        <v/>
      </c>
      <c r="D26" s="2065" t="str">
        <f t="shared" si="3"/>
        <v/>
      </c>
      <c r="E26" s="2065" t="str">
        <f t="shared" si="4"/>
        <v/>
      </c>
      <c r="F26" s="2065" t="str">
        <f t="shared" si="5"/>
        <v/>
      </c>
      <c r="G26" s="2065" t="str">
        <f t="shared" si="6"/>
        <v/>
      </c>
      <c r="H26" s="2065" t="str">
        <f t="shared" si="7"/>
        <v/>
      </c>
      <c r="I26" s="2065" t="str">
        <f t="shared" si="8"/>
        <v/>
      </c>
      <c r="J26" s="2069" t="str">
        <f t="shared" si="9"/>
        <v/>
      </c>
      <c r="K26" s="2065" t="str">
        <f t="shared" si="10"/>
        <v/>
      </c>
      <c r="L26" s="2065" t="str">
        <f t="shared" si="11"/>
        <v/>
      </c>
      <c r="N26" s="2065">
        <v>21</v>
      </c>
      <c r="O26" s="2065">
        <f t="shared" si="12"/>
        <v>0</v>
      </c>
      <c r="P26" s="2065">
        <f t="shared" si="22"/>
        <v>0</v>
      </c>
      <c r="Q26" s="2065" t="str">
        <f t="shared" si="13"/>
        <v/>
      </c>
      <c r="R26" s="2065" t="str">
        <f>IF(V26&lt;&gt;"","Fe5_S","")</f>
        <v/>
      </c>
      <c r="S26" s="2067" t="str">
        <f>IF(V26&lt;&gt;"",IF(Fenster!D42&lt;&gt;"",Fenster!D42,"Fenster 5"&amp;" "&amp;U26),"")</f>
        <v/>
      </c>
      <c r="T26" s="2065" t="str">
        <f t="shared" si="29"/>
        <v/>
      </c>
      <c r="U26" s="2068" t="str">
        <f t="shared" si="28"/>
        <v/>
      </c>
      <c r="V26" s="2069" t="str">
        <f>IF(Fenster!H42&gt;0,Fenster!H42,"")</f>
        <v/>
      </c>
      <c r="W26" s="2069" t="str">
        <f>IF(V26&lt;&gt;"",Fenster!L42,"")</f>
        <v/>
      </c>
      <c r="X26" s="2069" t="str">
        <f>IF(V26&lt;&gt;"",Fenster!N42,"")</f>
        <v/>
      </c>
      <c r="Y26" s="2069" t="str">
        <f t="shared" si="25"/>
        <v/>
      </c>
      <c r="Z26" s="2069" t="str">
        <f>IF(X26&lt;&gt;"",IF(Fenster!O42&gt;0,Fenster!O42,0.75),"")</f>
        <v/>
      </c>
      <c r="AA26" s="2069" t="str">
        <f>IF(V26&lt;&gt;"",Fenster!AK42,"")</f>
        <v/>
      </c>
      <c r="AB26" s="2068" t="str">
        <f>IF(V26&lt;&gt;"",IF(Fenster!F42&gt;0,Fenster!F42,1),"")</f>
        <v/>
      </c>
      <c r="AC26" s="2068" t="str">
        <f>IF(V26&lt;&gt;"",Fenster!BB5,"")</f>
        <v/>
      </c>
    </row>
    <row r="27" spans="1:29" ht="15" customHeight="1">
      <c r="A27" s="2065" t="str">
        <f t="shared" si="0"/>
        <v/>
      </c>
      <c r="B27" s="2065" t="str">
        <f t="shared" si="1"/>
        <v/>
      </c>
      <c r="C27" s="2065" t="str">
        <f t="shared" si="2"/>
        <v/>
      </c>
      <c r="D27" s="2065" t="str">
        <f t="shared" si="3"/>
        <v/>
      </c>
      <c r="E27" s="2065" t="str">
        <f t="shared" si="4"/>
        <v/>
      </c>
      <c r="F27" s="2065" t="str">
        <f t="shared" si="5"/>
        <v/>
      </c>
      <c r="G27" s="2065" t="str">
        <f t="shared" si="6"/>
        <v/>
      </c>
      <c r="H27" s="2065" t="str">
        <f t="shared" si="7"/>
        <v/>
      </c>
      <c r="I27" s="2065" t="str">
        <f t="shared" si="8"/>
        <v/>
      </c>
      <c r="J27" s="2069" t="str">
        <f t="shared" si="9"/>
        <v/>
      </c>
      <c r="K27" s="2065" t="str">
        <f t="shared" si="10"/>
        <v/>
      </c>
      <c r="L27" s="2065" t="str">
        <f t="shared" si="11"/>
        <v/>
      </c>
      <c r="N27" s="2065">
        <v>22</v>
      </c>
      <c r="O27" s="2065">
        <f t="shared" si="12"/>
        <v>0</v>
      </c>
      <c r="P27" s="2065">
        <f t="shared" si="22"/>
        <v>0</v>
      </c>
      <c r="Q27" s="2065" t="str">
        <f t="shared" si="13"/>
        <v/>
      </c>
      <c r="R27" s="2065" t="str">
        <f>IF(V27&lt;&gt;"","Fe6_S","")</f>
        <v/>
      </c>
      <c r="S27" s="2067" t="str">
        <f>IF(V27&lt;&gt;"",IF(Fenster!D44&lt;&gt;"",Fenster!D44,"Fenster 6"&amp;" "&amp;U27),"")</f>
        <v/>
      </c>
      <c r="T27" s="2065" t="str">
        <f t="shared" si="29"/>
        <v/>
      </c>
      <c r="U27" s="2068" t="str">
        <f t="shared" si="28"/>
        <v/>
      </c>
      <c r="V27" s="2069" t="str">
        <f>IF(Fenster!H44&gt;0,Fenster!H44,"")</f>
        <v/>
      </c>
      <c r="W27" s="2069" t="str">
        <f>IF(V27&lt;&gt;"",Fenster!L44,"")</f>
        <v/>
      </c>
      <c r="X27" s="2069" t="str">
        <f>IF(V27&lt;&gt;"",Fenster!N44,"")</f>
        <v/>
      </c>
      <c r="Y27" s="2069" t="str">
        <f t="shared" si="25"/>
        <v/>
      </c>
      <c r="Z27" s="2069" t="str">
        <f>IF(X27&lt;&gt;"",IF(Fenster!O44&gt;0,Fenster!O44,0.75),"")</f>
        <v/>
      </c>
      <c r="AA27" s="2069" t="str">
        <f>IF(V27&lt;&gt;"",Fenster!AK44,"")</f>
        <v/>
      </c>
      <c r="AB27" s="2068" t="str">
        <f>IF(V27&lt;&gt;"",IF(Fenster!F44&gt;0,Fenster!F44,1),"")</f>
        <v/>
      </c>
      <c r="AC27" s="2068" t="str">
        <f>IF(V27&lt;&gt;"",Fenster!BB6,"")</f>
        <v/>
      </c>
    </row>
    <row r="28" spans="1:29" ht="15" customHeight="1">
      <c r="A28" s="2065" t="str">
        <f t="shared" si="0"/>
        <v/>
      </c>
      <c r="B28" s="2065" t="str">
        <f t="shared" si="1"/>
        <v/>
      </c>
      <c r="C28" s="2065" t="str">
        <f t="shared" si="2"/>
        <v/>
      </c>
      <c r="D28" s="2065" t="str">
        <f t="shared" si="3"/>
        <v/>
      </c>
      <c r="E28" s="2065" t="str">
        <f t="shared" si="4"/>
        <v/>
      </c>
      <c r="F28" s="2065" t="str">
        <f t="shared" si="5"/>
        <v/>
      </c>
      <c r="G28" s="2065" t="str">
        <f t="shared" si="6"/>
        <v/>
      </c>
      <c r="H28" s="2065" t="str">
        <f t="shared" si="7"/>
        <v/>
      </c>
      <c r="I28" s="2065" t="str">
        <f t="shared" si="8"/>
        <v/>
      </c>
      <c r="J28" s="2069" t="str">
        <f t="shared" si="9"/>
        <v/>
      </c>
      <c r="K28" s="2065" t="str">
        <f t="shared" si="10"/>
        <v/>
      </c>
      <c r="L28" s="2065" t="str">
        <f t="shared" si="11"/>
        <v/>
      </c>
      <c r="N28" s="2065">
        <v>23</v>
      </c>
      <c r="O28" s="2065">
        <f t="shared" si="12"/>
        <v>0</v>
      </c>
      <c r="P28" s="2065">
        <f t="shared" si="22"/>
        <v>0</v>
      </c>
      <c r="Q28" s="2065" t="str">
        <f t="shared" si="13"/>
        <v/>
      </c>
      <c r="R28" s="2065" t="str">
        <f>IF(V28&lt;&gt;"","Fe7_S","")</f>
        <v/>
      </c>
      <c r="S28" s="2067" t="str">
        <f>IF(V28&lt;&gt;"",IF(Fenster!D46&lt;&gt;"",Fenster!D46,"Fenster 7"&amp;" "&amp;U28),"")</f>
        <v/>
      </c>
      <c r="T28" s="2065" t="str">
        <f t="shared" si="29"/>
        <v/>
      </c>
      <c r="U28" s="2068" t="str">
        <f t="shared" si="28"/>
        <v/>
      </c>
      <c r="V28" s="2069" t="str">
        <f>IF(Fenster!H46&gt;0,Fenster!H46,"")</f>
        <v/>
      </c>
      <c r="W28" s="2069" t="str">
        <f>IF(V28&lt;&gt;"",Fenster!L46,"")</f>
        <v/>
      </c>
      <c r="X28" s="2069" t="str">
        <f>IF(V28&lt;&gt;"",Fenster!N46,"")</f>
        <v/>
      </c>
      <c r="Y28" s="2069" t="str">
        <f t="shared" si="25"/>
        <v/>
      </c>
      <c r="Z28" s="2069" t="str">
        <f>IF(X28&lt;&gt;"",IF(Fenster!O46&gt;0,Fenster!O46,0.75),"")</f>
        <v/>
      </c>
      <c r="AA28" s="2069" t="str">
        <f>IF(V28&lt;&gt;"",Fenster!AK46,"")</f>
        <v/>
      </c>
      <c r="AB28" s="2068" t="str">
        <f>IF(V28&lt;&gt;"",IF(Fenster!F46&gt;0,Fenster!F46,1),"")</f>
        <v/>
      </c>
      <c r="AC28" s="2068" t="str">
        <f>IF(V28&lt;&gt;"",Fenster!BB7,"")</f>
        <v/>
      </c>
    </row>
    <row r="29" spans="1:29" ht="15" customHeight="1">
      <c r="A29" s="2065" t="str">
        <f t="shared" si="0"/>
        <v/>
      </c>
      <c r="B29" s="2065" t="str">
        <f t="shared" si="1"/>
        <v/>
      </c>
      <c r="C29" s="2065" t="str">
        <f t="shared" si="2"/>
        <v/>
      </c>
      <c r="D29" s="2065" t="str">
        <f t="shared" si="3"/>
        <v/>
      </c>
      <c r="E29" s="2065" t="str">
        <f t="shared" si="4"/>
        <v/>
      </c>
      <c r="F29" s="2065" t="str">
        <f t="shared" si="5"/>
        <v/>
      </c>
      <c r="G29" s="2065" t="str">
        <f t="shared" si="6"/>
        <v/>
      </c>
      <c r="H29" s="2065" t="str">
        <f t="shared" si="7"/>
        <v/>
      </c>
      <c r="I29" s="2065" t="str">
        <f t="shared" si="8"/>
        <v/>
      </c>
      <c r="J29" s="2069" t="str">
        <f t="shared" si="9"/>
        <v/>
      </c>
      <c r="K29" s="2065" t="str">
        <f t="shared" si="10"/>
        <v/>
      </c>
      <c r="L29" s="2065" t="str">
        <f t="shared" si="11"/>
        <v/>
      </c>
      <c r="N29" s="2065">
        <v>24</v>
      </c>
      <c r="O29" s="2065">
        <f t="shared" si="12"/>
        <v>0</v>
      </c>
      <c r="P29" s="2065">
        <f t="shared" si="22"/>
        <v>0</v>
      </c>
      <c r="Q29" s="2065" t="str">
        <f t="shared" si="13"/>
        <v/>
      </c>
      <c r="R29" s="2065" t="str">
        <f>IF(V29&lt;&gt;"","Fe8_S","")</f>
        <v/>
      </c>
      <c r="S29" s="2067" t="str">
        <f>IF(V29&lt;&gt;"",IF(Fenster!D48&lt;&gt;"",Fenster!D48,"Fenster 8"&amp;" "&amp;U29),"")</f>
        <v/>
      </c>
      <c r="T29" s="2065" t="str">
        <f t="shared" si="29"/>
        <v/>
      </c>
      <c r="U29" s="2068" t="str">
        <f t="shared" si="28"/>
        <v/>
      </c>
      <c r="V29" s="2069" t="str">
        <f>IF(Fenster!H48&gt;0,Fenster!H48,"")</f>
        <v/>
      </c>
      <c r="W29" s="2069" t="str">
        <f>IF(V29&lt;&gt;"",Fenster!L48,"")</f>
        <v/>
      </c>
      <c r="X29" s="2069" t="str">
        <f>IF(V29&lt;&gt;"",Fenster!N48,"")</f>
        <v/>
      </c>
      <c r="Y29" s="2069" t="str">
        <f t="shared" si="25"/>
        <v/>
      </c>
      <c r="Z29" s="2069" t="str">
        <f>IF(X29&lt;&gt;"",IF(Fenster!O48&gt;0,Fenster!O48,0.75),"")</f>
        <v/>
      </c>
      <c r="AA29" s="2069" t="str">
        <f>IF(V29&lt;&gt;"",Fenster!AK48,"")</f>
        <v/>
      </c>
      <c r="AB29" s="2068" t="str">
        <f>IF(V29&lt;&gt;"",IF(Fenster!F48&gt;0,Fenster!F48,1),"")</f>
        <v/>
      </c>
      <c r="AC29" s="2068" t="str">
        <f>IF(V29&lt;&gt;"",Fenster!BB8,"")</f>
        <v/>
      </c>
    </row>
    <row r="30" spans="1:29" ht="15" customHeight="1">
      <c r="A30" s="2065" t="str">
        <f t="shared" si="0"/>
        <v/>
      </c>
      <c r="B30" s="2065" t="str">
        <f t="shared" si="1"/>
        <v/>
      </c>
      <c r="C30" s="2065" t="str">
        <f t="shared" si="2"/>
        <v/>
      </c>
      <c r="D30" s="2065" t="str">
        <f t="shared" si="3"/>
        <v/>
      </c>
      <c r="E30" s="2065" t="str">
        <f t="shared" si="4"/>
        <v/>
      </c>
      <c r="F30" s="2065" t="str">
        <f t="shared" si="5"/>
        <v/>
      </c>
      <c r="G30" s="2065" t="str">
        <f t="shared" si="6"/>
        <v/>
      </c>
      <c r="H30" s="2065" t="str">
        <f t="shared" si="7"/>
        <v/>
      </c>
      <c r="I30" s="2065" t="str">
        <f t="shared" si="8"/>
        <v/>
      </c>
      <c r="J30" s="2069" t="str">
        <f t="shared" si="9"/>
        <v/>
      </c>
      <c r="K30" s="2065" t="str">
        <f t="shared" si="10"/>
        <v/>
      </c>
      <c r="L30" s="2065" t="str">
        <f t="shared" si="11"/>
        <v/>
      </c>
      <c r="N30" s="2065">
        <v>25</v>
      </c>
      <c r="O30" s="2065">
        <f t="shared" si="12"/>
        <v>0</v>
      </c>
      <c r="P30" s="2065">
        <f t="shared" si="22"/>
        <v>0</v>
      </c>
      <c r="Q30" s="2065" t="str">
        <f t="shared" si="13"/>
        <v/>
      </c>
      <c r="R30" s="2065" t="str">
        <f>IF(V30&lt;&gt;"","Fe1_O","")</f>
        <v/>
      </c>
      <c r="S30" s="2067" t="str">
        <f>IF(V30&lt;&gt;"",IF(Fenster!D57&lt;&gt;"",Fenster!D57,"Fenster 1"&amp;" "&amp;U30),"")</f>
        <v/>
      </c>
      <c r="T30" s="2065" t="str">
        <f>IF(V30&lt;&gt;"","Fenster","")</f>
        <v/>
      </c>
      <c r="U30" s="2068" t="str">
        <f t="shared" ref="U30:U37" si="30">IF(V30&lt;&gt;"",IF(dreh=1,"SO","O"),"")</f>
        <v/>
      </c>
      <c r="V30" s="2069" t="str">
        <f>IF(Fenster!H57&gt;0,Fenster!H57,"")</f>
        <v/>
      </c>
      <c r="W30" s="2069" t="str">
        <f>IF(V30&lt;&gt;"",Fenster!L57,"")</f>
        <v/>
      </c>
      <c r="X30" s="2069" t="str">
        <f>IF(V30&lt;&gt;"",Fenster!N57,"")</f>
        <v/>
      </c>
      <c r="Y30" s="2069" t="str">
        <f t="shared" si="25"/>
        <v/>
      </c>
      <c r="Z30" s="2069" t="str">
        <f>IF(X30&lt;&gt;"",IF(Fenster!O57&gt;0,Fenster!O57,0.75),"")</f>
        <v/>
      </c>
      <c r="AA30" s="2069" t="str">
        <f>IF(V30&lt;&gt;"",Fenster!AK57,"")</f>
        <v/>
      </c>
      <c r="AB30" s="2068" t="str">
        <f>IF(V30&lt;&gt;"",IF(Fenster!F57&gt;0,Fenster!F57,1),"")</f>
        <v/>
      </c>
      <c r="AC30" s="2068" t="str">
        <f>IF(V30&lt;&gt;"",Fenster!BC1,"")</f>
        <v/>
      </c>
    </row>
    <row r="31" spans="1:29" ht="15" customHeight="1">
      <c r="A31" s="2065" t="str">
        <f t="shared" si="0"/>
        <v/>
      </c>
      <c r="B31" s="2065" t="str">
        <f t="shared" si="1"/>
        <v/>
      </c>
      <c r="C31" s="2065" t="str">
        <f t="shared" si="2"/>
        <v/>
      </c>
      <c r="D31" s="2065" t="str">
        <f t="shared" si="3"/>
        <v/>
      </c>
      <c r="E31" s="2065" t="str">
        <f t="shared" si="4"/>
        <v/>
      </c>
      <c r="F31" s="2065" t="str">
        <f t="shared" si="5"/>
        <v/>
      </c>
      <c r="G31" s="2065" t="str">
        <f t="shared" si="6"/>
        <v/>
      </c>
      <c r="H31" s="2065" t="str">
        <f t="shared" si="7"/>
        <v/>
      </c>
      <c r="I31" s="2065" t="str">
        <f t="shared" si="8"/>
        <v/>
      </c>
      <c r="J31" s="2069" t="str">
        <f t="shared" si="9"/>
        <v/>
      </c>
      <c r="K31" s="2065" t="str">
        <f t="shared" si="10"/>
        <v/>
      </c>
      <c r="L31" s="2065" t="str">
        <f t="shared" si="11"/>
        <v/>
      </c>
      <c r="N31" s="2065">
        <v>26</v>
      </c>
      <c r="O31" s="2065">
        <f t="shared" si="12"/>
        <v>0</v>
      </c>
      <c r="P31" s="2065">
        <f t="shared" si="22"/>
        <v>0</v>
      </c>
      <c r="Q31" s="2065" t="str">
        <f t="shared" si="13"/>
        <v/>
      </c>
      <c r="R31" s="2065" t="str">
        <f>IF(V31&lt;&gt;"","Fe2_O","")</f>
        <v/>
      </c>
      <c r="S31" s="2067" t="str">
        <f>IF(V31&lt;&gt;"",IF(Fenster!D59&lt;&gt;"",Fenster!D59,"Fenster 2"&amp;" "&amp;U31),"")</f>
        <v/>
      </c>
      <c r="T31" s="2065" t="str">
        <f t="shared" ref="T31:T53" si="31">IF(V31&lt;&gt;"","Fenster","")</f>
        <v/>
      </c>
      <c r="U31" s="2068" t="str">
        <f t="shared" si="30"/>
        <v/>
      </c>
      <c r="V31" s="2069" t="str">
        <f>IF(Fenster!H59&gt;0,Fenster!H59,"")</f>
        <v/>
      </c>
      <c r="W31" s="2069" t="str">
        <f>IF(V31&lt;&gt;"",Fenster!L59,"")</f>
        <v/>
      </c>
      <c r="X31" s="2069" t="str">
        <f>IF(V31&lt;&gt;"",Fenster!N59,"")</f>
        <v/>
      </c>
      <c r="Y31" s="2069" t="str">
        <f t="shared" si="25"/>
        <v/>
      </c>
      <c r="Z31" s="2069" t="str">
        <f>IF(X31&lt;&gt;"",IF(Fenster!O59&gt;0,Fenster!O59,0.75),"")</f>
        <v/>
      </c>
      <c r="AA31" s="2069" t="str">
        <f>IF(V31&lt;&gt;"",Fenster!AK59,"")</f>
        <v/>
      </c>
      <c r="AB31" s="2068" t="str">
        <f>IF(V31&lt;&gt;"",IF(Fenster!F59&gt;0,Fenster!F59,1),"")</f>
        <v/>
      </c>
      <c r="AC31" s="2068" t="str">
        <f>IF(V31&lt;&gt;"",Fenster!BC2,"")</f>
        <v/>
      </c>
    </row>
    <row r="32" spans="1:29" ht="15" customHeight="1">
      <c r="A32" s="2065" t="str">
        <f t="shared" si="0"/>
        <v/>
      </c>
      <c r="B32" s="2065" t="str">
        <f t="shared" si="1"/>
        <v/>
      </c>
      <c r="C32" s="2065" t="str">
        <f t="shared" si="2"/>
        <v/>
      </c>
      <c r="D32" s="2065" t="str">
        <f t="shared" si="3"/>
        <v/>
      </c>
      <c r="E32" s="2065" t="str">
        <f t="shared" si="4"/>
        <v/>
      </c>
      <c r="F32" s="2065" t="str">
        <f t="shared" si="5"/>
        <v/>
      </c>
      <c r="G32" s="2065" t="str">
        <f t="shared" si="6"/>
        <v/>
      </c>
      <c r="H32" s="2065" t="str">
        <f t="shared" si="7"/>
        <v/>
      </c>
      <c r="I32" s="2065" t="str">
        <f t="shared" si="8"/>
        <v/>
      </c>
      <c r="J32" s="2069" t="str">
        <f t="shared" si="9"/>
        <v/>
      </c>
      <c r="K32" s="2065" t="str">
        <f t="shared" si="10"/>
        <v/>
      </c>
      <c r="L32" s="2065" t="str">
        <f t="shared" si="11"/>
        <v/>
      </c>
      <c r="N32" s="2065">
        <v>27</v>
      </c>
      <c r="O32" s="2065">
        <f t="shared" si="12"/>
        <v>0</v>
      </c>
      <c r="P32" s="2065">
        <f t="shared" si="22"/>
        <v>0</v>
      </c>
      <c r="Q32" s="2065" t="str">
        <f t="shared" si="13"/>
        <v/>
      </c>
      <c r="R32" s="2065" t="str">
        <f>IF(V32&lt;&gt;"","Fe3_O","")</f>
        <v/>
      </c>
      <c r="S32" s="2067" t="str">
        <f>IF(V32&lt;&gt;"",IF(Fenster!D61&lt;&gt;"",Fenster!D61,"Fenster 3"&amp;" "&amp;U32),"")</f>
        <v/>
      </c>
      <c r="T32" s="2065" t="str">
        <f t="shared" si="31"/>
        <v/>
      </c>
      <c r="U32" s="2068" t="str">
        <f t="shared" si="30"/>
        <v/>
      </c>
      <c r="V32" s="2069" t="str">
        <f>IF(Fenster!H61&gt;0,Fenster!H61,"")</f>
        <v/>
      </c>
      <c r="W32" s="2069" t="str">
        <f>IF(V32&lt;&gt;"",Fenster!L61,"")</f>
        <v/>
      </c>
      <c r="X32" s="2069" t="str">
        <f>IF(V32&lt;&gt;"",Fenster!N61,"")</f>
        <v/>
      </c>
      <c r="Y32" s="2069" t="str">
        <f t="shared" si="25"/>
        <v/>
      </c>
      <c r="Z32" s="2069" t="str">
        <f>IF(X32&lt;&gt;"",IF(Fenster!O61&gt;0,Fenster!O61,0.75),"")</f>
        <v/>
      </c>
      <c r="AA32" s="2069" t="str">
        <f>IF(V32&lt;&gt;"",Fenster!AK61,"")</f>
        <v/>
      </c>
      <c r="AB32" s="2068" t="str">
        <f>IF(V32&lt;&gt;"",IF(Fenster!F61&gt;0,Fenster!F61,1),"")</f>
        <v/>
      </c>
      <c r="AC32" s="2068" t="str">
        <f>IF(V32&lt;&gt;"",Fenster!BC3,"")</f>
        <v/>
      </c>
    </row>
    <row r="33" spans="1:29" ht="15" customHeight="1">
      <c r="A33" s="2065" t="str">
        <f t="shared" si="0"/>
        <v/>
      </c>
      <c r="B33" s="2065" t="str">
        <f t="shared" si="1"/>
        <v/>
      </c>
      <c r="C33" s="2065" t="str">
        <f t="shared" si="2"/>
        <v/>
      </c>
      <c r="D33" s="2065" t="str">
        <f t="shared" si="3"/>
        <v/>
      </c>
      <c r="E33" s="2065" t="str">
        <f t="shared" si="4"/>
        <v/>
      </c>
      <c r="F33" s="2065" t="str">
        <f t="shared" si="5"/>
        <v/>
      </c>
      <c r="G33" s="2065" t="str">
        <f t="shared" si="6"/>
        <v/>
      </c>
      <c r="H33" s="2065" t="str">
        <f t="shared" si="7"/>
        <v/>
      </c>
      <c r="I33" s="2065" t="str">
        <f t="shared" si="8"/>
        <v/>
      </c>
      <c r="J33" s="2069" t="str">
        <f t="shared" si="9"/>
        <v/>
      </c>
      <c r="K33" s="2065" t="str">
        <f t="shared" si="10"/>
        <v/>
      </c>
      <c r="L33" s="2065" t="str">
        <f t="shared" si="11"/>
        <v/>
      </c>
      <c r="N33" s="2065">
        <v>28</v>
      </c>
      <c r="O33" s="2065">
        <f t="shared" si="12"/>
        <v>0</v>
      </c>
      <c r="P33" s="2065">
        <f t="shared" si="22"/>
        <v>0</v>
      </c>
      <c r="Q33" s="2065" t="str">
        <f t="shared" si="13"/>
        <v/>
      </c>
      <c r="R33" s="2065" t="str">
        <f>IF(V33&lt;&gt;"","Fe4_O","")</f>
        <v/>
      </c>
      <c r="S33" s="2067" t="str">
        <f>IF(V33&lt;&gt;"",IF(Fenster!D63&lt;&gt;"",Fenster!D63,"Fenster 4"&amp;" "&amp;U33),"")</f>
        <v/>
      </c>
      <c r="T33" s="2065" t="str">
        <f t="shared" si="31"/>
        <v/>
      </c>
      <c r="U33" s="2068" t="str">
        <f t="shared" si="30"/>
        <v/>
      </c>
      <c r="V33" s="2069" t="str">
        <f>IF(Fenster!H63&gt;0,Fenster!H63,"")</f>
        <v/>
      </c>
      <c r="W33" s="2069" t="str">
        <f>IF(V33&lt;&gt;"",Fenster!L63,"")</f>
        <v/>
      </c>
      <c r="X33" s="2069" t="str">
        <f>IF(V33&lt;&gt;"",Fenster!N63,"")</f>
        <v/>
      </c>
      <c r="Y33" s="2069" t="str">
        <f t="shared" si="25"/>
        <v/>
      </c>
      <c r="Z33" s="2069" t="str">
        <f>IF(X33&lt;&gt;"",IF(Fenster!O63&gt;0,Fenster!O63,0.75),"")</f>
        <v/>
      </c>
      <c r="AA33" s="2069" t="str">
        <f>IF(V33&lt;&gt;"",Fenster!AK63,"")</f>
        <v/>
      </c>
      <c r="AB33" s="2068" t="str">
        <f>IF(V33&lt;&gt;"",IF(Fenster!F63&gt;0,Fenster!F63,1),"")</f>
        <v/>
      </c>
      <c r="AC33" s="2068" t="str">
        <f>IF(V33&lt;&gt;"",Fenster!BC4,"")</f>
        <v/>
      </c>
    </row>
    <row r="34" spans="1:29" ht="15" customHeight="1">
      <c r="A34" s="2065" t="str">
        <f t="shared" si="0"/>
        <v/>
      </c>
      <c r="B34" s="2065" t="str">
        <f t="shared" si="1"/>
        <v/>
      </c>
      <c r="C34" s="2065" t="str">
        <f t="shared" si="2"/>
        <v/>
      </c>
      <c r="D34" s="2065" t="str">
        <f t="shared" si="3"/>
        <v/>
      </c>
      <c r="E34" s="2065" t="str">
        <f t="shared" si="4"/>
        <v/>
      </c>
      <c r="F34" s="2065" t="str">
        <f t="shared" si="5"/>
        <v/>
      </c>
      <c r="G34" s="2065" t="str">
        <f t="shared" si="6"/>
        <v/>
      </c>
      <c r="H34" s="2065" t="str">
        <f t="shared" si="7"/>
        <v/>
      </c>
      <c r="I34" s="2065" t="str">
        <f t="shared" si="8"/>
        <v/>
      </c>
      <c r="J34" s="2069" t="str">
        <f t="shared" si="9"/>
        <v/>
      </c>
      <c r="K34" s="2065" t="str">
        <f t="shared" si="10"/>
        <v/>
      </c>
      <c r="L34" s="2065" t="str">
        <f t="shared" si="11"/>
        <v/>
      </c>
      <c r="N34" s="2065">
        <v>29</v>
      </c>
      <c r="O34" s="2065">
        <f t="shared" si="12"/>
        <v>0</v>
      </c>
      <c r="P34" s="2065">
        <f t="shared" si="22"/>
        <v>0</v>
      </c>
      <c r="Q34" s="2065" t="str">
        <f t="shared" si="13"/>
        <v/>
      </c>
      <c r="R34" s="2065" t="str">
        <f>IF(V34&lt;&gt;"","Fe5_O","")</f>
        <v/>
      </c>
      <c r="S34" s="2067" t="str">
        <f>IF(V34&lt;&gt;"",IF(Fenster!D65&lt;&gt;"",Fenster!D65,"Fenster 5"&amp;" "&amp;U34),"")</f>
        <v/>
      </c>
      <c r="T34" s="2065" t="str">
        <f t="shared" si="31"/>
        <v/>
      </c>
      <c r="U34" s="2068" t="str">
        <f t="shared" si="30"/>
        <v/>
      </c>
      <c r="V34" s="2069" t="str">
        <f>IF(Fenster!H65&gt;0,Fenster!H65,"")</f>
        <v/>
      </c>
      <c r="W34" s="2069" t="str">
        <f>IF(V34&lt;&gt;"",Fenster!L65,"")</f>
        <v/>
      </c>
      <c r="X34" s="2069" t="str">
        <f>IF(V34&lt;&gt;"",Fenster!N65,"")</f>
        <v/>
      </c>
      <c r="Y34" s="2069" t="str">
        <f t="shared" si="25"/>
        <v/>
      </c>
      <c r="Z34" s="2069" t="str">
        <f>IF(X34&lt;&gt;"",IF(Fenster!O65&gt;0,Fenster!O65,0.75),"")</f>
        <v/>
      </c>
      <c r="AA34" s="2069" t="str">
        <f>IF(V34&lt;&gt;"",Fenster!AK65,"")</f>
        <v/>
      </c>
      <c r="AB34" s="2068" t="str">
        <f>IF(V34&lt;&gt;"",IF(Fenster!F65&gt;0,Fenster!F65,1),"")</f>
        <v/>
      </c>
      <c r="AC34" s="2068" t="str">
        <f>IF(V34&lt;&gt;"",Fenster!BC5,"")</f>
        <v/>
      </c>
    </row>
    <row r="35" spans="1:29" ht="15" customHeight="1">
      <c r="A35" s="2065" t="str">
        <f t="shared" si="0"/>
        <v/>
      </c>
      <c r="B35" s="2065" t="str">
        <f t="shared" si="1"/>
        <v/>
      </c>
      <c r="C35" s="2065" t="str">
        <f t="shared" si="2"/>
        <v/>
      </c>
      <c r="D35" s="2065" t="str">
        <f t="shared" si="3"/>
        <v/>
      </c>
      <c r="E35" s="2065" t="str">
        <f t="shared" si="4"/>
        <v/>
      </c>
      <c r="F35" s="2065" t="str">
        <f t="shared" si="5"/>
        <v/>
      </c>
      <c r="G35" s="2065" t="str">
        <f t="shared" si="6"/>
        <v/>
      </c>
      <c r="H35" s="2065" t="str">
        <f t="shared" si="7"/>
        <v/>
      </c>
      <c r="I35" s="2065" t="str">
        <f t="shared" si="8"/>
        <v/>
      </c>
      <c r="J35" s="2069" t="str">
        <f t="shared" si="9"/>
        <v/>
      </c>
      <c r="K35" s="2065" t="str">
        <f t="shared" si="10"/>
        <v/>
      </c>
      <c r="L35" s="2065" t="str">
        <f t="shared" si="11"/>
        <v/>
      </c>
      <c r="N35" s="2065">
        <v>30</v>
      </c>
      <c r="O35" s="2065">
        <f t="shared" si="12"/>
        <v>0</v>
      </c>
      <c r="P35" s="2065">
        <f t="shared" si="22"/>
        <v>0</v>
      </c>
      <c r="Q35" s="2065" t="str">
        <f t="shared" si="13"/>
        <v/>
      </c>
      <c r="R35" s="2065" t="str">
        <f>IF(V35&lt;&gt;"","Fe6_O","")</f>
        <v/>
      </c>
      <c r="S35" s="2067" t="str">
        <f>IF(V35&lt;&gt;"",IF(Fenster!D67&lt;&gt;"",Fenster!D67,"Fenster 6"&amp;" "&amp;U35),"")</f>
        <v/>
      </c>
      <c r="T35" s="2065" t="str">
        <f t="shared" si="31"/>
        <v/>
      </c>
      <c r="U35" s="2068" t="str">
        <f t="shared" si="30"/>
        <v/>
      </c>
      <c r="V35" s="2069" t="str">
        <f>IF(Fenster!H67&gt;0,Fenster!H67,"")</f>
        <v/>
      </c>
      <c r="W35" s="2069" t="str">
        <f>IF(V35&lt;&gt;"",Fenster!L67,"")</f>
        <v/>
      </c>
      <c r="X35" s="2069" t="str">
        <f>IF(V35&lt;&gt;"",Fenster!N67,"")</f>
        <v/>
      </c>
      <c r="Y35" s="2069" t="str">
        <f t="shared" si="25"/>
        <v/>
      </c>
      <c r="Z35" s="2069" t="str">
        <f>IF(X35&lt;&gt;"",IF(Fenster!O67&gt;0,Fenster!O67,0.75),"")</f>
        <v/>
      </c>
      <c r="AA35" s="2069" t="str">
        <f>IF(V35&lt;&gt;"",Fenster!AK67,"")</f>
        <v/>
      </c>
      <c r="AB35" s="2068" t="str">
        <f>IF(V35&lt;&gt;"",IF(Fenster!F67&gt;0,Fenster!F67,1),"")</f>
        <v/>
      </c>
      <c r="AC35" s="2068" t="str">
        <f>IF(V35&lt;&gt;"",Fenster!BC6,"")</f>
        <v/>
      </c>
    </row>
    <row r="36" spans="1:29" ht="15" customHeight="1">
      <c r="A36" s="2065" t="str">
        <f t="shared" si="0"/>
        <v/>
      </c>
      <c r="B36" s="2065" t="str">
        <f t="shared" si="1"/>
        <v/>
      </c>
      <c r="C36" s="2065" t="str">
        <f t="shared" si="2"/>
        <v/>
      </c>
      <c r="D36" s="2065" t="str">
        <f t="shared" si="3"/>
        <v/>
      </c>
      <c r="E36" s="2065" t="str">
        <f t="shared" si="4"/>
        <v/>
      </c>
      <c r="F36" s="2065" t="str">
        <f t="shared" si="5"/>
        <v/>
      </c>
      <c r="G36" s="2065" t="str">
        <f t="shared" si="6"/>
        <v/>
      </c>
      <c r="H36" s="2065" t="str">
        <f t="shared" si="7"/>
        <v/>
      </c>
      <c r="I36" s="2065" t="str">
        <f t="shared" si="8"/>
        <v/>
      </c>
      <c r="J36" s="2069" t="str">
        <f t="shared" si="9"/>
        <v/>
      </c>
      <c r="K36" s="2065" t="str">
        <f t="shared" si="10"/>
        <v/>
      </c>
      <c r="L36" s="2065" t="str">
        <f t="shared" si="11"/>
        <v/>
      </c>
      <c r="N36" s="2065">
        <v>31</v>
      </c>
      <c r="O36" s="2065">
        <f t="shared" si="12"/>
        <v>0</v>
      </c>
      <c r="P36" s="2065">
        <f t="shared" si="22"/>
        <v>0</v>
      </c>
      <c r="Q36" s="2065" t="str">
        <f t="shared" si="13"/>
        <v/>
      </c>
      <c r="R36" s="2065" t="str">
        <f>IF(V36&lt;&gt;"","Fe7_O","")</f>
        <v/>
      </c>
      <c r="S36" s="2067" t="str">
        <f>IF(V36&lt;&gt;"",IF(Fenster!D69&lt;&gt;"",Fenster!D69,"Fenster 7"&amp;" "&amp;U36),"")</f>
        <v/>
      </c>
      <c r="T36" s="2065" t="str">
        <f t="shared" si="31"/>
        <v/>
      </c>
      <c r="U36" s="2068" t="str">
        <f t="shared" si="30"/>
        <v/>
      </c>
      <c r="V36" s="2069" t="str">
        <f>IF(Fenster!H69&gt;0,Fenster!H69,"")</f>
        <v/>
      </c>
      <c r="W36" s="2069" t="str">
        <f>IF(V36&lt;&gt;"",Fenster!L69,"")</f>
        <v/>
      </c>
      <c r="X36" s="2069" t="str">
        <f>IF(V36&lt;&gt;"",Fenster!N69,"")</f>
        <v/>
      </c>
      <c r="Y36" s="2069" t="str">
        <f t="shared" si="25"/>
        <v/>
      </c>
      <c r="Z36" s="2069" t="str">
        <f>IF(X36&lt;&gt;"",IF(Fenster!O69&gt;0,Fenster!O69,0.75),"")</f>
        <v/>
      </c>
      <c r="AA36" s="2069" t="str">
        <f>IF(V36&lt;&gt;"",Fenster!AK69,"")</f>
        <v/>
      </c>
      <c r="AB36" s="2068" t="str">
        <f>IF(V36&lt;&gt;"",IF(Fenster!F69&gt;0,Fenster!F69,1),"")</f>
        <v/>
      </c>
      <c r="AC36" s="2068" t="str">
        <f>IF(V36&lt;&gt;"",Fenster!BC7,"")</f>
        <v/>
      </c>
    </row>
    <row r="37" spans="1:29" ht="15" customHeight="1">
      <c r="A37" s="2065" t="str">
        <f t="shared" si="0"/>
        <v/>
      </c>
      <c r="B37" s="2065" t="str">
        <f t="shared" si="1"/>
        <v/>
      </c>
      <c r="C37" s="2065" t="str">
        <f t="shared" si="2"/>
        <v/>
      </c>
      <c r="D37" s="2065" t="str">
        <f t="shared" si="3"/>
        <v/>
      </c>
      <c r="E37" s="2065" t="str">
        <f t="shared" si="4"/>
        <v/>
      </c>
      <c r="F37" s="2065" t="str">
        <f t="shared" si="5"/>
        <v/>
      </c>
      <c r="G37" s="2065" t="str">
        <f t="shared" si="6"/>
        <v/>
      </c>
      <c r="H37" s="2065" t="str">
        <f t="shared" si="7"/>
        <v/>
      </c>
      <c r="I37" s="2065" t="str">
        <f t="shared" si="8"/>
        <v/>
      </c>
      <c r="J37" s="2069" t="str">
        <f t="shared" si="9"/>
        <v/>
      </c>
      <c r="K37" s="2065" t="str">
        <f t="shared" si="10"/>
        <v/>
      </c>
      <c r="L37" s="2065" t="str">
        <f t="shared" si="11"/>
        <v/>
      </c>
      <c r="N37" s="2065">
        <v>32</v>
      </c>
      <c r="O37" s="2065">
        <f t="shared" si="12"/>
        <v>0</v>
      </c>
      <c r="P37" s="2065">
        <f t="shared" si="22"/>
        <v>0</v>
      </c>
      <c r="Q37" s="2065" t="str">
        <f t="shared" si="13"/>
        <v/>
      </c>
      <c r="R37" s="2065" t="str">
        <f>IF(V37&lt;&gt;"","Fe8_O","")</f>
        <v/>
      </c>
      <c r="S37" s="2067" t="str">
        <f>IF(V37&lt;&gt;"",IF(Fenster!D71&lt;&gt;"",Fenster!D71,"Fenster 8"&amp;" "&amp;U37),"")</f>
        <v/>
      </c>
      <c r="T37" s="2065" t="str">
        <f t="shared" si="31"/>
        <v/>
      </c>
      <c r="U37" s="2068" t="str">
        <f t="shared" si="30"/>
        <v/>
      </c>
      <c r="V37" s="2069" t="str">
        <f>IF(Fenster!H71&gt;0,Fenster!H71,"")</f>
        <v/>
      </c>
      <c r="W37" s="2069" t="str">
        <f>IF(V37&lt;&gt;"",Fenster!L71,"")</f>
        <v/>
      </c>
      <c r="X37" s="2069" t="str">
        <f>IF(V37&lt;&gt;"",Fenster!N71,"")</f>
        <v/>
      </c>
      <c r="Y37" s="2069" t="str">
        <f t="shared" si="25"/>
        <v/>
      </c>
      <c r="Z37" s="2069" t="str">
        <f>IF(X37&lt;&gt;"",IF(Fenster!O71&gt;0,Fenster!O71,0.75),"")</f>
        <v/>
      </c>
      <c r="AA37" s="2069" t="str">
        <f>IF(V37&lt;&gt;"",Fenster!AK71,"")</f>
        <v/>
      </c>
      <c r="AB37" s="2068" t="str">
        <f>IF(V37&lt;&gt;"",IF(Fenster!F71&gt;0,Fenster!F71,1),"")</f>
        <v/>
      </c>
      <c r="AC37" s="2068" t="str">
        <f>IF(V37&lt;&gt;"",Fenster!BC8,"")</f>
        <v/>
      </c>
    </row>
    <row r="38" spans="1:29" ht="15" customHeight="1">
      <c r="A38" s="2065" t="str">
        <f t="shared" si="0"/>
        <v/>
      </c>
      <c r="B38" s="2065" t="str">
        <f t="shared" si="1"/>
        <v/>
      </c>
      <c r="C38" s="2065" t="str">
        <f t="shared" si="2"/>
        <v/>
      </c>
      <c r="D38" s="2065" t="str">
        <f t="shared" si="3"/>
        <v/>
      </c>
      <c r="E38" s="2065" t="str">
        <f t="shared" si="4"/>
        <v/>
      </c>
      <c r="F38" s="2065" t="str">
        <f t="shared" si="5"/>
        <v/>
      </c>
      <c r="G38" s="2065" t="str">
        <f t="shared" si="6"/>
        <v/>
      </c>
      <c r="H38" s="2065" t="str">
        <f t="shared" si="7"/>
        <v/>
      </c>
      <c r="I38" s="2065" t="str">
        <f t="shared" si="8"/>
        <v/>
      </c>
      <c r="J38" s="2069" t="str">
        <f t="shared" si="9"/>
        <v/>
      </c>
      <c r="K38" s="2065" t="str">
        <f t="shared" si="10"/>
        <v/>
      </c>
      <c r="L38" s="2065" t="str">
        <f t="shared" si="11"/>
        <v/>
      </c>
      <c r="N38" s="2065">
        <v>33</v>
      </c>
      <c r="O38" s="2065">
        <f t="shared" si="12"/>
        <v>0</v>
      </c>
      <c r="P38" s="2065">
        <f t="shared" si="22"/>
        <v>0</v>
      </c>
      <c r="Q38" s="2065" t="str">
        <f t="shared" si="13"/>
        <v/>
      </c>
      <c r="R38" s="2065" t="str">
        <f>IF(V38&lt;&gt;"","Fe1_W","")</f>
        <v/>
      </c>
      <c r="S38" s="2067" t="str">
        <f>IF(V38&lt;&gt;"",IF(Fenster!D80&lt;&gt;"",Fenster!D80,"Fenster 1"&amp;" "&amp;U38),"")</f>
        <v/>
      </c>
      <c r="T38" s="2065" t="str">
        <f t="shared" si="31"/>
        <v/>
      </c>
      <c r="U38" s="2068" t="str">
        <f t="shared" ref="U38:U45" si="32">IF(V38&lt;&gt;"",IF(dreh=1,"NW","W"),"")</f>
        <v/>
      </c>
      <c r="V38" s="2069" t="str">
        <f>IF(Fenster!H80&gt;0,Fenster!H80,"")</f>
        <v/>
      </c>
      <c r="W38" s="2069" t="str">
        <f>IF(V38&lt;&gt;"",Fenster!L80,"")</f>
        <v/>
      </c>
      <c r="X38" s="2069" t="str">
        <f>IF(V38&lt;&gt;"",Fenster!N80,"")</f>
        <v/>
      </c>
      <c r="Y38" s="2069" t="str">
        <f t="shared" si="25"/>
        <v/>
      </c>
      <c r="Z38" s="2069" t="str">
        <f>IF(X38&lt;&gt;"",IF(Fenster!O80&gt;0,Fenster!O80,0.75),"")</f>
        <v/>
      </c>
      <c r="AA38" s="2069" t="str">
        <f>IF(V38&lt;&gt;"",Fenster!AK80,"")</f>
        <v/>
      </c>
      <c r="AB38" s="2068" t="str">
        <f>IF(V38&lt;&gt;"",IF(Fenster!F80&gt;0,Fenster!F80,1),"")</f>
        <v/>
      </c>
      <c r="AC38" s="2068" t="str">
        <f>IF(V38&lt;&gt;"",Fenster!BD1,"")</f>
        <v/>
      </c>
    </row>
    <row r="39" spans="1:29" ht="15" customHeight="1">
      <c r="A39" s="2065" t="str">
        <f t="shared" si="0"/>
        <v/>
      </c>
      <c r="B39" s="2065" t="str">
        <f t="shared" si="1"/>
        <v/>
      </c>
      <c r="C39" s="2065" t="str">
        <f t="shared" si="2"/>
        <v/>
      </c>
      <c r="D39" s="2065" t="str">
        <f t="shared" si="3"/>
        <v/>
      </c>
      <c r="E39" s="2065" t="str">
        <f t="shared" si="4"/>
        <v/>
      </c>
      <c r="F39" s="2065" t="str">
        <f t="shared" si="5"/>
        <v/>
      </c>
      <c r="G39" s="2065" t="str">
        <f t="shared" si="6"/>
        <v/>
      </c>
      <c r="H39" s="2065" t="str">
        <f t="shared" si="7"/>
        <v/>
      </c>
      <c r="I39" s="2065" t="str">
        <f t="shared" si="8"/>
        <v/>
      </c>
      <c r="J39" s="2069" t="str">
        <f t="shared" si="9"/>
        <v/>
      </c>
      <c r="K39" s="2065" t="str">
        <f t="shared" si="10"/>
        <v/>
      </c>
      <c r="L39" s="2065" t="str">
        <f t="shared" si="11"/>
        <v/>
      </c>
      <c r="N39" s="2065">
        <v>34</v>
      </c>
      <c r="O39" s="2065">
        <f t="shared" si="12"/>
        <v>0</v>
      </c>
      <c r="P39" s="2065">
        <f t="shared" si="22"/>
        <v>0</v>
      </c>
      <c r="Q39" s="2065" t="str">
        <f t="shared" si="13"/>
        <v/>
      </c>
      <c r="R39" s="2065" t="str">
        <f>IF(V39&lt;&gt;"","Fe2_W","")</f>
        <v/>
      </c>
      <c r="S39" s="2067" t="str">
        <f>IF(V39&lt;&gt;"",IF(Fenster!D82&lt;&gt;"",Fenster!D82,"Fenster 2"&amp;" "&amp;U39),"")</f>
        <v/>
      </c>
      <c r="T39" s="2065" t="str">
        <f t="shared" si="31"/>
        <v/>
      </c>
      <c r="U39" s="2068" t="str">
        <f t="shared" si="32"/>
        <v/>
      </c>
      <c r="V39" s="2069" t="str">
        <f>IF(Fenster!H82&gt;0,Fenster!H82,"")</f>
        <v/>
      </c>
      <c r="W39" s="2069" t="str">
        <f>IF(V39&lt;&gt;"",Fenster!L82,"")</f>
        <v/>
      </c>
      <c r="X39" s="2069" t="str">
        <f>IF(V39&lt;&gt;"",Fenster!N82,"")</f>
        <v/>
      </c>
      <c r="Y39" s="2069" t="str">
        <f t="shared" si="25"/>
        <v/>
      </c>
      <c r="Z39" s="2069" t="str">
        <f>IF(X39&lt;&gt;"",IF(Fenster!O82&gt;0,Fenster!O82,0.75),"")</f>
        <v/>
      </c>
      <c r="AA39" s="2069" t="str">
        <f>IF(V39&lt;&gt;"",Fenster!AK82,"")</f>
        <v/>
      </c>
      <c r="AB39" s="2068" t="str">
        <f>IF(V39&lt;&gt;"",IF(Fenster!F82&gt;0,Fenster!F82,1),"")</f>
        <v/>
      </c>
      <c r="AC39" s="2068" t="str">
        <f>IF(V39&lt;&gt;"",Fenster!BD2,"")</f>
        <v/>
      </c>
    </row>
    <row r="40" spans="1:29" ht="15" customHeight="1">
      <c r="A40" s="2065" t="str">
        <f t="shared" si="0"/>
        <v/>
      </c>
      <c r="B40" s="2065" t="str">
        <f t="shared" si="1"/>
        <v/>
      </c>
      <c r="C40" s="2065" t="str">
        <f t="shared" si="2"/>
        <v/>
      </c>
      <c r="D40" s="2065" t="str">
        <f t="shared" si="3"/>
        <v/>
      </c>
      <c r="E40" s="2065" t="str">
        <f t="shared" si="4"/>
        <v/>
      </c>
      <c r="F40" s="2065" t="str">
        <f t="shared" si="5"/>
        <v/>
      </c>
      <c r="G40" s="2065" t="str">
        <f t="shared" si="6"/>
        <v/>
      </c>
      <c r="H40" s="2065" t="str">
        <f t="shared" si="7"/>
        <v/>
      </c>
      <c r="I40" s="2065" t="str">
        <f t="shared" si="8"/>
        <v/>
      </c>
      <c r="J40" s="2069" t="str">
        <f t="shared" si="9"/>
        <v/>
      </c>
      <c r="K40" s="2065" t="str">
        <f t="shared" si="10"/>
        <v/>
      </c>
      <c r="L40" s="2065" t="str">
        <f t="shared" si="11"/>
        <v/>
      </c>
      <c r="N40" s="2065">
        <v>35</v>
      </c>
      <c r="O40" s="2065">
        <f t="shared" si="12"/>
        <v>0</v>
      </c>
      <c r="P40" s="2065">
        <f t="shared" si="22"/>
        <v>0</v>
      </c>
      <c r="Q40" s="2065" t="str">
        <f t="shared" si="13"/>
        <v/>
      </c>
      <c r="R40" s="2065" t="str">
        <f>IF(V40&lt;&gt;"","Fe3_W","")</f>
        <v/>
      </c>
      <c r="S40" s="2067" t="str">
        <f>IF(V40&lt;&gt;"",IF(Fenster!D84&lt;&gt;"",Fenster!D84,"Fenster 3"&amp;" "&amp;U40),"")</f>
        <v/>
      </c>
      <c r="T40" s="2065" t="str">
        <f t="shared" si="31"/>
        <v/>
      </c>
      <c r="U40" s="2068" t="str">
        <f t="shared" si="32"/>
        <v/>
      </c>
      <c r="V40" s="2069" t="str">
        <f>IF(Fenster!H84&gt;0,Fenster!H84,"")</f>
        <v/>
      </c>
      <c r="W40" s="2069" t="str">
        <f>IF(V40&lt;&gt;"",Fenster!L84,"")</f>
        <v/>
      </c>
      <c r="X40" s="2069" t="str">
        <f>IF(V40&lt;&gt;"",Fenster!N84,"")</f>
        <v/>
      </c>
      <c r="Y40" s="2069" t="str">
        <f t="shared" si="25"/>
        <v/>
      </c>
      <c r="Z40" s="2069" t="str">
        <f>IF(X40&lt;&gt;"",IF(Fenster!O84&gt;0,Fenster!O84,0.75),"")</f>
        <v/>
      </c>
      <c r="AA40" s="2069" t="str">
        <f>IF(V40&lt;&gt;"",Fenster!AK84,"")</f>
        <v/>
      </c>
      <c r="AB40" s="2068" t="str">
        <f>IF(V40&lt;&gt;"",IF(Fenster!F84&gt;0,Fenster!F84,1),"")</f>
        <v/>
      </c>
      <c r="AC40" s="2068" t="str">
        <f>IF(V40&lt;&gt;"",Fenster!BD3,"")</f>
        <v/>
      </c>
    </row>
    <row r="41" spans="1:29" ht="15" customHeight="1">
      <c r="A41" s="2065" t="str">
        <f t="shared" si="0"/>
        <v/>
      </c>
      <c r="B41" s="2065" t="str">
        <f t="shared" si="1"/>
        <v/>
      </c>
      <c r="C41" s="2065" t="str">
        <f t="shared" si="2"/>
        <v/>
      </c>
      <c r="D41" s="2065" t="str">
        <f t="shared" si="3"/>
        <v/>
      </c>
      <c r="E41" s="2065" t="str">
        <f t="shared" si="4"/>
        <v/>
      </c>
      <c r="F41" s="2065" t="str">
        <f t="shared" si="5"/>
        <v/>
      </c>
      <c r="G41" s="2065" t="str">
        <f t="shared" si="6"/>
        <v/>
      </c>
      <c r="H41" s="2065" t="str">
        <f t="shared" si="7"/>
        <v/>
      </c>
      <c r="I41" s="2065" t="str">
        <f t="shared" si="8"/>
        <v/>
      </c>
      <c r="J41" s="2069" t="str">
        <f t="shared" si="9"/>
        <v/>
      </c>
      <c r="K41" s="2065" t="str">
        <f t="shared" si="10"/>
        <v/>
      </c>
      <c r="L41" s="2065" t="str">
        <f t="shared" si="11"/>
        <v/>
      </c>
      <c r="N41" s="2065">
        <v>36</v>
      </c>
      <c r="O41" s="2065">
        <f t="shared" si="12"/>
        <v>0</v>
      </c>
      <c r="P41" s="2065">
        <f t="shared" si="22"/>
        <v>0</v>
      </c>
      <c r="Q41" s="2065" t="str">
        <f t="shared" si="13"/>
        <v/>
      </c>
      <c r="R41" s="2065" t="str">
        <f>IF(V41&lt;&gt;"","Fe4_W","")</f>
        <v/>
      </c>
      <c r="S41" s="2067" t="str">
        <f>IF(V41&lt;&gt;"",IF(Fenster!D86&lt;&gt;"",Fenster!D86,"Fenster 4"&amp;" "&amp;U41),"")</f>
        <v/>
      </c>
      <c r="T41" s="2065" t="str">
        <f t="shared" si="31"/>
        <v/>
      </c>
      <c r="U41" s="2068" t="str">
        <f t="shared" si="32"/>
        <v/>
      </c>
      <c r="V41" s="2069" t="str">
        <f>IF(Fenster!H86&gt;0,Fenster!H86,"")</f>
        <v/>
      </c>
      <c r="W41" s="2069" t="str">
        <f>IF(V41&lt;&gt;"",Fenster!L86,"")</f>
        <v/>
      </c>
      <c r="X41" s="2069" t="str">
        <f>IF(V41&lt;&gt;"",Fenster!N86,"")</f>
        <v/>
      </c>
      <c r="Y41" s="2069" t="str">
        <f t="shared" si="25"/>
        <v/>
      </c>
      <c r="Z41" s="2069" t="str">
        <f>IF(X41&lt;&gt;"",IF(Fenster!O86&gt;0,Fenster!O86,0.75),"")</f>
        <v/>
      </c>
      <c r="AA41" s="2069" t="str">
        <f>IF(V41&lt;&gt;"",Fenster!AK86,"")</f>
        <v/>
      </c>
      <c r="AB41" s="2068" t="str">
        <f>IF(V41&lt;&gt;"",IF(Fenster!F86&gt;0,Fenster!F86,1),"")</f>
        <v/>
      </c>
      <c r="AC41" s="2068" t="str">
        <f>IF(V41&lt;&gt;"",Fenster!BD4,"")</f>
        <v/>
      </c>
    </row>
    <row r="42" spans="1:29" ht="15" customHeight="1">
      <c r="A42" s="2065" t="str">
        <f t="shared" si="0"/>
        <v/>
      </c>
      <c r="B42" s="2065" t="str">
        <f t="shared" si="1"/>
        <v/>
      </c>
      <c r="C42" s="2065" t="str">
        <f t="shared" si="2"/>
        <v/>
      </c>
      <c r="D42" s="2065" t="str">
        <f t="shared" si="3"/>
        <v/>
      </c>
      <c r="E42" s="2065" t="str">
        <f t="shared" si="4"/>
        <v/>
      </c>
      <c r="F42" s="2065" t="str">
        <f t="shared" si="5"/>
        <v/>
      </c>
      <c r="G42" s="2065" t="str">
        <f t="shared" si="6"/>
        <v/>
      </c>
      <c r="H42" s="2065" t="str">
        <f t="shared" si="7"/>
        <v/>
      </c>
      <c r="I42" s="2065" t="str">
        <f t="shared" si="8"/>
        <v/>
      </c>
      <c r="J42" s="2069" t="str">
        <f t="shared" si="9"/>
        <v/>
      </c>
      <c r="K42" s="2065" t="str">
        <f t="shared" si="10"/>
        <v/>
      </c>
      <c r="L42" s="2065" t="str">
        <f t="shared" si="11"/>
        <v/>
      </c>
      <c r="N42" s="2065">
        <v>37</v>
      </c>
      <c r="O42" s="2065">
        <f t="shared" si="12"/>
        <v>0</v>
      </c>
      <c r="P42" s="2065">
        <f t="shared" si="22"/>
        <v>0</v>
      </c>
      <c r="Q42" s="2065" t="str">
        <f t="shared" si="13"/>
        <v/>
      </c>
      <c r="R42" s="2065" t="str">
        <f>IF(V42&lt;&gt;"","Fe5_W","")</f>
        <v/>
      </c>
      <c r="S42" s="2067" t="str">
        <f>IF(V42&lt;&gt;"",IF(Fenster!D88&lt;&gt;"",Fenster!D88,"Fenster 5"&amp;" "&amp;U42),"")</f>
        <v/>
      </c>
      <c r="T42" s="2065" t="str">
        <f t="shared" si="31"/>
        <v/>
      </c>
      <c r="U42" s="2068" t="str">
        <f t="shared" si="32"/>
        <v/>
      </c>
      <c r="V42" s="2069" t="str">
        <f>IF(Fenster!H88&gt;0,Fenster!H88,"")</f>
        <v/>
      </c>
      <c r="W42" s="2069" t="str">
        <f>IF(V42&lt;&gt;"",Fenster!L88,"")</f>
        <v/>
      </c>
      <c r="X42" s="2069" t="str">
        <f>IF(V42&lt;&gt;"",Fenster!N88,"")</f>
        <v/>
      </c>
      <c r="Y42" s="2069" t="str">
        <f t="shared" si="25"/>
        <v/>
      </c>
      <c r="Z42" s="2069" t="str">
        <f>IF(X42&lt;&gt;"",IF(Fenster!O88&gt;0,Fenster!O88,0.75),"")</f>
        <v/>
      </c>
      <c r="AA42" s="2069" t="str">
        <f>IF(V42&lt;&gt;"",Fenster!AK88,"")</f>
        <v/>
      </c>
      <c r="AB42" s="2068" t="str">
        <f>IF(V42&lt;&gt;"",IF(Fenster!F88&gt;0,Fenster!F88,1),"")</f>
        <v/>
      </c>
      <c r="AC42" s="2068" t="str">
        <f>IF(V42&lt;&gt;"",Fenster!BD5,"")</f>
        <v/>
      </c>
    </row>
    <row r="43" spans="1:29" ht="15" customHeight="1">
      <c r="A43" s="2065" t="str">
        <f t="shared" si="0"/>
        <v/>
      </c>
      <c r="B43" s="2065" t="str">
        <f t="shared" si="1"/>
        <v/>
      </c>
      <c r="C43" s="2065" t="str">
        <f t="shared" si="2"/>
        <v/>
      </c>
      <c r="D43" s="2065" t="str">
        <f t="shared" si="3"/>
        <v/>
      </c>
      <c r="E43" s="2065" t="str">
        <f t="shared" si="4"/>
        <v/>
      </c>
      <c r="F43" s="2065" t="str">
        <f t="shared" si="5"/>
        <v/>
      </c>
      <c r="G43" s="2065" t="str">
        <f t="shared" si="6"/>
        <v/>
      </c>
      <c r="H43" s="2065" t="str">
        <f t="shared" si="7"/>
        <v/>
      </c>
      <c r="I43" s="2065" t="str">
        <f t="shared" si="8"/>
        <v/>
      </c>
      <c r="J43" s="2069" t="str">
        <f t="shared" si="9"/>
        <v/>
      </c>
      <c r="K43" s="2065" t="str">
        <f t="shared" si="10"/>
        <v/>
      </c>
      <c r="L43" s="2065" t="str">
        <f t="shared" si="11"/>
        <v/>
      </c>
      <c r="N43" s="2065">
        <v>38</v>
      </c>
      <c r="O43" s="2065">
        <f t="shared" si="12"/>
        <v>0</v>
      </c>
      <c r="P43" s="2065">
        <f t="shared" si="22"/>
        <v>0</v>
      </c>
      <c r="Q43" s="2065" t="str">
        <f t="shared" si="13"/>
        <v/>
      </c>
      <c r="R43" s="2065" t="str">
        <f>IF(V43&lt;&gt;"","Fe6_W","")</f>
        <v/>
      </c>
      <c r="S43" s="2067" t="str">
        <f>IF(V43&lt;&gt;"",IF(Fenster!D90&lt;&gt;"",Fenster!D90,"Fenster 6"&amp;" "&amp;U43),"")</f>
        <v/>
      </c>
      <c r="T43" s="2065" t="str">
        <f t="shared" si="31"/>
        <v/>
      </c>
      <c r="U43" s="2068" t="str">
        <f t="shared" si="32"/>
        <v/>
      </c>
      <c r="V43" s="2069" t="str">
        <f>IF(Fenster!H90&gt;0,Fenster!H90,"")</f>
        <v/>
      </c>
      <c r="W43" s="2069" t="str">
        <f>IF(V43&lt;&gt;"",Fenster!L90,"")</f>
        <v/>
      </c>
      <c r="X43" s="2069" t="str">
        <f>IF(V43&lt;&gt;"",Fenster!N90,"")</f>
        <v/>
      </c>
      <c r="Y43" s="2069" t="str">
        <f t="shared" si="25"/>
        <v/>
      </c>
      <c r="Z43" s="2069" t="str">
        <f>IF(X43&lt;&gt;"",IF(Fenster!O90&gt;0,Fenster!O90,0.75),"")</f>
        <v/>
      </c>
      <c r="AA43" s="2069" t="str">
        <f>IF(V43&lt;&gt;"",Fenster!AK90,"")</f>
        <v/>
      </c>
      <c r="AB43" s="2068" t="str">
        <f>IF(V43&lt;&gt;"",IF(Fenster!F90&gt;0,Fenster!F90,1),"")</f>
        <v/>
      </c>
      <c r="AC43" s="2068" t="str">
        <f>IF(V43&lt;&gt;"",Fenster!BD6,"")</f>
        <v/>
      </c>
    </row>
    <row r="44" spans="1:29" ht="15" customHeight="1">
      <c r="A44" s="2065" t="str">
        <f t="shared" si="0"/>
        <v/>
      </c>
      <c r="B44" s="2065" t="str">
        <f t="shared" si="1"/>
        <v/>
      </c>
      <c r="C44" s="2065" t="str">
        <f t="shared" si="2"/>
        <v/>
      </c>
      <c r="D44" s="2065" t="str">
        <f t="shared" si="3"/>
        <v/>
      </c>
      <c r="E44" s="2065" t="str">
        <f t="shared" si="4"/>
        <v/>
      </c>
      <c r="F44" s="2065" t="str">
        <f t="shared" si="5"/>
        <v/>
      </c>
      <c r="G44" s="2065" t="str">
        <f t="shared" si="6"/>
        <v/>
      </c>
      <c r="H44" s="2065" t="str">
        <f t="shared" si="7"/>
        <v/>
      </c>
      <c r="I44" s="2065" t="str">
        <f t="shared" si="8"/>
        <v/>
      </c>
      <c r="J44" s="2069" t="str">
        <f t="shared" si="9"/>
        <v/>
      </c>
      <c r="K44" s="2065" t="str">
        <f t="shared" si="10"/>
        <v/>
      </c>
      <c r="L44" s="2065" t="str">
        <f t="shared" si="11"/>
        <v/>
      </c>
      <c r="N44" s="2065">
        <v>39</v>
      </c>
      <c r="O44" s="2065">
        <f t="shared" si="12"/>
        <v>0</v>
      </c>
      <c r="P44" s="2065">
        <f t="shared" si="22"/>
        <v>0</v>
      </c>
      <c r="Q44" s="2065" t="str">
        <f t="shared" si="13"/>
        <v/>
      </c>
      <c r="R44" s="2065" t="str">
        <f>IF(V44&lt;&gt;"","Fe7_W","")</f>
        <v/>
      </c>
      <c r="S44" s="2067" t="str">
        <f>IF(V44&lt;&gt;"",IF(Fenster!D92&lt;&gt;"",Fenster!D92,"Fenster 7"&amp;" "&amp;U44),"")</f>
        <v/>
      </c>
      <c r="T44" s="2065" t="str">
        <f t="shared" si="31"/>
        <v/>
      </c>
      <c r="U44" s="2068" t="str">
        <f t="shared" si="32"/>
        <v/>
      </c>
      <c r="V44" s="2069" t="str">
        <f>IF(Fenster!H92&gt;0,Fenster!H92,"")</f>
        <v/>
      </c>
      <c r="W44" s="2069" t="str">
        <f>IF(V44&lt;&gt;"",Fenster!L92,"")</f>
        <v/>
      </c>
      <c r="X44" s="2069" t="str">
        <f>IF(V44&lt;&gt;"",Fenster!N92,"")</f>
        <v/>
      </c>
      <c r="Y44" s="2069" t="str">
        <f t="shared" si="25"/>
        <v/>
      </c>
      <c r="Z44" s="2069" t="str">
        <f>IF(X44&lt;&gt;"",IF(Fenster!O92&gt;0,Fenster!O92,0.75),"")</f>
        <v/>
      </c>
      <c r="AA44" s="2069" t="str">
        <f>IF(V44&lt;&gt;"",Fenster!AK92,"")</f>
        <v/>
      </c>
      <c r="AB44" s="2068" t="str">
        <f>IF(V44&lt;&gt;"",IF(Fenster!F92&gt;0,Fenster!F92,1),"")</f>
        <v/>
      </c>
      <c r="AC44" s="2068" t="str">
        <f>IF(V44&lt;&gt;"",Fenster!BD7,"")</f>
        <v/>
      </c>
    </row>
    <row r="45" spans="1:29" ht="15" customHeight="1">
      <c r="A45" s="2065" t="str">
        <f t="shared" si="0"/>
        <v/>
      </c>
      <c r="B45" s="2065" t="str">
        <f t="shared" si="1"/>
        <v/>
      </c>
      <c r="C45" s="2065" t="str">
        <f t="shared" si="2"/>
        <v/>
      </c>
      <c r="D45" s="2065" t="str">
        <f t="shared" si="3"/>
        <v/>
      </c>
      <c r="E45" s="2065" t="str">
        <f t="shared" si="4"/>
        <v/>
      </c>
      <c r="F45" s="2065" t="str">
        <f t="shared" si="5"/>
        <v/>
      </c>
      <c r="G45" s="2065" t="str">
        <f t="shared" si="6"/>
        <v/>
      </c>
      <c r="H45" s="2065" t="str">
        <f t="shared" si="7"/>
        <v/>
      </c>
      <c r="I45" s="2065" t="str">
        <f t="shared" si="8"/>
        <v/>
      </c>
      <c r="J45" s="2069" t="str">
        <f t="shared" si="9"/>
        <v/>
      </c>
      <c r="K45" s="2065" t="str">
        <f t="shared" si="10"/>
        <v/>
      </c>
      <c r="L45" s="2065" t="str">
        <f t="shared" si="11"/>
        <v/>
      </c>
      <c r="N45" s="2065">
        <v>40</v>
      </c>
      <c r="O45" s="2065">
        <f t="shared" si="12"/>
        <v>0</v>
      </c>
      <c r="P45" s="2065">
        <f t="shared" si="22"/>
        <v>0</v>
      </c>
      <c r="Q45" s="2065" t="str">
        <f t="shared" si="13"/>
        <v/>
      </c>
      <c r="R45" s="2065" t="str">
        <f>IF(V45&lt;&gt;"","Fe8_W","")</f>
        <v/>
      </c>
      <c r="S45" s="2067" t="str">
        <f>IF(V45&lt;&gt;"",IF(Fenster!D94&lt;&gt;"",Fenster!D94,"Fenster 8"&amp;" "&amp;U45),"")</f>
        <v/>
      </c>
      <c r="T45" s="2065" t="str">
        <f t="shared" si="31"/>
        <v/>
      </c>
      <c r="U45" s="2068" t="str">
        <f t="shared" si="32"/>
        <v/>
      </c>
      <c r="V45" s="2069" t="str">
        <f>IF(Fenster!H94&gt;0,Fenster!H94,"")</f>
        <v/>
      </c>
      <c r="W45" s="2069" t="str">
        <f>IF(V45&lt;&gt;"",Fenster!L94,"")</f>
        <v/>
      </c>
      <c r="X45" s="2069" t="str">
        <f>IF(V45&lt;&gt;"",Fenster!N94,"")</f>
        <v/>
      </c>
      <c r="Y45" s="2069" t="str">
        <f t="shared" si="25"/>
        <v/>
      </c>
      <c r="Z45" s="2069" t="str">
        <f>IF(X45&lt;&gt;"",IF(Fenster!O94&gt;0,Fenster!O94,0.75),"")</f>
        <v/>
      </c>
      <c r="AA45" s="2069" t="str">
        <f>IF(V45&lt;&gt;"",Fenster!AK94,"")</f>
        <v/>
      </c>
      <c r="AB45" s="2068" t="str">
        <f>IF(V45&lt;&gt;"",IF(Fenster!F94&gt;0,Fenster!F94,1),"")</f>
        <v/>
      </c>
      <c r="AC45" s="2068" t="str">
        <f>IF(V45&lt;&gt;"",Fenster!BD8,"")</f>
        <v/>
      </c>
    </row>
    <row r="46" spans="1:29" ht="15" customHeight="1">
      <c r="A46" s="2065" t="str">
        <f t="shared" si="0"/>
        <v/>
      </c>
      <c r="B46" s="2065" t="str">
        <f t="shared" si="1"/>
        <v/>
      </c>
      <c r="C46" s="2065" t="str">
        <f t="shared" si="2"/>
        <v/>
      </c>
      <c r="D46" s="2065" t="str">
        <f t="shared" si="3"/>
        <v/>
      </c>
      <c r="E46" s="2065" t="str">
        <f t="shared" si="4"/>
        <v/>
      </c>
      <c r="F46" s="2065" t="str">
        <f t="shared" si="5"/>
        <v/>
      </c>
      <c r="G46" s="2065" t="str">
        <f t="shared" si="6"/>
        <v/>
      </c>
      <c r="H46" s="2065" t="str">
        <f t="shared" si="7"/>
        <v/>
      </c>
      <c r="I46" s="2065" t="str">
        <f t="shared" si="8"/>
        <v/>
      </c>
      <c r="J46" s="2069" t="str">
        <f t="shared" si="9"/>
        <v/>
      </c>
      <c r="K46" s="2065" t="str">
        <f t="shared" si="10"/>
        <v/>
      </c>
      <c r="L46" s="2065" t="str">
        <f t="shared" si="11"/>
        <v/>
      </c>
      <c r="N46" s="2065">
        <v>41</v>
      </c>
      <c r="O46" s="2065">
        <f t="shared" si="12"/>
        <v>0</v>
      </c>
      <c r="P46" s="2065">
        <f t="shared" si="22"/>
        <v>0</v>
      </c>
      <c r="Q46" s="2065" t="str">
        <f t="shared" si="13"/>
        <v/>
      </c>
      <c r="R46" s="2065" t="str">
        <f>IF(V46&lt;&gt;"","Fe1_N","")</f>
        <v/>
      </c>
      <c r="S46" s="2067" t="str">
        <f>IF(V46&lt;&gt;"",IF(Fenster!D103&lt;&gt;"",Fenster!D103,"Fenster 1"&amp;" "&amp;U46),"")</f>
        <v/>
      </c>
      <c r="T46" s="2065" t="str">
        <f t="shared" si="31"/>
        <v/>
      </c>
      <c r="U46" s="2068" t="str">
        <f t="shared" ref="U46:U53" si="33">IF(V46&lt;&gt;"",IF(dreh=1,"NO","N"),"")</f>
        <v/>
      </c>
      <c r="V46" s="2069" t="str">
        <f>IF(Fenster!H103&gt;0,Fenster!H103,"")</f>
        <v/>
      </c>
      <c r="W46" s="2069" t="str">
        <f>IF(V46&lt;&gt;"",Fenster!L103,"")</f>
        <v/>
      </c>
      <c r="X46" s="2069" t="str">
        <f>IF(V46&lt;&gt;"",Fenster!N103,"")</f>
        <v/>
      </c>
      <c r="Y46" s="2069" t="str">
        <f t="shared" si="25"/>
        <v/>
      </c>
      <c r="Z46" s="2069" t="str">
        <f>IF(X46&lt;&gt;"",IF(Fenster!O103&gt;0,Fenster!O103,0.75),"")</f>
        <v/>
      </c>
      <c r="AA46" s="2069" t="str">
        <f>IF(V46&lt;&gt;"",Fenster!AK103,"")</f>
        <v/>
      </c>
      <c r="AB46" s="2068" t="str">
        <f>IF(V46&lt;&gt;"",IF(Fenster!F103&gt;0,Fenster!F103,1),"")</f>
        <v/>
      </c>
      <c r="AC46" s="2068" t="str">
        <f>IF(V46&lt;&gt;"",Fenster!BE1,"")</f>
        <v/>
      </c>
    </row>
    <row r="47" spans="1:29" ht="15" customHeight="1">
      <c r="A47" s="2065" t="str">
        <f t="shared" si="0"/>
        <v/>
      </c>
      <c r="B47" s="2065" t="str">
        <f t="shared" si="1"/>
        <v/>
      </c>
      <c r="C47" s="2065" t="str">
        <f t="shared" si="2"/>
        <v/>
      </c>
      <c r="D47" s="2065" t="str">
        <f t="shared" si="3"/>
        <v/>
      </c>
      <c r="E47" s="2065" t="str">
        <f t="shared" si="4"/>
        <v/>
      </c>
      <c r="F47" s="2065" t="str">
        <f t="shared" si="5"/>
        <v/>
      </c>
      <c r="G47" s="2065" t="str">
        <f t="shared" si="6"/>
        <v/>
      </c>
      <c r="H47" s="2065" t="str">
        <f t="shared" si="7"/>
        <v/>
      </c>
      <c r="I47" s="2065" t="str">
        <f t="shared" si="8"/>
        <v/>
      </c>
      <c r="J47" s="2069" t="str">
        <f t="shared" si="9"/>
        <v/>
      </c>
      <c r="K47" s="2065" t="str">
        <f t="shared" si="10"/>
        <v/>
      </c>
      <c r="L47" s="2065" t="str">
        <f t="shared" si="11"/>
        <v/>
      </c>
      <c r="N47" s="2065">
        <v>42</v>
      </c>
      <c r="O47" s="2065">
        <f t="shared" si="12"/>
        <v>0</v>
      </c>
      <c r="P47" s="2065">
        <f t="shared" si="22"/>
        <v>0</v>
      </c>
      <c r="Q47" s="2065" t="str">
        <f t="shared" si="13"/>
        <v/>
      </c>
      <c r="R47" s="2065" t="str">
        <f>IF(V47&lt;&gt;"","Fe2_N","")</f>
        <v/>
      </c>
      <c r="S47" s="2067" t="str">
        <f>IF(V47&lt;&gt;"",IF(Fenster!D105&lt;&gt;"",Fenster!D105,"Fenster 2"&amp;" "&amp;U47),"")</f>
        <v/>
      </c>
      <c r="T47" s="2065" t="str">
        <f t="shared" si="31"/>
        <v/>
      </c>
      <c r="U47" s="2068" t="str">
        <f t="shared" si="33"/>
        <v/>
      </c>
      <c r="V47" s="2069" t="str">
        <f>IF(Fenster!H105&gt;0,Fenster!H105,"")</f>
        <v/>
      </c>
      <c r="W47" s="2069" t="str">
        <f>IF(V47&lt;&gt;"",Fenster!L105,"")</f>
        <v/>
      </c>
      <c r="X47" s="2069" t="str">
        <f>IF(V47&lt;&gt;"",Fenster!N105,"")</f>
        <v/>
      </c>
      <c r="Y47" s="2069" t="str">
        <f t="shared" si="25"/>
        <v/>
      </c>
      <c r="Z47" s="2069" t="str">
        <f>IF(X47&lt;&gt;"",IF(Fenster!O105&gt;0,Fenster!O105,0.75),"")</f>
        <v/>
      </c>
      <c r="AA47" s="2069" t="str">
        <f>IF(V47&lt;&gt;"",Fenster!AK105,"")</f>
        <v/>
      </c>
      <c r="AB47" s="2068" t="str">
        <f>IF(V47&lt;&gt;"",IF(Fenster!F105&gt;0,Fenster!F105,1),"")</f>
        <v/>
      </c>
      <c r="AC47" s="2068" t="str">
        <f>IF(V47&lt;&gt;"",Fenster!BE2,"")</f>
        <v/>
      </c>
    </row>
    <row r="48" spans="1:29" ht="15" customHeight="1">
      <c r="A48" s="2065" t="str">
        <f t="shared" si="0"/>
        <v/>
      </c>
      <c r="B48" s="2065" t="str">
        <f t="shared" si="1"/>
        <v/>
      </c>
      <c r="C48" s="2065" t="str">
        <f t="shared" si="2"/>
        <v/>
      </c>
      <c r="D48" s="2065" t="str">
        <f t="shared" si="3"/>
        <v/>
      </c>
      <c r="E48" s="2065" t="str">
        <f t="shared" si="4"/>
        <v/>
      </c>
      <c r="F48" s="2065" t="str">
        <f t="shared" si="5"/>
        <v/>
      </c>
      <c r="G48" s="2065" t="str">
        <f t="shared" si="6"/>
        <v/>
      </c>
      <c r="H48" s="2065" t="str">
        <f t="shared" si="7"/>
        <v/>
      </c>
      <c r="I48" s="2065" t="str">
        <f t="shared" si="8"/>
        <v/>
      </c>
      <c r="J48" s="2069" t="str">
        <f t="shared" si="9"/>
        <v/>
      </c>
      <c r="K48" s="2065" t="str">
        <f t="shared" si="10"/>
        <v/>
      </c>
      <c r="L48" s="2065" t="str">
        <f t="shared" si="11"/>
        <v/>
      </c>
      <c r="N48" s="2065">
        <v>43</v>
      </c>
      <c r="O48" s="2065">
        <f t="shared" si="12"/>
        <v>0</v>
      </c>
      <c r="P48" s="2065">
        <f t="shared" si="22"/>
        <v>0</v>
      </c>
      <c r="Q48" s="2065" t="str">
        <f t="shared" si="13"/>
        <v/>
      </c>
      <c r="R48" s="2065" t="str">
        <f>IF(V48&lt;&gt;"","Fe3_N","")</f>
        <v/>
      </c>
      <c r="S48" s="2067" t="str">
        <f>IF(V48&lt;&gt;"",IF(Fenster!D107&lt;&gt;"",Fenster!D107,"Fenster 3"&amp;" "&amp;U48),"")</f>
        <v/>
      </c>
      <c r="T48" s="2065" t="str">
        <f t="shared" si="31"/>
        <v/>
      </c>
      <c r="U48" s="2068" t="str">
        <f t="shared" si="33"/>
        <v/>
      </c>
      <c r="V48" s="2069" t="str">
        <f>IF(Fenster!H107&gt;0,Fenster!H107,"")</f>
        <v/>
      </c>
      <c r="W48" s="2069" t="str">
        <f>IF(V48&lt;&gt;"",Fenster!L107,"")</f>
        <v/>
      </c>
      <c r="X48" s="2069" t="str">
        <f>IF(V48&lt;&gt;"",Fenster!N107,"")</f>
        <v/>
      </c>
      <c r="Y48" s="2069" t="str">
        <f t="shared" si="25"/>
        <v/>
      </c>
      <c r="Z48" s="2069" t="str">
        <f>IF(X48&lt;&gt;"",IF(Fenster!O107&gt;0,Fenster!O107,0.75),"")</f>
        <v/>
      </c>
      <c r="AA48" s="2069" t="str">
        <f>IF(V48&lt;&gt;"",Fenster!AK107,"")</f>
        <v/>
      </c>
      <c r="AB48" s="2068" t="str">
        <f>IF(V48&lt;&gt;"",IF(Fenster!F107&gt;0,Fenster!F107,1),"")</f>
        <v/>
      </c>
      <c r="AC48" s="2068" t="str">
        <f>IF(V48&lt;&gt;"",Fenster!BE3,"")</f>
        <v/>
      </c>
    </row>
    <row r="49" spans="1:29" ht="15" customHeight="1">
      <c r="A49" s="2065" t="str">
        <f t="shared" si="0"/>
        <v/>
      </c>
      <c r="B49" s="2065" t="str">
        <f t="shared" si="1"/>
        <v/>
      </c>
      <c r="C49" s="2065" t="str">
        <f t="shared" si="2"/>
        <v/>
      </c>
      <c r="D49" s="2065" t="str">
        <f t="shared" si="3"/>
        <v/>
      </c>
      <c r="E49" s="2065" t="str">
        <f t="shared" si="4"/>
        <v/>
      </c>
      <c r="F49" s="2065" t="str">
        <f t="shared" si="5"/>
        <v/>
      </c>
      <c r="G49" s="2065" t="str">
        <f t="shared" si="6"/>
        <v/>
      </c>
      <c r="H49" s="2065" t="str">
        <f t="shared" si="7"/>
        <v/>
      </c>
      <c r="I49" s="2065" t="str">
        <f t="shared" si="8"/>
        <v/>
      </c>
      <c r="J49" s="2069" t="str">
        <f t="shared" si="9"/>
        <v/>
      </c>
      <c r="K49" s="2065" t="str">
        <f t="shared" si="10"/>
        <v/>
      </c>
      <c r="L49" s="2065" t="str">
        <f t="shared" si="11"/>
        <v/>
      </c>
      <c r="N49" s="2065">
        <v>44</v>
      </c>
      <c r="O49" s="2065">
        <f t="shared" si="12"/>
        <v>0</v>
      </c>
      <c r="P49" s="2065">
        <f t="shared" si="22"/>
        <v>0</v>
      </c>
      <c r="Q49" s="2065" t="str">
        <f t="shared" si="13"/>
        <v/>
      </c>
      <c r="R49" s="2065" t="str">
        <f>IF(V49&lt;&gt;"","Fe4_N","")</f>
        <v/>
      </c>
      <c r="S49" s="2067" t="str">
        <f>IF(V49&lt;&gt;"",IF(Fenster!D109&lt;&gt;"",Fenster!D109,"Fenster 4"&amp;" "&amp;U49),"")</f>
        <v/>
      </c>
      <c r="T49" s="2065" t="str">
        <f t="shared" si="31"/>
        <v/>
      </c>
      <c r="U49" s="2068" t="str">
        <f t="shared" si="33"/>
        <v/>
      </c>
      <c r="V49" s="2069" t="str">
        <f>IF(Fenster!H109&gt;0,Fenster!H109,"")</f>
        <v/>
      </c>
      <c r="W49" s="2069" t="str">
        <f>IF(V49&lt;&gt;"",Fenster!L109,"")</f>
        <v/>
      </c>
      <c r="X49" s="2069" t="str">
        <f>IF(V49&lt;&gt;"",Fenster!N109,"")</f>
        <v/>
      </c>
      <c r="Y49" s="2069" t="str">
        <f t="shared" si="25"/>
        <v/>
      </c>
      <c r="Z49" s="2069" t="str">
        <f>IF(X49&lt;&gt;"",IF(Fenster!O109&gt;0,Fenster!O109,0.75),"")</f>
        <v/>
      </c>
      <c r="AA49" s="2069" t="str">
        <f>IF(V49&lt;&gt;"",Fenster!AK109,"")</f>
        <v/>
      </c>
      <c r="AB49" s="2068" t="str">
        <f>IF(V49&lt;&gt;"",IF(Fenster!F109&gt;0,Fenster!F109,1),"")</f>
        <v/>
      </c>
      <c r="AC49" s="2068" t="str">
        <f>IF(V49&lt;&gt;"",Fenster!BE4,"")</f>
        <v/>
      </c>
    </row>
    <row r="50" spans="1:29" ht="15" customHeight="1">
      <c r="A50" s="2065" t="str">
        <f t="shared" si="0"/>
        <v/>
      </c>
      <c r="B50" s="2065" t="str">
        <f t="shared" si="1"/>
        <v/>
      </c>
      <c r="C50" s="2065" t="str">
        <f t="shared" si="2"/>
        <v/>
      </c>
      <c r="D50" s="2065" t="str">
        <f t="shared" si="3"/>
        <v/>
      </c>
      <c r="E50" s="2065" t="str">
        <f t="shared" si="4"/>
        <v/>
      </c>
      <c r="F50" s="2065" t="str">
        <f t="shared" si="5"/>
        <v/>
      </c>
      <c r="G50" s="2065" t="str">
        <f t="shared" si="6"/>
        <v/>
      </c>
      <c r="H50" s="2065" t="str">
        <f t="shared" si="7"/>
        <v/>
      </c>
      <c r="I50" s="2065" t="str">
        <f t="shared" si="8"/>
        <v/>
      </c>
      <c r="J50" s="2069" t="str">
        <f t="shared" si="9"/>
        <v/>
      </c>
      <c r="K50" s="2065" t="str">
        <f t="shared" si="10"/>
        <v/>
      </c>
      <c r="L50" s="2065" t="str">
        <f t="shared" si="11"/>
        <v/>
      </c>
      <c r="N50" s="2065">
        <v>45</v>
      </c>
      <c r="O50" s="2065">
        <f t="shared" si="12"/>
        <v>0</v>
      </c>
      <c r="P50" s="2065">
        <f t="shared" si="22"/>
        <v>0</v>
      </c>
      <c r="Q50" s="2065" t="str">
        <f t="shared" si="13"/>
        <v/>
      </c>
      <c r="R50" s="2065" t="str">
        <f>IF(V50&lt;&gt;"","Fe5_N","")</f>
        <v/>
      </c>
      <c r="S50" s="2067" t="str">
        <f>IF(V50&lt;&gt;"",IF(Fenster!D111&lt;&gt;"",Fenster!D111,"Fenster 5"&amp;" "&amp;U50),"")</f>
        <v/>
      </c>
      <c r="T50" s="2065" t="str">
        <f t="shared" si="31"/>
        <v/>
      </c>
      <c r="U50" s="2068" t="str">
        <f t="shared" si="33"/>
        <v/>
      </c>
      <c r="V50" s="2069" t="str">
        <f>IF(Fenster!H111&gt;0,Fenster!H111,"")</f>
        <v/>
      </c>
      <c r="W50" s="2069" t="str">
        <f>IF(V50&lt;&gt;"",Fenster!L111,"")</f>
        <v/>
      </c>
      <c r="X50" s="2069" t="str">
        <f>IF(V50&lt;&gt;"",Fenster!N111,"")</f>
        <v/>
      </c>
      <c r="Y50" s="2069" t="str">
        <f t="shared" si="25"/>
        <v/>
      </c>
      <c r="Z50" s="2069" t="str">
        <f>IF(X50&lt;&gt;"",IF(Fenster!O111&gt;0,Fenster!O111,0.75),"")</f>
        <v/>
      </c>
      <c r="AA50" s="2069" t="str">
        <f>IF(V50&lt;&gt;"",Fenster!AK111,"")</f>
        <v/>
      </c>
      <c r="AB50" s="2068" t="str">
        <f>IF(V50&lt;&gt;"",IF(Fenster!F111&gt;0,Fenster!F111,1),"")</f>
        <v/>
      </c>
      <c r="AC50" s="2068" t="str">
        <f>IF(V50&lt;&gt;"",Fenster!BE5,"")</f>
        <v/>
      </c>
    </row>
    <row r="51" spans="1:29" ht="15" customHeight="1">
      <c r="A51" s="2065" t="str">
        <f t="shared" si="0"/>
        <v/>
      </c>
      <c r="B51" s="2065" t="str">
        <f t="shared" si="1"/>
        <v/>
      </c>
      <c r="C51" s="2065" t="str">
        <f t="shared" si="2"/>
        <v/>
      </c>
      <c r="D51" s="2065" t="str">
        <f t="shared" si="3"/>
        <v/>
      </c>
      <c r="E51" s="2065" t="str">
        <f t="shared" si="4"/>
        <v/>
      </c>
      <c r="F51" s="2065" t="str">
        <f t="shared" si="5"/>
        <v/>
      </c>
      <c r="G51" s="2065" t="str">
        <f t="shared" si="6"/>
        <v/>
      </c>
      <c r="H51" s="2065" t="str">
        <f t="shared" si="7"/>
        <v/>
      </c>
      <c r="I51" s="2065" t="str">
        <f t="shared" si="8"/>
        <v/>
      </c>
      <c r="J51" s="2069" t="str">
        <f t="shared" si="9"/>
        <v/>
      </c>
      <c r="K51" s="2065" t="str">
        <f t="shared" si="10"/>
        <v/>
      </c>
      <c r="L51" s="2065" t="str">
        <f t="shared" si="11"/>
        <v/>
      </c>
      <c r="N51" s="2065">
        <v>46</v>
      </c>
      <c r="O51" s="2065">
        <f t="shared" si="12"/>
        <v>0</v>
      </c>
      <c r="P51" s="2065">
        <f t="shared" si="22"/>
        <v>0</v>
      </c>
      <c r="Q51" s="2065" t="str">
        <f t="shared" si="13"/>
        <v/>
      </c>
      <c r="R51" s="2065" t="str">
        <f>IF(V51&lt;&gt;"","Fe6_N","")</f>
        <v/>
      </c>
      <c r="S51" s="2067" t="str">
        <f>IF(V51&lt;&gt;"",IF(Fenster!D113&lt;&gt;"",Fenster!D113,"Fenster 6"&amp;" "&amp;U51),"")</f>
        <v/>
      </c>
      <c r="T51" s="2065" t="str">
        <f t="shared" si="31"/>
        <v/>
      </c>
      <c r="U51" s="2068" t="str">
        <f t="shared" si="33"/>
        <v/>
      </c>
      <c r="V51" s="2069" t="str">
        <f>IF(Fenster!H113&gt;0,Fenster!H113,"")</f>
        <v/>
      </c>
      <c r="W51" s="2069" t="str">
        <f>IF(V51&lt;&gt;"",Fenster!L113,"")</f>
        <v/>
      </c>
      <c r="X51" s="2069" t="str">
        <f>IF(V51&lt;&gt;"",Fenster!N113,"")</f>
        <v/>
      </c>
      <c r="Y51" s="2069" t="str">
        <f t="shared" si="25"/>
        <v/>
      </c>
      <c r="Z51" s="2069" t="str">
        <f>IF(X51&lt;&gt;"",IF(Fenster!O113&gt;0,Fenster!O113,0.75),"")</f>
        <v/>
      </c>
      <c r="AA51" s="2069" t="str">
        <f>IF(V51&lt;&gt;"",Fenster!AK113,"")</f>
        <v/>
      </c>
      <c r="AB51" s="2068" t="str">
        <f>IF(V51&lt;&gt;"",IF(Fenster!F113&gt;0,Fenster!F113,1),"")</f>
        <v/>
      </c>
      <c r="AC51" s="2068" t="str">
        <f>IF(V51&lt;&gt;"",Fenster!BE6,"")</f>
        <v/>
      </c>
    </row>
    <row r="52" spans="1:29" ht="15" customHeight="1">
      <c r="A52" s="2065" t="str">
        <f t="shared" si="0"/>
        <v/>
      </c>
      <c r="B52" s="2065" t="str">
        <f t="shared" si="1"/>
        <v/>
      </c>
      <c r="C52" s="2065" t="str">
        <f t="shared" si="2"/>
        <v/>
      </c>
      <c r="D52" s="2065" t="str">
        <f t="shared" si="3"/>
        <v/>
      </c>
      <c r="E52" s="2065" t="str">
        <f t="shared" si="4"/>
        <v/>
      </c>
      <c r="F52" s="2065" t="str">
        <f t="shared" si="5"/>
        <v/>
      </c>
      <c r="G52" s="2065" t="str">
        <f t="shared" si="6"/>
        <v/>
      </c>
      <c r="H52" s="2065" t="str">
        <f t="shared" si="7"/>
        <v/>
      </c>
      <c r="I52" s="2065" t="str">
        <f t="shared" si="8"/>
        <v/>
      </c>
      <c r="J52" s="2069" t="str">
        <f t="shared" si="9"/>
        <v/>
      </c>
      <c r="K52" s="2065" t="str">
        <f t="shared" si="10"/>
        <v/>
      </c>
      <c r="L52" s="2065" t="str">
        <f t="shared" si="11"/>
        <v/>
      </c>
      <c r="N52" s="2065">
        <v>47</v>
      </c>
      <c r="O52" s="2065">
        <f t="shared" si="12"/>
        <v>0</v>
      </c>
      <c r="P52" s="2065">
        <f t="shared" si="22"/>
        <v>0</v>
      </c>
      <c r="Q52" s="2065" t="str">
        <f t="shared" si="13"/>
        <v/>
      </c>
      <c r="R52" s="2065" t="str">
        <f>IF(V52&lt;&gt;"","Fe7_N","")</f>
        <v/>
      </c>
      <c r="S52" s="2067" t="str">
        <f>IF(V52&lt;&gt;"",IF(Fenster!D115&lt;&gt;"",Fenster!D115,"Fenster 7"&amp;" "&amp;U52),"")</f>
        <v/>
      </c>
      <c r="T52" s="2065" t="str">
        <f t="shared" si="31"/>
        <v/>
      </c>
      <c r="U52" s="2068" t="str">
        <f t="shared" si="33"/>
        <v/>
      </c>
      <c r="V52" s="2069" t="str">
        <f>IF(Fenster!H115&gt;0,Fenster!H115,"")</f>
        <v/>
      </c>
      <c r="W52" s="2069" t="str">
        <f>IF(V52&lt;&gt;"",Fenster!L115,"")</f>
        <v/>
      </c>
      <c r="X52" s="2069" t="str">
        <f>IF(V52&lt;&gt;"",Fenster!N115,"")</f>
        <v/>
      </c>
      <c r="Y52" s="2069" t="str">
        <f t="shared" si="25"/>
        <v/>
      </c>
      <c r="Z52" s="2069" t="str">
        <f>IF(X52&lt;&gt;"",IF(Fenster!O115&gt;0,Fenster!O115,0.75),"")</f>
        <v/>
      </c>
      <c r="AA52" s="2069" t="str">
        <f>IF(V52&lt;&gt;"",Fenster!AK115,"")</f>
        <v/>
      </c>
      <c r="AB52" s="2068" t="str">
        <f>IF(V52&lt;&gt;"",IF(Fenster!F115&gt;0,Fenster!F115,1),"")</f>
        <v/>
      </c>
      <c r="AC52" s="2068" t="str">
        <f>IF(V52&lt;&gt;"",Fenster!BE7,"")</f>
        <v/>
      </c>
    </row>
    <row r="53" spans="1:29" ht="15" customHeight="1">
      <c r="A53" s="2065" t="str">
        <f t="shared" si="0"/>
        <v/>
      </c>
      <c r="B53" s="2065" t="str">
        <f t="shared" si="1"/>
        <v/>
      </c>
      <c r="C53" s="2065" t="str">
        <f t="shared" si="2"/>
        <v/>
      </c>
      <c r="D53" s="2065" t="str">
        <f t="shared" si="3"/>
        <v/>
      </c>
      <c r="E53" s="2065" t="str">
        <f t="shared" si="4"/>
        <v/>
      </c>
      <c r="F53" s="2065" t="str">
        <f t="shared" si="5"/>
        <v/>
      </c>
      <c r="G53" s="2065" t="str">
        <f t="shared" si="6"/>
        <v/>
      </c>
      <c r="H53" s="2065" t="str">
        <f t="shared" si="7"/>
        <v/>
      </c>
      <c r="I53" s="2065" t="str">
        <f t="shared" si="8"/>
        <v/>
      </c>
      <c r="J53" s="2069" t="str">
        <f t="shared" si="9"/>
        <v/>
      </c>
      <c r="K53" s="2065" t="str">
        <f t="shared" si="10"/>
        <v/>
      </c>
      <c r="L53" s="2065" t="str">
        <f t="shared" si="11"/>
        <v/>
      </c>
      <c r="N53" s="2065">
        <v>48</v>
      </c>
      <c r="O53" s="2065">
        <f t="shared" si="12"/>
        <v>0</v>
      </c>
      <c r="P53" s="2065">
        <f t="shared" si="22"/>
        <v>0</v>
      </c>
      <c r="Q53" s="2065" t="str">
        <f t="shared" si="13"/>
        <v/>
      </c>
      <c r="R53" s="2065" t="str">
        <f>IF(V53&lt;&gt;"","Fe8_N","")</f>
        <v/>
      </c>
      <c r="S53" s="2067" t="str">
        <f>IF(V53&lt;&gt;"",IF(Fenster!D117&lt;&gt;"",Fenster!D117,"Fenster 8"&amp;" "&amp;U53),"")</f>
        <v/>
      </c>
      <c r="T53" s="2065" t="str">
        <f t="shared" si="31"/>
        <v/>
      </c>
      <c r="U53" s="2068" t="str">
        <f t="shared" si="33"/>
        <v/>
      </c>
      <c r="V53" s="2069" t="str">
        <f>IF(Fenster!H117&gt;0,Fenster!H117,"")</f>
        <v/>
      </c>
      <c r="W53" s="2069" t="str">
        <f>IF(V53&lt;&gt;"",Fenster!L117,"")</f>
        <v/>
      </c>
      <c r="X53" s="2069" t="str">
        <f>IF(V53&lt;&gt;"",Fenster!N117,"")</f>
        <v/>
      </c>
      <c r="Y53" s="2069" t="str">
        <f t="shared" si="25"/>
        <v/>
      </c>
      <c r="Z53" s="2069" t="str">
        <f>IF(X53&lt;&gt;"",IF(Fenster!O117&gt;0,Fenster!O117,0.75),"")</f>
        <v/>
      </c>
      <c r="AA53" s="2069" t="str">
        <f>IF(V53&lt;&gt;"",Fenster!AK117,"")</f>
        <v/>
      </c>
      <c r="AB53" s="2068" t="str">
        <f>IF(V53&lt;&gt;"",IF(Fenster!F117&gt;0,Fenster!F117,1),"")</f>
        <v/>
      </c>
      <c r="AC53" s="2068" t="str">
        <f>IF(V53&lt;&gt;"",Fenster!BE8,"")</f>
        <v/>
      </c>
    </row>
    <row r="54" spans="1:29" ht="15" customHeight="1">
      <c r="V54" s="2069"/>
      <c r="W54" s="2069"/>
      <c r="X54" s="2069"/>
      <c r="Y54" s="2069"/>
      <c r="Z54" s="2069"/>
      <c r="AA54" s="2069"/>
      <c r="AB54" s="2068"/>
    </row>
    <row r="55" spans="1:29" ht="15" customHeight="1">
      <c r="V55" s="2069"/>
      <c r="W55" s="2069"/>
      <c r="X55" s="2069"/>
      <c r="Y55" s="2069"/>
      <c r="Z55" s="2069"/>
      <c r="AA55" s="2069"/>
      <c r="AB55" s="2068"/>
    </row>
    <row r="56" spans="1:29" ht="15" customHeight="1">
      <c r="V56" s="2069"/>
      <c r="W56" s="2069"/>
      <c r="X56" s="2069"/>
      <c r="Y56" s="2069"/>
      <c r="Z56" s="2069"/>
      <c r="AA56" s="2069"/>
      <c r="AB56" s="2068"/>
    </row>
    <row r="57" spans="1:29" ht="15" customHeight="1">
      <c r="V57" s="2069"/>
      <c r="W57" s="2069"/>
      <c r="X57" s="2069"/>
      <c r="Y57" s="2069"/>
      <c r="Z57" s="2069"/>
      <c r="AA57" s="2069"/>
      <c r="AB57" s="2068"/>
    </row>
    <row r="58" spans="1:29" ht="15" customHeight="1">
      <c r="V58" s="2069"/>
      <c r="W58" s="2069"/>
      <c r="X58" s="2069"/>
      <c r="Y58" s="2069"/>
      <c r="Z58" s="2069"/>
      <c r="AA58" s="2069"/>
      <c r="AB58" s="2068"/>
    </row>
    <row r="59" spans="1:29" ht="15" customHeight="1">
      <c r="V59" s="2069"/>
      <c r="W59" s="2069"/>
      <c r="X59" s="2069"/>
      <c r="Y59" s="2069"/>
      <c r="Z59" s="2069"/>
      <c r="AA59" s="2069"/>
      <c r="AB59" s="2068"/>
    </row>
    <row r="60" spans="1:29" ht="15" customHeight="1">
      <c r="V60" s="2069"/>
      <c r="W60" s="2069"/>
      <c r="X60" s="2069"/>
      <c r="Y60" s="2069"/>
      <c r="Z60" s="2069"/>
      <c r="AA60" s="2069"/>
      <c r="AB60" s="2068"/>
    </row>
    <row r="61" spans="1:29" ht="15" customHeight="1">
      <c r="V61" s="2069"/>
      <c r="W61" s="2069"/>
      <c r="X61" s="2069"/>
      <c r="Y61" s="2069"/>
      <c r="Z61" s="2069"/>
      <c r="AA61" s="2069"/>
      <c r="AB61" s="2068"/>
    </row>
    <row r="62" spans="1:29" ht="15" customHeight="1">
      <c r="V62" s="2069"/>
      <c r="W62" s="2069"/>
      <c r="X62" s="2069"/>
      <c r="Y62" s="2069"/>
      <c r="Z62" s="2069"/>
      <c r="AA62" s="2069"/>
      <c r="AB62" s="2068"/>
    </row>
    <row r="63" spans="1:29" ht="15" customHeight="1">
      <c r="V63" s="2069"/>
      <c r="W63" s="2069"/>
      <c r="X63" s="2069"/>
      <c r="Y63" s="2069"/>
      <c r="Z63" s="2069"/>
      <c r="AA63" s="2069"/>
      <c r="AB63" s="2068"/>
    </row>
    <row r="64" spans="1:29" ht="15" customHeight="1">
      <c r="V64" s="2069"/>
      <c r="W64" s="2069"/>
      <c r="X64" s="2069"/>
      <c r="Y64" s="2069"/>
      <c r="Z64" s="2069"/>
      <c r="AA64" s="2069"/>
      <c r="AB64" s="2068"/>
    </row>
    <row r="65" spans="22:28" ht="15" customHeight="1">
      <c r="V65" s="2069"/>
      <c r="W65" s="2069"/>
      <c r="X65" s="2069"/>
      <c r="Y65" s="2069"/>
      <c r="Z65" s="2069"/>
      <c r="AA65" s="2069"/>
      <c r="AB65" s="2068"/>
    </row>
    <row r="66" spans="22:28" ht="15" customHeight="1">
      <c r="V66" s="2069"/>
      <c r="W66" s="2069"/>
      <c r="X66" s="2069"/>
      <c r="Y66" s="2069"/>
      <c r="Z66" s="2069"/>
      <c r="AA66" s="2069"/>
      <c r="AB66" s="2068"/>
    </row>
    <row r="67" spans="22:28" ht="15" customHeight="1">
      <c r="V67" s="2069"/>
      <c r="W67" s="2069"/>
      <c r="X67" s="2069"/>
      <c r="Y67" s="2069"/>
      <c r="Z67" s="2069"/>
      <c r="AA67" s="2069"/>
      <c r="AB67" s="2068"/>
    </row>
    <row r="68" spans="22:28" ht="15" customHeight="1">
      <c r="V68" s="2069"/>
      <c r="W68" s="2069"/>
      <c r="X68" s="2069"/>
      <c r="Y68" s="2069"/>
      <c r="Z68" s="2069"/>
      <c r="AA68" s="2069"/>
      <c r="AB68" s="2068"/>
    </row>
    <row r="69" spans="22:28" ht="15" customHeight="1">
      <c r="V69" s="2069"/>
      <c r="W69" s="2069"/>
      <c r="X69" s="2069"/>
      <c r="Y69" s="2069"/>
      <c r="Z69" s="2069"/>
      <c r="AA69" s="2069"/>
      <c r="AB69" s="2068"/>
    </row>
    <row r="70" spans="22:28" ht="15" customHeight="1">
      <c r="V70" s="2069"/>
      <c r="W70" s="2069"/>
      <c r="X70" s="2069"/>
      <c r="Y70" s="2069"/>
      <c r="Z70" s="2069"/>
      <c r="AA70" s="2069"/>
      <c r="AB70" s="2068"/>
    </row>
    <row r="71" spans="22:28" ht="15" customHeight="1">
      <c r="V71" s="2069"/>
      <c r="W71" s="2069"/>
      <c r="X71" s="2069"/>
      <c r="Y71" s="2069"/>
      <c r="Z71" s="2069"/>
      <c r="AA71" s="2069"/>
      <c r="AB71" s="2068"/>
    </row>
    <row r="72" spans="22:28" ht="15" customHeight="1">
      <c r="V72" s="2069"/>
      <c r="W72" s="2069"/>
      <c r="X72" s="2069"/>
      <c r="Y72" s="2069"/>
      <c r="Z72" s="2069"/>
      <c r="AA72" s="2069"/>
      <c r="AB72" s="2068"/>
    </row>
    <row r="73" spans="22:28" ht="15" customHeight="1">
      <c r="V73" s="2069"/>
      <c r="W73" s="2069"/>
      <c r="X73" s="2069"/>
      <c r="Y73" s="2069"/>
      <c r="Z73" s="2069"/>
      <c r="AA73" s="2069"/>
      <c r="AB73" s="2068"/>
    </row>
    <row r="74" spans="22:28" ht="15" customHeight="1">
      <c r="V74" s="2069"/>
      <c r="W74" s="2069"/>
      <c r="X74" s="2069"/>
      <c r="Y74" s="2069"/>
      <c r="Z74" s="2069"/>
      <c r="AA74" s="2069"/>
      <c r="AB74" s="2068"/>
    </row>
    <row r="75" spans="22:28" ht="15" customHeight="1">
      <c r="V75" s="2069"/>
      <c r="W75" s="2069"/>
      <c r="X75" s="2069"/>
      <c r="Y75" s="2069"/>
      <c r="Z75" s="2069"/>
      <c r="AA75" s="2069"/>
      <c r="AB75" s="2068"/>
    </row>
    <row r="76" spans="22:28" ht="15" customHeight="1">
      <c r="V76" s="2069"/>
      <c r="W76" s="2069"/>
      <c r="X76" s="2069"/>
      <c r="Y76" s="2069"/>
      <c r="Z76" s="2069"/>
      <c r="AA76" s="2069"/>
      <c r="AB76" s="2068"/>
    </row>
    <row r="77" spans="22:28" ht="15" customHeight="1">
      <c r="V77" s="2069"/>
      <c r="W77" s="2069"/>
      <c r="X77" s="2069"/>
      <c r="Y77" s="2069"/>
      <c r="Z77" s="2069"/>
      <c r="AA77" s="2069"/>
      <c r="AB77" s="2068"/>
    </row>
    <row r="78" spans="22:28" ht="15" customHeight="1">
      <c r="V78" s="2069"/>
      <c r="W78" s="2069"/>
      <c r="X78" s="2069"/>
      <c r="Y78" s="2069"/>
      <c r="Z78" s="2069"/>
      <c r="AA78" s="2069"/>
      <c r="AB78" s="2068"/>
    </row>
    <row r="79" spans="22:28" ht="15" customHeight="1">
      <c r="V79" s="2069"/>
      <c r="W79" s="2069"/>
      <c r="X79" s="2069"/>
      <c r="Y79" s="2069"/>
      <c r="Z79" s="2069"/>
      <c r="AA79" s="2069"/>
      <c r="AB79" s="2068"/>
    </row>
    <row r="80" spans="22:28" ht="15" customHeight="1">
      <c r="V80" s="2069"/>
      <c r="W80" s="2069"/>
      <c r="X80" s="2069"/>
      <c r="Y80" s="2069"/>
      <c r="Z80" s="2069"/>
      <c r="AA80" s="2069"/>
      <c r="AB80" s="2068"/>
    </row>
    <row r="81" spans="22:28" ht="15" customHeight="1">
      <c r="V81" s="2069"/>
      <c r="W81" s="2069"/>
      <c r="X81" s="2069"/>
      <c r="Y81" s="2069"/>
      <c r="Z81" s="2069"/>
      <c r="AA81" s="2069"/>
      <c r="AB81" s="2068"/>
    </row>
    <row r="82" spans="22:28" ht="15" customHeight="1">
      <c r="V82" s="2069"/>
      <c r="W82" s="2069"/>
      <c r="X82" s="2069"/>
      <c r="Y82" s="2069"/>
      <c r="Z82" s="2069"/>
      <c r="AA82" s="2069"/>
      <c r="AB82" s="2068"/>
    </row>
    <row r="83" spans="22:28" ht="15" customHeight="1">
      <c r="V83" s="2069"/>
      <c r="W83" s="2069"/>
      <c r="X83" s="2069"/>
      <c r="Y83" s="2069"/>
      <c r="Z83" s="2069"/>
      <c r="AA83" s="2069"/>
      <c r="AB83" s="2068"/>
    </row>
    <row r="84" spans="22:28" ht="15" customHeight="1">
      <c r="V84" s="2069"/>
      <c r="W84" s="2069"/>
      <c r="X84" s="2069"/>
      <c r="Y84" s="2069"/>
      <c r="Z84" s="2069"/>
      <c r="AA84" s="2069"/>
      <c r="AB84" s="2068"/>
    </row>
    <row r="85" spans="22:28" ht="15" customHeight="1">
      <c r="V85" s="2069"/>
      <c r="W85" s="2069"/>
      <c r="X85" s="2069"/>
      <c r="Y85" s="2069"/>
      <c r="Z85" s="2069"/>
      <c r="AA85" s="2069"/>
      <c r="AB85" s="2068"/>
    </row>
    <row r="86" spans="22:28" ht="15" customHeight="1">
      <c r="V86" s="2069"/>
      <c r="W86" s="2069"/>
      <c r="X86" s="2069"/>
      <c r="Y86" s="2069"/>
      <c r="Z86" s="2069"/>
      <c r="AA86" s="2069"/>
      <c r="AB86" s="2068"/>
    </row>
    <row r="87" spans="22:28" ht="15" customHeight="1">
      <c r="V87" s="2069"/>
      <c r="W87" s="2069"/>
      <c r="X87" s="2069"/>
      <c r="Y87" s="2069"/>
      <c r="Z87" s="2069"/>
      <c r="AA87" s="2069"/>
      <c r="AB87" s="2068"/>
    </row>
    <row r="88" spans="22:28" ht="15" customHeight="1">
      <c r="V88" s="2069"/>
      <c r="W88" s="2069"/>
      <c r="X88" s="2069"/>
      <c r="Y88" s="2069"/>
      <c r="Z88" s="2069"/>
      <c r="AA88" s="2069"/>
      <c r="AB88" s="2068"/>
    </row>
    <row r="89" spans="22:28" ht="15" customHeight="1">
      <c r="V89" s="2069"/>
      <c r="W89" s="2069"/>
      <c r="X89" s="2069"/>
      <c r="Y89" s="2069"/>
      <c r="Z89" s="2069"/>
      <c r="AA89" s="2069"/>
      <c r="AB89" s="2068"/>
    </row>
    <row r="90" spans="22:28" ht="15" customHeight="1">
      <c r="V90" s="2069"/>
      <c r="W90" s="2069"/>
      <c r="X90" s="2069"/>
      <c r="Y90" s="2069"/>
      <c r="Z90" s="2069"/>
      <c r="AA90" s="2069"/>
      <c r="AB90" s="2068"/>
    </row>
    <row r="91" spans="22:28" ht="15" customHeight="1">
      <c r="V91" s="2069"/>
      <c r="W91" s="2069"/>
      <c r="X91" s="2069"/>
      <c r="Y91" s="2069"/>
      <c r="Z91" s="2069"/>
      <c r="AA91" s="2069"/>
      <c r="AB91" s="2068"/>
    </row>
    <row r="92" spans="22:28" ht="15" customHeight="1">
      <c r="V92" s="2069"/>
      <c r="W92" s="2069"/>
      <c r="X92" s="2069"/>
      <c r="Y92" s="2069"/>
      <c r="Z92" s="2069"/>
      <c r="AA92" s="2069"/>
      <c r="AB92" s="2068"/>
    </row>
    <row r="93" spans="22:28" ht="15" customHeight="1">
      <c r="V93" s="2069"/>
      <c r="W93" s="2069"/>
      <c r="X93" s="2069"/>
      <c r="Y93" s="2069"/>
      <c r="Z93" s="2069"/>
      <c r="AA93" s="2069"/>
      <c r="AB93" s="2068"/>
    </row>
    <row r="94" spans="22:28" ht="15" customHeight="1">
      <c r="V94" s="2069"/>
      <c r="W94" s="2069"/>
      <c r="X94" s="2069"/>
      <c r="Y94" s="2069"/>
      <c r="Z94" s="2069"/>
      <c r="AA94" s="2069"/>
      <c r="AB94" s="2068"/>
    </row>
    <row r="95" spans="22:28" ht="15" customHeight="1">
      <c r="V95" s="2069"/>
      <c r="W95" s="2069"/>
      <c r="X95" s="2069"/>
      <c r="Y95" s="2069"/>
      <c r="Z95" s="2069"/>
      <c r="AA95" s="2069"/>
      <c r="AB95" s="2068"/>
    </row>
    <row r="96" spans="22:28" ht="15" customHeight="1">
      <c r="V96" s="2069"/>
      <c r="W96" s="2069"/>
      <c r="X96" s="2069"/>
      <c r="Y96" s="2069"/>
      <c r="Z96" s="2069"/>
      <c r="AA96" s="2069"/>
      <c r="AB96" s="2068"/>
    </row>
    <row r="97" spans="5:28" ht="15" customHeight="1">
      <c r="V97" s="2069"/>
      <c r="W97" s="2069"/>
      <c r="X97" s="2069"/>
      <c r="Y97" s="2069"/>
      <c r="Z97" s="2069"/>
      <c r="AA97" s="2069"/>
      <c r="AB97" s="2068"/>
    </row>
    <row r="98" spans="5:28" ht="15" customHeight="1">
      <c r="V98" s="2069"/>
      <c r="W98" s="2069"/>
      <c r="X98" s="2069"/>
      <c r="Y98" s="2069"/>
      <c r="Z98" s="2069"/>
      <c r="AA98" s="2069"/>
      <c r="AB98" s="2068"/>
    </row>
    <row r="99" spans="5:28" ht="15" customHeight="1">
      <c r="V99" s="2069"/>
      <c r="W99" s="2069"/>
      <c r="X99" s="2069"/>
      <c r="Y99" s="2069"/>
      <c r="Z99" s="2069"/>
      <c r="AA99" s="2069"/>
      <c r="AB99" s="2068"/>
    </row>
    <row r="100" spans="5:28" ht="15" customHeight="1">
      <c r="V100" s="2069"/>
      <c r="W100" s="2069"/>
      <c r="X100" s="2069"/>
      <c r="Y100" s="2069"/>
      <c r="Z100" s="2069"/>
      <c r="AA100" s="2069"/>
      <c r="AB100" s="2068"/>
    </row>
    <row r="101" spans="5:28" ht="15" customHeight="1">
      <c r="E101" s="2069"/>
      <c r="F101" s="2069"/>
      <c r="G101" s="2069"/>
      <c r="H101" s="2069"/>
      <c r="I101" s="2069"/>
      <c r="J101" s="2069"/>
      <c r="K101" s="2068"/>
    </row>
    <row r="102" spans="5:28" ht="15" customHeight="1">
      <c r="E102" s="2069"/>
      <c r="F102" s="2069"/>
      <c r="G102" s="2069"/>
      <c r="H102" s="2069"/>
      <c r="I102" s="2069"/>
      <c r="J102" s="2069"/>
      <c r="K102" s="2068"/>
    </row>
    <row r="103" spans="5:28" ht="15" customHeight="1">
      <c r="E103" s="2069"/>
      <c r="F103" s="2069"/>
      <c r="G103" s="2069"/>
      <c r="H103" s="2069"/>
      <c r="I103" s="2069"/>
      <c r="J103" s="2069"/>
      <c r="K103" s="2068"/>
    </row>
    <row r="104" spans="5:28" ht="15" customHeight="1">
      <c r="E104" s="2069"/>
      <c r="F104" s="2069"/>
      <c r="G104" s="2069"/>
      <c r="H104" s="2069"/>
      <c r="I104" s="2069"/>
      <c r="J104" s="2069"/>
      <c r="K104" s="2068"/>
    </row>
    <row r="105" spans="5:28" ht="15" customHeight="1">
      <c r="E105" s="2069"/>
      <c r="F105" s="2069"/>
      <c r="G105" s="2069"/>
      <c r="H105" s="2069"/>
      <c r="I105" s="2069"/>
      <c r="J105" s="2069"/>
      <c r="K105" s="2068"/>
    </row>
    <row r="106" spans="5:28" ht="15" customHeight="1">
      <c r="E106" s="2069"/>
      <c r="F106" s="2069"/>
      <c r="G106" s="2069"/>
      <c r="H106" s="2069"/>
      <c r="I106" s="2069"/>
      <c r="J106" s="2069"/>
      <c r="K106" s="2068"/>
    </row>
    <row r="107" spans="5:28" ht="15" customHeight="1">
      <c r="E107" s="2069"/>
      <c r="F107" s="2069"/>
      <c r="G107" s="2069"/>
      <c r="H107" s="2069"/>
      <c r="I107" s="2069"/>
      <c r="J107" s="2069"/>
      <c r="K107" s="2068"/>
    </row>
    <row r="108" spans="5:28" ht="15" customHeight="1">
      <c r="E108" s="2069"/>
      <c r="F108" s="2069"/>
      <c r="G108" s="2069"/>
      <c r="H108" s="2069"/>
      <c r="I108" s="2069"/>
      <c r="J108" s="2069"/>
      <c r="K108" s="2068"/>
    </row>
    <row r="109" spans="5:28" ht="15" customHeight="1">
      <c r="E109" s="2069"/>
      <c r="F109" s="2069"/>
      <c r="G109" s="2069"/>
      <c r="H109" s="2069"/>
      <c r="I109" s="2069"/>
      <c r="J109" s="2069"/>
      <c r="K109" s="2068"/>
    </row>
    <row r="110" spans="5:28" ht="15" customHeight="1">
      <c r="E110" s="2069"/>
      <c r="F110" s="2069"/>
      <c r="G110" s="2069"/>
      <c r="H110" s="2069"/>
      <c r="I110" s="2069"/>
      <c r="J110" s="2069"/>
      <c r="K110" s="2068"/>
    </row>
    <row r="111" spans="5:28" ht="15" customHeight="1">
      <c r="E111" s="2069"/>
      <c r="F111" s="2069"/>
      <c r="G111" s="2069"/>
      <c r="H111" s="2069"/>
      <c r="I111" s="2069"/>
      <c r="J111" s="2069"/>
      <c r="K111" s="2068"/>
    </row>
    <row r="112" spans="5:28" ht="15" customHeight="1">
      <c r="E112" s="2069"/>
      <c r="F112" s="2069"/>
      <c r="G112" s="2069"/>
      <c r="H112" s="2069"/>
      <c r="I112" s="2069"/>
      <c r="J112" s="2069"/>
      <c r="K112" s="2068"/>
    </row>
    <row r="113" spans="5:11" ht="15" customHeight="1">
      <c r="E113" s="2069"/>
      <c r="F113" s="2069"/>
      <c r="G113" s="2069"/>
      <c r="H113" s="2069"/>
      <c r="I113" s="2069"/>
      <c r="J113" s="2069"/>
      <c r="K113" s="2068"/>
    </row>
    <row r="114" spans="5:11" ht="15" customHeight="1">
      <c r="E114" s="2069"/>
      <c r="F114" s="2069"/>
      <c r="G114" s="2069"/>
      <c r="H114" s="2069"/>
      <c r="I114" s="2069"/>
      <c r="J114" s="2069"/>
      <c r="K114" s="2068"/>
    </row>
    <row r="115" spans="5:11" ht="15" customHeight="1">
      <c r="E115" s="2069"/>
      <c r="F115" s="2069"/>
      <c r="G115" s="2069"/>
      <c r="H115" s="2069"/>
      <c r="I115" s="2069"/>
      <c r="J115" s="2069"/>
      <c r="K115" s="2068"/>
    </row>
    <row r="116" spans="5:11" ht="15" customHeight="1">
      <c r="E116" s="2069"/>
      <c r="F116" s="2069"/>
      <c r="G116" s="2069"/>
      <c r="H116" s="2069"/>
      <c r="I116" s="2069"/>
      <c r="J116" s="2069"/>
      <c r="K116" s="2068"/>
    </row>
    <row r="117" spans="5:11" ht="15" customHeight="1">
      <c r="E117" s="2069"/>
      <c r="F117" s="2069"/>
      <c r="G117" s="2069"/>
      <c r="H117" s="2069"/>
      <c r="I117" s="2069"/>
      <c r="J117" s="2069"/>
      <c r="K117" s="2068"/>
    </row>
    <row r="118" spans="5:11" ht="15" customHeight="1">
      <c r="E118" s="2069"/>
      <c r="F118" s="2069"/>
      <c r="G118" s="2069"/>
      <c r="H118" s="2069"/>
      <c r="I118" s="2069"/>
      <c r="J118" s="2069"/>
      <c r="K118" s="2068"/>
    </row>
    <row r="119" spans="5:11" ht="15" customHeight="1">
      <c r="E119" s="2069"/>
      <c r="F119" s="2069"/>
      <c r="G119" s="2069"/>
      <c r="H119" s="2069"/>
      <c r="I119" s="2069"/>
      <c r="J119" s="2069"/>
      <c r="K119" s="2068"/>
    </row>
    <row r="120" spans="5:11" ht="15" customHeight="1">
      <c r="E120" s="2069"/>
      <c r="F120" s="2069"/>
      <c r="G120" s="2069"/>
      <c r="H120" s="2069"/>
      <c r="I120" s="2069"/>
      <c r="J120" s="2069"/>
      <c r="K120" s="2068"/>
    </row>
    <row r="121" spans="5:11" ht="15" customHeight="1">
      <c r="E121" s="2069"/>
      <c r="F121" s="2069"/>
      <c r="G121" s="2069"/>
      <c r="H121" s="2069"/>
      <c r="I121" s="2069"/>
      <c r="J121" s="2069"/>
      <c r="K121" s="2068"/>
    </row>
    <row r="122" spans="5:11" ht="15" customHeight="1">
      <c r="E122" s="2069"/>
      <c r="F122" s="2069"/>
      <c r="G122" s="2069"/>
      <c r="H122" s="2069"/>
      <c r="I122" s="2069"/>
      <c r="J122" s="2069"/>
      <c r="K122" s="2068"/>
    </row>
    <row r="123" spans="5:11" ht="15" customHeight="1">
      <c r="E123" s="2069"/>
      <c r="F123" s="2069"/>
      <c r="G123" s="2069"/>
      <c r="H123" s="2069"/>
      <c r="I123" s="2069"/>
      <c r="J123" s="2069"/>
      <c r="K123" s="2068"/>
    </row>
    <row r="124" spans="5:11" ht="15" customHeight="1">
      <c r="E124" s="2069"/>
      <c r="F124" s="2069"/>
      <c r="G124" s="2069"/>
      <c r="H124" s="2069"/>
      <c r="I124" s="2069"/>
      <c r="J124" s="2069"/>
      <c r="K124" s="2068"/>
    </row>
    <row r="125" spans="5:11" ht="15" customHeight="1">
      <c r="E125" s="2069"/>
      <c r="F125" s="2069"/>
      <c r="G125" s="2069"/>
      <c r="H125" s="2069"/>
      <c r="I125" s="2069"/>
      <c r="J125" s="2069"/>
      <c r="K125" s="2068"/>
    </row>
    <row r="126" spans="5:11" ht="15" customHeight="1">
      <c r="E126" s="2069"/>
      <c r="F126" s="2069"/>
      <c r="G126" s="2069"/>
      <c r="H126" s="2069"/>
      <c r="I126" s="2069"/>
      <c r="J126" s="2069"/>
      <c r="K126" s="2068"/>
    </row>
    <row r="127" spans="5:11" ht="15" customHeight="1">
      <c r="E127" s="2069"/>
      <c r="F127" s="2069"/>
      <c r="G127" s="2069"/>
      <c r="H127" s="2069"/>
      <c r="I127" s="2069"/>
      <c r="J127" s="2069"/>
      <c r="K127" s="2068"/>
    </row>
    <row r="128" spans="5:11" ht="15" customHeight="1">
      <c r="E128" s="2069"/>
      <c r="F128" s="2069"/>
      <c r="G128" s="2069"/>
      <c r="H128" s="2069"/>
      <c r="I128" s="2069"/>
      <c r="J128" s="2069"/>
      <c r="K128" s="2068"/>
    </row>
    <row r="129" spans="5:11" ht="15" customHeight="1">
      <c r="E129" s="2069"/>
      <c r="F129" s="2069"/>
      <c r="G129" s="2069"/>
      <c r="H129" s="2069"/>
      <c r="I129" s="2069"/>
      <c r="J129" s="2069"/>
      <c r="K129" s="2068"/>
    </row>
    <row r="130" spans="5:11" ht="15" customHeight="1">
      <c r="E130" s="2069"/>
      <c r="F130" s="2069"/>
      <c r="G130" s="2069"/>
      <c r="H130" s="2069"/>
      <c r="I130" s="2069"/>
      <c r="J130" s="2069"/>
      <c r="K130" s="2068"/>
    </row>
    <row r="131" spans="5:11" ht="15" customHeight="1">
      <c r="E131" s="2069"/>
      <c r="F131" s="2069"/>
      <c r="G131" s="2069"/>
      <c r="H131" s="2069"/>
      <c r="I131" s="2069"/>
      <c r="J131" s="2069"/>
      <c r="K131" s="2068"/>
    </row>
    <row r="132" spans="5:11" ht="15" customHeight="1">
      <c r="E132" s="2069"/>
      <c r="F132" s="2069"/>
      <c r="G132" s="2069"/>
      <c r="H132" s="2069"/>
      <c r="I132" s="2069"/>
      <c r="J132" s="2069"/>
      <c r="K132" s="2068"/>
    </row>
    <row r="133" spans="5:11" ht="15" customHeight="1">
      <c r="E133" s="2069"/>
      <c r="F133" s="2069"/>
      <c r="G133" s="2069"/>
      <c r="H133" s="2069"/>
      <c r="I133" s="2069"/>
      <c r="J133" s="2069"/>
      <c r="K133" s="2068"/>
    </row>
    <row r="134" spans="5:11" ht="15" customHeight="1">
      <c r="E134" s="2069"/>
      <c r="F134" s="2069"/>
      <c r="G134" s="2069"/>
      <c r="H134" s="2069"/>
      <c r="I134" s="2069"/>
      <c r="J134" s="2069"/>
      <c r="K134" s="2068"/>
    </row>
    <row r="135" spans="5:11" ht="15" customHeight="1">
      <c r="E135" s="2069"/>
      <c r="F135" s="2069"/>
      <c r="G135" s="2069"/>
      <c r="H135" s="2069"/>
      <c r="I135" s="2069"/>
      <c r="J135" s="2069"/>
      <c r="K135" s="2068"/>
    </row>
    <row r="136" spans="5:11" ht="15" customHeight="1">
      <c r="E136" s="2069"/>
      <c r="F136" s="2069"/>
      <c r="G136" s="2069"/>
      <c r="H136" s="2069"/>
      <c r="I136" s="2069"/>
      <c r="J136" s="2069"/>
      <c r="K136" s="2068"/>
    </row>
    <row r="137" spans="5:11" ht="15" customHeight="1">
      <c r="E137" s="2069"/>
      <c r="F137" s="2069"/>
      <c r="G137" s="2069"/>
      <c r="H137" s="2069"/>
      <c r="I137" s="2069"/>
      <c r="J137" s="2069"/>
      <c r="K137" s="2068"/>
    </row>
    <row r="138" spans="5:11" ht="15" customHeight="1">
      <c r="E138" s="2069"/>
      <c r="F138" s="2069"/>
      <c r="G138" s="2069"/>
      <c r="H138" s="2069"/>
      <c r="I138" s="2069"/>
      <c r="J138" s="2069"/>
      <c r="K138" s="2068"/>
    </row>
    <row r="139" spans="5:11" ht="15" customHeight="1">
      <c r="E139" s="2069"/>
      <c r="F139" s="2069"/>
      <c r="G139" s="2069"/>
      <c r="H139" s="2069"/>
      <c r="I139" s="2069"/>
      <c r="J139" s="2069"/>
      <c r="K139" s="2068"/>
    </row>
    <row r="140" spans="5:11" ht="15" customHeight="1">
      <c r="E140" s="2069"/>
      <c r="F140" s="2069"/>
      <c r="G140" s="2069"/>
      <c r="H140" s="2069"/>
      <c r="I140" s="2069"/>
      <c r="J140" s="2069"/>
      <c r="K140" s="2068"/>
    </row>
    <row r="141" spans="5:11" ht="15" customHeight="1">
      <c r="E141" s="2069"/>
      <c r="F141" s="2069"/>
      <c r="G141" s="2069"/>
      <c r="H141" s="2069"/>
      <c r="I141" s="2069"/>
      <c r="J141" s="2069"/>
      <c r="K141" s="2068"/>
    </row>
    <row r="142" spans="5:11" ht="15" customHeight="1">
      <c r="E142" s="2069"/>
      <c r="F142" s="2069"/>
      <c r="G142" s="2069"/>
      <c r="H142" s="2069"/>
      <c r="I142" s="2069"/>
      <c r="J142" s="2069"/>
      <c r="K142" s="2068"/>
    </row>
    <row r="143" spans="5:11" ht="15" customHeight="1">
      <c r="E143" s="2069"/>
      <c r="F143" s="2069"/>
      <c r="G143" s="2069"/>
      <c r="H143" s="2069"/>
      <c r="I143" s="2069"/>
      <c r="J143" s="2069"/>
      <c r="K143" s="2068"/>
    </row>
    <row r="144" spans="5:11" ht="15" customHeight="1">
      <c r="E144" s="2069"/>
      <c r="F144" s="2069"/>
      <c r="G144" s="2069"/>
      <c r="H144" s="2069"/>
      <c r="I144" s="2069"/>
      <c r="J144" s="2069"/>
      <c r="K144" s="2068"/>
    </row>
    <row r="145" spans="5:11" ht="15" customHeight="1">
      <c r="E145" s="2069"/>
      <c r="F145" s="2069"/>
      <c r="G145" s="2069"/>
      <c r="H145" s="2069"/>
      <c r="I145" s="2069"/>
      <c r="J145" s="2069"/>
      <c r="K145" s="2068"/>
    </row>
    <row r="146" spans="5:11" ht="15" customHeight="1">
      <c r="E146" s="2068"/>
      <c r="F146" s="2071"/>
      <c r="G146" s="2071"/>
      <c r="H146" s="2071"/>
      <c r="I146" s="2068"/>
      <c r="J146" s="2068"/>
      <c r="K146" s="2068"/>
    </row>
    <row r="147" spans="5:11" ht="15" customHeight="1">
      <c r="E147" s="2068"/>
      <c r="F147" s="2071"/>
      <c r="G147" s="2071"/>
      <c r="H147" s="2071"/>
      <c r="I147" s="2068"/>
      <c r="J147" s="2068"/>
      <c r="K147" s="2068"/>
    </row>
    <row r="148" spans="5:11" ht="15" customHeight="1">
      <c r="E148" s="2068"/>
      <c r="F148" s="2071"/>
      <c r="G148" s="2071"/>
      <c r="H148" s="2071"/>
      <c r="I148" s="2068"/>
      <c r="J148" s="2068"/>
      <c r="K148" s="2068"/>
    </row>
    <row r="149" spans="5:11" ht="15" customHeight="1">
      <c r="E149" s="2068"/>
      <c r="F149" s="2071"/>
      <c r="G149" s="2071"/>
      <c r="H149" s="2071"/>
      <c r="I149" s="2068"/>
      <c r="J149" s="2068"/>
      <c r="K149" s="2068"/>
    </row>
    <row r="150" spans="5:11" ht="15" customHeight="1">
      <c r="E150" s="2068"/>
      <c r="F150" s="2071"/>
      <c r="G150" s="2071"/>
      <c r="H150" s="2071"/>
      <c r="I150" s="2068"/>
      <c r="J150" s="2068"/>
      <c r="K150" s="2068"/>
    </row>
    <row r="151" spans="5:11" ht="15" customHeight="1">
      <c r="E151" s="2068"/>
      <c r="F151" s="2071"/>
      <c r="G151" s="2071"/>
      <c r="H151" s="2071"/>
      <c r="I151" s="2068"/>
      <c r="J151" s="2068"/>
      <c r="K151" s="2068"/>
    </row>
    <row r="152" spans="5:11" ht="15" customHeight="1">
      <c r="E152" s="2068"/>
      <c r="F152" s="2071"/>
      <c r="G152" s="2071"/>
      <c r="H152" s="2071"/>
      <c r="I152" s="2068"/>
      <c r="J152" s="2068"/>
      <c r="K152" s="2068"/>
    </row>
    <row r="153" spans="5:11" ht="15" customHeight="1">
      <c r="E153" s="2068"/>
      <c r="F153" s="2071"/>
      <c r="G153" s="2071"/>
      <c r="H153" s="2071"/>
      <c r="I153" s="2068"/>
      <c r="J153" s="2068"/>
      <c r="K153" s="2068"/>
    </row>
    <row r="154" spans="5:11" ht="15" customHeight="1">
      <c r="E154" s="2068"/>
      <c r="F154" s="2071"/>
      <c r="G154" s="2071"/>
      <c r="H154" s="2071"/>
      <c r="I154" s="2068"/>
      <c r="J154" s="2068"/>
      <c r="K154" s="2068"/>
    </row>
    <row r="155" spans="5:11" ht="15" customHeight="1">
      <c r="E155" s="2068"/>
      <c r="F155" s="2071"/>
      <c r="G155" s="2071"/>
      <c r="H155" s="2071"/>
      <c r="I155" s="2068"/>
      <c r="J155" s="2068"/>
      <c r="K155" s="2068"/>
    </row>
    <row r="156" spans="5:11" ht="15" customHeight="1">
      <c r="E156" s="2068"/>
      <c r="F156" s="2071"/>
      <c r="G156" s="2071"/>
      <c r="H156" s="2071"/>
      <c r="I156" s="2068"/>
      <c r="J156" s="2068"/>
      <c r="K156" s="2068"/>
    </row>
    <row r="157" spans="5:11" ht="15" customHeight="1">
      <c r="E157" s="2068"/>
      <c r="F157" s="2071"/>
      <c r="G157" s="2071"/>
      <c r="H157" s="2071"/>
      <c r="I157" s="2068"/>
      <c r="J157" s="2068"/>
      <c r="K157" s="2068"/>
    </row>
    <row r="158" spans="5:11" ht="15" customHeight="1">
      <c r="E158" s="2068"/>
      <c r="F158" s="2071"/>
      <c r="G158" s="2071"/>
      <c r="H158" s="2071"/>
      <c r="I158" s="2068"/>
      <c r="J158" s="2068"/>
      <c r="K158" s="2068"/>
    </row>
    <row r="159" spans="5:11" ht="15" customHeight="1">
      <c r="E159" s="2068"/>
      <c r="F159" s="2071"/>
      <c r="G159" s="2071"/>
      <c r="H159" s="2071"/>
      <c r="I159" s="2068"/>
      <c r="J159" s="2068"/>
      <c r="K159" s="2068"/>
    </row>
    <row r="160" spans="5:11" ht="15" customHeight="1">
      <c r="E160" s="2068"/>
      <c r="F160" s="2071"/>
      <c r="G160" s="2071"/>
      <c r="H160" s="2071"/>
      <c r="I160" s="2068"/>
      <c r="J160" s="2068"/>
      <c r="K160" s="2068"/>
    </row>
    <row r="161" spans="5:11" ht="15" customHeight="1">
      <c r="E161" s="2068"/>
      <c r="F161" s="2071"/>
      <c r="G161" s="2071"/>
      <c r="H161" s="2071"/>
      <c r="I161" s="2068"/>
      <c r="J161" s="2068"/>
      <c r="K161" s="2068"/>
    </row>
    <row r="162" spans="5:11" ht="15" customHeight="1">
      <c r="E162" s="2068"/>
      <c r="F162" s="2071"/>
      <c r="G162" s="2071"/>
      <c r="H162" s="2071"/>
      <c r="I162" s="2068"/>
      <c r="J162" s="2068"/>
      <c r="K162" s="2068"/>
    </row>
    <row r="163" spans="5:11" ht="15" customHeight="1">
      <c r="E163" s="2068"/>
      <c r="F163" s="2071"/>
      <c r="G163" s="2071"/>
      <c r="H163" s="2071"/>
      <c r="I163" s="2068"/>
      <c r="J163" s="2068"/>
      <c r="K163" s="2068"/>
    </row>
    <row r="164" spans="5:11" ht="15" customHeight="1">
      <c r="E164" s="2068"/>
      <c r="F164" s="2071"/>
      <c r="G164" s="2071"/>
      <c r="H164" s="2071"/>
      <c r="I164" s="2068"/>
      <c r="J164" s="2068"/>
      <c r="K164" s="2068"/>
    </row>
    <row r="165" spans="5:11" ht="15" customHeight="1">
      <c r="E165" s="2068"/>
      <c r="F165" s="2071"/>
      <c r="G165" s="2071"/>
      <c r="H165" s="2071"/>
      <c r="I165" s="2068"/>
      <c r="J165" s="2068"/>
      <c r="K165" s="2068"/>
    </row>
    <row r="166" spans="5:11" ht="15" customHeight="1">
      <c r="E166" s="2068"/>
      <c r="F166" s="2071"/>
      <c r="G166" s="2071"/>
      <c r="H166" s="2071"/>
      <c r="I166" s="2068"/>
      <c r="J166" s="2068"/>
      <c r="K166" s="2068"/>
    </row>
    <row r="167" spans="5:11" ht="15" customHeight="1">
      <c r="E167" s="2068"/>
      <c r="F167" s="2071"/>
      <c r="G167" s="2071"/>
      <c r="H167" s="2071"/>
      <c r="I167" s="2068"/>
      <c r="J167" s="2068"/>
      <c r="K167" s="2068"/>
    </row>
    <row r="168" spans="5:11" ht="15" customHeight="1">
      <c r="E168" s="2068"/>
      <c r="F168" s="2071"/>
      <c r="G168" s="2071"/>
      <c r="H168" s="2071"/>
      <c r="I168" s="2068"/>
      <c r="J168" s="2068"/>
      <c r="K168" s="2068"/>
    </row>
    <row r="169" spans="5:11" ht="15" customHeight="1">
      <c r="E169" s="2068"/>
      <c r="F169" s="2071"/>
      <c r="G169" s="2071"/>
      <c r="H169" s="2071"/>
      <c r="I169" s="2068"/>
      <c r="J169" s="2068"/>
      <c r="K169" s="2068"/>
    </row>
    <row r="170" spans="5:11" ht="15" customHeight="1">
      <c r="E170" s="2068"/>
      <c r="F170" s="2071"/>
      <c r="G170" s="2071"/>
      <c r="H170" s="2071"/>
      <c r="I170" s="2068"/>
      <c r="J170" s="2068"/>
      <c r="K170" s="2068"/>
    </row>
    <row r="171" spans="5:11" ht="15" customHeight="1">
      <c r="E171" s="2068"/>
      <c r="F171" s="2071"/>
      <c r="G171" s="2071"/>
      <c r="H171" s="2071"/>
      <c r="I171" s="2068"/>
      <c r="J171" s="2068"/>
      <c r="K171" s="2068"/>
    </row>
    <row r="172" spans="5:11" ht="15" customHeight="1">
      <c r="E172" s="2068"/>
      <c r="F172" s="2071"/>
      <c r="G172" s="2071"/>
      <c r="H172" s="2071"/>
      <c r="I172" s="2068"/>
      <c r="J172" s="2068"/>
      <c r="K172" s="2068"/>
    </row>
    <row r="173" spans="5:11" ht="15" customHeight="1">
      <c r="E173" s="2068"/>
      <c r="F173" s="2071"/>
      <c r="G173" s="2071"/>
      <c r="H173" s="2071"/>
      <c r="I173" s="2068"/>
      <c r="J173" s="2068"/>
      <c r="K173" s="2068"/>
    </row>
    <row r="174" spans="5:11" ht="15" customHeight="1">
      <c r="E174" s="2068"/>
      <c r="F174" s="2071"/>
      <c r="G174" s="2071"/>
      <c r="H174" s="2071"/>
      <c r="I174" s="2068"/>
      <c r="J174" s="2068"/>
      <c r="K174" s="2068"/>
    </row>
    <row r="175" spans="5:11" ht="15" customHeight="1">
      <c r="E175" s="2068"/>
      <c r="F175" s="2071"/>
      <c r="G175" s="2071"/>
      <c r="H175" s="2071"/>
      <c r="I175" s="2068"/>
      <c r="J175" s="2068"/>
      <c r="K175" s="2068"/>
    </row>
    <row r="176" spans="5:11" ht="15" customHeight="1">
      <c r="E176" s="2068"/>
      <c r="F176" s="2071"/>
      <c r="G176" s="2071"/>
      <c r="H176" s="2071"/>
      <c r="I176" s="2068"/>
      <c r="J176" s="2068"/>
      <c r="K176" s="2068"/>
    </row>
    <row r="177" spans="5:11" ht="15" customHeight="1">
      <c r="E177" s="2068"/>
      <c r="F177" s="2071"/>
      <c r="G177" s="2071"/>
      <c r="H177" s="2071"/>
      <c r="I177" s="2068"/>
      <c r="J177" s="2068"/>
      <c r="K177" s="2068"/>
    </row>
    <row r="178" spans="5:11" ht="15" customHeight="1">
      <c r="E178" s="2068"/>
      <c r="F178" s="2071"/>
      <c r="G178" s="2071"/>
      <c r="H178" s="2071"/>
      <c r="I178" s="2068"/>
      <c r="J178" s="2068"/>
      <c r="K178" s="2068"/>
    </row>
    <row r="179" spans="5:11" ht="15" customHeight="1">
      <c r="E179" s="2068"/>
      <c r="F179" s="2071"/>
      <c r="G179" s="2071"/>
      <c r="H179" s="2071"/>
      <c r="I179" s="2068"/>
      <c r="J179" s="2068"/>
      <c r="K179" s="2068"/>
    </row>
    <row r="180" spans="5:11" ht="15" customHeight="1">
      <c r="E180" s="2068"/>
      <c r="F180" s="2071"/>
      <c r="G180" s="2071"/>
      <c r="H180" s="2071"/>
      <c r="I180" s="2068"/>
      <c r="J180" s="2068"/>
      <c r="K180" s="2068"/>
    </row>
    <row r="181" spans="5:11" ht="15" customHeight="1">
      <c r="E181" s="2068"/>
      <c r="F181" s="2071"/>
      <c r="G181" s="2071"/>
      <c r="H181" s="2071"/>
      <c r="I181" s="2068"/>
      <c r="J181" s="2068"/>
      <c r="K181" s="2068"/>
    </row>
    <row r="182" spans="5:11" ht="15" customHeight="1">
      <c r="E182" s="2068"/>
      <c r="F182" s="2071"/>
      <c r="G182" s="2071"/>
      <c r="H182" s="2071"/>
      <c r="I182" s="2068"/>
      <c r="J182" s="2068"/>
      <c r="K182" s="2068"/>
    </row>
    <row r="183" spans="5:11" ht="15" customHeight="1">
      <c r="E183" s="2068"/>
      <c r="F183" s="2071"/>
      <c r="G183" s="2071"/>
      <c r="H183" s="2071"/>
      <c r="I183" s="2068"/>
      <c r="J183" s="2068"/>
      <c r="K183" s="2068"/>
    </row>
    <row r="184" spans="5:11" ht="15" customHeight="1">
      <c r="E184" s="2068"/>
      <c r="F184" s="2071"/>
      <c r="G184" s="2071"/>
      <c r="H184" s="2071"/>
      <c r="I184" s="2068"/>
      <c r="J184" s="2068"/>
      <c r="K184" s="2068"/>
    </row>
    <row r="185" spans="5:11" ht="15" customHeight="1">
      <c r="E185" s="2068"/>
      <c r="F185" s="2071"/>
      <c r="G185" s="2071"/>
      <c r="H185" s="2071"/>
      <c r="I185" s="2068"/>
      <c r="J185" s="2068"/>
      <c r="K185" s="2068"/>
    </row>
    <row r="186" spans="5:11" ht="15" customHeight="1">
      <c r="E186" s="2068"/>
      <c r="F186" s="2071"/>
      <c r="G186" s="2071"/>
      <c r="H186" s="2071"/>
      <c r="I186" s="2068"/>
      <c r="J186" s="2068"/>
      <c r="K186" s="2068"/>
    </row>
    <row r="187" spans="5:11" ht="15" customHeight="1">
      <c r="E187" s="2068"/>
      <c r="F187" s="2071"/>
      <c r="G187" s="2071"/>
      <c r="H187" s="2071"/>
      <c r="I187" s="2068"/>
      <c r="J187" s="2068"/>
      <c r="K187" s="2068"/>
    </row>
    <row r="188" spans="5:11" ht="15" customHeight="1">
      <c r="E188" s="2068"/>
      <c r="F188" s="2071"/>
      <c r="G188" s="2071"/>
      <c r="H188" s="2071"/>
      <c r="I188" s="2068"/>
      <c r="J188" s="2068"/>
      <c r="K188" s="2068"/>
    </row>
    <row r="189" spans="5:11" ht="15" customHeight="1">
      <c r="E189" s="2068"/>
      <c r="F189" s="2071"/>
      <c r="G189" s="2071"/>
      <c r="H189" s="2071"/>
      <c r="I189" s="2068"/>
      <c r="J189" s="2068"/>
      <c r="K189" s="2068"/>
    </row>
    <row r="190" spans="5:11" ht="15" customHeight="1">
      <c r="E190" s="2068"/>
      <c r="F190" s="2071"/>
      <c r="G190" s="2071"/>
      <c r="H190" s="2071"/>
      <c r="I190" s="2068"/>
      <c r="J190" s="2068"/>
      <c r="K190" s="2068"/>
    </row>
    <row r="191" spans="5:11" ht="15" customHeight="1">
      <c r="E191" s="2068"/>
      <c r="F191" s="2071"/>
      <c r="G191" s="2071"/>
      <c r="H191" s="2071"/>
      <c r="I191" s="2068"/>
      <c r="J191" s="2068"/>
      <c r="K191" s="2068"/>
    </row>
    <row r="192" spans="5:11" ht="15" customHeight="1">
      <c r="E192" s="2068"/>
      <c r="F192" s="2071"/>
      <c r="G192" s="2071"/>
      <c r="H192" s="2071"/>
      <c r="I192" s="2068"/>
      <c r="J192" s="2068"/>
      <c r="K192" s="2068"/>
    </row>
    <row r="193" spans="5:11" ht="15" customHeight="1">
      <c r="E193" s="2068"/>
      <c r="F193" s="2071"/>
      <c r="G193" s="2071"/>
      <c r="H193" s="2071"/>
      <c r="I193" s="2068"/>
      <c r="J193" s="2068"/>
      <c r="K193" s="2068"/>
    </row>
    <row r="194" spans="5:11" ht="15" customHeight="1">
      <c r="E194" s="2068"/>
      <c r="F194" s="2071"/>
      <c r="G194" s="2071"/>
      <c r="H194" s="2071"/>
      <c r="I194" s="2068"/>
      <c r="J194" s="2068"/>
      <c r="K194" s="2071"/>
    </row>
    <row r="195" spans="5:11" ht="15" customHeight="1">
      <c r="E195" s="2068"/>
      <c r="F195" s="2071"/>
      <c r="G195" s="2071"/>
      <c r="H195" s="2071"/>
      <c r="I195" s="2068"/>
      <c r="J195" s="2068"/>
      <c r="K195" s="2071"/>
    </row>
    <row r="196" spans="5:11" ht="15" customHeight="1">
      <c r="E196" s="2068"/>
      <c r="F196" s="2071"/>
      <c r="G196" s="2071"/>
      <c r="H196" s="2071"/>
      <c r="I196" s="2068"/>
      <c r="J196" s="2068"/>
      <c r="K196" s="2071"/>
    </row>
    <row r="197" spans="5:11" ht="15" customHeight="1">
      <c r="E197" s="2068"/>
      <c r="F197" s="2071"/>
      <c r="G197" s="2071"/>
      <c r="H197" s="2071"/>
      <c r="I197" s="2068"/>
      <c r="J197" s="2068"/>
      <c r="K197" s="2071"/>
    </row>
    <row r="198" spans="5:11" ht="15" customHeight="1">
      <c r="E198" s="2068"/>
      <c r="F198" s="2071"/>
      <c r="G198" s="2071"/>
      <c r="H198" s="2071"/>
      <c r="I198" s="2068"/>
      <c r="J198" s="2068"/>
      <c r="K198" s="2071"/>
    </row>
    <row r="199" spans="5:11" ht="15" customHeight="1">
      <c r="E199" s="2068"/>
      <c r="F199" s="2071"/>
      <c r="G199" s="2071"/>
      <c r="H199" s="2071"/>
      <c r="I199" s="2068"/>
      <c r="J199" s="2068"/>
      <c r="K199" s="2071"/>
    </row>
    <row r="200" spans="5:11" ht="15" customHeight="1">
      <c r="E200" s="2068"/>
      <c r="F200" s="2071"/>
      <c r="G200" s="2071"/>
      <c r="H200" s="2071"/>
      <c r="I200" s="2068"/>
      <c r="J200" s="2068"/>
      <c r="K200" s="2071"/>
    </row>
    <row r="201" spans="5:11" ht="15" customHeight="1">
      <c r="E201" s="2068"/>
      <c r="F201" s="2071"/>
      <c r="G201" s="2071"/>
      <c r="H201" s="2071"/>
      <c r="I201" s="2068"/>
      <c r="J201" s="2068"/>
      <c r="K201" s="2071"/>
    </row>
  </sheetData>
  <sheetProtection password="C9AE" sheet="1" objects="1" scenarios="1"/>
  <mergeCells count="7">
    <mergeCell ref="A4:B4"/>
    <mergeCell ref="D4:L4"/>
    <mergeCell ref="A1:L1"/>
    <mergeCell ref="A2:B2"/>
    <mergeCell ref="D2:L2"/>
    <mergeCell ref="A3:B3"/>
    <mergeCell ref="C3:L3"/>
  </mergeCells>
  <conditionalFormatting sqref="C2">
    <cfRule type="expression" dxfId="37" priority="17" stopIfTrue="1">
      <formula>LEN(TRIM(C2))=0</formula>
    </cfRule>
  </conditionalFormatting>
  <conditionalFormatting sqref="C4">
    <cfRule type="expression" dxfId="36" priority="18" stopIfTrue="1">
      <formula>LEN(TRIM(C4))=0</formula>
    </cfRule>
  </conditionalFormatting>
  <conditionalFormatting sqref="A101:L105">
    <cfRule type="expression" dxfId="35" priority="19" stopIfTrue="1">
      <formula>AND(COUNTA($A101:$M101)&gt;0,ISBLANK(A101))</formula>
    </cfRule>
  </conditionalFormatting>
  <conditionalFormatting sqref="T6:T21 T39:T53">
    <cfRule type="expression" dxfId="34" priority="16" stopIfTrue="1">
      <formula>AND(COUNTA($A6:$M6)&gt;0,ISBLANK(T6))</formula>
    </cfRule>
  </conditionalFormatting>
  <conditionalFormatting sqref="R54:AC100 V6:V21 X6:AC21">
    <cfRule type="expression" dxfId="33" priority="20" stopIfTrue="1">
      <formula>AND(COUNTA($R6:$AD6)&gt;0,ISBLANK(R6))</formula>
    </cfRule>
  </conditionalFormatting>
  <conditionalFormatting sqref="R6:S21 U6:U21">
    <cfRule type="expression" dxfId="32" priority="21" stopIfTrue="1">
      <formula>AND(COUNTA($S6:$AD6)&gt;0,ISBLANK(R6))</formula>
    </cfRule>
  </conditionalFormatting>
  <conditionalFormatting sqref="W6:W21">
    <cfRule type="expression" dxfId="31" priority="15" stopIfTrue="1">
      <formula>AND(COUNTA($R6:$AC6)&gt;0,ISBLANK(W6))</formula>
    </cfRule>
  </conditionalFormatting>
  <conditionalFormatting sqref="T22:T29">
    <cfRule type="expression" dxfId="30" priority="12" stopIfTrue="1">
      <formula>AND(COUNTA($A22:$M22)&gt;0,ISBLANK(T22))</formula>
    </cfRule>
  </conditionalFormatting>
  <conditionalFormatting sqref="V22:V29 X22:AC29 AC23:AC53">
    <cfRule type="expression" dxfId="29" priority="13" stopIfTrue="1">
      <formula>AND(COUNTA($R22:$AD22)&gt;0,ISBLANK(V22))</formula>
    </cfRule>
  </conditionalFormatting>
  <conditionalFormatting sqref="R23:S29 R22">
    <cfRule type="expression" dxfId="28" priority="14" stopIfTrue="1">
      <formula>AND(COUNTA($S22:$AD22)&gt;0,ISBLANK(R22))</formula>
    </cfRule>
  </conditionalFormatting>
  <conditionalFormatting sqref="W22:W29">
    <cfRule type="expression" dxfId="27" priority="11" stopIfTrue="1">
      <formula>AND(COUNTA($R22:$AC22)&gt;0,ISBLANK(W22))</formula>
    </cfRule>
  </conditionalFormatting>
  <conditionalFormatting sqref="S22">
    <cfRule type="expression" dxfId="26" priority="10" stopIfTrue="1">
      <formula>AND(COUNTA($S22:$AD22)&gt;0,ISBLANK(S22))</formula>
    </cfRule>
  </conditionalFormatting>
  <conditionalFormatting sqref="U22:U29">
    <cfRule type="expression" dxfId="25" priority="9" stopIfTrue="1">
      <formula>AND(COUNTA($S22:$AD22)&gt;0,ISBLANK(U22))</formula>
    </cfRule>
  </conditionalFormatting>
  <conditionalFormatting sqref="T30:T38">
    <cfRule type="expression" dxfId="24" priority="6" stopIfTrue="1">
      <formula>AND(COUNTA($A30:$M30)&gt;0,ISBLANK(T30))</formula>
    </cfRule>
  </conditionalFormatting>
  <conditionalFormatting sqref="V30:V53 X30:AB53">
    <cfRule type="expression" dxfId="23" priority="7" stopIfTrue="1">
      <formula>AND(COUNTA($R30:$AD30)&gt;0,ISBLANK(V30))</formula>
    </cfRule>
  </conditionalFormatting>
  <conditionalFormatting sqref="R30 R31:S53">
    <cfRule type="expression" dxfId="22" priority="8" stopIfTrue="1">
      <formula>AND(COUNTA($S30:$AD30)&gt;0,ISBLANK(R30))</formula>
    </cfRule>
  </conditionalFormatting>
  <conditionalFormatting sqref="W30:W53">
    <cfRule type="expression" dxfId="21" priority="5" stopIfTrue="1">
      <formula>AND(COUNTA($R30:$AC30)&gt;0,ISBLANK(W30))</formula>
    </cfRule>
  </conditionalFormatting>
  <conditionalFormatting sqref="S30">
    <cfRule type="expression" dxfId="20" priority="4" stopIfTrue="1">
      <formula>AND(COUNTA($S30:$AD30)&gt;0,ISBLANK(S30))</formula>
    </cfRule>
  </conditionalFormatting>
  <conditionalFormatting sqref="U30:U37">
    <cfRule type="expression" dxfId="19" priority="3" stopIfTrue="1">
      <formula>AND(COUNTA($S30:$AD30)&gt;0,ISBLANK(U30))</formula>
    </cfRule>
  </conditionalFormatting>
  <conditionalFormatting sqref="U38:U45">
    <cfRule type="expression" dxfId="18" priority="2" stopIfTrue="1">
      <formula>AND(COUNTA($S38:$AD38)&gt;0,ISBLANK(U38))</formula>
    </cfRule>
  </conditionalFormatting>
  <conditionalFormatting sqref="U46:U53">
    <cfRule type="expression" dxfId="17" priority="1" stopIfTrue="1">
      <formula>AND(COUNTA($S46:$AD46)&gt;0,ISBLANK(U46))</formula>
    </cfRule>
  </conditionalFormatting>
  <dataValidations count="7">
    <dataValidation type="list" showInputMessage="1" showErrorMessage="1" sqref="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WVL983046:WVL983145 D101:D105 U54:U100">
      <formula1>OrientationH</formula1>
    </dataValidation>
    <dataValidation type="list" showInputMessage="1" showErrorMessage="1" sqref="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WVK983046:WVK983145 T6:T13 C101:C105 T54:T100">
      <formula1>WallOpeningType</formula1>
    </dataValidation>
    <dataValidation type="list" showInputMessage="1" showErrorMessage="1" sqref="WVK98304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Boolean</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T14:T53">
      <formula1>WallOpeningType</formula1>
    </dataValidation>
    <dataValidation type="list" allowBlank="1" showInputMessage="1" showErrorMessage="1" sqref="U6:U53">
      <formula1>Orientation</formula1>
    </dataValidation>
    <dataValidation showInputMessage="1" showErrorMessage="1" sqref="C4"/>
  </dataValidation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sqref="A1:J1"/>
    </sheetView>
  </sheetViews>
  <sheetFormatPr baseColWidth="10" defaultColWidth="9.140625" defaultRowHeight="12"/>
  <cols>
    <col min="1" max="1" width="6.42578125" style="2065" customWidth="1"/>
    <col min="2" max="2" width="33" style="2065" customWidth="1"/>
    <col min="3" max="3" width="26.42578125" style="2065" customWidth="1"/>
    <col min="4" max="4" width="11.7109375" style="2065" customWidth="1"/>
    <col min="5" max="5" width="8.42578125" style="2065" customWidth="1"/>
    <col min="6" max="6" width="9.85546875" style="2065" customWidth="1"/>
    <col min="7" max="7" width="9.7109375" style="2065" customWidth="1"/>
    <col min="8" max="8" width="10" style="2065" customWidth="1"/>
    <col min="9" max="9" width="14.140625" style="2065" customWidth="1"/>
    <col min="10" max="10" width="14.85546875" style="2065" customWidth="1"/>
    <col min="11" max="12" width="15.28515625" style="2065" customWidth="1"/>
    <col min="13" max="13" width="9.140625" style="2065"/>
    <col min="14" max="18" width="9.140625" style="2065" hidden="1" customWidth="1"/>
    <col min="19" max="19" width="26.140625" style="2065" hidden="1" customWidth="1"/>
    <col min="20" max="20" width="27" style="2065" hidden="1" customWidth="1"/>
    <col min="21" max="21" width="13" style="2065" hidden="1" customWidth="1"/>
    <col min="22" max="25" width="9.140625" style="2065" hidden="1" customWidth="1"/>
    <col min="26" max="29" width="14.5703125" style="2065" hidden="1" customWidth="1"/>
    <col min="30" max="256" width="9.140625" style="2065"/>
    <col min="257" max="257" width="6.42578125" style="2065" customWidth="1"/>
    <col min="258" max="258" width="33" style="2065" customWidth="1"/>
    <col min="259" max="259" width="15.85546875" style="2065" customWidth="1"/>
    <col min="260" max="260" width="11.7109375" style="2065" customWidth="1"/>
    <col min="261" max="261" width="8.42578125" style="2065" customWidth="1"/>
    <col min="262" max="262" width="9.85546875" style="2065" customWidth="1"/>
    <col min="263" max="263" width="9.7109375" style="2065" customWidth="1"/>
    <col min="264" max="264" width="10" style="2065" customWidth="1"/>
    <col min="265" max="265" width="14.140625" style="2065" customWidth="1"/>
    <col min="266" max="266" width="14.85546875" style="2065" customWidth="1"/>
    <col min="267" max="512" width="9.140625" style="2065"/>
    <col min="513" max="513" width="6.42578125" style="2065" customWidth="1"/>
    <col min="514" max="514" width="33" style="2065" customWidth="1"/>
    <col min="515" max="515" width="15.85546875" style="2065" customWidth="1"/>
    <col min="516" max="516" width="11.7109375" style="2065" customWidth="1"/>
    <col min="517" max="517" width="8.42578125" style="2065" customWidth="1"/>
    <col min="518" max="518" width="9.85546875" style="2065" customWidth="1"/>
    <col min="519" max="519" width="9.7109375" style="2065" customWidth="1"/>
    <col min="520" max="520" width="10" style="2065" customWidth="1"/>
    <col min="521" max="521" width="14.140625" style="2065" customWidth="1"/>
    <col min="522" max="522" width="14.85546875" style="2065" customWidth="1"/>
    <col min="523" max="768" width="9.140625" style="2065"/>
    <col min="769" max="769" width="6.42578125" style="2065" customWidth="1"/>
    <col min="770" max="770" width="33" style="2065" customWidth="1"/>
    <col min="771" max="771" width="15.85546875" style="2065" customWidth="1"/>
    <col min="772" max="772" width="11.7109375" style="2065" customWidth="1"/>
    <col min="773" max="773" width="8.42578125" style="2065" customWidth="1"/>
    <col min="774" max="774" width="9.85546875" style="2065" customWidth="1"/>
    <col min="775" max="775" width="9.7109375" style="2065" customWidth="1"/>
    <col min="776" max="776" width="10" style="2065" customWidth="1"/>
    <col min="777" max="777" width="14.140625" style="2065" customWidth="1"/>
    <col min="778" max="778" width="14.85546875" style="2065" customWidth="1"/>
    <col min="779" max="1024" width="9.140625" style="2065"/>
    <col min="1025" max="1025" width="6.42578125" style="2065" customWidth="1"/>
    <col min="1026" max="1026" width="33" style="2065" customWidth="1"/>
    <col min="1027" max="1027" width="15.85546875" style="2065" customWidth="1"/>
    <col min="1028" max="1028" width="11.7109375" style="2065" customWidth="1"/>
    <col min="1029" max="1029" width="8.42578125" style="2065" customWidth="1"/>
    <col min="1030" max="1030" width="9.85546875" style="2065" customWidth="1"/>
    <col min="1031" max="1031" width="9.7109375" style="2065" customWidth="1"/>
    <col min="1032" max="1032" width="10" style="2065" customWidth="1"/>
    <col min="1033" max="1033" width="14.140625" style="2065" customWidth="1"/>
    <col min="1034" max="1034" width="14.85546875" style="2065" customWidth="1"/>
    <col min="1035" max="1280" width="9.140625" style="2065"/>
    <col min="1281" max="1281" width="6.42578125" style="2065" customWidth="1"/>
    <col min="1282" max="1282" width="33" style="2065" customWidth="1"/>
    <col min="1283" max="1283" width="15.85546875" style="2065" customWidth="1"/>
    <col min="1284" max="1284" width="11.7109375" style="2065" customWidth="1"/>
    <col min="1285" max="1285" width="8.42578125" style="2065" customWidth="1"/>
    <col min="1286" max="1286" width="9.85546875" style="2065" customWidth="1"/>
    <col min="1287" max="1287" width="9.7109375" style="2065" customWidth="1"/>
    <col min="1288" max="1288" width="10" style="2065" customWidth="1"/>
    <col min="1289" max="1289" width="14.140625" style="2065" customWidth="1"/>
    <col min="1290" max="1290" width="14.85546875" style="2065" customWidth="1"/>
    <col min="1291" max="1536" width="9.140625" style="2065"/>
    <col min="1537" max="1537" width="6.42578125" style="2065" customWidth="1"/>
    <col min="1538" max="1538" width="33" style="2065" customWidth="1"/>
    <col min="1539" max="1539" width="15.85546875" style="2065" customWidth="1"/>
    <col min="1540" max="1540" width="11.7109375" style="2065" customWidth="1"/>
    <col min="1541" max="1541" width="8.42578125" style="2065" customWidth="1"/>
    <col min="1542" max="1542" width="9.85546875" style="2065" customWidth="1"/>
    <col min="1543" max="1543" width="9.7109375" style="2065" customWidth="1"/>
    <col min="1544" max="1544" width="10" style="2065" customWidth="1"/>
    <col min="1545" max="1545" width="14.140625" style="2065" customWidth="1"/>
    <col min="1546" max="1546" width="14.85546875" style="2065" customWidth="1"/>
    <col min="1547" max="1792" width="9.140625" style="2065"/>
    <col min="1793" max="1793" width="6.42578125" style="2065" customWidth="1"/>
    <col min="1794" max="1794" width="33" style="2065" customWidth="1"/>
    <col min="1795" max="1795" width="15.85546875" style="2065" customWidth="1"/>
    <col min="1796" max="1796" width="11.7109375" style="2065" customWidth="1"/>
    <col min="1797" max="1797" width="8.42578125" style="2065" customWidth="1"/>
    <col min="1798" max="1798" width="9.85546875" style="2065" customWidth="1"/>
    <col min="1799" max="1799" width="9.7109375" style="2065" customWidth="1"/>
    <col min="1800" max="1800" width="10" style="2065" customWidth="1"/>
    <col min="1801" max="1801" width="14.140625" style="2065" customWidth="1"/>
    <col min="1802" max="1802" width="14.85546875" style="2065" customWidth="1"/>
    <col min="1803" max="2048" width="9.140625" style="2065"/>
    <col min="2049" max="2049" width="6.42578125" style="2065" customWidth="1"/>
    <col min="2050" max="2050" width="33" style="2065" customWidth="1"/>
    <col min="2051" max="2051" width="15.85546875" style="2065" customWidth="1"/>
    <col min="2052" max="2052" width="11.7109375" style="2065" customWidth="1"/>
    <col min="2053" max="2053" width="8.42578125" style="2065" customWidth="1"/>
    <col min="2054" max="2054" width="9.85546875" style="2065" customWidth="1"/>
    <col min="2055" max="2055" width="9.7109375" style="2065" customWidth="1"/>
    <col min="2056" max="2056" width="10" style="2065" customWidth="1"/>
    <col min="2057" max="2057" width="14.140625" style="2065" customWidth="1"/>
    <col min="2058" max="2058" width="14.85546875" style="2065" customWidth="1"/>
    <col min="2059" max="2304" width="9.140625" style="2065"/>
    <col min="2305" max="2305" width="6.42578125" style="2065" customWidth="1"/>
    <col min="2306" max="2306" width="33" style="2065" customWidth="1"/>
    <col min="2307" max="2307" width="15.85546875" style="2065" customWidth="1"/>
    <col min="2308" max="2308" width="11.7109375" style="2065" customWidth="1"/>
    <col min="2309" max="2309" width="8.42578125" style="2065" customWidth="1"/>
    <col min="2310" max="2310" width="9.85546875" style="2065" customWidth="1"/>
    <col min="2311" max="2311" width="9.7109375" style="2065" customWidth="1"/>
    <col min="2312" max="2312" width="10" style="2065" customWidth="1"/>
    <col min="2313" max="2313" width="14.140625" style="2065" customWidth="1"/>
    <col min="2314" max="2314" width="14.85546875" style="2065" customWidth="1"/>
    <col min="2315" max="2560" width="9.140625" style="2065"/>
    <col min="2561" max="2561" width="6.42578125" style="2065" customWidth="1"/>
    <col min="2562" max="2562" width="33" style="2065" customWidth="1"/>
    <col min="2563" max="2563" width="15.85546875" style="2065" customWidth="1"/>
    <col min="2564" max="2564" width="11.7109375" style="2065" customWidth="1"/>
    <col min="2565" max="2565" width="8.42578125" style="2065" customWidth="1"/>
    <col min="2566" max="2566" width="9.85546875" style="2065" customWidth="1"/>
    <col min="2567" max="2567" width="9.7109375" style="2065" customWidth="1"/>
    <col min="2568" max="2568" width="10" style="2065" customWidth="1"/>
    <col min="2569" max="2569" width="14.140625" style="2065" customWidth="1"/>
    <col min="2570" max="2570" width="14.85546875" style="2065" customWidth="1"/>
    <col min="2571" max="2816" width="9.140625" style="2065"/>
    <col min="2817" max="2817" width="6.42578125" style="2065" customWidth="1"/>
    <col min="2818" max="2818" width="33" style="2065" customWidth="1"/>
    <col min="2819" max="2819" width="15.85546875" style="2065" customWidth="1"/>
    <col min="2820" max="2820" width="11.7109375" style="2065" customWidth="1"/>
    <col min="2821" max="2821" width="8.42578125" style="2065" customWidth="1"/>
    <col min="2822" max="2822" width="9.85546875" style="2065" customWidth="1"/>
    <col min="2823" max="2823" width="9.7109375" style="2065" customWidth="1"/>
    <col min="2824" max="2824" width="10" style="2065" customWidth="1"/>
    <col min="2825" max="2825" width="14.140625" style="2065" customWidth="1"/>
    <col min="2826" max="2826" width="14.85546875" style="2065" customWidth="1"/>
    <col min="2827" max="3072" width="9.140625" style="2065"/>
    <col min="3073" max="3073" width="6.42578125" style="2065" customWidth="1"/>
    <col min="3074" max="3074" width="33" style="2065" customWidth="1"/>
    <col min="3075" max="3075" width="15.85546875" style="2065" customWidth="1"/>
    <col min="3076" max="3076" width="11.7109375" style="2065" customWidth="1"/>
    <col min="3077" max="3077" width="8.42578125" style="2065" customWidth="1"/>
    <col min="3078" max="3078" width="9.85546875" style="2065" customWidth="1"/>
    <col min="3079" max="3079" width="9.7109375" style="2065" customWidth="1"/>
    <col min="3080" max="3080" width="10" style="2065" customWidth="1"/>
    <col min="3081" max="3081" width="14.140625" style="2065" customWidth="1"/>
    <col min="3082" max="3082" width="14.85546875" style="2065" customWidth="1"/>
    <col min="3083" max="3328" width="9.140625" style="2065"/>
    <col min="3329" max="3329" width="6.42578125" style="2065" customWidth="1"/>
    <col min="3330" max="3330" width="33" style="2065" customWidth="1"/>
    <col min="3331" max="3331" width="15.85546875" style="2065" customWidth="1"/>
    <col min="3332" max="3332" width="11.7109375" style="2065" customWidth="1"/>
    <col min="3333" max="3333" width="8.42578125" style="2065" customWidth="1"/>
    <col min="3334" max="3334" width="9.85546875" style="2065" customWidth="1"/>
    <col min="3335" max="3335" width="9.7109375" style="2065" customWidth="1"/>
    <col min="3336" max="3336" width="10" style="2065" customWidth="1"/>
    <col min="3337" max="3337" width="14.140625" style="2065" customWidth="1"/>
    <col min="3338" max="3338" width="14.85546875" style="2065" customWidth="1"/>
    <col min="3339" max="3584" width="9.140625" style="2065"/>
    <col min="3585" max="3585" width="6.42578125" style="2065" customWidth="1"/>
    <col min="3586" max="3586" width="33" style="2065" customWidth="1"/>
    <col min="3587" max="3587" width="15.85546875" style="2065" customWidth="1"/>
    <col min="3588" max="3588" width="11.7109375" style="2065" customWidth="1"/>
    <col min="3589" max="3589" width="8.42578125" style="2065" customWidth="1"/>
    <col min="3590" max="3590" width="9.85546875" style="2065" customWidth="1"/>
    <col min="3591" max="3591" width="9.7109375" style="2065" customWidth="1"/>
    <col min="3592" max="3592" width="10" style="2065" customWidth="1"/>
    <col min="3593" max="3593" width="14.140625" style="2065" customWidth="1"/>
    <col min="3594" max="3594" width="14.85546875" style="2065" customWidth="1"/>
    <col min="3595" max="3840" width="9.140625" style="2065"/>
    <col min="3841" max="3841" width="6.42578125" style="2065" customWidth="1"/>
    <col min="3842" max="3842" width="33" style="2065" customWidth="1"/>
    <col min="3843" max="3843" width="15.85546875" style="2065" customWidth="1"/>
    <col min="3844" max="3844" width="11.7109375" style="2065" customWidth="1"/>
    <col min="3845" max="3845" width="8.42578125" style="2065" customWidth="1"/>
    <col min="3846" max="3846" width="9.85546875" style="2065" customWidth="1"/>
    <col min="3847" max="3847" width="9.7109375" style="2065" customWidth="1"/>
    <col min="3848" max="3848" width="10" style="2065" customWidth="1"/>
    <col min="3849" max="3849" width="14.140625" style="2065" customWidth="1"/>
    <col min="3850" max="3850" width="14.85546875" style="2065" customWidth="1"/>
    <col min="3851" max="4096" width="9.140625" style="2065"/>
    <col min="4097" max="4097" width="6.42578125" style="2065" customWidth="1"/>
    <col min="4098" max="4098" width="33" style="2065" customWidth="1"/>
    <col min="4099" max="4099" width="15.85546875" style="2065" customWidth="1"/>
    <col min="4100" max="4100" width="11.7109375" style="2065" customWidth="1"/>
    <col min="4101" max="4101" width="8.42578125" style="2065" customWidth="1"/>
    <col min="4102" max="4102" width="9.85546875" style="2065" customWidth="1"/>
    <col min="4103" max="4103" width="9.7109375" style="2065" customWidth="1"/>
    <col min="4104" max="4104" width="10" style="2065" customWidth="1"/>
    <col min="4105" max="4105" width="14.140625" style="2065" customWidth="1"/>
    <col min="4106" max="4106" width="14.85546875" style="2065" customWidth="1"/>
    <col min="4107" max="4352" width="9.140625" style="2065"/>
    <col min="4353" max="4353" width="6.42578125" style="2065" customWidth="1"/>
    <col min="4354" max="4354" width="33" style="2065" customWidth="1"/>
    <col min="4355" max="4355" width="15.85546875" style="2065" customWidth="1"/>
    <col min="4356" max="4356" width="11.7109375" style="2065" customWidth="1"/>
    <col min="4357" max="4357" width="8.42578125" style="2065" customWidth="1"/>
    <col min="4358" max="4358" width="9.85546875" style="2065" customWidth="1"/>
    <col min="4359" max="4359" width="9.7109375" style="2065" customWidth="1"/>
    <col min="4360" max="4360" width="10" style="2065" customWidth="1"/>
    <col min="4361" max="4361" width="14.140625" style="2065" customWidth="1"/>
    <col min="4362" max="4362" width="14.85546875" style="2065" customWidth="1"/>
    <col min="4363" max="4608" width="9.140625" style="2065"/>
    <col min="4609" max="4609" width="6.42578125" style="2065" customWidth="1"/>
    <col min="4610" max="4610" width="33" style="2065" customWidth="1"/>
    <col min="4611" max="4611" width="15.85546875" style="2065" customWidth="1"/>
    <col min="4612" max="4612" width="11.7109375" style="2065" customWidth="1"/>
    <col min="4613" max="4613" width="8.42578125" style="2065" customWidth="1"/>
    <col min="4614" max="4614" width="9.85546875" style="2065" customWidth="1"/>
    <col min="4615" max="4615" width="9.7109375" style="2065" customWidth="1"/>
    <col min="4616" max="4616" width="10" style="2065" customWidth="1"/>
    <col min="4617" max="4617" width="14.140625" style="2065" customWidth="1"/>
    <col min="4618" max="4618" width="14.85546875" style="2065" customWidth="1"/>
    <col min="4619" max="4864" width="9.140625" style="2065"/>
    <col min="4865" max="4865" width="6.42578125" style="2065" customWidth="1"/>
    <col min="4866" max="4866" width="33" style="2065" customWidth="1"/>
    <col min="4867" max="4867" width="15.85546875" style="2065" customWidth="1"/>
    <col min="4868" max="4868" width="11.7109375" style="2065" customWidth="1"/>
    <col min="4869" max="4869" width="8.42578125" style="2065" customWidth="1"/>
    <col min="4870" max="4870" width="9.85546875" style="2065" customWidth="1"/>
    <col min="4871" max="4871" width="9.7109375" style="2065" customWidth="1"/>
    <col min="4872" max="4872" width="10" style="2065" customWidth="1"/>
    <col min="4873" max="4873" width="14.140625" style="2065" customWidth="1"/>
    <col min="4874" max="4874" width="14.85546875" style="2065" customWidth="1"/>
    <col min="4875" max="5120" width="9.140625" style="2065"/>
    <col min="5121" max="5121" width="6.42578125" style="2065" customWidth="1"/>
    <col min="5122" max="5122" width="33" style="2065" customWidth="1"/>
    <col min="5123" max="5123" width="15.85546875" style="2065" customWidth="1"/>
    <col min="5124" max="5124" width="11.7109375" style="2065" customWidth="1"/>
    <col min="5125" max="5125" width="8.42578125" style="2065" customWidth="1"/>
    <col min="5126" max="5126" width="9.85546875" style="2065" customWidth="1"/>
    <col min="5127" max="5127" width="9.7109375" style="2065" customWidth="1"/>
    <col min="5128" max="5128" width="10" style="2065" customWidth="1"/>
    <col min="5129" max="5129" width="14.140625" style="2065" customWidth="1"/>
    <col min="5130" max="5130" width="14.85546875" style="2065" customWidth="1"/>
    <col min="5131" max="5376" width="9.140625" style="2065"/>
    <col min="5377" max="5377" width="6.42578125" style="2065" customWidth="1"/>
    <col min="5378" max="5378" width="33" style="2065" customWidth="1"/>
    <col min="5379" max="5379" width="15.85546875" style="2065" customWidth="1"/>
    <col min="5380" max="5380" width="11.7109375" style="2065" customWidth="1"/>
    <col min="5381" max="5381" width="8.42578125" style="2065" customWidth="1"/>
    <col min="5382" max="5382" width="9.85546875" style="2065" customWidth="1"/>
    <col min="5383" max="5383" width="9.7109375" style="2065" customWidth="1"/>
    <col min="5384" max="5384" width="10" style="2065" customWidth="1"/>
    <col min="5385" max="5385" width="14.140625" style="2065" customWidth="1"/>
    <col min="5386" max="5386" width="14.85546875" style="2065" customWidth="1"/>
    <col min="5387" max="5632" width="9.140625" style="2065"/>
    <col min="5633" max="5633" width="6.42578125" style="2065" customWidth="1"/>
    <col min="5634" max="5634" width="33" style="2065" customWidth="1"/>
    <col min="5635" max="5635" width="15.85546875" style="2065" customWidth="1"/>
    <col min="5636" max="5636" width="11.7109375" style="2065" customWidth="1"/>
    <col min="5637" max="5637" width="8.42578125" style="2065" customWidth="1"/>
    <col min="5638" max="5638" width="9.85546875" style="2065" customWidth="1"/>
    <col min="5639" max="5639" width="9.7109375" style="2065" customWidth="1"/>
    <col min="5640" max="5640" width="10" style="2065" customWidth="1"/>
    <col min="5641" max="5641" width="14.140625" style="2065" customWidth="1"/>
    <col min="5642" max="5642" width="14.85546875" style="2065" customWidth="1"/>
    <col min="5643" max="5888" width="9.140625" style="2065"/>
    <col min="5889" max="5889" width="6.42578125" style="2065" customWidth="1"/>
    <col min="5890" max="5890" width="33" style="2065" customWidth="1"/>
    <col min="5891" max="5891" width="15.85546875" style="2065" customWidth="1"/>
    <col min="5892" max="5892" width="11.7109375" style="2065" customWidth="1"/>
    <col min="5893" max="5893" width="8.42578125" style="2065" customWidth="1"/>
    <col min="5894" max="5894" width="9.85546875" style="2065" customWidth="1"/>
    <col min="5895" max="5895" width="9.7109375" style="2065" customWidth="1"/>
    <col min="5896" max="5896" width="10" style="2065" customWidth="1"/>
    <col min="5897" max="5897" width="14.140625" style="2065" customWidth="1"/>
    <col min="5898" max="5898" width="14.85546875" style="2065" customWidth="1"/>
    <col min="5899" max="6144" width="9.140625" style="2065"/>
    <col min="6145" max="6145" width="6.42578125" style="2065" customWidth="1"/>
    <col min="6146" max="6146" width="33" style="2065" customWidth="1"/>
    <col min="6147" max="6147" width="15.85546875" style="2065" customWidth="1"/>
    <col min="6148" max="6148" width="11.7109375" style="2065" customWidth="1"/>
    <col min="6149" max="6149" width="8.42578125" style="2065" customWidth="1"/>
    <col min="6150" max="6150" width="9.85546875" style="2065" customWidth="1"/>
    <col min="6151" max="6151" width="9.7109375" style="2065" customWidth="1"/>
    <col min="6152" max="6152" width="10" style="2065" customWidth="1"/>
    <col min="6153" max="6153" width="14.140625" style="2065" customWidth="1"/>
    <col min="6154" max="6154" width="14.85546875" style="2065" customWidth="1"/>
    <col min="6155" max="6400" width="9.140625" style="2065"/>
    <col min="6401" max="6401" width="6.42578125" style="2065" customWidth="1"/>
    <col min="6402" max="6402" width="33" style="2065" customWidth="1"/>
    <col min="6403" max="6403" width="15.85546875" style="2065" customWidth="1"/>
    <col min="6404" max="6404" width="11.7109375" style="2065" customWidth="1"/>
    <col min="6405" max="6405" width="8.42578125" style="2065" customWidth="1"/>
    <col min="6406" max="6406" width="9.85546875" style="2065" customWidth="1"/>
    <col min="6407" max="6407" width="9.7109375" style="2065" customWidth="1"/>
    <col min="6408" max="6408" width="10" style="2065" customWidth="1"/>
    <col min="6409" max="6409" width="14.140625" style="2065" customWidth="1"/>
    <col min="6410" max="6410" width="14.85546875" style="2065" customWidth="1"/>
    <col min="6411" max="6656" width="9.140625" style="2065"/>
    <col min="6657" max="6657" width="6.42578125" style="2065" customWidth="1"/>
    <col min="6658" max="6658" width="33" style="2065" customWidth="1"/>
    <col min="6659" max="6659" width="15.85546875" style="2065" customWidth="1"/>
    <col min="6660" max="6660" width="11.7109375" style="2065" customWidth="1"/>
    <col min="6661" max="6661" width="8.42578125" style="2065" customWidth="1"/>
    <col min="6662" max="6662" width="9.85546875" style="2065" customWidth="1"/>
    <col min="6663" max="6663" width="9.7109375" style="2065" customWidth="1"/>
    <col min="6664" max="6664" width="10" style="2065" customWidth="1"/>
    <col min="6665" max="6665" width="14.140625" style="2065" customWidth="1"/>
    <col min="6666" max="6666" width="14.85546875" style="2065" customWidth="1"/>
    <col min="6667" max="6912" width="9.140625" style="2065"/>
    <col min="6913" max="6913" width="6.42578125" style="2065" customWidth="1"/>
    <col min="6914" max="6914" width="33" style="2065" customWidth="1"/>
    <col min="6915" max="6915" width="15.85546875" style="2065" customWidth="1"/>
    <col min="6916" max="6916" width="11.7109375" style="2065" customWidth="1"/>
    <col min="6917" max="6917" width="8.42578125" style="2065" customWidth="1"/>
    <col min="6918" max="6918" width="9.85546875" style="2065" customWidth="1"/>
    <col min="6919" max="6919" width="9.7109375" style="2065" customWidth="1"/>
    <col min="6920" max="6920" width="10" style="2065" customWidth="1"/>
    <col min="6921" max="6921" width="14.140625" style="2065" customWidth="1"/>
    <col min="6922" max="6922" width="14.85546875" style="2065" customWidth="1"/>
    <col min="6923" max="7168" width="9.140625" style="2065"/>
    <col min="7169" max="7169" width="6.42578125" style="2065" customWidth="1"/>
    <col min="7170" max="7170" width="33" style="2065" customWidth="1"/>
    <col min="7171" max="7171" width="15.85546875" style="2065" customWidth="1"/>
    <col min="7172" max="7172" width="11.7109375" style="2065" customWidth="1"/>
    <col min="7173" max="7173" width="8.42578125" style="2065" customWidth="1"/>
    <col min="7174" max="7174" width="9.85546875" style="2065" customWidth="1"/>
    <col min="7175" max="7175" width="9.7109375" style="2065" customWidth="1"/>
    <col min="7176" max="7176" width="10" style="2065" customWidth="1"/>
    <col min="7177" max="7177" width="14.140625" style="2065" customWidth="1"/>
    <col min="7178" max="7178" width="14.85546875" style="2065" customWidth="1"/>
    <col min="7179" max="7424" width="9.140625" style="2065"/>
    <col min="7425" max="7425" width="6.42578125" style="2065" customWidth="1"/>
    <col min="7426" max="7426" width="33" style="2065" customWidth="1"/>
    <col min="7427" max="7427" width="15.85546875" style="2065" customWidth="1"/>
    <col min="7428" max="7428" width="11.7109375" style="2065" customWidth="1"/>
    <col min="7429" max="7429" width="8.42578125" style="2065" customWidth="1"/>
    <col min="7430" max="7430" width="9.85546875" style="2065" customWidth="1"/>
    <col min="7431" max="7431" width="9.7109375" style="2065" customWidth="1"/>
    <col min="7432" max="7432" width="10" style="2065" customWidth="1"/>
    <col min="7433" max="7433" width="14.140625" style="2065" customWidth="1"/>
    <col min="7434" max="7434" width="14.85546875" style="2065" customWidth="1"/>
    <col min="7435" max="7680" width="9.140625" style="2065"/>
    <col min="7681" max="7681" width="6.42578125" style="2065" customWidth="1"/>
    <col min="7682" max="7682" width="33" style="2065" customWidth="1"/>
    <col min="7683" max="7683" width="15.85546875" style="2065" customWidth="1"/>
    <col min="7684" max="7684" width="11.7109375" style="2065" customWidth="1"/>
    <col min="7685" max="7685" width="8.42578125" style="2065" customWidth="1"/>
    <col min="7686" max="7686" width="9.85546875" style="2065" customWidth="1"/>
    <col min="7687" max="7687" width="9.7109375" style="2065" customWidth="1"/>
    <col min="7688" max="7688" width="10" style="2065" customWidth="1"/>
    <col min="7689" max="7689" width="14.140625" style="2065" customWidth="1"/>
    <col min="7690" max="7690" width="14.85546875" style="2065" customWidth="1"/>
    <col min="7691" max="7936" width="9.140625" style="2065"/>
    <col min="7937" max="7937" width="6.42578125" style="2065" customWidth="1"/>
    <col min="7938" max="7938" width="33" style="2065" customWidth="1"/>
    <col min="7939" max="7939" width="15.85546875" style="2065" customWidth="1"/>
    <col min="7940" max="7940" width="11.7109375" style="2065" customWidth="1"/>
    <col min="7941" max="7941" width="8.42578125" style="2065" customWidth="1"/>
    <col min="7942" max="7942" width="9.85546875" style="2065" customWidth="1"/>
    <col min="7943" max="7943" width="9.7109375" style="2065" customWidth="1"/>
    <col min="7944" max="7944" width="10" style="2065" customWidth="1"/>
    <col min="7945" max="7945" width="14.140625" style="2065" customWidth="1"/>
    <col min="7946" max="7946" width="14.85546875" style="2065" customWidth="1"/>
    <col min="7947" max="8192" width="9.140625" style="2065"/>
    <col min="8193" max="8193" width="6.42578125" style="2065" customWidth="1"/>
    <col min="8194" max="8194" width="33" style="2065" customWidth="1"/>
    <col min="8195" max="8195" width="15.85546875" style="2065" customWidth="1"/>
    <col min="8196" max="8196" width="11.7109375" style="2065" customWidth="1"/>
    <col min="8197" max="8197" width="8.42578125" style="2065" customWidth="1"/>
    <col min="8198" max="8198" width="9.85546875" style="2065" customWidth="1"/>
    <col min="8199" max="8199" width="9.7109375" style="2065" customWidth="1"/>
    <col min="8200" max="8200" width="10" style="2065" customWidth="1"/>
    <col min="8201" max="8201" width="14.140625" style="2065" customWidth="1"/>
    <col min="8202" max="8202" width="14.85546875" style="2065" customWidth="1"/>
    <col min="8203" max="8448" width="9.140625" style="2065"/>
    <col min="8449" max="8449" width="6.42578125" style="2065" customWidth="1"/>
    <col min="8450" max="8450" width="33" style="2065" customWidth="1"/>
    <col min="8451" max="8451" width="15.85546875" style="2065" customWidth="1"/>
    <col min="8452" max="8452" width="11.7109375" style="2065" customWidth="1"/>
    <col min="8453" max="8453" width="8.42578125" style="2065" customWidth="1"/>
    <col min="8454" max="8454" width="9.85546875" style="2065" customWidth="1"/>
    <col min="8455" max="8455" width="9.7109375" style="2065" customWidth="1"/>
    <col min="8456" max="8456" width="10" style="2065" customWidth="1"/>
    <col min="8457" max="8457" width="14.140625" style="2065" customWidth="1"/>
    <col min="8458" max="8458" width="14.85546875" style="2065" customWidth="1"/>
    <col min="8459" max="8704" width="9.140625" style="2065"/>
    <col min="8705" max="8705" width="6.42578125" style="2065" customWidth="1"/>
    <col min="8706" max="8706" width="33" style="2065" customWidth="1"/>
    <col min="8707" max="8707" width="15.85546875" style="2065" customWidth="1"/>
    <col min="8708" max="8708" width="11.7109375" style="2065" customWidth="1"/>
    <col min="8709" max="8709" width="8.42578125" style="2065" customWidth="1"/>
    <col min="8710" max="8710" width="9.85546875" style="2065" customWidth="1"/>
    <col min="8711" max="8711" width="9.7109375" style="2065" customWidth="1"/>
    <col min="8712" max="8712" width="10" style="2065" customWidth="1"/>
    <col min="8713" max="8713" width="14.140625" style="2065" customWidth="1"/>
    <col min="8714" max="8714" width="14.85546875" style="2065" customWidth="1"/>
    <col min="8715" max="8960" width="9.140625" style="2065"/>
    <col min="8961" max="8961" width="6.42578125" style="2065" customWidth="1"/>
    <col min="8962" max="8962" width="33" style="2065" customWidth="1"/>
    <col min="8963" max="8963" width="15.85546875" style="2065" customWidth="1"/>
    <col min="8964" max="8964" width="11.7109375" style="2065" customWidth="1"/>
    <col min="8965" max="8965" width="8.42578125" style="2065" customWidth="1"/>
    <col min="8966" max="8966" width="9.85546875" style="2065" customWidth="1"/>
    <col min="8967" max="8967" width="9.7109375" style="2065" customWidth="1"/>
    <col min="8968" max="8968" width="10" style="2065" customWidth="1"/>
    <col min="8969" max="8969" width="14.140625" style="2065" customWidth="1"/>
    <col min="8970" max="8970" width="14.85546875" style="2065" customWidth="1"/>
    <col min="8971" max="9216" width="9.140625" style="2065"/>
    <col min="9217" max="9217" width="6.42578125" style="2065" customWidth="1"/>
    <col min="9218" max="9218" width="33" style="2065" customWidth="1"/>
    <col min="9219" max="9219" width="15.85546875" style="2065" customWidth="1"/>
    <col min="9220" max="9220" width="11.7109375" style="2065" customWidth="1"/>
    <col min="9221" max="9221" width="8.42578125" style="2065" customWidth="1"/>
    <col min="9222" max="9222" width="9.85546875" style="2065" customWidth="1"/>
    <col min="9223" max="9223" width="9.7109375" style="2065" customWidth="1"/>
    <col min="9224" max="9224" width="10" style="2065" customWidth="1"/>
    <col min="9225" max="9225" width="14.140625" style="2065" customWidth="1"/>
    <col min="9226" max="9226" width="14.85546875" style="2065" customWidth="1"/>
    <col min="9227" max="9472" width="9.140625" style="2065"/>
    <col min="9473" max="9473" width="6.42578125" style="2065" customWidth="1"/>
    <col min="9474" max="9474" width="33" style="2065" customWidth="1"/>
    <col min="9475" max="9475" width="15.85546875" style="2065" customWidth="1"/>
    <col min="9476" max="9476" width="11.7109375" style="2065" customWidth="1"/>
    <col min="9477" max="9477" width="8.42578125" style="2065" customWidth="1"/>
    <col min="9478" max="9478" width="9.85546875" style="2065" customWidth="1"/>
    <col min="9479" max="9479" width="9.7109375" style="2065" customWidth="1"/>
    <col min="9480" max="9480" width="10" style="2065" customWidth="1"/>
    <col min="9481" max="9481" width="14.140625" style="2065" customWidth="1"/>
    <col min="9482" max="9482" width="14.85546875" style="2065" customWidth="1"/>
    <col min="9483" max="9728" width="9.140625" style="2065"/>
    <col min="9729" max="9729" width="6.42578125" style="2065" customWidth="1"/>
    <col min="9730" max="9730" width="33" style="2065" customWidth="1"/>
    <col min="9731" max="9731" width="15.85546875" style="2065" customWidth="1"/>
    <col min="9732" max="9732" width="11.7109375" style="2065" customWidth="1"/>
    <col min="9733" max="9733" width="8.42578125" style="2065" customWidth="1"/>
    <col min="9734" max="9734" width="9.85546875" style="2065" customWidth="1"/>
    <col min="9735" max="9735" width="9.7109375" style="2065" customWidth="1"/>
    <col min="9736" max="9736" width="10" style="2065" customWidth="1"/>
    <col min="9737" max="9737" width="14.140625" style="2065" customWidth="1"/>
    <col min="9738" max="9738" width="14.85546875" style="2065" customWidth="1"/>
    <col min="9739" max="9984" width="9.140625" style="2065"/>
    <col min="9985" max="9985" width="6.42578125" style="2065" customWidth="1"/>
    <col min="9986" max="9986" width="33" style="2065" customWidth="1"/>
    <col min="9987" max="9987" width="15.85546875" style="2065" customWidth="1"/>
    <col min="9988" max="9988" width="11.7109375" style="2065" customWidth="1"/>
    <col min="9989" max="9989" width="8.42578125" style="2065" customWidth="1"/>
    <col min="9990" max="9990" width="9.85546875" style="2065" customWidth="1"/>
    <col min="9991" max="9991" width="9.7109375" style="2065" customWidth="1"/>
    <col min="9992" max="9992" width="10" style="2065" customWidth="1"/>
    <col min="9993" max="9993" width="14.140625" style="2065" customWidth="1"/>
    <col min="9994" max="9994" width="14.85546875" style="2065" customWidth="1"/>
    <col min="9995" max="10240" width="9.140625" style="2065"/>
    <col min="10241" max="10241" width="6.42578125" style="2065" customWidth="1"/>
    <col min="10242" max="10242" width="33" style="2065" customWidth="1"/>
    <col min="10243" max="10243" width="15.85546875" style="2065" customWidth="1"/>
    <col min="10244" max="10244" width="11.7109375" style="2065" customWidth="1"/>
    <col min="10245" max="10245" width="8.42578125" style="2065" customWidth="1"/>
    <col min="10246" max="10246" width="9.85546875" style="2065" customWidth="1"/>
    <col min="10247" max="10247" width="9.7109375" style="2065" customWidth="1"/>
    <col min="10248" max="10248" width="10" style="2065" customWidth="1"/>
    <col min="10249" max="10249" width="14.140625" style="2065" customWidth="1"/>
    <col min="10250" max="10250" width="14.85546875" style="2065" customWidth="1"/>
    <col min="10251" max="10496" width="9.140625" style="2065"/>
    <col min="10497" max="10497" width="6.42578125" style="2065" customWidth="1"/>
    <col min="10498" max="10498" width="33" style="2065" customWidth="1"/>
    <col min="10499" max="10499" width="15.85546875" style="2065" customWidth="1"/>
    <col min="10500" max="10500" width="11.7109375" style="2065" customWidth="1"/>
    <col min="10501" max="10501" width="8.42578125" style="2065" customWidth="1"/>
    <col min="10502" max="10502" width="9.85546875" style="2065" customWidth="1"/>
    <col min="10503" max="10503" width="9.7109375" style="2065" customWidth="1"/>
    <col min="10504" max="10504" width="10" style="2065" customWidth="1"/>
    <col min="10505" max="10505" width="14.140625" style="2065" customWidth="1"/>
    <col min="10506" max="10506" width="14.85546875" style="2065" customWidth="1"/>
    <col min="10507" max="10752" width="9.140625" style="2065"/>
    <col min="10753" max="10753" width="6.42578125" style="2065" customWidth="1"/>
    <col min="10754" max="10754" width="33" style="2065" customWidth="1"/>
    <col min="10755" max="10755" width="15.85546875" style="2065" customWidth="1"/>
    <col min="10756" max="10756" width="11.7109375" style="2065" customWidth="1"/>
    <col min="10757" max="10757" width="8.42578125" style="2065" customWidth="1"/>
    <col min="10758" max="10758" width="9.85546875" style="2065" customWidth="1"/>
    <col min="10759" max="10759" width="9.7109375" style="2065" customWidth="1"/>
    <col min="10760" max="10760" width="10" style="2065" customWidth="1"/>
    <col min="10761" max="10761" width="14.140625" style="2065" customWidth="1"/>
    <col min="10762" max="10762" width="14.85546875" style="2065" customWidth="1"/>
    <col min="10763" max="11008" width="9.140625" style="2065"/>
    <col min="11009" max="11009" width="6.42578125" style="2065" customWidth="1"/>
    <col min="11010" max="11010" width="33" style="2065" customWidth="1"/>
    <col min="11011" max="11011" width="15.85546875" style="2065" customWidth="1"/>
    <col min="11012" max="11012" width="11.7109375" style="2065" customWidth="1"/>
    <col min="11013" max="11013" width="8.42578125" style="2065" customWidth="1"/>
    <col min="11014" max="11014" width="9.85546875" style="2065" customWidth="1"/>
    <col min="11015" max="11015" width="9.7109375" style="2065" customWidth="1"/>
    <col min="11016" max="11016" width="10" style="2065" customWidth="1"/>
    <col min="11017" max="11017" width="14.140625" style="2065" customWidth="1"/>
    <col min="11018" max="11018" width="14.85546875" style="2065" customWidth="1"/>
    <col min="11019" max="11264" width="9.140625" style="2065"/>
    <col min="11265" max="11265" width="6.42578125" style="2065" customWidth="1"/>
    <col min="11266" max="11266" width="33" style="2065" customWidth="1"/>
    <col min="11267" max="11267" width="15.85546875" style="2065" customWidth="1"/>
    <col min="11268" max="11268" width="11.7109375" style="2065" customWidth="1"/>
    <col min="11269" max="11269" width="8.42578125" style="2065" customWidth="1"/>
    <col min="11270" max="11270" width="9.85546875" style="2065" customWidth="1"/>
    <col min="11271" max="11271" width="9.7109375" style="2065" customWidth="1"/>
    <col min="11272" max="11272" width="10" style="2065" customWidth="1"/>
    <col min="11273" max="11273" width="14.140625" style="2065" customWidth="1"/>
    <col min="11274" max="11274" width="14.85546875" style="2065" customWidth="1"/>
    <col min="11275" max="11520" width="9.140625" style="2065"/>
    <col min="11521" max="11521" width="6.42578125" style="2065" customWidth="1"/>
    <col min="11522" max="11522" width="33" style="2065" customWidth="1"/>
    <col min="11523" max="11523" width="15.85546875" style="2065" customWidth="1"/>
    <col min="11524" max="11524" width="11.7109375" style="2065" customWidth="1"/>
    <col min="11525" max="11525" width="8.42578125" style="2065" customWidth="1"/>
    <col min="11526" max="11526" width="9.85546875" style="2065" customWidth="1"/>
    <col min="11527" max="11527" width="9.7109375" style="2065" customWidth="1"/>
    <col min="11528" max="11528" width="10" style="2065" customWidth="1"/>
    <col min="11529" max="11529" width="14.140625" style="2065" customWidth="1"/>
    <col min="11530" max="11530" width="14.85546875" style="2065" customWidth="1"/>
    <col min="11531" max="11776" width="9.140625" style="2065"/>
    <col min="11777" max="11777" width="6.42578125" style="2065" customWidth="1"/>
    <col min="11778" max="11778" width="33" style="2065" customWidth="1"/>
    <col min="11779" max="11779" width="15.85546875" style="2065" customWidth="1"/>
    <col min="11780" max="11780" width="11.7109375" style="2065" customWidth="1"/>
    <col min="11781" max="11781" width="8.42578125" style="2065" customWidth="1"/>
    <col min="11782" max="11782" width="9.85546875" style="2065" customWidth="1"/>
    <col min="11783" max="11783" width="9.7109375" style="2065" customWidth="1"/>
    <col min="11784" max="11784" width="10" style="2065" customWidth="1"/>
    <col min="11785" max="11785" width="14.140625" style="2065" customWidth="1"/>
    <col min="11786" max="11786" width="14.85546875" style="2065" customWidth="1"/>
    <col min="11787" max="12032" width="9.140625" style="2065"/>
    <col min="12033" max="12033" width="6.42578125" style="2065" customWidth="1"/>
    <col min="12034" max="12034" width="33" style="2065" customWidth="1"/>
    <col min="12035" max="12035" width="15.85546875" style="2065" customWidth="1"/>
    <col min="12036" max="12036" width="11.7109375" style="2065" customWidth="1"/>
    <col min="12037" max="12037" width="8.42578125" style="2065" customWidth="1"/>
    <col min="12038" max="12038" width="9.85546875" style="2065" customWidth="1"/>
    <col min="12039" max="12039" width="9.7109375" style="2065" customWidth="1"/>
    <col min="12040" max="12040" width="10" style="2065" customWidth="1"/>
    <col min="12041" max="12041" width="14.140625" style="2065" customWidth="1"/>
    <col min="12042" max="12042" width="14.85546875" style="2065" customWidth="1"/>
    <col min="12043" max="12288" width="9.140625" style="2065"/>
    <col min="12289" max="12289" width="6.42578125" style="2065" customWidth="1"/>
    <col min="12290" max="12290" width="33" style="2065" customWidth="1"/>
    <col min="12291" max="12291" width="15.85546875" style="2065" customWidth="1"/>
    <col min="12292" max="12292" width="11.7109375" style="2065" customWidth="1"/>
    <col min="12293" max="12293" width="8.42578125" style="2065" customWidth="1"/>
    <col min="12294" max="12294" width="9.85546875" style="2065" customWidth="1"/>
    <col min="12295" max="12295" width="9.7109375" style="2065" customWidth="1"/>
    <col min="12296" max="12296" width="10" style="2065" customWidth="1"/>
    <col min="12297" max="12297" width="14.140625" style="2065" customWidth="1"/>
    <col min="12298" max="12298" width="14.85546875" style="2065" customWidth="1"/>
    <col min="12299" max="12544" width="9.140625" style="2065"/>
    <col min="12545" max="12545" width="6.42578125" style="2065" customWidth="1"/>
    <col min="12546" max="12546" width="33" style="2065" customWidth="1"/>
    <col min="12547" max="12547" width="15.85546875" style="2065" customWidth="1"/>
    <col min="12548" max="12548" width="11.7109375" style="2065" customWidth="1"/>
    <col min="12549" max="12549" width="8.42578125" style="2065" customWidth="1"/>
    <col min="12550" max="12550" width="9.85546875" style="2065" customWidth="1"/>
    <col min="12551" max="12551" width="9.7109375" style="2065" customWidth="1"/>
    <col min="12552" max="12552" width="10" style="2065" customWidth="1"/>
    <col min="12553" max="12553" width="14.140625" style="2065" customWidth="1"/>
    <col min="12554" max="12554" width="14.85546875" style="2065" customWidth="1"/>
    <col min="12555" max="12800" width="9.140625" style="2065"/>
    <col min="12801" max="12801" width="6.42578125" style="2065" customWidth="1"/>
    <col min="12802" max="12802" width="33" style="2065" customWidth="1"/>
    <col min="12803" max="12803" width="15.85546875" style="2065" customWidth="1"/>
    <col min="12804" max="12804" width="11.7109375" style="2065" customWidth="1"/>
    <col min="12805" max="12805" width="8.42578125" style="2065" customWidth="1"/>
    <col min="12806" max="12806" width="9.85546875" style="2065" customWidth="1"/>
    <col min="12807" max="12807" width="9.7109375" style="2065" customWidth="1"/>
    <col min="12808" max="12808" width="10" style="2065" customWidth="1"/>
    <col min="12809" max="12809" width="14.140625" style="2065" customWidth="1"/>
    <col min="12810" max="12810" width="14.85546875" style="2065" customWidth="1"/>
    <col min="12811" max="13056" width="9.140625" style="2065"/>
    <col min="13057" max="13057" width="6.42578125" style="2065" customWidth="1"/>
    <col min="13058" max="13058" width="33" style="2065" customWidth="1"/>
    <col min="13059" max="13059" width="15.85546875" style="2065" customWidth="1"/>
    <col min="13060" max="13060" width="11.7109375" style="2065" customWidth="1"/>
    <col min="13061" max="13061" width="8.42578125" style="2065" customWidth="1"/>
    <col min="13062" max="13062" width="9.85546875" style="2065" customWidth="1"/>
    <col min="13063" max="13063" width="9.7109375" style="2065" customWidth="1"/>
    <col min="13064" max="13064" width="10" style="2065" customWidth="1"/>
    <col min="13065" max="13065" width="14.140625" style="2065" customWidth="1"/>
    <col min="13066" max="13066" width="14.85546875" style="2065" customWidth="1"/>
    <col min="13067" max="13312" width="9.140625" style="2065"/>
    <col min="13313" max="13313" width="6.42578125" style="2065" customWidth="1"/>
    <col min="13314" max="13314" width="33" style="2065" customWidth="1"/>
    <col min="13315" max="13315" width="15.85546875" style="2065" customWidth="1"/>
    <col min="13316" max="13316" width="11.7109375" style="2065" customWidth="1"/>
    <col min="13317" max="13317" width="8.42578125" style="2065" customWidth="1"/>
    <col min="13318" max="13318" width="9.85546875" style="2065" customWidth="1"/>
    <col min="13319" max="13319" width="9.7109375" style="2065" customWidth="1"/>
    <col min="13320" max="13320" width="10" style="2065" customWidth="1"/>
    <col min="13321" max="13321" width="14.140625" style="2065" customWidth="1"/>
    <col min="13322" max="13322" width="14.85546875" style="2065" customWidth="1"/>
    <col min="13323" max="13568" width="9.140625" style="2065"/>
    <col min="13569" max="13569" width="6.42578125" style="2065" customWidth="1"/>
    <col min="13570" max="13570" width="33" style="2065" customWidth="1"/>
    <col min="13571" max="13571" width="15.85546875" style="2065" customWidth="1"/>
    <col min="13572" max="13572" width="11.7109375" style="2065" customWidth="1"/>
    <col min="13573" max="13573" width="8.42578125" style="2065" customWidth="1"/>
    <col min="13574" max="13574" width="9.85546875" style="2065" customWidth="1"/>
    <col min="13575" max="13575" width="9.7109375" style="2065" customWidth="1"/>
    <col min="13576" max="13576" width="10" style="2065" customWidth="1"/>
    <col min="13577" max="13577" width="14.140625" style="2065" customWidth="1"/>
    <col min="13578" max="13578" width="14.85546875" style="2065" customWidth="1"/>
    <col min="13579" max="13824" width="9.140625" style="2065"/>
    <col min="13825" max="13825" width="6.42578125" style="2065" customWidth="1"/>
    <col min="13826" max="13826" width="33" style="2065" customWidth="1"/>
    <col min="13827" max="13827" width="15.85546875" style="2065" customWidth="1"/>
    <col min="13828" max="13828" width="11.7109375" style="2065" customWidth="1"/>
    <col min="13829" max="13829" width="8.42578125" style="2065" customWidth="1"/>
    <col min="13830" max="13830" width="9.85546875" style="2065" customWidth="1"/>
    <col min="13831" max="13831" width="9.7109375" style="2065" customWidth="1"/>
    <col min="13832" max="13832" width="10" style="2065" customWidth="1"/>
    <col min="13833" max="13833" width="14.140625" style="2065" customWidth="1"/>
    <col min="13834" max="13834" width="14.85546875" style="2065" customWidth="1"/>
    <col min="13835" max="14080" width="9.140625" style="2065"/>
    <col min="14081" max="14081" width="6.42578125" style="2065" customWidth="1"/>
    <col min="14082" max="14082" width="33" style="2065" customWidth="1"/>
    <col min="14083" max="14083" width="15.85546875" style="2065" customWidth="1"/>
    <col min="14084" max="14084" width="11.7109375" style="2065" customWidth="1"/>
    <col min="14085" max="14085" width="8.42578125" style="2065" customWidth="1"/>
    <col min="14086" max="14086" width="9.85546875" style="2065" customWidth="1"/>
    <col min="14087" max="14087" width="9.7109375" style="2065" customWidth="1"/>
    <col min="14088" max="14088" width="10" style="2065" customWidth="1"/>
    <col min="14089" max="14089" width="14.140625" style="2065" customWidth="1"/>
    <col min="14090" max="14090" width="14.85546875" style="2065" customWidth="1"/>
    <col min="14091" max="14336" width="9.140625" style="2065"/>
    <col min="14337" max="14337" width="6.42578125" style="2065" customWidth="1"/>
    <col min="14338" max="14338" width="33" style="2065" customWidth="1"/>
    <col min="14339" max="14339" width="15.85546875" style="2065" customWidth="1"/>
    <col min="14340" max="14340" width="11.7109375" style="2065" customWidth="1"/>
    <col min="14341" max="14341" width="8.42578125" style="2065" customWidth="1"/>
    <col min="14342" max="14342" width="9.85546875" style="2065" customWidth="1"/>
    <col min="14343" max="14343" width="9.7109375" style="2065" customWidth="1"/>
    <col min="14344" max="14344" width="10" style="2065" customWidth="1"/>
    <col min="14345" max="14345" width="14.140625" style="2065" customWidth="1"/>
    <col min="14346" max="14346" width="14.85546875" style="2065" customWidth="1"/>
    <col min="14347" max="14592" width="9.140625" style="2065"/>
    <col min="14593" max="14593" width="6.42578125" style="2065" customWidth="1"/>
    <col min="14594" max="14594" width="33" style="2065" customWidth="1"/>
    <col min="14595" max="14595" width="15.85546875" style="2065" customWidth="1"/>
    <col min="14596" max="14596" width="11.7109375" style="2065" customWidth="1"/>
    <col min="14597" max="14597" width="8.42578125" style="2065" customWidth="1"/>
    <col min="14598" max="14598" width="9.85546875" style="2065" customWidth="1"/>
    <col min="14599" max="14599" width="9.7109375" style="2065" customWidth="1"/>
    <col min="14600" max="14600" width="10" style="2065" customWidth="1"/>
    <col min="14601" max="14601" width="14.140625" style="2065" customWidth="1"/>
    <col min="14602" max="14602" width="14.85546875" style="2065" customWidth="1"/>
    <col min="14603" max="14848" width="9.140625" style="2065"/>
    <col min="14849" max="14849" width="6.42578125" style="2065" customWidth="1"/>
    <col min="14850" max="14850" width="33" style="2065" customWidth="1"/>
    <col min="14851" max="14851" width="15.85546875" style="2065" customWidth="1"/>
    <col min="14852" max="14852" width="11.7109375" style="2065" customWidth="1"/>
    <col min="14853" max="14853" width="8.42578125" style="2065" customWidth="1"/>
    <col min="14854" max="14854" width="9.85546875" style="2065" customWidth="1"/>
    <col min="14855" max="14855" width="9.7109375" style="2065" customWidth="1"/>
    <col min="14856" max="14856" width="10" style="2065" customWidth="1"/>
    <col min="14857" max="14857" width="14.140625" style="2065" customWidth="1"/>
    <col min="14858" max="14858" width="14.85546875" style="2065" customWidth="1"/>
    <col min="14859" max="15104" width="9.140625" style="2065"/>
    <col min="15105" max="15105" width="6.42578125" style="2065" customWidth="1"/>
    <col min="15106" max="15106" width="33" style="2065" customWidth="1"/>
    <col min="15107" max="15107" width="15.85546875" style="2065" customWidth="1"/>
    <col min="15108" max="15108" width="11.7109375" style="2065" customWidth="1"/>
    <col min="15109" max="15109" width="8.42578125" style="2065" customWidth="1"/>
    <col min="15110" max="15110" width="9.85546875" style="2065" customWidth="1"/>
    <col min="15111" max="15111" width="9.7109375" style="2065" customWidth="1"/>
    <col min="15112" max="15112" width="10" style="2065" customWidth="1"/>
    <col min="15113" max="15113" width="14.140625" style="2065" customWidth="1"/>
    <col min="15114" max="15114" width="14.85546875" style="2065" customWidth="1"/>
    <col min="15115" max="15360" width="9.140625" style="2065"/>
    <col min="15361" max="15361" width="6.42578125" style="2065" customWidth="1"/>
    <col min="15362" max="15362" width="33" style="2065" customWidth="1"/>
    <col min="15363" max="15363" width="15.85546875" style="2065" customWidth="1"/>
    <col min="15364" max="15364" width="11.7109375" style="2065" customWidth="1"/>
    <col min="15365" max="15365" width="8.42578125" style="2065" customWidth="1"/>
    <col min="15366" max="15366" width="9.85546875" style="2065" customWidth="1"/>
    <col min="15367" max="15367" width="9.7109375" style="2065" customWidth="1"/>
    <col min="15368" max="15368" width="10" style="2065" customWidth="1"/>
    <col min="15369" max="15369" width="14.140625" style="2065" customWidth="1"/>
    <col min="15370" max="15370" width="14.85546875" style="2065" customWidth="1"/>
    <col min="15371" max="15616" width="9.140625" style="2065"/>
    <col min="15617" max="15617" width="6.42578125" style="2065" customWidth="1"/>
    <col min="15618" max="15618" width="33" style="2065" customWidth="1"/>
    <col min="15619" max="15619" width="15.85546875" style="2065" customWidth="1"/>
    <col min="15620" max="15620" width="11.7109375" style="2065" customWidth="1"/>
    <col min="15621" max="15621" width="8.42578125" style="2065" customWidth="1"/>
    <col min="15622" max="15622" width="9.85546875" style="2065" customWidth="1"/>
    <col min="15623" max="15623" width="9.7109375" style="2065" customWidth="1"/>
    <col min="15624" max="15624" width="10" style="2065" customWidth="1"/>
    <col min="15625" max="15625" width="14.140625" style="2065" customWidth="1"/>
    <col min="15626" max="15626" width="14.85546875" style="2065" customWidth="1"/>
    <col min="15627" max="15872" width="9.140625" style="2065"/>
    <col min="15873" max="15873" width="6.42578125" style="2065" customWidth="1"/>
    <col min="15874" max="15874" width="33" style="2065" customWidth="1"/>
    <col min="15875" max="15875" width="15.85546875" style="2065" customWidth="1"/>
    <col min="15876" max="15876" width="11.7109375" style="2065" customWidth="1"/>
    <col min="15877" max="15877" width="8.42578125" style="2065" customWidth="1"/>
    <col min="15878" max="15878" width="9.85546875" style="2065" customWidth="1"/>
    <col min="15879" max="15879" width="9.7109375" style="2065" customWidth="1"/>
    <col min="15880" max="15880" width="10" style="2065" customWidth="1"/>
    <col min="15881" max="15881" width="14.140625" style="2065" customWidth="1"/>
    <col min="15882" max="15882" width="14.85546875" style="2065" customWidth="1"/>
    <col min="15883" max="16128" width="9.140625" style="2065"/>
    <col min="16129" max="16129" width="6.42578125" style="2065" customWidth="1"/>
    <col min="16130" max="16130" width="33" style="2065" customWidth="1"/>
    <col min="16131" max="16131" width="15.85546875" style="2065" customWidth="1"/>
    <col min="16132" max="16132" width="11.7109375" style="2065" customWidth="1"/>
    <col min="16133" max="16133" width="8.42578125" style="2065" customWidth="1"/>
    <col min="16134" max="16134" width="9.85546875" style="2065" customWidth="1"/>
    <col min="16135" max="16135" width="9.7109375" style="2065" customWidth="1"/>
    <col min="16136" max="16136" width="10" style="2065" customWidth="1"/>
    <col min="16137" max="16137" width="14.140625" style="2065" customWidth="1"/>
    <col min="16138" max="16138" width="14.85546875" style="2065" customWidth="1"/>
    <col min="16139" max="16384" width="9.140625" style="2065"/>
  </cols>
  <sheetData>
    <row r="1" spans="1:29" ht="15" customHeight="1">
      <c r="A1" s="2561" t="s">
        <v>9172</v>
      </c>
      <c r="B1" s="2562"/>
      <c r="C1" s="2562"/>
      <c r="D1" s="2562"/>
      <c r="E1" s="2562"/>
      <c r="F1" s="2562"/>
      <c r="G1" s="2562"/>
      <c r="H1" s="2562"/>
      <c r="I1" s="2562"/>
      <c r="J1" s="2563"/>
    </row>
    <row r="2" spans="1:29" ht="15" customHeight="1">
      <c r="A2" s="2571" t="s">
        <v>9173</v>
      </c>
      <c r="B2" s="2572"/>
      <c r="C2" s="2075" t="s">
        <v>5699</v>
      </c>
      <c r="D2" s="2578"/>
      <c r="E2" s="2578"/>
      <c r="F2" s="2578"/>
      <c r="G2" s="2578"/>
      <c r="H2" s="2578"/>
      <c r="I2" s="2578"/>
      <c r="J2" s="2579"/>
    </row>
    <row r="3" spans="1:29" ht="15" customHeight="1">
      <c r="A3" s="2564" t="s">
        <v>9174</v>
      </c>
      <c r="B3" s="2568"/>
      <c r="C3" s="2580"/>
      <c r="D3" s="2581"/>
      <c r="E3" s="2569"/>
      <c r="F3" s="2569"/>
      <c r="G3" s="2569"/>
      <c r="H3" s="2569"/>
      <c r="I3" s="2569"/>
      <c r="J3" s="2570"/>
    </row>
    <row r="4" spans="1:29" ht="15" customHeight="1">
      <c r="A4" s="2556" t="s">
        <v>9175</v>
      </c>
      <c r="B4" s="2557"/>
      <c r="C4" s="2575"/>
      <c r="D4" s="2576"/>
      <c r="E4" s="2576"/>
      <c r="F4" s="2576"/>
      <c r="G4" s="2576"/>
      <c r="H4" s="2576"/>
      <c r="I4" s="2576"/>
      <c r="J4" s="2577"/>
    </row>
    <row r="5" spans="1:29" ht="36">
      <c r="A5" s="2066" t="s">
        <v>9154</v>
      </c>
      <c r="B5" s="2066" t="s">
        <v>1502</v>
      </c>
      <c r="C5" s="2066" t="s">
        <v>9155</v>
      </c>
      <c r="D5" s="2066" t="s">
        <v>9156</v>
      </c>
      <c r="E5" s="2066" t="s">
        <v>9157</v>
      </c>
      <c r="F5" s="2066" t="s">
        <v>9158</v>
      </c>
      <c r="G5" s="2066" t="s">
        <v>9159</v>
      </c>
      <c r="H5" s="2066" t="s">
        <v>9160</v>
      </c>
      <c r="I5" s="2066" t="s">
        <v>2343</v>
      </c>
      <c r="J5" s="2066" t="s">
        <v>9161</v>
      </c>
      <c r="K5" s="2066" t="s">
        <v>9162</v>
      </c>
      <c r="L5" s="2066" t="s">
        <v>9163</v>
      </c>
      <c r="R5" s="2066" t="s">
        <v>9154</v>
      </c>
      <c r="S5" s="2066" t="s">
        <v>1502</v>
      </c>
      <c r="T5" s="2066" t="s">
        <v>9155</v>
      </c>
      <c r="U5" s="2066" t="s">
        <v>9156</v>
      </c>
      <c r="V5" s="2066" t="s">
        <v>9157</v>
      </c>
      <c r="W5" s="2066" t="s">
        <v>9158</v>
      </c>
      <c r="X5" s="2066" t="s">
        <v>9159</v>
      </c>
      <c r="Y5" s="2066" t="s">
        <v>9160</v>
      </c>
      <c r="Z5" s="2066" t="s">
        <v>2343</v>
      </c>
      <c r="AA5" s="2066" t="s">
        <v>9161</v>
      </c>
      <c r="AB5" s="2066" t="s">
        <v>9162</v>
      </c>
      <c r="AC5" s="2066" t="s">
        <v>9163</v>
      </c>
    </row>
    <row r="6" spans="1:29" ht="15" customHeight="1">
      <c r="A6" s="2065" t="str">
        <f t="shared" ref="A6:A13" si="0">IF(MaxNr3&gt;=$N6,VLOOKUP($N6,$Q$6:$AC$13,2,FALSE),"")</f>
        <v/>
      </c>
      <c r="B6" s="2065" t="str">
        <f t="shared" ref="B6:B13" si="1">IF(MaxNr3&gt;=$N6,VLOOKUP($N6,$Q$6:$AC$13,3,FALSE),"")</f>
        <v/>
      </c>
      <c r="C6" s="2065" t="str">
        <f t="shared" ref="C6:C13" si="2">IF(MaxNr3&gt;=$N6,VLOOKUP($N6,$Q$6:$AC$13,4,FALSE),"")</f>
        <v/>
      </c>
      <c r="D6" s="2065" t="str">
        <f t="shared" ref="D6:D13" si="3">IF(MaxNr3&gt;=$N6,VLOOKUP($N6,$Q$6:$AC$13,5,FALSE),"")</f>
        <v/>
      </c>
      <c r="E6" s="2065" t="str">
        <f t="shared" ref="E6:E13" si="4">IF(MaxNr3&gt;=$N6,VLOOKUP($N6,$Q$6:$AC$13,6,FALSE),"")</f>
        <v/>
      </c>
      <c r="F6" s="2065" t="str">
        <f t="shared" ref="F6:F13" si="5">IF(MaxNr3&gt;=$N6,VLOOKUP($N6,$Q$6:$AC$13,7,FALSE),"")</f>
        <v/>
      </c>
      <c r="G6" s="2065" t="str">
        <f t="shared" ref="G6:G13" si="6">IF(MaxNr3&gt;=$N6,VLOOKUP($N6,$Q$6:$AC$13,8,FALSE),"")</f>
        <v/>
      </c>
      <c r="H6" s="2065" t="str">
        <f t="shared" ref="H6:H13" si="7">IF(MaxNr3&gt;=$N6,VLOOKUP($N6,$Q$6:$AC$13,9,FALSE),"")</f>
        <v/>
      </c>
      <c r="I6" s="2065" t="str">
        <f t="shared" ref="I6:I13" si="8">IF(MaxNr3&gt;=$N6,VLOOKUP($N6,$Q$6:$AC$13,10,FALSE),"")</f>
        <v/>
      </c>
      <c r="J6" s="2069" t="str">
        <f t="shared" ref="J6:J13" si="9">IF(MaxNr3&gt;=$N6,VLOOKUP($N6,$Q$6:$AC$13,11,FALSE),"")</f>
        <v/>
      </c>
      <c r="K6" s="2065" t="str">
        <f t="shared" ref="K6:K13" si="10">IF(MaxNr3&gt;=$N6,VLOOKUP($N6,$Q$6:$AC$13,12,FALSE),"")</f>
        <v/>
      </c>
      <c r="L6" s="2065" t="str">
        <f t="shared" ref="L6:L13" si="11">IF(MaxNr3&gt;=$N6,VLOOKUP($N6,$Q$6:$AC$13,13,FALSE),"")</f>
        <v/>
      </c>
      <c r="N6" s="2065">
        <v>1</v>
      </c>
      <c r="O6" s="2065">
        <f>IF(V6&lt;&gt;"",1,0)</f>
        <v>0</v>
      </c>
      <c r="P6" s="2065">
        <f>O6</f>
        <v>0</v>
      </c>
      <c r="Q6" s="2065" t="str">
        <f>IF(O6&gt;0,P6,"")</f>
        <v/>
      </c>
      <c r="R6" s="2065" t="str">
        <f>IF(V6&lt;&gt;"","Da1","")</f>
        <v/>
      </c>
      <c r="S6" s="2065" t="str">
        <f>IF(V6&lt;&gt;"","1. Flachdach / Terrasse","")</f>
        <v/>
      </c>
      <c r="T6" s="2065" t="str">
        <f>IF(V6&lt;&gt;"","Flachdach/ Terasse","")</f>
        <v/>
      </c>
      <c r="U6" s="2065" t="str">
        <f>IF(V6&lt;&gt;"","Horiz","")</f>
        <v/>
      </c>
      <c r="V6" s="2069" t="str">
        <f>IF(Bau!I84&gt;0,Bau!I84,"")</f>
        <v/>
      </c>
      <c r="W6" s="2069" t="str">
        <f>IF(V6&lt;&gt;"",Bau!M84,"")</f>
        <v/>
      </c>
      <c r="X6" s="2069" t="str">
        <f>IF(V6&lt;&gt;"",1,"")</f>
        <v/>
      </c>
      <c r="Y6" s="2068" t="str">
        <f>IF(V6&lt;&gt;"",1,"")</f>
        <v/>
      </c>
      <c r="Z6" s="2065" t="str">
        <f>""</f>
        <v/>
      </c>
      <c r="AA6" s="2065" t="str">
        <f>""</f>
        <v/>
      </c>
      <c r="AB6" s="2065" t="str">
        <f>""</f>
        <v/>
      </c>
      <c r="AC6" s="2065" t="str">
        <f>""</f>
        <v/>
      </c>
    </row>
    <row r="7" spans="1:29" ht="15" customHeight="1">
      <c r="A7" s="2065" t="str">
        <f t="shared" si="0"/>
        <v/>
      </c>
      <c r="B7" s="2065" t="str">
        <f t="shared" si="1"/>
        <v/>
      </c>
      <c r="C7" s="2065" t="str">
        <f t="shared" si="2"/>
        <v/>
      </c>
      <c r="D7" s="2065" t="str">
        <f t="shared" si="3"/>
        <v/>
      </c>
      <c r="E7" s="2065" t="str">
        <f t="shared" si="4"/>
        <v/>
      </c>
      <c r="F7" s="2065" t="str">
        <f t="shared" si="5"/>
        <v/>
      </c>
      <c r="G7" s="2065" t="str">
        <f t="shared" si="6"/>
        <v/>
      </c>
      <c r="H7" s="2065" t="str">
        <f t="shared" si="7"/>
        <v/>
      </c>
      <c r="I7" s="2065" t="str">
        <f t="shared" si="8"/>
        <v/>
      </c>
      <c r="J7" s="2069" t="str">
        <f t="shared" si="9"/>
        <v/>
      </c>
      <c r="K7" s="2065" t="str">
        <f t="shared" si="10"/>
        <v/>
      </c>
      <c r="L7" s="2065" t="str">
        <f t="shared" si="11"/>
        <v/>
      </c>
      <c r="N7" s="2065">
        <v>2</v>
      </c>
      <c r="O7" s="2065">
        <f t="shared" ref="O7:O13" si="12">IF(V7&lt;&gt;"",1,0)</f>
        <v>0</v>
      </c>
      <c r="P7" s="2065">
        <f>P6+O7</f>
        <v>0</v>
      </c>
      <c r="Q7" s="2065" t="str">
        <f t="shared" ref="Q7:Q13" si="13">IF(O7&gt;0,P7,"")</f>
        <v/>
      </c>
      <c r="R7" s="2065" t="str">
        <f>IF(V7&lt;&gt;"","Da2","")</f>
        <v/>
      </c>
      <c r="S7" s="2065" t="str">
        <f>IF(V7&lt;&gt;"","2. Flachdach / Terrasse","")</f>
        <v/>
      </c>
      <c r="T7" s="2065" t="str">
        <f>IF(V7&lt;&gt;"","Flachdach/ Terasse","")</f>
        <v/>
      </c>
      <c r="U7" s="2065" t="str">
        <f t="shared" ref="U7:U13" si="14">IF(V7&lt;&gt;"","Horiz","")</f>
        <v/>
      </c>
      <c r="V7" s="2069" t="str">
        <f>IF(Bau!I85&gt;0,Bau!I85,"")</f>
        <v/>
      </c>
      <c r="W7" s="2069" t="str">
        <f>IF(V7&lt;&gt;"",Bau!M85,"")</f>
        <v/>
      </c>
      <c r="X7" s="2069" t="str">
        <f t="shared" ref="X7:X12" si="15">IF(V7&lt;&gt;"",1,"")</f>
        <v/>
      </c>
      <c r="Y7" s="2068" t="str">
        <f t="shared" ref="Y7:Y13" si="16">IF(V7&lt;&gt;"",1,"")</f>
        <v/>
      </c>
      <c r="Z7" s="2065" t="str">
        <f>""</f>
        <v/>
      </c>
      <c r="AA7" s="2065" t="str">
        <f>""</f>
        <v/>
      </c>
      <c r="AB7" s="2065" t="str">
        <f>""</f>
        <v/>
      </c>
      <c r="AC7" s="2065" t="str">
        <f>""</f>
        <v/>
      </c>
    </row>
    <row r="8" spans="1:29" ht="15" customHeight="1">
      <c r="A8" s="2065" t="str">
        <f t="shared" si="0"/>
        <v/>
      </c>
      <c r="B8" s="2065" t="str">
        <f t="shared" si="1"/>
        <v/>
      </c>
      <c r="C8" s="2065" t="str">
        <f t="shared" si="2"/>
        <v/>
      </c>
      <c r="D8" s="2065" t="str">
        <f t="shared" si="3"/>
        <v/>
      </c>
      <c r="E8" s="2065" t="str">
        <f t="shared" si="4"/>
        <v/>
      </c>
      <c r="F8" s="2065" t="str">
        <f t="shared" si="5"/>
        <v/>
      </c>
      <c r="G8" s="2065" t="str">
        <f t="shared" si="6"/>
        <v/>
      </c>
      <c r="H8" s="2065" t="str">
        <f t="shared" si="7"/>
        <v/>
      </c>
      <c r="I8" s="2065" t="str">
        <f t="shared" si="8"/>
        <v/>
      </c>
      <c r="J8" s="2069" t="str">
        <f t="shared" si="9"/>
        <v/>
      </c>
      <c r="K8" s="2065" t="str">
        <f t="shared" si="10"/>
        <v/>
      </c>
      <c r="L8" s="2065" t="str">
        <f t="shared" si="11"/>
        <v/>
      </c>
      <c r="N8" s="2065">
        <v>3</v>
      </c>
      <c r="O8" s="2065">
        <f t="shared" si="12"/>
        <v>0</v>
      </c>
      <c r="P8" s="2065">
        <f t="shared" ref="P8:P13" si="17">P7+O8</f>
        <v>0</v>
      </c>
      <c r="Q8" s="2065" t="str">
        <f t="shared" si="13"/>
        <v/>
      </c>
      <c r="R8" s="2065" t="str">
        <f>IF(V8&lt;&gt;"","Da3","")</f>
        <v/>
      </c>
      <c r="S8" s="2065" t="str">
        <f>IF(V8&lt;&gt;"","Steildach","")</f>
        <v/>
      </c>
      <c r="T8" s="2065" t="str">
        <f>IF(V8&lt;&gt;"","Steildach","")</f>
        <v/>
      </c>
      <c r="U8" s="2065" t="str">
        <f t="shared" si="14"/>
        <v/>
      </c>
      <c r="V8" s="2069" t="str">
        <f>IF(Bau!I86&gt;0,Bau!I86,"")</f>
        <v/>
      </c>
      <c r="W8" s="2069" t="str">
        <f>IF(V8&lt;&gt;"",Bau!M86,"")</f>
        <v/>
      </c>
      <c r="X8" s="2069" t="str">
        <f t="shared" si="15"/>
        <v/>
      </c>
      <c r="Y8" s="2068" t="str">
        <f t="shared" si="16"/>
        <v/>
      </c>
      <c r="Z8" s="2065" t="str">
        <f>""</f>
        <v/>
      </c>
      <c r="AA8" s="2065" t="str">
        <f>""</f>
        <v/>
      </c>
      <c r="AB8" s="2065" t="str">
        <f>""</f>
        <v/>
      </c>
      <c r="AC8" s="2065" t="str">
        <f>""</f>
        <v/>
      </c>
    </row>
    <row r="9" spans="1:29" ht="15" customHeight="1">
      <c r="A9" s="2065" t="str">
        <f t="shared" si="0"/>
        <v/>
      </c>
      <c r="B9" s="2065" t="str">
        <f t="shared" si="1"/>
        <v/>
      </c>
      <c r="C9" s="2065" t="str">
        <f t="shared" si="2"/>
        <v/>
      </c>
      <c r="D9" s="2065" t="str">
        <f t="shared" si="3"/>
        <v/>
      </c>
      <c r="E9" s="2065" t="str">
        <f t="shared" si="4"/>
        <v/>
      </c>
      <c r="F9" s="2065" t="str">
        <f t="shared" si="5"/>
        <v/>
      </c>
      <c r="G9" s="2065" t="str">
        <f t="shared" si="6"/>
        <v/>
      </c>
      <c r="H9" s="2065" t="str">
        <f t="shared" si="7"/>
        <v/>
      </c>
      <c r="I9" s="2065" t="str">
        <f t="shared" si="8"/>
        <v/>
      </c>
      <c r="J9" s="2069" t="str">
        <f t="shared" si="9"/>
        <v/>
      </c>
      <c r="K9" s="2065" t="str">
        <f t="shared" si="10"/>
        <v/>
      </c>
      <c r="L9" s="2065" t="str">
        <f t="shared" si="11"/>
        <v/>
      </c>
      <c r="N9" s="2065">
        <v>4</v>
      </c>
      <c r="O9" s="2065">
        <f t="shared" si="12"/>
        <v>0</v>
      </c>
      <c r="P9" s="2065">
        <f t="shared" si="17"/>
        <v>0</v>
      </c>
      <c r="Q9" s="2065" t="str">
        <f t="shared" si="13"/>
        <v/>
      </c>
      <c r="R9" s="2065" t="str">
        <f>IF(V9&lt;&gt;"","Du1","")</f>
        <v/>
      </c>
      <c r="S9" s="2065" t="str">
        <f>IF(V9&lt;&gt;"","1. Decke gegen unbeheizt","")</f>
        <v/>
      </c>
      <c r="T9" s="2065" t="str">
        <f>IF(V9&lt;&gt;"","Decke/Estrich geg Unbeheizt","")</f>
        <v/>
      </c>
      <c r="U9" s="2065" t="str">
        <f t="shared" si="14"/>
        <v/>
      </c>
      <c r="V9" s="2069" t="str">
        <f>IF(Bau!I88&gt;0,Bau!I88,"")</f>
        <v/>
      </c>
      <c r="W9" s="2069" t="str">
        <f>IF(V9&lt;&gt;"",Bau!M88,"")</f>
        <v/>
      </c>
      <c r="X9" s="2069" t="str">
        <f>IF(V9&lt;&gt;"",Bau!T88,"")</f>
        <v/>
      </c>
      <c r="Y9" s="2068" t="str">
        <f t="shared" si="16"/>
        <v/>
      </c>
      <c r="Z9" s="2065" t="str">
        <f>""</f>
        <v/>
      </c>
      <c r="AA9" s="2065" t="str">
        <f>""</f>
        <v/>
      </c>
      <c r="AB9" s="2065" t="str">
        <f>""</f>
        <v/>
      </c>
      <c r="AC9" s="2065" t="str">
        <f>""</f>
        <v/>
      </c>
    </row>
    <row r="10" spans="1:29" ht="15" customHeight="1">
      <c r="A10" s="2065" t="str">
        <f t="shared" si="0"/>
        <v/>
      </c>
      <c r="B10" s="2065" t="str">
        <f t="shared" si="1"/>
        <v/>
      </c>
      <c r="C10" s="2065" t="str">
        <f t="shared" si="2"/>
        <v/>
      </c>
      <c r="D10" s="2065" t="str">
        <f t="shared" si="3"/>
        <v/>
      </c>
      <c r="E10" s="2065" t="str">
        <f t="shared" si="4"/>
        <v/>
      </c>
      <c r="F10" s="2065" t="str">
        <f t="shared" si="5"/>
        <v/>
      </c>
      <c r="G10" s="2065" t="str">
        <f t="shared" si="6"/>
        <v/>
      </c>
      <c r="H10" s="2065" t="str">
        <f t="shared" si="7"/>
        <v/>
      </c>
      <c r="I10" s="2065" t="str">
        <f t="shared" si="8"/>
        <v/>
      </c>
      <c r="J10" s="2069" t="str">
        <f t="shared" si="9"/>
        <v/>
      </c>
      <c r="K10" s="2065" t="str">
        <f t="shared" si="10"/>
        <v/>
      </c>
      <c r="L10" s="2065" t="str">
        <f t="shared" si="11"/>
        <v/>
      </c>
      <c r="N10" s="2065">
        <v>5</v>
      </c>
      <c r="O10" s="2065">
        <f t="shared" si="12"/>
        <v>0</v>
      </c>
      <c r="P10" s="2065">
        <f t="shared" si="17"/>
        <v>0</v>
      </c>
      <c r="Q10" s="2065" t="str">
        <f t="shared" si="13"/>
        <v/>
      </c>
      <c r="R10" s="2065" t="str">
        <f>IF(V10&lt;&gt;"","Du2","")</f>
        <v/>
      </c>
      <c r="S10" s="2065" t="str">
        <f>IF(V10&lt;&gt;"","2. Decke gegen unbeheizt","")</f>
        <v/>
      </c>
      <c r="T10" s="2065" t="str">
        <f>IF(V10&lt;&gt;"","Decke/Estrich geg Unbeheizt","")</f>
        <v/>
      </c>
      <c r="U10" s="2065" t="str">
        <f t="shared" si="14"/>
        <v/>
      </c>
      <c r="V10" s="2069" t="str">
        <f>IF(Bau!I89&gt;0,Bau!I89,"")</f>
        <v/>
      </c>
      <c r="W10" s="2069" t="str">
        <f>IF(V10&lt;&gt;"",Bau!M89,"")</f>
        <v/>
      </c>
      <c r="X10" s="2069" t="str">
        <f>IF(V10&lt;&gt;"",Bau!T89,"")</f>
        <v/>
      </c>
      <c r="Y10" s="2068" t="str">
        <f t="shared" si="16"/>
        <v/>
      </c>
      <c r="Z10" s="2065" t="str">
        <f>""</f>
        <v/>
      </c>
      <c r="AA10" s="2065" t="str">
        <f>""</f>
        <v/>
      </c>
      <c r="AB10" s="2065" t="str">
        <f>""</f>
        <v/>
      </c>
      <c r="AC10" s="2065" t="str">
        <f>""</f>
        <v/>
      </c>
    </row>
    <row r="11" spans="1:29" ht="15" customHeight="1">
      <c r="A11" s="2065" t="str">
        <f t="shared" si="0"/>
        <v/>
      </c>
      <c r="B11" s="2065" t="str">
        <f t="shared" si="1"/>
        <v/>
      </c>
      <c r="C11" s="2065" t="str">
        <f t="shared" si="2"/>
        <v/>
      </c>
      <c r="D11" s="2065" t="str">
        <f t="shared" si="3"/>
        <v/>
      </c>
      <c r="E11" s="2065" t="str">
        <f t="shared" si="4"/>
        <v/>
      </c>
      <c r="F11" s="2065" t="str">
        <f t="shared" si="5"/>
        <v/>
      </c>
      <c r="G11" s="2065" t="str">
        <f t="shared" si="6"/>
        <v/>
      </c>
      <c r="H11" s="2065" t="str">
        <f t="shared" si="7"/>
        <v/>
      </c>
      <c r="I11" s="2065" t="str">
        <f t="shared" si="8"/>
        <v/>
      </c>
      <c r="J11" s="2069" t="str">
        <f t="shared" si="9"/>
        <v/>
      </c>
      <c r="K11" s="2065" t="str">
        <f t="shared" si="10"/>
        <v/>
      </c>
      <c r="L11" s="2065" t="str">
        <f t="shared" si="11"/>
        <v/>
      </c>
      <c r="N11" s="2065">
        <v>6</v>
      </c>
      <c r="O11" s="2065">
        <f t="shared" si="12"/>
        <v>0</v>
      </c>
      <c r="P11" s="2065">
        <f t="shared" si="17"/>
        <v>0</v>
      </c>
      <c r="Q11" s="2065" t="str">
        <f t="shared" si="13"/>
        <v/>
      </c>
      <c r="R11" s="2065" t="str">
        <f>IF(V11&lt;&gt;"","Db1","")</f>
        <v/>
      </c>
      <c r="S11" s="2065" t="str">
        <f>IF(V11&lt;&gt;"","1. Decke gegen beheizt","")</f>
        <v/>
      </c>
      <c r="T11" s="2065" t="str">
        <f>IF(V11&lt;&gt;"","Decke/Estrich geg Beheizt","")</f>
        <v/>
      </c>
      <c r="U11" s="2065" t="str">
        <f t="shared" si="14"/>
        <v/>
      </c>
      <c r="V11" s="2069" t="str">
        <f>IF(Bau!I91&gt;0,Bau!I91,"")</f>
        <v/>
      </c>
      <c r="W11" s="2069" t="str">
        <f>IF(V11&lt;&gt;"",Bau!M91,"")</f>
        <v/>
      </c>
      <c r="X11" s="2069" t="str">
        <f t="shared" si="15"/>
        <v/>
      </c>
      <c r="Y11" s="2068" t="str">
        <f t="shared" si="16"/>
        <v/>
      </c>
      <c r="Z11" s="2065" t="str">
        <f>""</f>
        <v/>
      </c>
      <c r="AA11" s="2069" t="str">
        <f>IF(V11&lt;&gt;"",Bau!R91,"")</f>
        <v/>
      </c>
      <c r="AB11" s="2065" t="str">
        <f>""</f>
        <v/>
      </c>
      <c r="AC11" s="2065" t="str">
        <f>""</f>
        <v/>
      </c>
    </row>
    <row r="12" spans="1:29" ht="15" customHeight="1">
      <c r="A12" s="2065" t="str">
        <f t="shared" si="0"/>
        <v/>
      </c>
      <c r="B12" s="2065" t="str">
        <f t="shared" si="1"/>
        <v/>
      </c>
      <c r="C12" s="2065" t="str">
        <f t="shared" si="2"/>
        <v/>
      </c>
      <c r="D12" s="2065" t="str">
        <f t="shared" si="3"/>
        <v/>
      </c>
      <c r="E12" s="2065" t="str">
        <f t="shared" si="4"/>
        <v/>
      </c>
      <c r="F12" s="2065" t="str">
        <f t="shared" si="5"/>
        <v/>
      </c>
      <c r="G12" s="2065" t="str">
        <f t="shared" si="6"/>
        <v/>
      </c>
      <c r="H12" s="2065" t="str">
        <f t="shared" si="7"/>
        <v/>
      </c>
      <c r="I12" s="2065" t="str">
        <f t="shared" si="8"/>
        <v/>
      </c>
      <c r="J12" s="2069" t="str">
        <f t="shared" si="9"/>
        <v/>
      </c>
      <c r="K12" s="2065" t="str">
        <f t="shared" si="10"/>
        <v/>
      </c>
      <c r="L12" s="2065" t="str">
        <f t="shared" si="11"/>
        <v/>
      </c>
      <c r="N12" s="2065">
        <v>7</v>
      </c>
      <c r="O12" s="2065">
        <f t="shared" si="12"/>
        <v>0</v>
      </c>
      <c r="P12" s="2065">
        <f t="shared" si="17"/>
        <v>0</v>
      </c>
      <c r="Q12" s="2065" t="str">
        <f t="shared" si="13"/>
        <v/>
      </c>
      <c r="R12" s="2065" t="str">
        <f>IF(V12&lt;&gt;"","Db2","")</f>
        <v/>
      </c>
      <c r="S12" s="2065" t="str">
        <f>IF(V12&lt;&gt;"","2. Decke gegen beheizt","")</f>
        <v/>
      </c>
      <c r="T12" s="2065" t="str">
        <f>IF(V12&lt;&gt;"","Decke/Estrich geg Beheizt","")</f>
        <v/>
      </c>
      <c r="U12" s="2065" t="str">
        <f t="shared" si="14"/>
        <v/>
      </c>
      <c r="V12" s="2069" t="str">
        <f>IF(Bau!I92&gt;0,Bau!I92,"")</f>
        <v/>
      </c>
      <c r="W12" s="2069" t="str">
        <f>IF(V12&lt;&gt;"",Bau!M92,"")</f>
        <v/>
      </c>
      <c r="X12" s="2069" t="str">
        <f t="shared" si="15"/>
        <v/>
      </c>
      <c r="Y12" s="2068" t="str">
        <f t="shared" si="16"/>
        <v/>
      </c>
      <c r="Z12" s="2065" t="str">
        <f>""</f>
        <v/>
      </c>
      <c r="AA12" s="2069" t="str">
        <f>IF(V12&lt;&gt;"",Bau!R92,"")</f>
        <v/>
      </c>
      <c r="AB12" s="2065" t="str">
        <f>""</f>
        <v/>
      </c>
      <c r="AC12" s="2065" t="str">
        <f>""</f>
        <v/>
      </c>
    </row>
    <row r="13" spans="1:29" ht="15" customHeight="1">
      <c r="A13" s="2065" t="str">
        <f t="shared" si="0"/>
        <v/>
      </c>
      <c r="B13" s="2065" t="str">
        <f t="shared" si="1"/>
        <v/>
      </c>
      <c r="C13" s="2065" t="str">
        <f t="shared" si="2"/>
        <v/>
      </c>
      <c r="D13" s="2065" t="str">
        <f t="shared" si="3"/>
        <v/>
      </c>
      <c r="E13" s="2065" t="str">
        <f t="shared" si="4"/>
        <v/>
      </c>
      <c r="F13" s="2065" t="str">
        <f t="shared" si="5"/>
        <v/>
      </c>
      <c r="G13" s="2065" t="str">
        <f t="shared" si="6"/>
        <v/>
      </c>
      <c r="H13" s="2065" t="str">
        <f t="shared" si="7"/>
        <v/>
      </c>
      <c r="I13" s="2065" t="str">
        <f t="shared" si="8"/>
        <v/>
      </c>
      <c r="J13" s="2069" t="str">
        <f t="shared" si="9"/>
        <v/>
      </c>
      <c r="K13" s="2065" t="str">
        <f t="shared" si="10"/>
        <v/>
      </c>
      <c r="L13" s="2065" t="str">
        <f t="shared" si="11"/>
        <v/>
      </c>
      <c r="N13" s="2065">
        <v>8</v>
      </c>
      <c r="O13" s="2065">
        <f t="shared" si="12"/>
        <v>0</v>
      </c>
      <c r="P13" s="2065">
        <f t="shared" si="17"/>
        <v>0</v>
      </c>
      <c r="Q13" s="2065" t="str">
        <f t="shared" si="13"/>
        <v/>
      </c>
      <c r="R13" s="2065" t="str">
        <f>IF(V13&lt;&gt;"","De1","")</f>
        <v/>
      </c>
      <c r="S13" s="2065" t="str">
        <f>IF(V13&lt;&gt;"","Decke gegen Erdreich","")</f>
        <v/>
      </c>
      <c r="T13" s="2065" t="str">
        <f>IF(V13&lt;&gt;"","Decke/Estrich geg Unbeheizt","")</f>
        <v/>
      </c>
      <c r="U13" s="2065" t="str">
        <f t="shared" si="14"/>
        <v/>
      </c>
      <c r="V13" s="2069" t="str">
        <f>IF(Bau!I94&gt;0,Bau!I94,"")</f>
        <v/>
      </c>
      <c r="W13" s="2069" t="str">
        <f>IF(V13&lt;&gt;"",UDecke1,"")</f>
        <v/>
      </c>
      <c r="X13" s="2069" t="str">
        <f>IF(V13&lt;&gt;"",Bau!T94,"")</f>
        <v/>
      </c>
      <c r="Y13" s="2068" t="str">
        <f t="shared" si="16"/>
        <v/>
      </c>
      <c r="Z13" s="2065" t="str">
        <f>""</f>
        <v/>
      </c>
      <c r="AA13" s="2065" t="str">
        <f>""</f>
        <v/>
      </c>
      <c r="AB13" s="2065" t="str">
        <f>""</f>
        <v/>
      </c>
      <c r="AC13" s="2065" t="str">
        <f>""</f>
        <v/>
      </c>
    </row>
    <row r="14" spans="1:29" ht="15" customHeight="1"/>
    <row r="15" spans="1:29" ht="15" customHeight="1"/>
    <row r="16" spans="1:2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sheetData>
  <sheetProtection password="C9AE" sheet="1" objects="1" scenarios="1"/>
  <mergeCells count="8">
    <mergeCell ref="A4:B4"/>
    <mergeCell ref="C4:J4"/>
    <mergeCell ref="A1:J1"/>
    <mergeCell ref="A2:B2"/>
    <mergeCell ref="D2:J2"/>
    <mergeCell ref="A3:B3"/>
    <mergeCell ref="C3:D3"/>
    <mergeCell ref="E3:J3"/>
  </mergeCells>
  <conditionalFormatting sqref="C2">
    <cfRule type="expression" dxfId="16" priority="3" stopIfTrue="1">
      <formula>LEN(TRIM(C2))=0</formula>
    </cfRule>
  </conditionalFormatting>
  <conditionalFormatting sqref="C3">
    <cfRule type="expression" dxfId="15" priority="4" stopIfTrue="1">
      <formula>LEN(TRIM(C3))=0</formula>
    </cfRule>
  </conditionalFormatting>
  <conditionalFormatting sqref="R6:Y13">
    <cfRule type="expression" dxfId="14" priority="2" stopIfTrue="1">
      <formula>AND(COUNTA($A6:$L6)&gt;0,ISBLANK(R6))</formula>
    </cfRule>
  </conditionalFormatting>
  <conditionalFormatting sqref="AA11:AA12">
    <cfRule type="expression" dxfId="13" priority="1" stopIfTrue="1">
      <formula>AND(COUNTA($A11:$L11)&gt;0,ISBLANK(AA11))</formula>
    </cfRule>
  </conditionalFormatting>
  <dataValidations count="5">
    <dataValidation type="list" allowBlank="1" showInputMessage="1" showErrorMessage="1" sqref="T6:T13">
      <formula1>RoofCeilingType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340 IY65340 SU65340 ACQ65340 AMM65340 AWI65340 BGE65340 BQA65340 BZW65340 CJS65340 CTO65340 DDK65340 DNG65340 DXC65340 EGY65340 EQU65340 FAQ65340 FKM65340 FUI65340 GEE65340 GOA65340 GXW65340 HHS65340 HRO65340 IBK65340 ILG65340 IVC65340 JEY65340 JOU65340 JYQ65340 KIM65340 KSI65340 LCE65340 LMA65340 LVW65340 MFS65340 MPO65340 MZK65340 NJG65340 NTC65340 OCY65340 OMU65340 OWQ65340 PGM65340 PQI65340 QAE65340 QKA65340 QTW65340 RDS65340 RNO65340 RXK65340 SHG65340 SRC65340 TAY65340 TKU65340 TUQ65340 UEM65340 UOI65340 UYE65340 VIA65340 VRW65340 WBS65340 WLO65340 WVK65340 C130876 IY130876 SU130876 ACQ130876 AMM130876 AWI130876 BGE130876 BQA130876 BZW130876 CJS130876 CTO130876 DDK130876 DNG130876 DXC130876 EGY130876 EQU130876 FAQ130876 FKM130876 FUI130876 GEE130876 GOA130876 GXW130876 HHS130876 HRO130876 IBK130876 ILG130876 IVC130876 JEY130876 JOU130876 JYQ130876 KIM130876 KSI130876 LCE130876 LMA130876 LVW130876 MFS130876 MPO130876 MZK130876 NJG130876 NTC130876 OCY130876 OMU130876 OWQ130876 PGM130876 PQI130876 QAE130876 QKA130876 QTW130876 RDS130876 RNO130876 RXK130876 SHG130876 SRC130876 TAY130876 TKU130876 TUQ130876 UEM130876 UOI130876 UYE130876 VIA130876 VRW130876 WBS130876 WLO130876 WVK130876 C196412 IY196412 SU196412 ACQ196412 AMM196412 AWI196412 BGE196412 BQA196412 BZW196412 CJS196412 CTO196412 DDK196412 DNG196412 DXC196412 EGY196412 EQU196412 FAQ196412 FKM196412 FUI196412 GEE196412 GOA196412 GXW196412 HHS196412 HRO196412 IBK196412 ILG196412 IVC196412 JEY196412 JOU196412 JYQ196412 KIM196412 KSI196412 LCE196412 LMA196412 LVW196412 MFS196412 MPO196412 MZK196412 NJG196412 NTC196412 OCY196412 OMU196412 OWQ196412 PGM196412 PQI196412 QAE196412 QKA196412 QTW196412 RDS196412 RNO196412 RXK196412 SHG196412 SRC196412 TAY196412 TKU196412 TUQ196412 UEM196412 UOI196412 UYE196412 VIA196412 VRW196412 WBS196412 WLO196412 WVK196412 C261948 IY261948 SU261948 ACQ261948 AMM261948 AWI261948 BGE261948 BQA261948 BZW261948 CJS261948 CTO261948 DDK261948 DNG261948 DXC261948 EGY261948 EQU261948 FAQ261948 FKM261948 FUI261948 GEE261948 GOA261948 GXW261948 HHS261948 HRO261948 IBK261948 ILG261948 IVC261948 JEY261948 JOU261948 JYQ261948 KIM261948 KSI261948 LCE261948 LMA261948 LVW261948 MFS261948 MPO261948 MZK261948 NJG261948 NTC261948 OCY261948 OMU261948 OWQ261948 PGM261948 PQI261948 QAE261948 QKA261948 QTW261948 RDS261948 RNO261948 RXK261948 SHG261948 SRC261948 TAY261948 TKU261948 TUQ261948 UEM261948 UOI261948 UYE261948 VIA261948 VRW261948 WBS261948 WLO261948 WVK261948 C327484 IY327484 SU327484 ACQ327484 AMM327484 AWI327484 BGE327484 BQA327484 BZW327484 CJS327484 CTO327484 DDK327484 DNG327484 DXC327484 EGY327484 EQU327484 FAQ327484 FKM327484 FUI327484 GEE327484 GOA327484 GXW327484 HHS327484 HRO327484 IBK327484 ILG327484 IVC327484 JEY327484 JOU327484 JYQ327484 KIM327484 KSI327484 LCE327484 LMA327484 LVW327484 MFS327484 MPO327484 MZK327484 NJG327484 NTC327484 OCY327484 OMU327484 OWQ327484 PGM327484 PQI327484 QAE327484 QKA327484 QTW327484 RDS327484 RNO327484 RXK327484 SHG327484 SRC327484 TAY327484 TKU327484 TUQ327484 UEM327484 UOI327484 UYE327484 VIA327484 VRW327484 WBS327484 WLO327484 WVK327484 C393020 IY393020 SU393020 ACQ393020 AMM393020 AWI393020 BGE393020 BQA393020 BZW393020 CJS393020 CTO393020 DDK393020 DNG393020 DXC393020 EGY393020 EQU393020 FAQ393020 FKM393020 FUI393020 GEE393020 GOA393020 GXW393020 HHS393020 HRO393020 IBK393020 ILG393020 IVC393020 JEY393020 JOU393020 JYQ393020 KIM393020 KSI393020 LCE393020 LMA393020 LVW393020 MFS393020 MPO393020 MZK393020 NJG393020 NTC393020 OCY393020 OMU393020 OWQ393020 PGM393020 PQI393020 QAE393020 QKA393020 QTW393020 RDS393020 RNO393020 RXK393020 SHG393020 SRC393020 TAY393020 TKU393020 TUQ393020 UEM393020 UOI393020 UYE393020 VIA393020 VRW393020 WBS393020 WLO393020 WVK393020 C458556 IY458556 SU458556 ACQ458556 AMM458556 AWI458556 BGE458556 BQA458556 BZW458556 CJS458556 CTO458556 DDK458556 DNG458556 DXC458556 EGY458556 EQU458556 FAQ458556 FKM458556 FUI458556 GEE458556 GOA458556 GXW458556 HHS458556 HRO458556 IBK458556 ILG458556 IVC458556 JEY458556 JOU458556 JYQ458556 KIM458556 KSI458556 LCE458556 LMA458556 LVW458556 MFS458556 MPO458556 MZK458556 NJG458556 NTC458556 OCY458556 OMU458556 OWQ458556 PGM458556 PQI458556 QAE458556 QKA458556 QTW458556 RDS458556 RNO458556 RXK458556 SHG458556 SRC458556 TAY458556 TKU458556 TUQ458556 UEM458556 UOI458556 UYE458556 VIA458556 VRW458556 WBS458556 WLO458556 WVK458556 C524092 IY524092 SU524092 ACQ524092 AMM524092 AWI524092 BGE524092 BQA524092 BZW524092 CJS524092 CTO524092 DDK524092 DNG524092 DXC524092 EGY524092 EQU524092 FAQ524092 FKM524092 FUI524092 GEE524092 GOA524092 GXW524092 HHS524092 HRO524092 IBK524092 ILG524092 IVC524092 JEY524092 JOU524092 JYQ524092 KIM524092 KSI524092 LCE524092 LMA524092 LVW524092 MFS524092 MPO524092 MZK524092 NJG524092 NTC524092 OCY524092 OMU524092 OWQ524092 PGM524092 PQI524092 QAE524092 QKA524092 QTW524092 RDS524092 RNO524092 RXK524092 SHG524092 SRC524092 TAY524092 TKU524092 TUQ524092 UEM524092 UOI524092 UYE524092 VIA524092 VRW524092 WBS524092 WLO524092 WVK524092 C589628 IY589628 SU589628 ACQ589628 AMM589628 AWI589628 BGE589628 BQA589628 BZW589628 CJS589628 CTO589628 DDK589628 DNG589628 DXC589628 EGY589628 EQU589628 FAQ589628 FKM589628 FUI589628 GEE589628 GOA589628 GXW589628 HHS589628 HRO589628 IBK589628 ILG589628 IVC589628 JEY589628 JOU589628 JYQ589628 KIM589628 KSI589628 LCE589628 LMA589628 LVW589628 MFS589628 MPO589628 MZK589628 NJG589628 NTC589628 OCY589628 OMU589628 OWQ589628 PGM589628 PQI589628 QAE589628 QKA589628 QTW589628 RDS589628 RNO589628 RXK589628 SHG589628 SRC589628 TAY589628 TKU589628 TUQ589628 UEM589628 UOI589628 UYE589628 VIA589628 VRW589628 WBS589628 WLO589628 WVK589628 C655164 IY655164 SU655164 ACQ655164 AMM655164 AWI655164 BGE655164 BQA655164 BZW655164 CJS655164 CTO655164 DDK655164 DNG655164 DXC655164 EGY655164 EQU655164 FAQ655164 FKM655164 FUI655164 GEE655164 GOA655164 GXW655164 HHS655164 HRO655164 IBK655164 ILG655164 IVC655164 JEY655164 JOU655164 JYQ655164 KIM655164 KSI655164 LCE655164 LMA655164 LVW655164 MFS655164 MPO655164 MZK655164 NJG655164 NTC655164 OCY655164 OMU655164 OWQ655164 PGM655164 PQI655164 QAE655164 QKA655164 QTW655164 RDS655164 RNO655164 RXK655164 SHG655164 SRC655164 TAY655164 TKU655164 TUQ655164 UEM655164 UOI655164 UYE655164 VIA655164 VRW655164 WBS655164 WLO655164 WVK655164 C720700 IY720700 SU720700 ACQ720700 AMM720700 AWI720700 BGE720700 BQA720700 BZW720700 CJS720700 CTO720700 DDK720700 DNG720700 DXC720700 EGY720700 EQU720700 FAQ720700 FKM720700 FUI720700 GEE720700 GOA720700 GXW720700 HHS720700 HRO720700 IBK720700 ILG720700 IVC720700 JEY720700 JOU720700 JYQ720700 KIM720700 KSI720700 LCE720700 LMA720700 LVW720700 MFS720700 MPO720700 MZK720700 NJG720700 NTC720700 OCY720700 OMU720700 OWQ720700 PGM720700 PQI720700 QAE720700 QKA720700 QTW720700 RDS720700 RNO720700 RXK720700 SHG720700 SRC720700 TAY720700 TKU720700 TUQ720700 UEM720700 UOI720700 UYE720700 VIA720700 VRW720700 WBS720700 WLO720700 WVK720700 C786236 IY786236 SU786236 ACQ786236 AMM786236 AWI786236 BGE786236 BQA786236 BZW786236 CJS786236 CTO786236 DDK786236 DNG786236 DXC786236 EGY786236 EQU786236 FAQ786236 FKM786236 FUI786236 GEE786236 GOA786236 GXW786236 HHS786236 HRO786236 IBK786236 ILG786236 IVC786236 JEY786236 JOU786236 JYQ786236 KIM786236 KSI786236 LCE786236 LMA786236 LVW786236 MFS786236 MPO786236 MZK786236 NJG786236 NTC786236 OCY786236 OMU786236 OWQ786236 PGM786236 PQI786236 QAE786236 QKA786236 QTW786236 RDS786236 RNO786236 RXK786236 SHG786236 SRC786236 TAY786236 TKU786236 TUQ786236 UEM786236 UOI786236 UYE786236 VIA786236 VRW786236 WBS786236 WLO786236 WVK786236 C851772 IY851772 SU851772 ACQ851772 AMM851772 AWI851772 BGE851772 BQA851772 BZW851772 CJS851772 CTO851772 DDK851772 DNG851772 DXC851772 EGY851772 EQU851772 FAQ851772 FKM851772 FUI851772 GEE851772 GOA851772 GXW851772 HHS851772 HRO851772 IBK851772 ILG851772 IVC851772 JEY851772 JOU851772 JYQ851772 KIM851772 KSI851772 LCE851772 LMA851772 LVW851772 MFS851772 MPO851772 MZK851772 NJG851772 NTC851772 OCY851772 OMU851772 OWQ851772 PGM851772 PQI851772 QAE851772 QKA851772 QTW851772 RDS851772 RNO851772 RXK851772 SHG851772 SRC851772 TAY851772 TKU851772 TUQ851772 UEM851772 UOI851772 UYE851772 VIA851772 VRW851772 WBS851772 WLO851772 WVK851772 C917308 IY917308 SU917308 ACQ917308 AMM917308 AWI917308 BGE917308 BQA917308 BZW917308 CJS917308 CTO917308 DDK917308 DNG917308 DXC917308 EGY917308 EQU917308 FAQ917308 FKM917308 FUI917308 GEE917308 GOA917308 GXW917308 HHS917308 HRO917308 IBK917308 ILG917308 IVC917308 JEY917308 JOU917308 JYQ917308 KIM917308 KSI917308 LCE917308 LMA917308 LVW917308 MFS917308 MPO917308 MZK917308 NJG917308 NTC917308 OCY917308 OMU917308 OWQ917308 PGM917308 PQI917308 QAE917308 QKA917308 QTW917308 RDS917308 RNO917308 RXK917308 SHG917308 SRC917308 TAY917308 TKU917308 TUQ917308 UEM917308 UOI917308 UYE917308 VIA917308 VRW917308 WBS917308 WLO917308 WVK917308 C982844 IY982844 SU982844 ACQ982844 AMM982844 AWI982844 BGE982844 BQA982844 BZW982844 CJS982844 CTO982844 DDK982844 DNG982844 DXC982844 EGY982844 EQU982844 FAQ982844 FKM982844 FUI982844 GEE982844 GOA982844 GXW982844 HHS982844 HRO982844 IBK982844 ILG982844 IVC982844 JEY982844 JOU982844 JYQ982844 KIM982844 KSI982844 LCE982844 LMA982844 LVW982844 MFS982844 MPO982844 MZK982844 NJG982844 NTC982844 OCY982844 OMU982844 OWQ982844 PGM982844 PQI982844 QAE982844 QKA982844 QTW982844 RDS982844 RNO982844 RXK982844 SHG982844 SRC982844 TAY982844 TKU982844 TUQ982844 UEM982844 UOI982844 UYE982844 VIA982844 VRW982844 WBS982844 WLO982844 WVK982844">
      <formula1>GeneralCondition</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341 IY65341 SU65341 ACQ65341 AMM65341 AWI65341 BGE65341 BQA65341 BZW65341 CJS65341 CTO65341 DDK65341 DNG65341 DXC65341 EGY65341 EQU65341 FAQ65341 FKM65341 FUI65341 GEE65341 GOA65341 GXW65341 HHS65341 HRO65341 IBK65341 ILG65341 IVC65341 JEY65341 JOU65341 JYQ65341 KIM65341 KSI65341 LCE65341 LMA65341 LVW65341 MFS65341 MPO65341 MZK65341 NJG65341 NTC65341 OCY65341 OMU65341 OWQ65341 PGM65341 PQI65341 QAE65341 QKA65341 QTW65341 RDS65341 RNO65341 RXK65341 SHG65341 SRC65341 TAY65341 TKU65341 TUQ65341 UEM65341 UOI65341 UYE65341 VIA65341 VRW65341 WBS65341 WLO65341 WVK65341 C130877 IY130877 SU130877 ACQ130877 AMM130877 AWI130877 BGE130877 BQA130877 BZW130877 CJS130877 CTO130877 DDK130877 DNG130877 DXC130877 EGY130877 EQU130877 FAQ130877 FKM130877 FUI130877 GEE130877 GOA130877 GXW130877 HHS130877 HRO130877 IBK130877 ILG130877 IVC130877 JEY130877 JOU130877 JYQ130877 KIM130877 KSI130877 LCE130877 LMA130877 LVW130877 MFS130877 MPO130877 MZK130877 NJG130877 NTC130877 OCY130877 OMU130877 OWQ130877 PGM130877 PQI130877 QAE130877 QKA130877 QTW130877 RDS130877 RNO130877 RXK130877 SHG130877 SRC130877 TAY130877 TKU130877 TUQ130877 UEM130877 UOI130877 UYE130877 VIA130877 VRW130877 WBS130877 WLO130877 WVK130877 C196413 IY196413 SU196413 ACQ196413 AMM196413 AWI196413 BGE196413 BQA196413 BZW196413 CJS196413 CTO196413 DDK196413 DNG196413 DXC196413 EGY196413 EQU196413 FAQ196413 FKM196413 FUI196413 GEE196413 GOA196413 GXW196413 HHS196413 HRO196413 IBK196413 ILG196413 IVC196413 JEY196413 JOU196413 JYQ196413 KIM196413 KSI196413 LCE196413 LMA196413 LVW196413 MFS196413 MPO196413 MZK196413 NJG196413 NTC196413 OCY196413 OMU196413 OWQ196413 PGM196413 PQI196413 QAE196413 QKA196413 QTW196413 RDS196413 RNO196413 RXK196413 SHG196413 SRC196413 TAY196413 TKU196413 TUQ196413 UEM196413 UOI196413 UYE196413 VIA196413 VRW196413 WBS196413 WLO196413 WVK196413 C261949 IY261949 SU261949 ACQ261949 AMM261949 AWI261949 BGE261949 BQA261949 BZW261949 CJS261949 CTO261949 DDK261949 DNG261949 DXC261949 EGY261949 EQU261949 FAQ261949 FKM261949 FUI261949 GEE261949 GOA261949 GXW261949 HHS261949 HRO261949 IBK261949 ILG261949 IVC261949 JEY261949 JOU261949 JYQ261949 KIM261949 KSI261949 LCE261949 LMA261949 LVW261949 MFS261949 MPO261949 MZK261949 NJG261949 NTC261949 OCY261949 OMU261949 OWQ261949 PGM261949 PQI261949 QAE261949 QKA261949 QTW261949 RDS261949 RNO261949 RXK261949 SHG261949 SRC261949 TAY261949 TKU261949 TUQ261949 UEM261949 UOI261949 UYE261949 VIA261949 VRW261949 WBS261949 WLO261949 WVK261949 C327485 IY327485 SU327485 ACQ327485 AMM327485 AWI327485 BGE327485 BQA327485 BZW327485 CJS327485 CTO327485 DDK327485 DNG327485 DXC327485 EGY327485 EQU327485 FAQ327485 FKM327485 FUI327485 GEE327485 GOA327485 GXW327485 HHS327485 HRO327485 IBK327485 ILG327485 IVC327485 JEY327485 JOU327485 JYQ327485 KIM327485 KSI327485 LCE327485 LMA327485 LVW327485 MFS327485 MPO327485 MZK327485 NJG327485 NTC327485 OCY327485 OMU327485 OWQ327485 PGM327485 PQI327485 QAE327485 QKA327485 QTW327485 RDS327485 RNO327485 RXK327485 SHG327485 SRC327485 TAY327485 TKU327485 TUQ327485 UEM327485 UOI327485 UYE327485 VIA327485 VRW327485 WBS327485 WLO327485 WVK327485 C393021 IY393021 SU393021 ACQ393021 AMM393021 AWI393021 BGE393021 BQA393021 BZW393021 CJS393021 CTO393021 DDK393021 DNG393021 DXC393021 EGY393021 EQU393021 FAQ393021 FKM393021 FUI393021 GEE393021 GOA393021 GXW393021 HHS393021 HRO393021 IBK393021 ILG393021 IVC393021 JEY393021 JOU393021 JYQ393021 KIM393021 KSI393021 LCE393021 LMA393021 LVW393021 MFS393021 MPO393021 MZK393021 NJG393021 NTC393021 OCY393021 OMU393021 OWQ393021 PGM393021 PQI393021 QAE393021 QKA393021 QTW393021 RDS393021 RNO393021 RXK393021 SHG393021 SRC393021 TAY393021 TKU393021 TUQ393021 UEM393021 UOI393021 UYE393021 VIA393021 VRW393021 WBS393021 WLO393021 WVK393021 C458557 IY458557 SU458557 ACQ458557 AMM458557 AWI458557 BGE458557 BQA458557 BZW458557 CJS458557 CTO458557 DDK458557 DNG458557 DXC458557 EGY458557 EQU458557 FAQ458557 FKM458557 FUI458557 GEE458557 GOA458557 GXW458557 HHS458557 HRO458557 IBK458557 ILG458557 IVC458557 JEY458557 JOU458557 JYQ458557 KIM458557 KSI458557 LCE458557 LMA458557 LVW458557 MFS458557 MPO458557 MZK458557 NJG458557 NTC458557 OCY458557 OMU458557 OWQ458557 PGM458557 PQI458557 QAE458557 QKA458557 QTW458557 RDS458557 RNO458557 RXK458557 SHG458557 SRC458557 TAY458557 TKU458557 TUQ458557 UEM458557 UOI458557 UYE458557 VIA458557 VRW458557 WBS458557 WLO458557 WVK458557 C524093 IY524093 SU524093 ACQ524093 AMM524093 AWI524093 BGE524093 BQA524093 BZW524093 CJS524093 CTO524093 DDK524093 DNG524093 DXC524093 EGY524093 EQU524093 FAQ524093 FKM524093 FUI524093 GEE524093 GOA524093 GXW524093 HHS524093 HRO524093 IBK524093 ILG524093 IVC524093 JEY524093 JOU524093 JYQ524093 KIM524093 KSI524093 LCE524093 LMA524093 LVW524093 MFS524093 MPO524093 MZK524093 NJG524093 NTC524093 OCY524093 OMU524093 OWQ524093 PGM524093 PQI524093 QAE524093 QKA524093 QTW524093 RDS524093 RNO524093 RXK524093 SHG524093 SRC524093 TAY524093 TKU524093 TUQ524093 UEM524093 UOI524093 UYE524093 VIA524093 VRW524093 WBS524093 WLO524093 WVK524093 C589629 IY589629 SU589629 ACQ589629 AMM589629 AWI589629 BGE589629 BQA589629 BZW589629 CJS589629 CTO589629 DDK589629 DNG589629 DXC589629 EGY589629 EQU589629 FAQ589629 FKM589629 FUI589629 GEE589629 GOA589629 GXW589629 HHS589629 HRO589629 IBK589629 ILG589629 IVC589629 JEY589629 JOU589629 JYQ589629 KIM589629 KSI589629 LCE589629 LMA589629 LVW589629 MFS589629 MPO589629 MZK589629 NJG589629 NTC589629 OCY589629 OMU589629 OWQ589629 PGM589629 PQI589629 QAE589629 QKA589629 QTW589629 RDS589629 RNO589629 RXK589629 SHG589629 SRC589629 TAY589629 TKU589629 TUQ589629 UEM589629 UOI589629 UYE589629 VIA589629 VRW589629 WBS589629 WLO589629 WVK589629 C655165 IY655165 SU655165 ACQ655165 AMM655165 AWI655165 BGE655165 BQA655165 BZW655165 CJS655165 CTO655165 DDK655165 DNG655165 DXC655165 EGY655165 EQU655165 FAQ655165 FKM655165 FUI655165 GEE655165 GOA655165 GXW655165 HHS655165 HRO655165 IBK655165 ILG655165 IVC655165 JEY655165 JOU655165 JYQ655165 KIM655165 KSI655165 LCE655165 LMA655165 LVW655165 MFS655165 MPO655165 MZK655165 NJG655165 NTC655165 OCY655165 OMU655165 OWQ655165 PGM655165 PQI655165 QAE655165 QKA655165 QTW655165 RDS655165 RNO655165 RXK655165 SHG655165 SRC655165 TAY655165 TKU655165 TUQ655165 UEM655165 UOI655165 UYE655165 VIA655165 VRW655165 WBS655165 WLO655165 WVK655165 C720701 IY720701 SU720701 ACQ720701 AMM720701 AWI720701 BGE720701 BQA720701 BZW720701 CJS720701 CTO720701 DDK720701 DNG720701 DXC720701 EGY720701 EQU720701 FAQ720701 FKM720701 FUI720701 GEE720701 GOA720701 GXW720701 HHS720701 HRO720701 IBK720701 ILG720701 IVC720701 JEY720701 JOU720701 JYQ720701 KIM720701 KSI720701 LCE720701 LMA720701 LVW720701 MFS720701 MPO720701 MZK720701 NJG720701 NTC720701 OCY720701 OMU720701 OWQ720701 PGM720701 PQI720701 QAE720701 QKA720701 QTW720701 RDS720701 RNO720701 RXK720701 SHG720701 SRC720701 TAY720701 TKU720701 TUQ720701 UEM720701 UOI720701 UYE720701 VIA720701 VRW720701 WBS720701 WLO720701 WVK720701 C786237 IY786237 SU786237 ACQ786237 AMM786237 AWI786237 BGE786237 BQA786237 BZW786237 CJS786237 CTO786237 DDK786237 DNG786237 DXC786237 EGY786237 EQU786237 FAQ786237 FKM786237 FUI786237 GEE786237 GOA786237 GXW786237 HHS786237 HRO786237 IBK786237 ILG786237 IVC786237 JEY786237 JOU786237 JYQ786237 KIM786237 KSI786237 LCE786237 LMA786237 LVW786237 MFS786237 MPO786237 MZK786237 NJG786237 NTC786237 OCY786237 OMU786237 OWQ786237 PGM786237 PQI786237 QAE786237 QKA786237 QTW786237 RDS786237 RNO786237 RXK786237 SHG786237 SRC786237 TAY786237 TKU786237 TUQ786237 UEM786237 UOI786237 UYE786237 VIA786237 VRW786237 WBS786237 WLO786237 WVK786237 C851773 IY851773 SU851773 ACQ851773 AMM851773 AWI851773 BGE851773 BQA851773 BZW851773 CJS851773 CTO851773 DDK851773 DNG851773 DXC851773 EGY851773 EQU851773 FAQ851773 FKM851773 FUI851773 GEE851773 GOA851773 GXW851773 HHS851773 HRO851773 IBK851773 ILG851773 IVC851773 JEY851773 JOU851773 JYQ851773 KIM851773 KSI851773 LCE851773 LMA851773 LVW851773 MFS851773 MPO851773 MZK851773 NJG851773 NTC851773 OCY851773 OMU851773 OWQ851773 PGM851773 PQI851773 QAE851773 QKA851773 QTW851773 RDS851773 RNO851773 RXK851773 SHG851773 SRC851773 TAY851773 TKU851773 TUQ851773 UEM851773 UOI851773 UYE851773 VIA851773 VRW851773 WBS851773 WLO851773 WVK851773 C917309 IY917309 SU917309 ACQ917309 AMM917309 AWI917309 BGE917309 BQA917309 BZW917309 CJS917309 CTO917309 DDK917309 DNG917309 DXC917309 EGY917309 EQU917309 FAQ917309 FKM917309 FUI917309 GEE917309 GOA917309 GXW917309 HHS917309 HRO917309 IBK917309 ILG917309 IVC917309 JEY917309 JOU917309 JYQ917309 KIM917309 KSI917309 LCE917309 LMA917309 LVW917309 MFS917309 MPO917309 MZK917309 NJG917309 NTC917309 OCY917309 OMU917309 OWQ917309 PGM917309 PQI917309 QAE917309 QKA917309 QTW917309 RDS917309 RNO917309 RXK917309 SHG917309 SRC917309 TAY917309 TKU917309 TUQ917309 UEM917309 UOI917309 UYE917309 VIA917309 VRW917309 WBS917309 WLO917309 WVK917309 C982845 IY982845 SU982845 ACQ982845 AMM982845 AWI982845 BGE982845 BQA982845 BZW982845 CJS982845 CTO982845 DDK982845 DNG982845 DXC982845 EGY982845 EQU982845 FAQ982845 FKM982845 FUI982845 GEE982845 GOA982845 GXW982845 HHS982845 HRO982845 IBK982845 ILG982845 IVC982845 JEY982845 JOU982845 JYQ982845 KIM982845 KSI982845 LCE982845 LMA982845 LVW982845 MFS982845 MPO982845 MZK982845 NJG982845 NTC982845 OCY982845 OMU982845 OWQ982845 PGM982845 PQI982845 QAE982845 QKA982845 QTW982845 RDS982845 RNO982845 RXK982845 SHG982845 SRC982845 TAY982845 TKU982845 TUQ982845 UEM982845 UOI982845 UYE982845 VIA982845 VRW982845 WBS982845 WLO982845 WVK982845">
      <formula1>RoofType</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C65344:C65443 IY65344:IY65443 SU65344:SU65443 ACQ65344:ACQ65443 AMM65344:AMM65443 AWI65344:AWI65443 BGE65344:BGE65443 BQA65344:BQA65443 BZW65344:BZW65443 CJS65344:CJS65443 CTO65344:CTO65443 DDK65344:DDK65443 DNG65344:DNG65443 DXC65344:DXC65443 EGY65344:EGY65443 EQU65344:EQU65443 FAQ65344:FAQ65443 FKM65344:FKM65443 FUI65344:FUI65443 GEE65344:GEE65443 GOA65344:GOA65443 GXW65344:GXW65443 HHS65344:HHS65443 HRO65344:HRO65443 IBK65344:IBK65443 ILG65344:ILG65443 IVC65344:IVC65443 JEY65344:JEY65443 JOU65344:JOU65443 JYQ65344:JYQ65443 KIM65344:KIM65443 KSI65344:KSI65443 LCE65344:LCE65443 LMA65344:LMA65443 LVW65344:LVW65443 MFS65344:MFS65443 MPO65344:MPO65443 MZK65344:MZK65443 NJG65344:NJG65443 NTC65344:NTC65443 OCY65344:OCY65443 OMU65344:OMU65443 OWQ65344:OWQ65443 PGM65344:PGM65443 PQI65344:PQI65443 QAE65344:QAE65443 QKA65344:QKA65443 QTW65344:QTW65443 RDS65344:RDS65443 RNO65344:RNO65443 RXK65344:RXK65443 SHG65344:SHG65443 SRC65344:SRC65443 TAY65344:TAY65443 TKU65344:TKU65443 TUQ65344:TUQ65443 UEM65344:UEM65443 UOI65344:UOI65443 UYE65344:UYE65443 VIA65344:VIA65443 VRW65344:VRW65443 WBS65344:WBS65443 WLO65344:WLO65443 WVK65344:WVK65443 C130880:C130979 IY130880:IY130979 SU130880:SU130979 ACQ130880:ACQ130979 AMM130880:AMM130979 AWI130880:AWI130979 BGE130880:BGE130979 BQA130880:BQA130979 BZW130880:BZW130979 CJS130880:CJS130979 CTO130880:CTO130979 DDK130880:DDK130979 DNG130880:DNG130979 DXC130880:DXC130979 EGY130880:EGY130979 EQU130880:EQU130979 FAQ130880:FAQ130979 FKM130880:FKM130979 FUI130880:FUI130979 GEE130880:GEE130979 GOA130880:GOA130979 GXW130880:GXW130979 HHS130880:HHS130979 HRO130880:HRO130979 IBK130880:IBK130979 ILG130880:ILG130979 IVC130880:IVC130979 JEY130880:JEY130979 JOU130880:JOU130979 JYQ130880:JYQ130979 KIM130880:KIM130979 KSI130880:KSI130979 LCE130880:LCE130979 LMA130880:LMA130979 LVW130880:LVW130979 MFS130880:MFS130979 MPO130880:MPO130979 MZK130880:MZK130979 NJG130880:NJG130979 NTC130880:NTC130979 OCY130880:OCY130979 OMU130880:OMU130979 OWQ130880:OWQ130979 PGM130880:PGM130979 PQI130880:PQI130979 QAE130880:QAE130979 QKA130880:QKA130979 QTW130880:QTW130979 RDS130880:RDS130979 RNO130880:RNO130979 RXK130880:RXK130979 SHG130880:SHG130979 SRC130880:SRC130979 TAY130880:TAY130979 TKU130880:TKU130979 TUQ130880:TUQ130979 UEM130880:UEM130979 UOI130880:UOI130979 UYE130880:UYE130979 VIA130880:VIA130979 VRW130880:VRW130979 WBS130880:WBS130979 WLO130880:WLO130979 WVK130880:WVK130979 C196416:C196515 IY196416:IY196515 SU196416:SU196515 ACQ196416:ACQ196515 AMM196416:AMM196515 AWI196416:AWI196515 BGE196416:BGE196515 BQA196416:BQA196515 BZW196416:BZW196515 CJS196416:CJS196515 CTO196416:CTO196515 DDK196416:DDK196515 DNG196416:DNG196515 DXC196416:DXC196515 EGY196416:EGY196515 EQU196416:EQU196515 FAQ196416:FAQ196515 FKM196416:FKM196515 FUI196416:FUI196515 GEE196416:GEE196515 GOA196416:GOA196515 GXW196416:GXW196515 HHS196416:HHS196515 HRO196416:HRO196515 IBK196416:IBK196515 ILG196416:ILG196515 IVC196416:IVC196515 JEY196416:JEY196515 JOU196416:JOU196515 JYQ196416:JYQ196515 KIM196416:KIM196515 KSI196416:KSI196515 LCE196416:LCE196515 LMA196416:LMA196515 LVW196416:LVW196515 MFS196416:MFS196515 MPO196416:MPO196515 MZK196416:MZK196515 NJG196416:NJG196515 NTC196416:NTC196515 OCY196416:OCY196515 OMU196416:OMU196515 OWQ196416:OWQ196515 PGM196416:PGM196515 PQI196416:PQI196515 QAE196416:QAE196515 QKA196416:QKA196515 QTW196416:QTW196515 RDS196416:RDS196515 RNO196416:RNO196515 RXK196416:RXK196515 SHG196416:SHG196515 SRC196416:SRC196515 TAY196416:TAY196515 TKU196416:TKU196515 TUQ196416:TUQ196515 UEM196416:UEM196515 UOI196416:UOI196515 UYE196416:UYE196515 VIA196416:VIA196515 VRW196416:VRW196515 WBS196416:WBS196515 WLO196416:WLO196515 WVK196416:WVK196515 C261952:C262051 IY261952:IY262051 SU261952:SU262051 ACQ261952:ACQ262051 AMM261952:AMM262051 AWI261952:AWI262051 BGE261952:BGE262051 BQA261952:BQA262051 BZW261952:BZW262051 CJS261952:CJS262051 CTO261952:CTO262051 DDK261952:DDK262051 DNG261952:DNG262051 DXC261952:DXC262051 EGY261952:EGY262051 EQU261952:EQU262051 FAQ261952:FAQ262051 FKM261952:FKM262051 FUI261952:FUI262051 GEE261952:GEE262051 GOA261952:GOA262051 GXW261952:GXW262051 HHS261952:HHS262051 HRO261952:HRO262051 IBK261952:IBK262051 ILG261952:ILG262051 IVC261952:IVC262051 JEY261952:JEY262051 JOU261952:JOU262051 JYQ261952:JYQ262051 KIM261952:KIM262051 KSI261952:KSI262051 LCE261952:LCE262051 LMA261952:LMA262051 LVW261952:LVW262051 MFS261952:MFS262051 MPO261952:MPO262051 MZK261952:MZK262051 NJG261952:NJG262051 NTC261952:NTC262051 OCY261952:OCY262051 OMU261952:OMU262051 OWQ261952:OWQ262051 PGM261952:PGM262051 PQI261952:PQI262051 QAE261952:QAE262051 QKA261952:QKA262051 QTW261952:QTW262051 RDS261952:RDS262051 RNO261952:RNO262051 RXK261952:RXK262051 SHG261952:SHG262051 SRC261952:SRC262051 TAY261952:TAY262051 TKU261952:TKU262051 TUQ261952:TUQ262051 UEM261952:UEM262051 UOI261952:UOI262051 UYE261952:UYE262051 VIA261952:VIA262051 VRW261952:VRW262051 WBS261952:WBS262051 WLO261952:WLO262051 WVK261952:WVK262051 C327488:C327587 IY327488:IY327587 SU327488:SU327587 ACQ327488:ACQ327587 AMM327488:AMM327587 AWI327488:AWI327587 BGE327488:BGE327587 BQA327488:BQA327587 BZW327488:BZW327587 CJS327488:CJS327587 CTO327488:CTO327587 DDK327488:DDK327587 DNG327488:DNG327587 DXC327488:DXC327587 EGY327488:EGY327587 EQU327488:EQU327587 FAQ327488:FAQ327587 FKM327488:FKM327587 FUI327488:FUI327587 GEE327488:GEE327587 GOA327488:GOA327587 GXW327488:GXW327587 HHS327488:HHS327587 HRO327488:HRO327587 IBK327488:IBK327587 ILG327488:ILG327587 IVC327488:IVC327587 JEY327488:JEY327587 JOU327488:JOU327587 JYQ327488:JYQ327587 KIM327488:KIM327587 KSI327488:KSI327587 LCE327488:LCE327587 LMA327488:LMA327587 LVW327488:LVW327587 MFS327488:MFS327587 MPO327488:MPO327587 MZK327488:MZK327587 NJG327488:NJG327587 NTC327488:NTC327587 OCY327488:OCY327587 OMU327488:OMU327587 OWQ327488:OWQ327587 PGM327488:PGM327587 PQI327488:PQI327587 QAE327488:QAE327587 QKA327488:QKA327587 QTW327488:QTW327587 RDS327488:RDS327587 RNO327488:RNO327587 RXK327488:RXK327587 SHG327488:SHG327587 SRC327488:SRC327587 TAY327488:TAY327587 TKU327488:TKU327587 TUQ327488:TUQ327587 UEM327488:UEM327587 UOI327488:UOI327587 UYE327488:UYE327587 VIA327488:VIA327587 VRW327488:VRW327587 WBS327488:WBS327587 WLO327488:WLO327587 WVK327488:WVK327587 C393024:C393123 IY393024:IY393123 SU393024:SU393123 ACQ393024:ACQ393123 AMM393024:AMM393123 AWI393024:AWI393123 BGE393024:BGE393123 BQA393024:BQA393123 BZW393024:BZW393123 CJS393024:CJS393123 CTO393024:CTO393123 DDK393024:DDK393123 DNG393024:DNG393123 DXC393024:DXC393123 EGY393024:EGY393123 EQU393024:EQU393123 FAQ393024:FAQ393123 FKM393024:FKM393123 FUI393024:FUI393123 GEE393024:GEE393123 GOA393024:GOA393123 GXW393024:GXW393123 HHS393024:HHS393123 HRO393024:HRO393123 IBK393024:IBK393123 ILG393024:ILG393123 IVC393024:IVC393123 JEY393024:JEY393123 JOU393024:JOU393123 JYQ393024:JYQ393123 KIM393024:KIM393123 KSI393024:KSI393123 LCE393024:LCE393123 LMA393024:LMA393123 LVW393024:LVW393123 MFS393024:MFS393123 MPO393024:MPO393123 MZK393024:MZK393123 NJG393024:NJG393123 NTC393024:NTC393123 OCY393024:OCY393123 OMU393024:OMU393123 OWQ393024:OWQ393123 PGM393024:PGM393123 PQI393024:PQI393123 QAE393024:QAE393123 QKA393024:QKA393123 QTW393024:QTW393123 RDS393024:RDS393123 RNO393024:RNO393123 RXK393024:RXK393123 SHG393024:SHG393123 SRC393024:SRC393123 TAY393024:TAY393123 TKU393024:TKU393123 TUQ393024:TUQ393123 UEM393024:UEM393123 UOI393024:UOI393123 UYE393024:UYE393123 VIA393024:VIA393123 VRW393024:VRW393123 WBS393024:WBS393123 WLO393024:WLO393123 WVK393024:WVK393123 C458560:C458659 IY458560:IY458659 SU458560:SU458659 ACQ458560:ACQ458659 AMM458560:AMM458659 AWI458560:AWI458659 BGE458560:BGE458659 BQA458560:BQA458659 BZW458560:BZW458659 CJS458560:CJS458659 CTO458560:CTO458659 DDK458560:DDK458659 DNG458560:DNG458659 DXC458560:DXC458659 EGY458560:EGY458659 EQU458560:EQU458659 FAQ458560:FAQ458659 FKM458560:FKM458659 FUI458560:FUI458659 GEE458560:GEE458659 GOA458560:GOA458659 GXW458560:GXW458659 HHS458560:HHS458659 HRO458560:HRO458659 IBK458560:IBK458659 ILG458560:ILG458659 IVC458560:IVC458659 JEY458560:JEY458659 JOU458560:JOU458659 JYQ458560:JYQ458659 KIM458560:KIM458659 KSI458560:KSI458659 LCE458560:LCE458659 LMA458560:LMA458659 LVW458560:LVW458659 MFS458560:MFS458659 MPO458560:MPO458659 MZK458560:MZK458659 NJG458560:NJG458659 NTC458560:NTC458659 OCY458560:OCY458659 OMU458560:OMU458659 OWQ458560:OWQ458659 PGM458560:PGM458659 PQI458560:PQI458659 QAE458560:QAE458659 QKA458560:QKA458659 QTW458560:QTW458659 RDS458560:RDS458659 RNO458560:RNO458659 RXK458560:RXK458659 SHG458560:SHG458659 SRC458560:SRC458659 TAY458560:TAY458659 TKU458560:TKU458659 TUQ458560:TUQ458659 UEM458560:UEM458659 UOI458560:UOI458659 UYE458560:UYE458659 VIA458560:VIA458659 VRW458560:VRW458659 WBS458560:WBS458659 WLO458560:WLO458659 WVK458560:WVK458659 C524096:C524195 IY524096:IY524195 SU524096:SU524195 ACQ524096:ACQ524195 AMM524096:AMM524195 AWI524096:AWI524195 BGE524096:BGE524195 BQA524096:BQA524195 BZW524096:BZW524195 CJS524096:CJS524195 CTO524096:CTO524195 DDK524096:DDK524195 DNG524096:DNG524195 DXC524096:DXC524195 EGY524096:EGY524195 EQU524096:EQU524195 FAQ524096:FAQ524195 FKM524096:FKM524195 FUI524096:FUI524195 GEE524096:GEE524195 GOA524096:GOA524195 GXW524096:GXW524195 HHS524096:HHS524195 HRO524096:HRO524195 IBK524096:IBK524195 ILG524096:ILG524195 IVC524096:IVC524195 JEY524096:JEY524195 JOU524096:JOU524195 JYQ524096:JYQ524195 KIM524096:KIM524195 KSI524096:KSI524195 LCE524096:LCE524195 LMA524096:LMA524195 LVW524096:LVW524195 MFS524096:MFS524195 MPO524096:MPO524195 MZK524096:MZK524195 NJG524096:NJG524195 NTC524096:NTC524195 OCY524096:OCY524195 OMU524096:OMU524195 OWQ524096:OWQ524195 PGM524096:PGM524195 PQI524096:PQI524195 QAE524096:QAE524195 QKA524096:QKA524195 QTW524096:QTW524195 RDS524096:RDS524195 RNO524096:RNO524195 RXK524096:RXK524195 SHG524096:SHG524195 SRC524096:SRC524195 TAY524096:TAY524195 TKU524096:TKU524195 TUQ524096:TUQ524195 UEM524096:UEM524195 UOI524096:UOI524195 UYE524096:UYE524195 VIA524096:VIA524195 VRW524096:VRW524195 WBS524096:WBS524195 WLO524096:WLO524195 WVK524096:WVK524195 C589632:C589731 IY589632:IY589731 SU589632:SU589731 ACQ589632:ACQ589731 AMM589632:AMM589731 AWI589632:AWI589731 BGE589632:BGE589731 BQA589632:BQA589731 BZW589632:BZW589731 CJS589632:CJS589731 CTO589632:CTO589731 DDK589632:DDK589731 DNG589632:DNG589731 DXC589632:DXC589731 EGY589632:EGY589731 EQU589632:EQU589731 FAQ589632:FAQ589731 FKM589632:FKM589731 FUI589632:FUI589731 GEE589632:GEE589731 GOA589632:GOA589731 GXW589632:GXW589731 HHS589632:HHS589731 HRO589632:HRO589731 IBK589632:IBK589731 ILG589632:ILG589731 IVC589632:IVC589731 JEY589632:JEY589731 JOU589632:JOU589731 JYQ589632:JYQ589731 KIM589632:KIM589731 KSI589632:KSI589731 LCE589632:LCE589731 LMA589632:LMA589731 LVW589632:LVW589731 MFS589632:MFS589731 MPO589632:MPO589731 MZK589632:MZK589731 NJG589632:NJG589731 NTC589632:NTC589731 OCY589632:OCY589731 OMU589632:OMU589731 OWQ589632:OWQ589731 PGM589632:PGM589731 PQI589632:PQI589731 QAE589632:QAE589731 QKA589632:QKA589731 QTW589632:QTW589731 RDS589632:RDS589731 RNO589632:RNO589731 RXK589632:RXK589731 SHG589632:SHG589731 SRC589632:SRC589731 TAY589632:TAY589731 TKU589632:TKU589731 TUQ589632:TUQ589731 UEM589632:UEM589731 UOI589632:UOI589731 UYE589632:UYE589731 VIA589632:VIA589731 VRW589632:VRW589731 WBS589632:WBS589731 WLO589632:WLO589731 WVK589632:WVK589731 C655168:C655267 IY655168:IY655267 SU655168:SU655267 ACQ655168:ACQ655267 AMM655168:AMM655267 AWI655168:AWI655267 BGE655168:BGE655267 BQA655168:BQA655267 BZW655168:BZW655267 CJS655168:CJS655267 CTO655168:CTO655267 DDK655168:DDK655267 DNG655168:DNG655267 DXC655168:DXC655267 EGY655168:EGY655267 EQU655168:EQU655267 FAQ655168:FAQ655267 FKM655168:FKM655267 FUI655168:FUI655267 GEE655168:GEE655267 GOA655168:GOA655267 GXW655168:GXW655267 HHS655168:HHS655267 HRO655168:HRO655267 IBK655168:IBK655267 ILG655168:ILG655267 IVC655168:IVC655267 JEY655168:JEY655267 JOU655168:JOU655267 JYQ655168:JYQ655267 KIM655168:KIM655267 KSI655168:KSI655267 LCE655168:LCE655267 LMA655168:LMA655267 LVW655168:LVW655267 MFS655168:MFS655267 MPO655168:MPO655267 MZK655168:MZK655267 NJG655168:NJG655267 NTC655168:NTC655267 OCY655168:OCY655267 OMU655168:OMU655267 OWQ655168:OWQ655267 PGM655168:PGM655267 PQI655168:PQI655267 QAE655168:QAE655267 QKA655168:QKA655267 QTW655168:QTW655267 RDS655168:RDS655267 RNO655168:RNO655267 RXK655168:RXK655267 SHG655168:SHG655267 SRC655168:SRC655267 TAY655168:TAY655267 TKU655168:TKU655267 TUQ655168:TUQ655267 UEM655168:UEM655267 UOI655168:UOI655267 UYE655168:UYE655267 VIA655168:VIA655267 VRW655168:VRW655267 WBS655168:WBS655267 WLO655168:WLO655267 WVK655168:WVK655267 C720704:C720803 IY720704:IY720803 SU720704:SU720803 ACQ720704:ACQ720803 AMM720704:AMM720803 AWI720704:AWI720803 BGE720704:BGE720803 BQA720704:BQA720803 BZW720704:BZW720803 CJS720704:CJS720803 CTO720704:CTO720803 DDK720704:DDK720803 DNG720704:DNG720803 DXC720704:DXC720803 EGY720704:EGY720803 EQU720704:EQU720803 FAQ720704:FAQ720803 FKM720704:FKM720803 FUI720704:FUI720803 GEE720704:GEE720803 GOA720704:GOA720803 GXW720704:GXW720803 HHS720704:HHS720803 HRO720704:HRO720803 IBK720704:IBK720803 ILG720704:ILG720803 IVC720704:IVC720803 JEY720704:JEY720803 JOU720704:JOU720803 JYQ720704:JYQ720803 KIM720704:KIM720803 KSI720704:KSI720803 LCE720704:LCE720803 LMA720704:LMA720803 LVW720704:LVW720803 MFS720704:MFS720803 MPO720704:MPO720803 MZK720704:MZK720803 NJG720704:NJG720803 NTC720704:NTC720803 OCY720704:OCY720803 OMU720704:OMU720803 OWQ720704:OWQ720803 PGM720704:PGM720803 PQI720704:PQI720803 QAE720704:QAE720803 QKA720704:QKA720803 QTW720704:QTW720803 RDS720704:RDS720803 RNO720704:RNO720803 RXK720704:RXK720803 SHG720704:SHG720803 SRC720704:SRC720803 TAY720704:TAY720803 TKU720704:TKU720803 TUQ720704:TUQ720803 UEM720704:UEM720803 UOI720704:UOI720803 UYE720704:UYE720803 VIA720704:VIA720803 VRW720704:VRW720803 WBS720704:WBS720803 WLO720704:WLO720803 WVK720704:WVK720803 C786240:C786339 IY786240:IY786339 SU786240:SU786339 ACQ786240:ACQ786339 AMM786240:AMM786339 AWI786240:AWI786339 BGE786240:BGE786339 BQA786240:BQA786339 BZW786240:BZW786339 CJS786240:CJS786339 CTO786240:CTO786339 DDK786240:DDK786339 DNG786240:DNG786339 DXC786240:DXC786339 EGY786240:EGY786339 EQU786240:EQU786339 FAQ786240:FAQ786339 FKM786240:FKM786339 FUI786240:FUI786339 GEE786240:GEE786339 GOA786240:GOA786339 GXW786240:GXW786339 HHS786240:HHS786339 HRO786240:HRO786339 IBK786240:IBK786339 ILG786240:ILG786339 IVC786240:IVC786339 JEY786240:JEY786339 JOU786240:JOU786339 JYQ786240:JYQ786339 KIM786240:KIM786339 KSI786240:KSI786339 LCE786240:LCE786339 LMA786240:LMA786339 LVW786240:LVW786339 MFS786240:MFS786339 MPO786240:MPO786339 MZK786240:MZK786339 NJG786240:NJG786339 NTC786240:NTC786339 OCY786240:OCY786339 OMU786240:OMU786339 OWQ786240:OWQ786339 PGM786240:PGM786339 PQI786240:PQI786339 QAE786240:QAE786339 QKA786240:QKA786339 QTW786240:QTW786339 RDS786240:RDS786339 RNO786240:RNO786339 RXK786240:RXK786339 SHG786240:SHG786339 SRC786240:SRC786339 TAY786240:TAY786339 TKU786240:TKU786339 TUQ786240:TUQ786339 UEM786240:UEM786339 UOI786240:UOI786339 UYE786240:UYE786339 VIA786240:VIA786339 VRW786240:VRW786339 WBS786240:WBS786339 WLO786240:WLO786339 WVK786240:WVK786339 C851776:C851875 IY851776:IY851875 SU851776:SU851875 ACQ851776:ACQ851875 AMM851776:AMM851875 AWI851776:AWI851875 BGE851776:BGE851875 BQA851776:BQA851875 BZW851776:BZW851875 CJS851776:CJS851875 CTO851776:CTO851875 DDK851776:DDK851875 DNG851776:DNG851875 DXC851776:DXC851875 EGY851776:EGY851875 EQU851776:EQU851875 FAQ851776:FAQ851875 FKM851776:FKM851875 FUI851776:FUI851875 GEE851776:GEE851875 GOA851776:GOA851875 GXW851776:GXW851875 HHS851776:HHS851875 HRO851776:HRO851875 IBK851776:IBK851875 ILG851776:ILG851875 IVC851776:IVC851875 JEY851776:JEY851875 JOU851776:JOU851875 JYQ851776:JYQ851875 KIM851776:KIM851875 KSI851776:KSI851875 LCE851776:LCE851875 LMA851776:LMA851875 LVW851776:LVW851875 MFS851776:MFS851875 MPO851776:MPO851875 MZK851776:MZK851875 NJG851776:NJG851875 NTC851776:NTC851875 OCY851776:OCY851875 OMU851776:OMU851875 OWQ851776:OWQ851875 PGM851776:PGM851875 PQI851776:PQI851875 QAE851776:QAE851875 QKA851776:QKA851875 QTW851776:QTW851875 RDS851776:RDS851875 RNO851776:RNO851875 RXK851776:RXK851875 SHG851776:SHG851875 SRC851776:SRC851875 TAY851776:TAY851875 TKU851776:TKU851875 TUQ851776:TUQ851875 UEM851776:UEM851875 UOI851776:UOI851875 UYE851776:UYE851875 VIA851776:VIA851875 VRW851776:VRW851875 WBS851776:WBS851875 WLO851776:WLO851875 WVK851776:WVK851875 C917312:C917411 IY917312:IY917411 SU917312:SU917411 ACQ917312:ACQ917411 AMM917312:AMM917411 AWI917312:AWI917411 BGE917312:BGE917411 BQA917312:BQA917411 BZW917312:BZW917411 CJS917312:CJS917411 CTO917312:CTO917411 DDK917312:DDK917411 DNG917312:DNG917411 DXC917312:DXC917411 EGY917312:EGY917411 EQU917312:EQU917411 FAQ917312:FAQ917411 FKM917312:FKM917411 FUI917312:FUI917411 GEE917312:GEE917411 GOA917312:GOA917411 GXW917312:GXW917411 HHS917312:HHS917411 HRO917312:HRO917411 IBK917312:IBK917411 ILG917312:ILG917411 IVC917312:IVC917411 JEY917312:JEY917411 JOU917312:JOU917411 JYQ917312:JYQ917411 KIM917312:KIM917411 KSI917312:KSI917411 LCE917312:LCE917411 LMA917312:LMA917411 LVW917312:LVW917411 MFS917312:MFS917411 MPO917312:MPO917411 MZK917312:MZK917411 NJG917312:NJG917411 NTC917312:NTC917411 OCY917312:OCY917411 OMU917312:OMU917411 OWQ917312:OWQ917411 PGM917312:PGM917411 PQI917312:PQI917411 QAE917312:QAE917411 QKA917312:QKA917411 QTW917312:QTW917411 RDS917312:RDS917411 RNO917312:RNO917411 RXK917312:RXK917411 SHG917312:SHG917411 SRC917312:SRC917411 TAY917312:TAY917411 TKU917312:TKU917411 TUQ917312:TUQ917411 UEM917312:UEM917411 UOI917312:UOI917411 UYE917312:UYE917411 VIA917312:VIA917411 VRW917312:VRW917411 WBS917312:WBS917411 WLO917312:WLO917411 WVK917312:WVK917411 C982848:C982947 IY982848:IY982947 SU982848:SU982947 ACQ982848:ACQ982947 AMM982848:AMM982947 AWI982848:AWI982947 BGE982848:BGE982947 BQA982848:BQA982947 BZW982848:BZW982947 CJS982848:CJS982947 CTO982848:CTO982947 DDK982848:DDK982947 DNG982848:DNG982947 DXC982848:DXC982947 EGY982848:EGY982947 EQU982848:EQU982947 FAQ982848:FAQ982947 FKM982848:FKM982947 FUI982848:FUI982947 GEE982848:GEE982947 GOA982848:GOA982947 GXW982848:GXW982947 HHS982848:HHS982947 HRO982848:HRO982947 IBK982848:IBK982947 ILG982848:ILG982947 IVC982848:IVC982947 JEY982848:JEY982947 JOU982848:JOU982947 JYQ982848:JYQ982947 KIM982848:KIM982947 KSI982848:KSI982947 LCE982848:LCE982947 LMA982848:LMA982947 LVW982848:LVW982947 MFS982848:MFS982947 MPO982848:MPO982947 MZK982848:MZK982947 NJG982848:NJG982947 NTC982848:NTC982947 OCY982848:OCY982947 OMU982848:OMU982947 OWQ982848:OWQ982947 PGM982848:PGM982947 PQI982848:PQI982947 QAE982848:QAE982947 QKA982848:QKA982947 QTW982848:QTW982947 RDS982848:RDS982947 RNO982848:RNO982947 RXK982848:RXK982947 SHG982848:SHG982947 SRC982848:SRC982947 TAY982848:TAY982947 TKU982848:TKU982947 TUQ982848:TUQ982947 UEM982848:UEM982947 UOI982848:UOI982947 UYE982848:UYE982947 VIA982848:VIA982947 VRW982848:VRW982947 WBS982848:WBS982947 WLO982848:WLO982947 WVK982848:WVK982947">
      <formula1>RoofCeilingType</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D65344:D65443 IZ65344:IZ65443 SV65344:SV65443 ACR65344:ACR65443 AMN65344:AMN65443 AWJ65344:AWJ65443 BGF65344:BGF65443 BQB65344:BQB65443 BZX65344:BZX65443 CJT65344:CJT65443 CTP65344:CTP65443 DDL65344:DDL65443 DNH65344:DNH65443 DXD65344:DXD65443 EGZ65344:EGZ65443 EQV65344:EQV65443 FAR65344:FAR65443 FKN65344:FKN65443 FUJ65344:FUJ65443 GEF65344:GEF65443 GOB65344:GOB65443 GXX65344:GXX65443 HHT65344:HHT65443 HRP65344:HRP65443 IBL65344:IBL65443 ILH65344:ILH65443 IVD65344:IVD65443 JEZ65344:JEZ65443 JOV65344:JOV65443 JYR65344:JYR65443 KIN65344:KIN65443 KSJ65344:KSJ65443 LCF65344:LCF65443 LMB65344:LMB65443 LVX65344:LVX65443 MFT65344:MFT65443 MPP65344:MPP65443 MZL65344:MZL65443 NJH65344:NJH65443 NTD65344:NTD65443 OCZ65344:OCZ65443 OMV65344:OMV65443 OWR65344:OWR65443 PGN65344:PGN65443 PQJ65344:PQJ65443 QAF65344:QAF65443 QKB65344:QKB65443 QTX65344:QTX65443 RDT65344:RDT65443 RNP65344:RNP65443 RXL65344:RXL65443 SHH65344:SHH65443 SRD65344:SRD65443 TAZ65344:TAZ65443 TKV65344:TKV65443 TUR65344:TUR65443 UEN65344:UEN65443 UOJ65344:UOJ65443 UYF65344:UYF65443 VIB65344:VIB65443 VRX65344:VRX65443 WBT65344:WBT65443 WLP65344:WLP65443 WVL65344:WVL65443 D130880:D130979 IZ130880:IZ130979 SV130880:SV130979 ACR130880:ACR130979 AMN130880:AMN130979 AWJ130880:AWJ130979 BGF130880:BGF130979 BQB130880:BQB130979 BZX130880:BZX130979 CJT130880:CJT130979 CTP130880:CTP130979 DDL130880:DDL130979 DNH130880:DNH130979 DXD130880:DXD130979 EGZ130880:EGZ130979 EQV130880:EQV130979 FAR130880:FAR130979 FKN130880:FKN130979 FUJ130880:FUJ130979 GEF130880:GEF130979 GOB130880:GOB130979 GXX130880:GXX130979 HHT130880:HHT130979 HRP130880:HRP130979 IBL130880:IBL130979 ILH130880:ILH130979 IVD130880:IVD130979 JEZ130880:JEZ130979 JOV130880:JOV130979 JYR130880:JYR130979 KIN130880:KIN130979 KSJ130880:KSJ130979 LCF130880:LCF130979 LMB130880:LMB130979 LVX130880:LVX130979 MFT130880:MFT130979 MPP130880:MPP130979 MZL130880:MZL130979 NJH130880:NJH130979 NTD130880:NTD130979 OCZ130880:OCZ130979 OMV130880:OMV130979 OWR130880:OWR130979 PGN130880:PGN130979 PQJ130880:PQJ130979 QAF130880:QAF130979 QKB130880:QKB130979 QTX130880:QTX130979 RDT130880:RDT130979 RNP130880:RNP130979 RXL130880:RXL130979 SHH130880:SHH130979 SRD130880:SRD130979 TAZ130880:TAZ130979 TKV130880:TKV130979 TUR130880:TUR130979 UEN130880:UEN130979 UOJ130880:UOJ130979 UYF130880:UYF130979 VIB130880:VIB130979 VRX130880:VRX130979 WBT130880:WBT130979 WLP130880:WLP130979 WVL130880:WVL130979 D196416:D196515 IZ196416:IZ196515 SV196416:SV196515 ACR196416:ACR196515 AMN196416:AMN196515 AWJ196416:AWJ196515 BGF196416:BGF196515 BQB196416:BQB196515 BZX196416:BZX196515 CJT196416:CJT196515 CTP196416:CTP196515 DDL196416:DDL196515 DNH196416:DNH196515 DXD196416:DXD196515 EGZ196416:EGZ196515 EQV196416:EQV196515 FAR196416:FAR196515 FKN196416:FKN196515 FUJ196416:FUJ196515 GEF196416:GEF196515 GOB196416:GOB196515 GXX196416:GXX196515 HHT196416:HHT196515 HRP196416:HRP196515 IBL196416:IBL196515 ILH196416:ILH196515 IVD196416:IVD196515 JEZ196416:JEZ196515 JOV196416:JOV196515 JYR196416:JYR196515 KIN196416:KIN196515 KSJ196416:KSJ196515 LCF196416:LCF196515 LMB196416:LMB196515 LVX196416:LVX196515 MFT196416:MFT196515 MPP196416:MPP196515 MZL196416:MZL196515 NJH196416:NJH196515 NTD196416:NTD196515 OCZ196416:OCZ196515 OMV196416:OMV196515 OWR196416:OWR196515 PGN196416:PGN196515 PQJ196416:PQJ196515 QAF196416:QAF196515 QKB196416:QKB196515 QTX196416:QTX196515 RDT196416:RDT196515 RNP196416:RNP196515 RXL196416:RXL196515 SHH196416:SHH196515 SRD196416:SRD196515 TAZ196416:TAZ196515 TKV196416:TKV196515 TUR196416:TUR196515 UEN196416:UEN196515 UOJ196416:UOJ196515 UYF196416:UYF196515 VIB196416:VIB196515 VRX196416:VRX196515 WBT196416:WBT196515 WLP196416:WLP196515 WVL196416:WVL196515 D261952:D262051 IZ261952:IZ262051 SV261952:SV262051 ACR261952:ACR262051 AMN261952:AMN262051 AWJ261952:AWJ262051 BGF261952:BGF262051 BQB261952:BQB262051 BZX261952:BZX262051 CJT261952:CJT262051 CTP261952:CTP262051 DDL261952:DDL262051 DNH261952:DNH262051 DXD261952:DXD262051 EGZ261952:EGZ262051 EQV261952:EQV262051 FAR261952:FAR262051 FKN261952:FKN262051 FUJ261952:FUJ262051 GEF261952:GEF262051 GOB261952:GOB262051 GXX261952:GXX262051 HHT261952:HHT262051 HRP261952:HRP262051 IBL261952:IBL262051 ILH261952:ILH262051 IVD261952:IVD262051 JEZ261952:JEZ262051 JOV261952:JOV262051 JYR261952:JYR262051 KIN261952:KIN262051 KSJ261952:KSJ262051 LCF261952:LCF262051 LMB261952:LMB262051 LVX261952:LVX262051 MFT261952:MFT262051 MPP261952:MPP262051 MZL261952:MZL262051 NJH261952:NJH262051 NTD261952:NTD262051 OCZ261952:OCZ262051 OMV261952:OMV262051 OWR261952:OWR262051 PGN261952:PGN262051 PQJ261952:PQJ262051 QAF261952:QAF262051 QKB261952:QKB262051 QTX261952:QTX262051 RDT261952:RDT262051 RNP261952:RNP262051 RXL261952:RXL262051 SHH261952:SHH262051 SRD261952:SRD262051 TAZ261952:TAZ262051 TKV261952:TKV262051 TUR261952:TUR262051 UEN261952:UEN262051 UOJ261952:UOJ262051 UYF261952:UYF262051 VIB261952:VIB262051 VRX261952:VRX262051 WBT261952:WBT262051 WLP261952:WLP262051 WVL261952:WVL262051 D327488:D327587 IZ327488:IZ327587 SV327488:SV327587 ACR327488:ACR327587 AMN327488:AMN327587 AWJ327488:AWJ327587 BGF327488:BGF327587 BQB327488:BQB327587 BZX327488:BZX327587 CJT327488:CJT327587 CTP327488:CTP327587 DDL327488:DDL327587 DNH327488:DNH327587 DXD327488:DXD327587 EGZ327488:EGZ327587 EQV327488:EQV327587 FAR327488:FAR327587 FKN327488:FKN327587 FUJ327488:FUJ327587 GEF327488:GEF327587 GOB327488:GOB327587 GXX327488:GXX327587 HHT327488:HHT327587 HRP327488:HRP327587 IBL327488:IBL327587 ILH327488:ILH327587 IVD327488:IVD327587 JEZ327488:JEZ327587 JOV327488:JOV327587 JYR327488:JYR327587 KIN327488:KIN327587 KSJ327488:KSJ327587 LCF327488:LCF327587 LMB327488:LMB327587 LVX327488:LVX327587 MFT327488:MFT327587 MPP327488:MPP327587 MZL327488:MZL327587 NJH327488:NJH327587 NTD327488:NTD327587 OCZ327488:OCZ327587 OMV327488:OMV327587 OWR327488:OWR327587 PGN327488:PGN327587 PQJ327488:PQJ327587 QAF327488:QAF327587 QKB327488:QKB327587 QTX327488:QTX327587 RDT327488:RDT327587 RNP327488:RNP327587 RXL327488:RXL327587 SHH327488:SHH327587 SRD327488:SRD327587 TAZ327488:TAZ327587 TKV327488:TKV327587 TUR327488:TUR327587 UEN327488:UEN327587 UOJ327488:UOJ327587 UYF327488:UYF327587 VIB327488:VIB327587 VRX327488:VRX327587 WBT327488:WBT327587 WLP327488:WLP327587 WVL327488:WVL327587 D393024:D393123 IZ393024:IZ393123 SV393024:SV393123 ACR393024:ACR393123 AMN393024:AMN393123 AWJ393024:AWJ393123 BGF393024:BGF393123 BQB393024:BQB393123 BZX393024:BZX393123 CJT393024:CJT393123 CTP393024:CTP393123 DDL393024:DDL393123 DNH393024:DNH393123 DXD393024:DXD393123 EGZ393024:EGZ393123 EQV393024:EQV393123 FAR393024:FAR393123 FKN393024:FKN393123 FUJ393024:FUJ393123 GEF393024:GEF393123 GOB393024:GOB393123 GXX393024:GXX393123 HHT393024:HHT393123 HRP393024:HRP393123 IBL393024:IBL393123 ILH393024:ILH393123 IVD393024:IVD393123 JEZ393024:JEZ393123 JOV393024:JOV393123 JYR393024:JYR393123 KIN393024:KIN393123 KSJ393024:KSJ393123 LCF393024:LCF393123 LMB393024:LMB393123 LVX393024:LVX393123 MFT393024:MFT393123 MPP393024:MPP393123 MZL393024:MZL393123 NJH393024:NJH393123 NTD393024:NTD393123 OCZ393024:OCZ393123 OMV393024:OMV393123 OWR393024:OWR393123 PGN393024:PGN393123 PQJ393024:PQJ393123 QAF393024:QAF393123 QKB393024:QKB393123 QTX393024:QTX393123 RDT393024:RDT393123 RNP393024:RNP393123 RXL393024:RXL393123 SHH393024:SHH393123 SRD393024:SRD393123 TAZ393024:TAZ393123 TKV393024:TKV393123 TUR393024:TUR393123 UEN393024:UEN393123 UOJ393024:UOJ393123 UYF393024:UYF393123 VIB393024:VIB393123 VRX393024:VRX393123 WBT393024:WBT393123 WLP393024:WLP393123 WVL393024:WVL393123 D458560:D458659 IZ458560:IZ458659 SV458560:SV458659 ACR458560:ACR458659 AMN458560:AMN458659 AWJ458560:AWJ458659 BGF458560:BGF458659 BQB458560:BQB458659 BZX458560:BZX458659 CJT458560:CJT458659 CTP458560:CTP458659 DDL458560:DDL458659 DNH458560:DNH458659 DXD458560:DXD458659 EGZ458560:EGZ458659 EQV458560:EQV458659 FAR458560:FAR458659 FKN458560:FKN458659 FUJ458560:FUJ458659 GEF458560:GEF458659 GOB458560:GOB458659 GXX458560:GXX458659 HHT458560:HHT458659 HRP458560:HRP458659 IBL458560:IBL458659 ILH458560:ILH458659 IVD458560:IVD458659 JEZ458560:JEZ458659 JOV458560:JOV458659 JYR458560:JYR458659 KIN458560:KIN458659 KSJ458560:KSJ458659 LCF458560:LCF458659 LMB458560:LMB458659 LVX458560:LVX458659 MFT458560:MFT458659 MPP458560:MPP458659 MZL458560:MZL458659 NJH458560:NJH458659 NTD458560:NTD458659 OCZ458560:OCZ458659 OMV458560:OMV458659 OWR458560:OWR458659 PGN458560:PGN458659 PQJ458560:PQJ458659 QAF458560:QAF458659 QKB458560:QKB458659 QTX458560:QTX458659 RDT458560:RDT458659 RNP458560:RNP458659 RXL458560:RXL458659 SHH458560:SHH458659 SRD458560:SRD458659 TAZ458560:TAZ458659 TKV458560:TKV458659 TUR458560:TUR458659 UEN458560:UEN458659 UOJ458560:UOJ458659 UYF458560:UYF458659 VIB458560:VIB458659 VRX458560:VRX458659 WBT458560:WBT458659 WLP458560:WLP458659 WVL458560:WVL458659 D524096:D524195 IZ524096:IZ524195 SV524096:SV524195 ACR524096:ACR524195 AMN524096:AMN524195 AWJ524096:AWJ524195 BGF524096:BGF524195 BQB524096:BQB524195 BZX524096:BZX524195 CJT524096:CJT524195 CTP524096:CTP524195 DDL524096:DDL524195 DNH524096:DNH524195 DXD524096:DXD524195 EGZ524096:EGZ524195 EQV524096:EQV524195 FAR524096:FAR524195 FKN524096:FKN524195 FUJ524096:FUJ524195 GEF524096:GEF524195 GOB524096:GOB524195 GXX524096:GXX524195 HHT524096:HHT524195 HRP524096:HRP524195 IBL524096:IBL524195 ILH524096:ILH524195 IVD524096:IVD524195 JEZ524096:JEZ524195 JOV524096:JOV524195 JYR524096:JYR524195 KIN524096:KIN524195 KSJ524096:KSJ524195 LCF524096:LCF524195 LMB524096:LMB524195 LVX524096:LVX524195 MFT524096:MFT524195 MPP524096:MPP524195 MZL524096:MZL524195 NJH524096:NJH524195 NTD524096:NTD524195 OCZ524096:OCZ524195 OMV524096:OMV524195 OWR524096:OWR524195 PGN524096:PGN524195 PQJ524096:PQJ524195 QAF524096:QAF524195 QKB524096:QKB524195 QTX524096:QTX524195 RDT524096:RDT524195 RNP524096:RNP524195 RXL524096:RXL524195 SHH524096:SHH524195 SRD524096:SRD524195 TAZ524096:TAZ524195 TKV524096:TKV524195 TUR524096:TUR524195 UEN524096:UEN524195 UOJ524096:UOJ524195 UYF524096:UYF524195 VIB524096:VIB524195 VRX524096:VRX524195 WBT524096:WBT524195 WLP524096:WLP524195 WVL524096:WVL524195 D589632:D589731 IZ589632:IZ589731 SV589632:SV589731 ACR589632:ACR589731 AMN589632:AMN589731 AWJ589632:AWJ589731 BGF589632:BGF589731 BQB589632:BQB589731 BZX589632:BZX589731 CJT589632:CJT589731 CTP589632:CTP589731 DDL589632:DDL589731 DNH589632:DNH589731 DXD589632:DXD589731 EGZ589632:EGZ589731 EQV589632:EQV589731 FAR589632:FAR589731 FKN589632:FKN589731 FUJ589632:FUJ589731 GEF589632:GEF589731 GOB589632:GOB589731 GXX589632:GXX589731 HHT589632:HHT589731 HRP589632:HRP589731 IBL589632:IBL589731 ILH589632:ILH589731 IVD589632:IVD589731 JEZ589632:JEZ589731 JOV589632:JOV589731 JYR589632:JYR589731 KIN589632:KIN589731 KSJ589632:KSJ589731 LCF589632:LCF589731 LMB589632:LMB589731 LVX589632:LVX589731 MFT589632:MFT589731 MPP589632:MPP589731 MZL589632:MZL589731 NJH589632:NJH589731 NTD589632:NTD589731 OCZ589632:OCZ589731 OMV589632:OMV589731 OWR589632:OWR589731 PGN589632:PGN589731 PQJ589632:PQJ589731 QAF589632:QAF589731 QKB589632:QKB589731 QTX589632:QTX589731 RDT589632:RDT589731 RNP589632:RNP589731 RXL589632:RXL589731 SHH589632:SHH589731 SRD589632:SRD589731 TAZ589632:TAZ589731 TKV589632:TKV589731 TUR589632:TUR589731 UEN589632:UEN589731 UOJ589632:UOJ589731 UYF589632:UYF589731 VIB589632:VIB589731 VRX589632:VRX589731 WBT589632:WBT589731 WLP589632:WLP589731 WVL589632:WVL589731 D655168:D655267 IZ655168:IZ655267 SV655168:SV655267 ACR655168:ACR655267 AMN655168:AMN655267 AWJ655168:AWJ655267 BGF655168:BGF655267 BQB655168:BQB655267 BZX655168:BZX655267 CJT655168:CJT655267 CTP655168:CTP655267 DDL655168:DDL655267 DNH655168:DNH655267 DXD655168:DXD655267 EGZ655168:EGZ655267 EQV655168:EQV655267 FAR655168:FAR655267 FKN655168:FKN655267 FUJ655168:FUJ655267 GEF655168:GEF655267 GOB655168:GOB655267 GXX655168:GXX655267 HHT655168:HHT655267 HRP655168:HRP655267 IBL655168:IBL655267 ILH655168:ILH655267 IVD655168:IVD655267 JEZ655168:JEZ655267 JOV655168:JOV655267 JYR655168:JYR655267 KIN655168:KIN655267 KSJ655168:KSJ655267 LCF655168:LCF655267 LMB655168:LMB655267 LVX655168:LVX655267 MFT655168:MFT655267 MPP655168:MPP655267 MZL655168:MZL655267 NJH655168:NJH655267 NTD655168:NTD655267 OCZ655168:OCZ655267 OMV655168:OMV655267 OWR655168:OWR655267 PGN655168:PGN655267 PQJ655168:PQJ655267 QAF655168:QAF655267 QKB655168:QKB655267 QTX655168:QTX655267 RDT655168:RDT655267 RNP655168:RNP655267 RXL655168:RXL655267 SHH655168:SHH655267 SRD655168:SRD655267 TAZ655168:TAZ655267 TKV655168:TKV655267 TUR655168:TUR655267 UEN655168:UEN655267 UOJ655168:UOJ655267 UYF655168:UYF655267 VIB655168:VIB655267 VRX655168:VRX655267 WBT655168:WBT655267 WLP655168:WLP655267 WVL655168:WVL655267 D720704:D720803 IZ720704:IZ720803 SV720704:SV720803 ACR720704:ACR720803 AMN720704:AMN720803 AWJ720704:AWJ720803 BGF720704:BGF720803 BQB720704:BQB720803 BZX720704:BZX720803 CJT720704:CJT720803 CTP720704:CTP720803 DDL720704:DDL720803 DNH720704:DNH720803 DXD720704:DXD720803 EGZ720704:EGZ720803 EQV720704:EQV720803 FAR720704:FAR720803 FKN720704:FKN720803 FUJ720704:FUJ720803 GEF720704:GEF720803 GOB720704:GOB720803 GXX720704:GXX720803 HHT720704:HHT720803 HRP720704:HRP720803 IBL720704:IBL720803 ILH720704:ILH720803 IVD720704:IVD720803 JEZ720704:JEZ720803 JOV720704:JOV720803 JYR720704:JYR720803 KIN720704:KIN720803 KSJ720704:KSJ720803 LCF720704:LCF720803 LMB720704:LMB720803 LVX720704:LVX720803 MFT720704:MFT720803 MPP720704:MPP720803 MZL720704:MZL720803 NJH720704:NJH720803 NTD720704:NTD720803 OCZ720704:OCZ720803 OMV720704:OMV720803 OWR720704:OWR720803 PGN720704:PGN720803 PQJ720704:PQJ720803 QAF720704:QAF720803 QKB720704:QKB720803 QTX720704:QTX720803 RDT720704:RDT720803 RNP720704:RNP720803 RXL720704:RXL720803 SHH720704:SHH720803 SRD720704:SRD720803 TAZ720704:TAZ720803 TKV720704:TKV720803 TUR720704:TUR720803 UEN720704:UEN720803 UOJ720704:UOJ720803 UYF720704:UYF720803 VIB720704:VIB720803 VRX720704:VRX720803 WBT720704:WBT720803 WLP720704:WLP720803 WVL720704:WVL720803 D786240:D786339 IZ786240:IZ786339 SV786240:SV786339 ACR786240:ACR786339 AMN786240:AMN786339 AWJ786240:AWJ786339 BGF786240:BGF786339 BQB786240:BQB786339 BZX786240:BZX786339 CJT786240:CJT786339 CTP786240:CTP786339 DDL786240:DDL786339 DNH786240:DNH786339 DXD786240:DXD786339 EGZ786240:EGZ786339 EQV786240:EQV786339 FAR786240:FAR786339 FKN786240:FKN786339 FUJ786240:FUJ786339 GEF786240:GEF786339 GOB786240:GOB786339 GXX786240:GXX786339 HHT786240:HHT786339 HRP786240:HRP786339 IBL786240:IBL786339 ILH786240:ILH786339 IVD786240:IVD786339 JEZ786240:JEZ786339 JOV786240:JOV786339 JYR786240:JYR786339 KIN786240:KIN786339 KSJ786240:KSJ786339 LCF786240:LCF786339 LMB786240:LMB786339 LVX786240:LVX786339 MFT786240:MFT786339 MPP786240:MPP786339 MZL786240:MZL786339 NJH786240:NJH786339 NTD786240:NTD786339 OCZ786240:OCZ786339 OMV786240:OMV786339 OWR786240:OWR786339 PGN786240:PGN786339 PQJ786240:PQJ786339 QAF786240:QAF786339 QKB786240:QKB786339 QTX786240:QTX786339 RDT786240:RDT786339 RNP786240:RNP786339 RXL786240:RXL786339 SHH786240:SHH786339 SRD786240:SRD786339 TAZ786240:TAZ786339 TKV786240:TKV786339 TUR786240:TUR786339 UEN786240:UEN786339 UOJ786240:UOJ786339 UYF786240:UYF786339 VIB786240:VIB786339 VRX786240:VRX786339 WBT786240:WBT786339 WLP786240:WLP786339 WVL786240:WVL786339 D851776:D851875 IZ851776:IZ851875 SV851776:SV851875 ACR851776:ACR851875 AMN851776:AMN851875 AWJ851776:AWJ851875 BGF851776:BGF851875 BQB851776:BQB851875 BZX851776:BZX851875 CJT851776:CJT851875 CTP851776:CTP851875 DDL851776:DDL851875 DNH851776:DNH851875 DXD851776:DXD851875 EGZ851776:EGZ851875 EQV851776:EQV851875 FAR851776:FAR851875 FKN851776:FKN851875 FUJ851776:FUJ851875 GEF851776:GEF851875 GOB851776:GOB851875 GXX851776:GXX851875 HHT851776:HHT851875 HRP851776:HRP851875 IBL851776:IBL851875 ILH851776:ILH851875 IVD851776:IVD851875 JEZ851776:JEZ851875 JOV851776:JOV851875 JYR851776:JYR851875 KIN851776:KIN851875 KSJ851776:KSJ851875 LCF851776:LCF851875 LMB851776:LMB851875 LVX851776:LVX851875 MFT851776:MFT851875 MPP851776:MPP851875 MZL851776:MZL851875 NJH851776:NJH851875 NTD851776:NTD851875 OCZ851776:OCZ851875 OMV851776:OMV851875 OWR851776:OWR851875 PGN851776:PGN851875 PQJ851776:PQJ851875 QAF851776:QAF851875 QKB851776:QKB851875 QTX851776:QTX851875 RDT851776:RDT851875 RNP851776:RNP851875 RXL851776:RXL851875 SHH851776:SHH851875 SRD851776:SRD851875 TAZ851776:TAZ851875 TKV851776:TKV851875 TUR851776:TUR851875 UEN851776:UEN851875 UOJ851776:UOJ851875 UYF851776:UYF851875 VIB851776:VIB851875 VRX851776:VRX851875 WBT851776:WBT851875 WLP851776:WLP851875 WVL851776:WVL851875 D917312:D917411 IZ917312:IZ917411 SV917312:SV917411 ACR917312:ACR917411 AMN917312:AMN917411 AWJ917312:AWJ917411 BGF917312:BGF917411 BQB917312:BQB917411 BZX917312:BZX917411 CJT917312:CJT917411 CTP917312:CTP917411 DDL917312:DDL917411 DNH917312:DNH917411 DXD917312:DXD917411 EGZ917312:EGZ917411 EQV917312:EQV917411 FAR917312:FAR917411 FKN917312:FKN917411 FUJ917312:FUJ917411 GEF917312:GEF917411 GOB917312:GOB917411 GXX917312:GXX917411 HHT917312:HHT917411 HRP917312:HRP917411 IBL917312:IBL917411 ILH917312:ILH917411 IVD917312:IVD917411 JEZ917312:JEZ917411 JOV917312:JOV917411 JYR917312:JYR917411 KIN917312:KIN917411 KSJ917312:KSJ917411 LCF917312:LCF917411 LMB917312:LMB917411 LVX917312:LVX917411 MFT917312:MFT917411 MPP917312:MPP917411 MZL917312:MZL917411 NJH917312:NJH917411 NTD917312:NTD917411 OCZ917312:OCZ917411 OMV917312:OMV917411 OWR917312:OWR917411 PGN917312:PGN917411 PQJ917312:PQJ917411 QAF917312:QAF917411 QKB917312:QKB917411 QTX917312:QTX917411 RDT917312:RDT917411 RNP917312:RNP917411 RXL917312:RXL917411 SHH917312:SHH917411 SRD917312:SRD917411 TAZ917312:TAZ917411 TKV917312:TKV917411 TUR917312:TUR917411 UEN917312:UEN917411 UOJ917312:UOJ917411 UYF917312:UYF917411 VIB917312:VIB917411 VRX917312:VRX917411 WBT917312:WBT917411 WLP917312:WLP917411 WVL917312:WVL917411 D982848:D982947 IZ982848:IZ982947 SV982848:SV982947 ACR982848:ACR982947 AMN982848:AMN982947 AWJ982848:AWJ982947 BGF982848:BGF982947 BQB982848:BQB982947 BZX982848:BZX982947 CJT982848:CJT982947 CTP982848:CTP982947 DDL982848:DDL982947 DNH982848:DNH982947 DXD982848:DXD982947 EGZ982848:EGZ982947 EQV982848:EQV982947 FAR982848:FAR982947 FKN982848:FKN982947 FUJ982848:FUJ982947 GEF982848:GEF982947 GOB982848:GOB982947 GXX982848:GXX982947 HHT982848:HHT982947 HRP982848:HRP982947 IBL982848:IBL982947 ILH982848:ILH982947 IVD982848:IVD982947 JEZ982848:JEZ982947 JOV982848:JOV982947 JYR982848:JYR982947 KIN982848:KIN982947 KSJ982848:KSJ982947 LCF982848:LCF982947 LMB982848:LMB982947 LVX982848:LVX982947 MFT982848:MFT982947 MPP982848:MPP982947 MZL982848:MZL982947 NJH982848:NJH982947 NTD982848:NTD982947 OCZ982848:OCZ982947 OMV982848:OMV982947 OWR982848:OWR982947 PGN982848:PGN982947 PQJ982848:PQJ982947 QAF982848:QAF982947 QKB982848:QKB982947 QTX982848:QTX982947 RDT982848:RDT982947 RNP982848:RNP982947 RXL982848:RXL982947 SHH982848:SHH982947 SRD982848:SRD982947 TAZ982848:TAZ982947 TKV982848:TKV982947 TUR982848:TUR982947 UEN982848:UEN982947 UOJ982848:UOJ982947 UYF982848:UYF982947 VIB982848:VIB982947 VRX982848:VRX982947 WBT982848:WBT982947 WLP982848:WLP982947 WVL982848:WVL982947 U6:U13">
      <formula1>OrientationHExtended</formula1>
    </dataValidation>
  </dataValidation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workbookViewId="0">
      <selection activeCell="A6" sqref="A6"/>
    </sheetView>
  </sheetViews>
  <sheetFormatPr baseColWidth="10" defaultRowHeight="12.75"/>
  <cols>
    <col min="2" max="2" width="27" customWidth="1"/>
    <col min="3" max="3" width="26.42578125" customWidth="1"/>
    <col min="14" max="25" width="11.42578125" hidden="1" customWidth="1"/>
    <col min="26" max="26" width="13.28515625" hidden="1" customWidth="1"/>
    <col min="27" max="27" width="14.140625" hidden="1" customWidth="1"/>
    <col min="28" max="28" width="15" hidden="1" customWidth="1"/>
    <col min="29" max="29" width="11.42578125" hidden="1" customWidth="1"/>
  </cols>
  <sheetData>
    <row r="1" spans="1:29" s="2065" customFormat="1" ht="15" customHeight="1">
      <c r="A1" s="2561" t="s">
        <v>9176</v>
      </c>
      <c r="B1" s="2562"/>
      <c r="C1" s="2562"/>
      <c r="D1" s="2562"/>
      <c r="E1" s="2562"/>
      <c r="F1" s="2562"/>
      <c r="G1" s="2562"/>
      <c r="H1" s="2562"/>
      <c r="I1" s="2562"/>
      <c r="J1" s="2563"/>
    </row>
    <row r="2" spans="1:29" s="2065" customFormat="1" ht="15" customHeight="1">
      <c r="A2" s="2564" t="s">
        <v>9177</v>
      </c>
      <c r="B2" s="2582"/>
      <c r="C2" s="2083" t="s">
        <v>5699</v>
      </c>
      <c r="D2" s="2076"/>
      <c r="E2" s="2076"/>
      <c r="F2" s="2076"/>
      <c r="G2" s="2076"/>
      <c r="H2" s="2076"/>
      <c r="I2" s="2077"/>
      <c r="J2" s="2078"/>
    </row>
    <row r="3" spans="1:29" s="2065" customFormat="1" ht="15" customHeight="1">
      <c r="A3" s="2564" t="s">
        <v>9178</v>
      </c>
      <c r="B3" s="2583"/>
      <c r="C3" s="2074" t="s">
        <v>538</v>
      </c>
      <c r="D3" s="2079"/>
      <c r="E3" s="2079"/>
      <c r="F3" s="2079"/>
      <c r="G3" s="2079"/>
      <c r="H3" s="2079"/>
      <c r="I3" s="2080"/>
      <c r="J3" s="2081"/>
    </row>
    <row r="4" spans="1:29" s="2065" customFormat="1" ht="60" customHeight="1">
      <c r="A4" s="2573" t="s">
        <v>9179</v>
      </c>
      <c r="B4" s="2584"/>
      <c r="C4" s="2585"/>
      <c r="D4" s="2586"/>
      <c r="E4" s="2586"/>
      <c r="F4" s="2586"/>
      <c r="G4" s="2586"/>
      <c r="H4" s="2586"/>
      <c r="I4" s="2586"/>
      <c r="J4" s="2587"/>
    </row>
    <row r="5" spans="1:29" s="2065" customFormat="1" ht="30" customHeight="1">
      <c r="A5" s="2066" t="s">
        <v>9154</v>
      </c>
      <c r="B5" s="2066" t="s">
        <v>1502</v>
      </c>
      <c r="C5" s="2066" t="s">
        <v>9155</v>
      </c>
      <c r="D5" s="2066" t="s">
        <v>9157</v>
      </c>
      <c r="E5" s="2066" t="s">
        <v>9158</v>
      </c>
      <c r="F5" s="2066" t="s">
        <v>9159</v>
      </c>
      <c r="G5" s="2082" t="s">
        <v>9180</v>
      </c>
      <c r="H5" s="2066" t="s">
        <v>9160</v>
      </c>
      <c r="I5" s="2066" t="s">
        <v>2343</v>
      </c>
      <c r="J5" s="2066" t="s">
        <v>9161</v>
      </c>
      <c r="K5" s="2066" t="s">
        <v>9162</v>
      </c>
      <c r="L5" s="2066" t="s">
        <v>9163</v>
      </c>
      <c r="R5" s="2066" t="s">
        <v>9154</v>
      </c>
      <c r="S5" s="2066" t="s">
        <v>1502</v>
      </c>
      <c r="T5" s="2066" t="s">
        <v>9155</v>
      </c>
      <c r="U5" s="2066" t="s">
        <v>9157</v>
      </c>
      <c r="V5" s="2066" t="s">
        <v>9158</v>
      </c>
      <c r="W5" s="2066" t="s">
        <v>9159</v>
      </c>
      <c r="X5" s="2082" t="s">
        <v>9180</v>
      </c>
      <c r="Y5" s="2066" t="s">
        <v>9160</v>
      </c>
      <c r="Z5" s="2066" t="s">
        <v>2343</v>
      </c>
      <c r="AA5" s="2066" t="s">
        <v>9161</v>
      </c>
      <c r="AB5" s="2066" t="s">
        <v>9162</v>
      </c>
      <c r="AC5" s="2066" t="s">
        <v>9163</v>
      </c>
    </row>
    <row r="6" spans="1:29" s="2065" customFormat="1" ht="15" customHeight="1">
      <c r="A6" s="2065" t="str">
        <f t="shared" ref="A6:A14" si="0">IF(MaxNr4&gt;=$N6,VLOOKUP($N6,$Q$6:$AC$14,2,FALSE),"")</f>
        <v/>
      </c>
      <c r="B6" s="2065" t="str">
        <f t="shared" ref="B6:B14" si="1">IF(MaxNr4&gt;=$N6,VLOOKUP($N6,$Q$6:$AC$14,3,FALSE),"")</f>
        <v/>
      </c>
      <c r="C6" s="2065" t="str">
        <f t="shared" ref="C6:C14" si="2">IF(MaxNr4&gt;=$N6,VLOOKUP($N6,$Q$6:$AC$14,4,FALSE),"")</f>
        <v/>
      </c>
      <c r="D6" s="2065" t="str">
        <f t="shared" ref="D6:D14" si="3">IF(MaxNr4&gt;=$N6,VLOOKUP($N6,$Q$6:$AC$14,5,FALSE),"")</f>
        <v/>
      </c>
      <c r="E6" s="2065" t="str">
        <f t="shared" ref="E6:E14" si="4">IF(MaxNr4&gt;=$N6,VLOOKUP($N6,$Q$6:$AC$14,6,FALSE),"")</f>
        <v/>
      </c>
      <c r="F6" s="2065" t="str">
        <f t="shared" ref="F6:F14" si="5">IF(MaxNr4&gt;=$N6,VLOOKUP($N6,$Q$6:$AC$14,7,FALSE),"")</f>
        <v/>
      </c>
      <c r="G6" s="2065" t="str">
        <f t="shared" ref="G6:G14" si="6">IF(MaxNr4&gt;=$N6,VLOOKUP($N6,$Q$6:$AC$14,8,FALSE),"")</f>
        <v/>
      </c>
      <c r="H6" s="2065" t="str">
        <f t="shared" ref="H6:H14" si="7">IF(MaxNr4&gt;=$N6,VLOOKUP($N6,$Q$6:$AC$14,9,FALSE),"")</f>
        <v/>
      </c>
      <c r="I6" s="2065" t="str">
        <f t="shared" ref="I6:I14" si="8">IF(MaxNr4&gt;=$N6,VLOOKUP($N6,$Q$6:$AC$14,10,FALSE),"")</f>
        <v/>
      </c>
      <c r="J6" s="2069" t="str">
        <f t="shared" ref="J6:J14" si="9">IF(MaxNr4&gt;=$N6,VLOOKUP($N6,$Q$6:$AC$14,11,FALSE),"")</f>
        <v/>
      </c>
      <c r="K6" s="2065" t="str">
        <f t="shared" ref="K6:K14" si="10">IF(MaxNr4&gt;=$N6,VLOOKUP($N6,$Q$6:$AC$14,12,FALSE),"")</f>
        <v/>
      </c>
      <c r="L6" s="2065" t="str">
        <f t="shared" ref="L6:L14" si="11">IF(MaxNr4&gt;=$N6,VLOOKUP($N6,$Q$6:$AC$14,13,FALSE),"")</f>
        <v/>
      </c>
      <c r="N6" s="2065">
        <v>1</v>
      </c>
      <c r="O6" s="2065">
        <f>IF(U6&lt;&gt;"",1,0)</f>
        <v>0</v>
      </c>
      <c r="P6" s="2065">
        <f>O6</f>
        <v>0</v>
      </c>
      <c r="Q6" s="2065" t="str">
        <f>IF(O6&gt;0,P6,"")</f>
        <v/>
      </c>
      <c r="R6" s="2065" t="str">
        <f>IF(U6&lt;&gt;"","Ba1","")</f>
        <v/>
      </c>
      <c r="S6" s="2065" t="str">
        <f>IF(U6&lt;&gt;"","1. Boden gegen aussen","")</f>
        <v/>
      </c>
      <c r="T6" s="2065" t="str">
        <f>IF(U6&lt;&gt;"","Geg Aussen","")</f>
        <v/>
      </c>
      <c r="U6" s="2069" t="str">
        <f>IF(Bau!I64&gt;0,Bau!I64,"")</f>
        <v/>
      </c>
      <c r="V6" s="2069" t="str">
        <f>IF(U6&lt;&gt;"",Bau!M64,"")</f>
        <v/>
      </c>
      <c r="W6" s="2069" t="str">
        <f>IF(U6&lt;&gt;"",1,"")</f>
        <v/>
      </c>
      <c r="X6" s="2071" t="str">
        <f>IF(U6&lt;&gt;"",IF(Bau!C64="X","Ja","Nein"),"")</f>
        <v/>
      </c>
      <c r="Y6" s="2068" t="str">
        <f>IF(U6&lt;&gt;"",1,"")</f>
        <v/>
      </c>
      <c r="Z6" s="2065" t="str">
        <f>IF(U6&lt;&gt;"",IF(Bau!C64="X","FBH",""),"")</f>
        <v/>
      </c>
      <c r="AA6" s="2065" t="str">
        <f>""</f>
        <v/>
      </c>
      <c r="AB6" s="2065" t="str">
        <f>""</f>
        <v/>
      </c>
      <c r="AC6" s="2065" t="str">
        <f>""</f>
        <v/>
      </c>
    </row>
    <row r="7" spans="1:29" s="2065" customFormat="1" ht="15" customHeight="1">
      <c r="A7" s="2065" t="str">
        <f t="shared" si="0"/>
        <v/>
      </c>
      <c r="B7" s="2065" t="str">
        <f t="shared" si="1"/>
        <v/>
      </c>
      <c r="C7" s="2065" t="str">
        <f t="shared" si="2"/>
        <v/>
      </c>
      <c r="D7" s="2065" t="str">
        <f t="shared" si="3"/>
        <v/>
      </c>
      <c r="E7" s="2065" t="str">
        <f t="shared" si="4"/>
        <v/>
      </c>
      <c r="F7" s="2065" t="str">
        <f t="shared" si="5"/>
        <v/>
      </c>
      <c r="G7" s="2065" t="str">
        <f t="shared" si="6"/>
        <v/>
      </c>
      <c r="H7" s="2065" t="str">
        <f t="shared" si="7"/>
        <v/>
      </c>
      <c r="I7" s="2065" t="str">
        <f t="shared" si="8"/>
        <v/>
      </c>
      <c r="J7" s="2069" t="str">
        <f t="shared" si="9"/>
        <v/>
      </c>
      <c r="K7" s="2065" t="str">
        <f t="shared" si="10"/>
        <v/>
      </c>
      <c r="L7" s="2065" t="str">
        <f t="shared" si="11"/>
        <v/>
      </c>
      <c r="N7" s="2065">
        <v>2</v>
      </c>
      <c r="O7" s="2065">
        <f t="shared" ref="O7:O14" si="12">IF(U7&lt;&gt;"",1,0)</f>
        <v>0</v>
      </c>
      <c r="P7" s="2065">
        <f>P6+O7</f>
        <v>0</v>
      </c>
      <c r="Q7" s="2065" t="str">
        <f t="shared" ref="Q7:Q14" si="13">IF(O7&gt;0,P7,"")</f>
        <v/>
      </c>
      <c r="R7" s="2065" t="str">
        <f>IF(U7&lt;&gt;"","Ba2","")</f>
        <v/>
      </c>
      <c r="S7" s="2065" t="str">
        <f>IF(U7&lt;&gt;"","2. Boden gegen aussen","")</f>
        <v/>
      </c>
      <c r="T7" s="2065" t="str">
        <f>IF(U7&lt;&gt;"","Geg Aussen","")</f>
        <v/>
      </c>
      <c r="U7" s="2069" t="str">
        <f>IF(Bau!I65&gt;0,Bau!I65,"")</f>
        <v/>
      </c>
      <c r="V7" s="2069" t="str">
        <f>IF(U7&lt;&gt;"",Bau!M65,"")</f>
        <v/>
      </c>
      <c r="W7" s="2069" t="str">
        <f t="shared" ref="W7:W14" si="14">IF(U7&lt;&gt;"",1,"")</f>
        <v/>
      </c>
      <c r="X7" s="2071" t="str">
        <f>IF(U7&lt;&gt;"",IF(Bau!C65="X","Ja","Nein"),"")</f>
        <v/>
      </c>
      <c r="Y7" s="2068" t="str">
        <f t="shared" ref="Y7:Y14" si="15">IF(U7&lt;&gt;"",1,"")</f>
        <v/>
      </c>
      <c r="Z7" s="2065" t="str">
        <f>IF(U7&lt;&gt;"",IF(Bau!C65="X","FBH",""),"")</f>
        <v/>
      </c>
      <c r="AA7" s="2065" t="str">
        <f>""</f>
        <v/>
      </c>
      <c r="AB7" s="2065" t="str">
        <f>""</f>
        <v/>
      </c>
      <c r="AC7" s="2065" t="str">
        <f>""</f>
        <v/>
      </c>
    </row>
    <row r="8" spans="1:29" s="2065" customFormat="1" ht="15" customHeight="1">
      <c r="A8" s="2065" t="str">
        <f t="shared" si="0"/>
        <v/>
      </c>
      <c r="B8" s="2065" t="str">
        <f t="shared" si="1"/>
        <v/>
      </c>
      <c r="C8" s="2065" t="str">
        <f t="shared" si="2"/>
        <v/>
      </c>
      <c r="D8" s="2065" t="str">
        <f t="shared" si="3"/>
        <v/>
      </c>
      <c r="E8" s="2065" t="str">
        <f t="shared" si="4"/>
        <v/>
      </c>
      <c r="F8" s="2065" t="str">
        <f t="shared" si="5"/>
        <v/>
      </c>
      <c r="G8" s="2065" t="str">
        <f t="shared" si="6"/>
        <v/>
      </c>
      <c r="H8" s="2065" t="str">
        <f t="shared" si="7"/>
        <v/>
      </c>
      <c r="I8" s="2065" t="str">
        <f t="shared" si="8"/>
        <v/>
      </c>
      <c r="J8" s="2069" t="str">
        <f t="shared" si="9"/>
        <v/>
      </c>
      <c r="K8" s="2065" t="str">
        <f t="shared" si="10"/>
        <v/>
      </c>
      <c r="L8" s="2065" t="str">
        <f t="shared" si="11"/>
        <v/>
      </c>
      <c r="N8" s="2065">
        <v>3</v>
      </c>
      <c r="O8" s="2065">
        <f t="shared" si="12"/>
        <v>0</v>
      </c>
      <c r="P8" s="2065">
        <f t="shared" ref="P8:P14" si="16">P7+O8</f>
        <v>0</v>
      </c>
      <c r="Q8" s="2065" t="str">
        <f t="shared" si="13"/>
        <v/>
      </c>
      <c r="R8" s="2065" t="str">
        <f>IF(U8&lt;&gt;"","Be1","")</f>
        <v/>
      </c>
      <c r="S8" s="2065" t="str">
        <f>IF(U8&lt;&gt;"","1. Boden gegen Erde","")</f>
        <v/>
      </c>
      <c r="T8" s="2065" t="str">
        <f>IF(U8&lt;&gt;"",IF(Tiefe3&lt;=2,"Geg Erdreich ≤ 2m","Geg Erdreich &gt; 2m"),"")</f>
        <v/>
      </c>
      <c r="U8" s="2069" t="str">
        <f>IF(Bau!I67&gt;0,Bau!I67,"")</f>
        <v/>
      </c>
      <c r="V8" s="2069" t="str">
        <f>IF(U8&lt;&gt;"",UBoden3,"")</f>
        <v/>
      </c>
      <c r="W8" s="2069" t="str">
        <f>IF(U8&lt;&gt;"",Bau!T67,"")</f>
        <v/>
      </c>
      <c r="X8" s="2071" t="str">
        <f>IF(U8&lt;&gt;"",IF(Bau!C67="X","Ja","Nein"),"")</f>
        <v/>
      </c>
      <c r="Y8" s="2068" t="str">
        <f t="shared" si="15"/>
        <v/>
      </c>
      <c r="Z8" s="2065" t="str">
        <f>IF(U8&lt;&gt;"",IF(Bau!C67="X","FBH",""),"")</f>
        <v/>
      </c>
      <c r="AA8" s="2065" t="str">
        <f>""</f>
        <v/>
      </c>
      <c r="AB8" s="2065" t="str">
        <f>""</f>
        <v/>
      </c>
      <c r="AC8" s="2065" t="str">
        <f>""</f>
        <v/>
      </c>
    </row>
    <row r="9" spans="1:29" s="2065" customFormat="1" ht="15" customHeight="1">
      <c r="A9" s="2065" t="str">
        <f t="shared" si="0"/>
        <v/>
      </c>
      <c r="B9" s="2065" t="str">
        <f t="shared" si="1"/>
        <v/>
      </c>
      <c r="C9" s="2065" t="str">
        <f t="shared" si="2"/>
        <v/>
      </c>
      <c r="D9" s="2065" t="str">
        <f t="shared" si="3"/>
        <v/>
      </c>
      <c r="E9" s="2065" t="str">
        <f t="shared" si="4"/>
        <v/>
      </c>
      <c r="F9" s="2065" t="str">
        <f t="shared" si="5"/>
        <v/>
      </c>
      <c r="G9" s="2065" t="str">
        <f t="shared" si="6"/>
        <v/>
      </c>
      <c r="H9" s="2065" t="str">
        <f t="shared" si="7"/>
        <v/>
      </c>
      <c r="I9" s="2065" t="str">
        <f t="shared" si="8"/>
        <v/>
      </c>
      <c r="J9" s="2069" t="str">
        <f t="shared" si="9"/>
        <v/>
      </c>
      <c r="K9" s="2065" t="str">
        <f t="shared" si="10"/>
        <v/>
      </c>
      <c r="L9" s="2065" t="str">
        <f t="shared" si="11"/>
        <v/>
      </c>
      <c r="N9" s="2065">
        <v>4</v>
      </c>
      <c r="O9" s="2065">
        <f t="shared" si="12"/>
        <v>0</v>
      </c>
      <c r="P9" s="2065">
        <f t="shared" si="16"/>
        <v>0</v>
      </c>
      <c r="Q9" s="2065" t="str">
        <f t="shared" si="13"/>
        <v/>
      </c>
      <c r="R9" s="2065" t="str">
        <f>IF(U9&lt;&gt;"","Be2","")</f>
        <v/>
      </c>
      <c r="S9" s="2065" t="str">
        <f>IF(U9&lt;&gt;"","2. Boden gegen Erde","")</f>
        <v/>
      </c>
      <c r="T9" s="2065" t="str">
        <f>IF(U9&lt;&gt;"",IF(Tiefe4&lt;=2,"Geg Erdreich ≤ 2m","Geg Erdreich &gt; 2m"),"")</f>
        <v/>
      </c>
      <c r="U9" s="2069" t="str">
        <f>IF(Bau!I68&gt;0,Bau!I68,"")</f>
        <v/>
      </c>
      <c r="V9" s="2069" t="str">
        <f>IF(U9&lt;&gt;"",UBoden4,"")</f>
        <v/>
      </c>
      <c r="W9" s="2069" t="str">
        <f>IF(U9&lt;&gt;"",Bau!T68,"")</f>
        <v/>
      </c>
      <c r="X9" s="2071" t="str">
        <f>IF(U9&lt;&gt;"",IF(Bau!C68="X","Ja","Nein"),"")</f>
        <v/>
      </c>
      <c r="Y9" s="2068" t="str">
        <f t="shared" si="15"/>
        <v/>
      </c>
      <c r="Z9" s="2065" t="str">
        <f>IF(U9&lt;&gt;"",IF(Bau!C68="X","FBH",""),"")</f>
        <v/>
      </c>
      <c r="AA9" s="2065" t="str">
        <f>""</f>
        <v/>
      </c>
      <c r="AB9" s="2065" t="str">
        <f>""</f>
        <v/>
      </c>
      <c r="AC9" s="2065" t="str">
        <f>""</f>
        <v/>
      </c>
    </row>
    <row r="10" spans="1:29" s="2065" customFormat="1" ht="15" customHeight="1">
      <c r="A10" s="2065" t="str">
        <f t="shared" si="0"/>
        <v/>
      </c>
      <c r="B10" s="2065" t="str">
        <f t="shared" si="1"/>
        <v/>
      </c>
      <c r="C10" s="2065" t="str">
        <f t="shared" si="2"/>
        <v/>
      </c>
      <c r="D10" s="2065" t="str">
        <f t="shared" si="3"/>
        <v/>
      </c>
      <c r="E10" s="2065" t="str">
        <f t="shared" si="4"/>
        <v/>
      </c>
      <c r="F10" s="2065" t="str">
        <f t="shared" si="5"/>
        <v/>
      </c>
      <c r="G10" s="2065" t="str">
        <f t="shared" si="6"/>
        <v/>
      </c>
      <c r="H10" s="2065" t="str">
        <f t="shared" si="7"/>
        <v/>
      </c>
      <c r="I10" s="2065" t="str">
        <f t="shared" si="8"/>
        <v/>
      </c>
      <c r="J10" s="2069" t="str">
        <f t="shared" si="9"/>
        <v/>
      </c>
      <c r="K10" s="2065" t="str">
        <f t="shared" si="10"/>
        <v/>
      </c>
      <c r="L10" s="2065" t="str">
        <f t="shared" si="11"/>
        <v/>
      </c>
      <c r="N10" s="2065">
        <v>5</v>
      </c>
      <c r="O10" s="2065">
        <f t="shared" si="12"/>
        <v>0</v>
      </c>
      <c r="P10" s="2065">
        <f t="shared" si="16"/>
        <v>0</v>
      </c>
      <c r="Q10" s="2065" t="str">
        <f t="shared" si="13"/>
        <v/>
      </c>
      <c r="R10" s="2065" t="str">
        <f>IF(U10&lt;&gt;"","Bu1","")</f>
        <v/>
      </c>
      <c r="S10" s="2065" t="str">
        <f>IF(U10&lt;&gt;"","1. Boden gegen unbeheizt","")</f>
        <v/>
      </c>
      <c r="T10" s="2065" t="str">
        <f>IF(U10&lt;&gt;"","Geg Unbeh. (Keller im Erdreich)","")</f>
        <v/>
      </c>
      <c r="U10" s="2069" t="str">
        <f>IF(Bau!I70&gt;0,Bau!I70,"")</f>
        <v/>
      </c>
      <c r="V10" s="2069" t="str">
        <f>IF(U10&lt;&gt;"",Bau!M70,"")</f>
        <v/>
      </c>
      <c r="W10" s="2069" t="str">
        <f>IF(U10&lt;&gt;"",Bau!T70,"")</f>
        <v/>
      </c>
      <c r="X10" s="2071" t="str">
        <f>IF(U10&lt;&gt;"",IF(Bau!C70="X","Ja","Nein"),"")</f>
        <v/>
      </c>
      <c r="Y10" s="2068" t="str">
        <f t="shared" si="15"/>
        <v/>
      </c>
      <c r="Z10" s="2065" t="str">
        <f>IF(U10&lt;&gt;"",IF(Bau!C70="X","FBH",""),"")</f>
        <v/>
      </c>
      <c r="AA10" s="2065" t="str">
        <f>""</f>
        <v/>
      </c>
      <c r="AB10" s="2065" t="str">
        <f>""</f>
        <v/>
      </c>
      <c r="AC10" s="2065" t="str">
        <f>""</f>
        <v/>
      </c>
    </row>
    <row r="11" spans="1:29" s="2065" customFormat="1" ht="15" customHeight="1">
      <c r="A11" s="2065" t="str">
        <f t="shared" si="0"/>
        <v/>
      </c>
      <c r="B11" s="2065" t="str">
        <f t="shared" si="1"/>
        <v/>
      </c>
      <c r="C11" s="2065" t="str">
        <f t="shared" si="2"/>
        <v/>
      </c>
      <c r="D11" s="2065" t="str">
        <f t="shared" si="3"/>
        <v/>
      </c>
      <c r="E11" s="2065" t="str">
        <f t="shared" si="4"/>
        <v/>
      </c>
      <c r="F11" s="2065" t="str">
        <f t="shared" si="5"/>
        <v/>
      </c>
      <c r="G11" s="2065" t="str">
        <f t="shared" si="6"/>
        <v/>
      </c>
      <c r="H11" s="2065" t="str">
        <f t="shared" si="7"/>
        <v/>
      </c>
      <c r="I11" s="2065" t="str">
        <f t="shared" si="8"/>
        <v/>
      </c>
      <c r="J11" s="2069" t="str">
        <f t="shared" si="9"/>
        <v/>
      </c>
      <c r="K11" s="2065" t="str">
        <f t="shared" si="10"/>
        <v/>
      </c>
      <c r="L11" s="2065" t="str">
        <f t="shared" si="11"/>
        <v/>
      </c>
      <c r="N11" s="2065">
        <v>6</v>
      </c>
      <c r="O11" s="2065">
        <f t="shared" si="12"/>
        <v>0</v>
      </c>
      <c r="P11" s="2065">
        <f t="shared" si="16"/>
        <v>0</v>
      </c>
      <c r="Q11" s="2065" t="str">
        <f t="shared" si="13"/>
        <v/>
      </c>
      <c r="R11" s="2065" t="str">
        <f>IF(U11&lt;&gt;"","Bu2","")</f>
        <v/>
      </c>
      <c r="S11" s="2065" t="str">
        <f>IF(U11&lt;&gt;"","2. Boden gegen unbeheizt","")</f>
        <v/>
      </c>
      <c r="T11" s="2065" t="str">
        <f>IF(U11&lt;&gt;"","Geg Unbeh. (Keller im Erdreich)","")</f>
        <v/>
      </c>
      <c r="U11" s="2069" t="str">
        <f>IF(Bau!I71&gt;0,Bau!I71,"")</f>
        <v/>
      </c>
      <c r="V11" s="2069" t="str">
        <f>IF(U11&lt;&gt;"",Bau!M71,"")</f>
        <v/>
      </c>
      <c r="W11" s="2069" t="str">
        <f>IF(U11&lt;&gt;"",Bau!T71,"")</f>
        <v/>
      </c>
      <c r="X11" s="2071" t="str">
        <f>IF(U11&lt;&gt;"",IF(Bau!C71="X","Ja","Nein"),"")</f>
        <v/>
      </c>
      <c r="Y11" s="2068" t="str">
        <f t="shared" si="15"/>
        <v/>
      </c>
      <c r="Z11" s="2065" t="str">
        <f>IF(U11&lt;&gt;"",IF(Bau!C71="X","FBH",""),"")</f>
        <v/>
      </c>
      <c r="AA11" s="2065" t="str">
        <f>""</f>
        <v/>
      </c>
      <c r="AB11" s="2065" t="str">
        <f>""</f>
        <v/>
      </c>
      <c r="AC11" s="2065" t="str">
        <f>""</f>
        <v/>
      </c>
    </row>
    <row r="12" spans="1:29" s="2065" customFormat="1" ht="15" customHeight="1">
      <c r="A12" s="2065" t="str">
        <f t="shared" si="0"/>
        <v/>
      </c>
      <c r="B12" s="2065" t="str">
        <f t="shared" si="1"/>
        <v/>
      </c>
      <c r="C12" s="2065" t="str">
        <f t="shared" si="2"/>
        <v/>
      </c>
      <c r="D12" s="2065" t="str">
        <f t="shared" si="3"/>
        <v/>
      </c>
      <c r="E12" s="2065" t="str">
        <f t="shared" si="4"/>
        <v/>
      </c>
      <c r="F12" s="2065" t="str">
        <f t="shared" si="5"/>
        <v/>
      </c>
      <c r="G12" s="2065" t="str">
        <f t="shared" si="6"/>
        <v/>
      </c>
      <c r="H12" s="2065" t="str">
        <f t="shared" si="7"/>
        <v/>
      </c>
      <c r="I12" s="2065" t="str">
        <f t="shared" si="8"/>
        <v/>
      </c>
      <c r="J12" s="2069" t="str">
        <f t="shared" si="9"/>
        <v/>
      </c>
      <c r="K12" s="2065" t="str">
        <f t="shared" si="10"/>
        <v/>
      </c>
      <c r="L12" s="2065" t="str">
        <f t="shared" si="11"/>
        <v/>
      </c>
      <c r="N12" s="2065">
        <v>7</v>
      </c>
      <c r="O12" s="2065">
        <f t="shared" si="12"/>
        <v>0</v>
      </c>
      <c r="P12" s="2065">
        <f t="shared" si="16"/>
        <v>0</v>
      </c>
      <c r="Q12" s="2065" t="str">
        <f t="shared" si="13"/>
        <v/>
      </c>
      <c r="R12" s="2065" t="str">
        <f>IF(U12&lt;&gt;"","Trep","")</f>
        <v/>
      </c>
      <c r="S12" s="2065" t="str">
        <f>IF(U12&lt;&gt;"","Treppe / Lift gegen unbeheizt","")</f>
        <v/>
      </c>
      <c r="T12" s="2065" t="str">
        <f>IF(U12&lt;&gt;"","Geg Unbeh. (Keller im Erdreich)","")</f>
        <v/>
      </c>
      <c r="U12" s="2069" t="str">
        <f>IF(Bau!I73&gt;0,Bau!I73,"")</f>
        <v/>
      </c>
      <c r="V12" s="2069" t="str">
        <f>IF(U12&lt;&gt;"",Bau!M73,"")</f>
        <v/>
      </c>
      <c r="W12" s="2069" t="str">
        <f t="shared" si="14"/>
        <v/>
      </c>
      <c r="X12" s="2071" t="str">
        <f>IF(U12&lt;&gt;"","Nein","")</f>
        <v/>
      </c>
      <c r="Y12" s="2068" t="str">
        <f t="shared" si="15"/>
        <v/>
      </c>
      <c r="Z12" s="2065" t="str">
        <f>""</f>
        <v/>
      </c>
      <c r="AA12" s="2065" t="str">
        <f>""</f>
        <v/>
      </c>
      <c r="AB12" s="2065" t="str">
        <f>""</f>
        <v/>
      </c>
      <c r="AC12" s="2065" t="str">
        <f>""</f>
        <v/>
      </c>
    </row>
    <row r="13" spans="1:29" s="2065" customFormat="1" ht="15" customHeight="1">
      <c r="A13" s="2065" t="str">
        <f t="shared" si="0"/>
        <v/>
      </c>
      <c r="B13" s="2065" t="str">
        <f t="shared" si="1"/>
        <v/>
      </c>
      <c r="C13" s="2065" t="str">
        <f t="shared" si="2"/>
        <v/>
      </c>
      <c r="D13" s="2065" t="str">
        <f t="shared" si="3"/>
        <v/>
      </c>
      <c r="E13" s="2065" t="str">
        <f t="shared" si="4"/>
        <v/>
      </c>
      <c r="F13" s="2065" t="str">
        <f t="shared" si="5"/>
        <v/>
      </c>
      <c r="G13" s="2065" t="str">
        <f t="shared" si="6"/>
        <v/>
      </c>
      <c r="H13" s="2065" t="str">
        <f t="shared" si="7"/>
        <v/>
      </c>
      <c r="I13" s="2065" t="str">
        <f t="shared" si="8"/>
        <v/>
      </c>
      <c r="J13" s="2068" t="str">
        <f t="shared" si="9"/>
        <v/>
      </c>
      <c r="K13" s="2065" t="str">
        <f t="shared" si="10"/>
        <v/>
      </c>
      <c r="L13" s="2065" t="str">
        <f t="shared" si="11"/>
        <v/>
      </c>
      <c r="N13" s="2065">
        <v>8</v>
      </c>
      <c r="O13" s="2065">
        <f t="shared" si="12"/>
        <v>0</v>
      </c>
      <c r="P13" s="2065">
        <f t="shared" si="16"/>
        <v>0</v>
      </c>
      <c r="Q13" s="2065" t="str">
        <f t="shared" si="13"/>
        <v/>
      </c>
      <c r="R13" s="2065" t="str">
        <f>IF(U13&lt;&gt;"","Bb1","")</f>
        <v/>
      </c>
      <c r="S13" s="2065" t="str">
        <f>IF(U13&lt;&gt;"","1. Boden gegen beheizt","")</f>
        <v/>
      </c>
      <c r="T13" s="2065" t="str">
        <f>IF(U13&lt;&gt;"","Geg Beheizt","")</f>
        <v/>
      </c>
      <c r="U13" s="2069" t="str">
        <f>IF(Bau!I75&gt;0,Bau!I75,"")</f>
        <v/>
      </c>
      <c r="V13" s="2069" t="str">
        <f>IF(U13&lt;&gt;"",Bau!M75,"")</f>
        <v/>
      </c>
      <c r="W13" s="2069" t="str">
        <f t="shared" si="14"/>
        <v/>
      </c>
      <c r="X13" s="2071" t="str">
        <f>IF(U13&lt;&gt;"",IF(Bau!C75="X","Ja","Nein"),"")</f>
        <v/>
      </c>
      <c r="Y13" s="2068" t="str">
        <f t="shared" si="15"/>
        <v/>
      </c>
      <c r="Z13" s="2065" t="str">
        <f>IF(U13&lt;&gt;"",IF(Bau!C75="X","FBH",""),"")</f>
        <v/>
      </c>
      <c r="AA13" s="2065" t="str">
        <f>IF(U11&lt;&gt;"",Bau!R75,"")</f>
        <v/>
      </c>
      <c r="AB13" s="2065" t="str">
        <f>""</f>
        <v/>
      </c>
      <c r="AC13" s="2065" t="str">
        <f>""</f>
        <v/>
      </c>
    </row>
    <row r="14" spans="1:29" s="2065" customFormat="1" ht="15" customHeight="1">
      <c r="A14" s="2065" t="str">
        <f t="shared" si="0"/>
        <v/>
      </c>
      <c r="B14" s="2065" t="str">
        <f t="shared" si="1"/>
        <v/>
      </c>
      <c r="C14" s="2065" t="str">
        <f t="shared" si="2"/>
        <v/>
      </c>
      <c r="D14" s="2065" t="str">
        <f t="shared" si="3"/>
        <v/>
      </c>
      <c r="E14" s="2065" t="str">
        <f t="shared" si="4"/>
        <v/>
      </c>
      <c r="F14" s="2065" t="str">
        <f t="shared" si="5"/>
        <v/>
      </c>
      <c r="G14" s="2065" t="str">
        <f t="shared" si="6"/>
        <v/>
      </c>
      <c r="H14" s="2065" t="str">
        <f t="shared" si="7"/>
        <v/>
      </c>
      <c r="I14" s="2065" t="str">
        <f t="shared" si="8"/>
        <v/>
      </c>
      <c r="J14" s="2068" t="str">
        <f t="shared" si="9"/>
        <v/>
      </c>
      <c r="K14" s="2065" t="str">
        <f t="shared" si="10"/>
        <v/>
      </c>
      <c r="L14" s="2065" t="str">
        <f t="shared" si="11"/>
        <v/>
      </c>
      <c r="N14" s="2065">
        <v>9</v>
      </c>
      <c r="O14" s="2065">
        <f t="shared" si="12"/>
        <v>0</v>
      </c>
      <c r="P14" s="2065">
        <f t="shared" si="16"/>
        <v>0</v>
      </c>
      <c r="Q14" s="2065" t="str">
        <f t="shared" si="13"/>
        <v/>
      </c>
      <c r="R14" s="2065" t="str">
        <f>IF(U14&lt;&gt;"","Bb2","")</f>
        <v/>
      </c>
      <c r="S14" s="2065" t="str">
        <f>IF(U14&lt;&gt;"","2. Boden gegen beheizt","")</f>
        <v/>
      </c>
      <c r="T14" s="2065" t="str">
        <f>IF(U14&lt;&gt;"","Geg Beheizt","")</f>
        <v/>
      </c>
      <c r="U14" s="2069" t="str">
        <f>IF(Bau!I76&gt;0,Bau!I76,"")</f>
        <v/>
      </c>
      <c r="V14" s="2069" t="str">
        <f>IF(U14&lt;&gt;"",Bau!M76,"")</f>
        <v/>
      </c>
      <c r="W14" s="2069" t="str">
        <f t="shared" si="14"/>
        <v/>
      </c>
      <c r="X14" s="2071" t="str">
        <f>IF(U14&lt;&gt;"",IF(Bau!C76="X","Ja","Nein"),"")</f>
        <v/>
      </c>
      <c r="Y14" s="2068" t="str">
        <f t="shared" si="15"/>
        <v/>
      </c>
      <c r="Z14" s="2065" t="str">
        <f>IF(U14&lt;&gt;"",IF(Bau!C76="X","FBH",""),"")</f>
        <v/>
      </c>
      <c r="AA14" s="2065" t="str">
        <f>IF(U12&lt;&gt;"",Bau!R76,"")</f>
        <v/>
      </c>
      <c r="AB14" s="2065" t="str">
        <f>""</f>
        <v/>
      </c>
      <c r="AC14" s="2065" t="str">
        <f>""</f>
        <v/>
      </c>
    </row>
  </sheetData>
  <sheetProtection password="C9AE" sheet="1" objects="1" scenarios="1"/>
  <mergeCells count="5">
    <mergeCell ref="A1:J1"/>
    <mergeCell ref="A2:B2"/>
    <mergeCell ref="A3:B3"/>
    <mergeCell ref="A4:B4"/>
    <mergeCell ref="C4:J4"/>
  </mergeCells>
  <conditionalFormatting sqref="C2">
    <cfRule type="expression" dxfId="12" priority="6" stopIfTrue="1">
      <formula>LEN(TRIM(C2))=0</formula>
    </cfRule>
  </conditionalFormatting>
  <conditionalFormatting sqref="C3">
    <cfRule type="expression" dxfId="11" priority="7" stopIfTrue="1">
      <formula>LEN(TRIM(C3))=0</formula>
    </cfRule>
  </conditionalFormatting>
  <conditionalFormatting sqref="T13:U14">
    <cfRule type="expression" dxfId="10" priority="8" stopIfTrue="1">
      <formula>AND(COUNTA($A12:$L12)&gt;0,ISBLANK(T13))</formula>
    </cfRule>
  </conditionalFormatting>
  <conditionalFormatting sqref="R8:R9">
    <cfRule type="expression" dxfId="9" priority="5" stopIfTrue="1">
      <formula>AND(COUNTA($A8:$L8)&gt;0,ISBLANK(R8))</formula>
    </cfRule>
  </conditionalFormatting>
  <conditionalFormatting sqref="R10:R12">
    <cfRule type="expression" dxfId="8" priority="4" stopIfTrue="1">
      <formula>AND(COUNTA($A10:$L10)&gt;0,ISBLANK(R10))</formula>
    </cfRule>
  </conditionalFormatting>
  <conditionalFormatting sqref="R13:R14">
    <cfRule type="expression" dxfId="7" priority="3" stopIfTrue="1">
      <formula>AND(COUNTA($A13:$L13)&gt;0,ISBLANK(R13))</formula>
    </cfRule>
  </conditionalFormatting>
  <conditionalFormatting sqref="X6:X14">
    <cfRule type="expression" dxfId="6" priority="1" stopIfTrue="1">
      <formula>AND(COUNTA($A6:$L6)&gt;0,ISBLANK(X6))</formula>
    </cfRule>
  </conditionalFormatting>
  <dataValidations count="7">
    <dataValidation type="list" allowBlank="1" showInputMessage="1" showErrorMessage="1" sqref="X6:X14">
      <formula1>Boolean</formula1>
    </dataValidation>
    <dataValidation type="list" allowBlank="1" showInputMessage="1" showErrorMessage="1" sqref="T6:T14">
      <formula1>FloorType</formula1>
    </dataValidation>
    <dataValidation type="list" showInputMessage="1" showErrorMessage="1" sqref="C3">
      <formula1>BasementHeatingLevel</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formula1>OrientationHExtended</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formula1>RoofCeilingType</formula1>
    </dataValidation>
    <dataValidation type="list"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RoofType</formula1>
    </dataValidation>
    <dataValidation type="list" showInputMessage="1" showErrorMessage="1" sqref="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2">
      <formula1>GeneralCondition</formula1>
    </dataValidation>
  </dataValidation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2"/>
  <sheetViews>
    <sheetView workbookViewId="0">
      <selection activeCell="E30" sqref="E30"/>
    </sheetView>
  </sheetViews>
  <sheetFormatPr baseColWidth="10" defaultColWidth="9.140625" defaultRowHeight="12"/>
  <cols>
    <col min="1" max="1" width="6.85546875" style="2065" customWidth="1"/>
    <col min="2" max="2" width="32.28515625" style="2065" customWidth="1"/>
    <col min="3" max="3" width="17" style="2065" customWidth="1"/>
    <col min="4" max="4" width="9" style="2065" customWidth="1"/>
    <col min="5" max="5" width="9.140625" style="2065" customWidth="1"/>
    <col min="6" max="6" width="7.7109375" style="2065" customWidth="1"/>
    <col min="7" max="7" width="8.140625" style="2065" customWidth="1"/>
    <col min="8" max="13" width="9.140625" style="2065"/>
    <col min="14" max="18" width="0" style="2065" hidden="1" customWidth="1"/>
    <col min="19" max="19" width="41.5703125" style="2065" hidden="1" customWidth="1"/>
    <col min="20" max="20" width="16.85546875" style="2065" hidden="1" customWidth="1"/>
    <col min="21" max="25" width="0" style="2065" hidden="1" customWidth="1"/>
    <col min="26" max="256" width="9.140625" style="2065"/>
    <col min="257" max="257" width="6.85546875" style="2065" customWidth="1"/>
    <col min="258" max="258" width="32.28515625" style="2065" customWidth="1"/>
    <col min="259" max="259" width="17" style="2065" customWidth="1"/>
    <col min="260" max="260" width="9" style="2065" customWidth="1"/>
    <col min="261" max="261" width="6.85546875" style="2065" customWidth="1"/>
    <col min="262" max="262" width="7.7109375" style="2065" customWidth="1"/>
    <col min="263" max="263" width="8.140625" style="2065" customWidth="1"/>
    <col min="264" max="512" width="9.140625" style="2065"/>
    <col min="513" max="513" width="6.85546875" style="2065" customWidth="1"/>
    <col min="514" max="514" width="32.28515625" style="2065" customWidth="1"/>
    <col min="515" max="515" width="17" style="2065" customWidth="1"/>
    <col min="516" max="516" width="9" style="2065" customWidth="1"/>
    <col min="517" max="517" width="6.85546875" style="2065" customWidth="1"/>
    <col min="518" max="518" width="7.7109375" style="2065" customWidth="1"/>
    <col min="519" max="519" width="8.140625" style="2065" customWidth="1"/>
    <col min="520" max="768" width="9.140625" style="2065"/>
    <col min="769" max="769" width="6.85546875" style="2065" customWidth="1"/>
    <col min="770" max="770" width="32.28515625" style="2065" customWidth="1"/>
    <col min="771" max="771" width="17" style="2065" customWidth="1"/>
    <col min="772" max="772" width="9" style="2065" customWidth="1"/>
    <col min="773" max="773" width="6.85546875" style="2065" customWidth="1"/>
    <col min="774" max="774" width="7.7109375" style="2065" customWidth="1"/>
    <col min="775" max="775" width="8.140625" style="2065" customWidth="1"/>
    <col min="776" max="1024" width="9.140625" style="2065"/>
    <col min="1025" max="1025" width="6.85546875" style="2065" customWidth="1"/>
    <col min="1026" max="1026" width="32.28515625" style="2065" customWidth="1"/>
    <col min="1027" max="1027" width="17" style="2065" customWidth="1"/>
    <col min="1028" max="1028" width="9" style="2065" customWidth="1"/>
    <col min="1029" max="1029" width="6.85546875" style="2065" customWidth="1"/>
    <col min="1030" max="1030" width="7.7109375" style="2065" customWidth="1"/>
    <col min="1031" max="1031" width="8.140625" style="2065" customWidth="1"/>
    <col min="1032" max="1280" width="9.140625" style="2065"/>
    <col min="1281" max="1281" width="6.85546875" style="2065" customWidth="1"/>
    <col min="1282" max="1282" width="32.28515625" style="2065" customWidth="1"/>
    <col min="1283" max="1283" width="17" style="2065" customWidth="1"/>
    <col min="1284" max="1284" width="9" style="2065" customWidth="1"/>
    <col min="1285" max="1285" width="6.85546875" style="2065" customWidth="1"/>
    <col min="1286" max="1286" width="7.7109375" style="2065" customWidth="1"/>
    <col min="1287" max="1287" width="8.140625" style="2065" customWidth="1"/>
    <col min="1288" max="1536" width="9.140625" style="2065"/>
    <col min="1537" max="1537" width="6.85546875" style="2065" customWidth="1"/>
    <col min="1538" max="1538" width="32.28515625" style="2065" customWidth="1"/>
    <col min="1539" max="1539" width="17" style="2065" customWidth="1"/>
    <col min="1540" max="1540" width="9" style="2065" customWidth="1"/>
    <col min="1541" max="1541" width="6.85546875" style="2065" customWidth="1"/>
    <col min="1542" max="1542" width="7.7109375" style="2065" customWidth="1"/>
    <col min="1543" max="1543" width="8.140625" style="2065" customWidth="1"/>
    <col min="1544" max="1792" width="9.140625" style="2065"/>
    <col min="1793" max="1793" width="6.85546875" style="2065" customWidth="1"/>
    <col min="1794" max="1794" width="32.28515625" style="2065" customWidth="1"/>
    <col min="1795" max="1795" width="17" style="2065" customWidth="1"/>
    <col min="1796" max="1796" width="9" style="2065" customWidth="1"/>
    <col min="1797" max="1797" width="6.85546875" style="2065" customWidth="1"/>
    <col min="1798" max="1798" width="7.7109375" style="2065" customWidth="1"/>
    <col min="1799" max="1799" width="8.140625" style="2065" customWidth="1"/>
    <col min="1800" max="2048" width="9.140625" style="2065"/>
    <col min="2049" max="2049" width="6.85546875" style="2065" customWidth="1"/>
    <col min="2050" max="2050" width="32.28515625" style="2065" customWidth="1"/>
    <col min="2051" max="2051" width="17" style="2065" customWidth="1"/>
    <col min="2052" max="2052" width="9" style="2065" customWidth="1"/>
    <col min="2053" max="2053" width="6.85546875" style="2065" customWidth="1"/>
    <col min="2054" max="2054" width="7.7109375" style="2065" customWidth="1"/>
    <col min="2055" max="2055" width="8.140625" style="2065" customWidth="1"/>
    <col min="2056" max="2304" width="9.140625" style="2065"/>
    <col min="2305" max="2305" width="6.85546875" style="2065" customWidth="1"/>
    <col min="2306" max="2306" width="32.28515625" style="2065" customWidth="1"/>
    <col min="2307" max="2307" width="17" style="2065" customWidth="1"/>
    <col min="2308" max="2308" width="9" style="2065" customWidth="1"/>
    <col min="2309" max="2309" width="6.85546875" style="2065" customWidth="1"/>
    <col min="2310" max="2310" width="7.7109375" style="2065" customWidth="1"/>
    <col min="2311" max="2311" width="8.140625" style="2065" customWidth="1"/>
    <col min="2312" max="2560" width="9.140625" style="2065"/>
    <col min="2561" max="2561" width="6.85546875" style="2065" customWidth="1"/>
    <col min="2562" max="2562" width="32.28515625" style="2065" customWidth="1"/>
    <col min="2563" max="2563" width="17" style="2065" customWidth="1"/>
    <col min="2564" max="2564" width="9" style="2065" customWidth="1"/>
    <col min="2565" max="2565" width="6.85546875" style="2065" customWidth="1"/>
    <col min="2566" max="2566" width="7.7109375" style="2065" customWidth="1"/>
    <col min="2567" max="2567" width="8.140625" style="2065" customWidth="1"/>
    <col min="2568" max="2816" width="9.140625" style="2065"/>
    <col min="2817" max="2817" width="6.85546875" style="2065" customWidth="1"/>
    <col min="2818" max="2818" width="32.28515625" style="2065" customWidth="1"/>
    <col min="2819" max="2819" width="17" style="2065" customWidth="1"/>
    <col min="2820" max="2820" width="9" style="2065" customWidth="1"/>
    <col min="2821" max="2821" width="6.85546875" style="2065" customWidth="1"/>
    <col min="2822" max="2822" width="7.7109375" style="2065" customWidth="1"/>
    <col min="2823" max="2823" width="8.140625" style="2065" customWidth="1"/>
    <col min="2824" max="3072" width="9.140625" style="2065"/>
    <col min="3073" max="3073" width="6.85546875" style="2065" customWidth="1"/>
    <col min="3074" max="3074" width="32.28515625" style="2065" customWidth="1"/>
    <col min="3075" max="3075" width="17" style="2065" customWidth="1"/>
    <col min="3076" max="3076" width="9" style="2065" customWidth="1"/>
    <col min="3077" max="3077" width="6.85546875" style="2065" customWidth="1"/>
    <col min="3078" max="3078" width="7.7109375" style="2065" customWidth="1"/>
    <col min="3079" max="3079" width="8.140625" style="2065" customWidth="1"/>
    <col min="3080" max="3328" width="9.140625" style="2065"/>
    <col min="3329" max="3329" width="6.85546875" style="2065" customWidth="1"/>
    <col min="3330" max="3330" width="32.28515625" style="2065" customWidth="1"/>
    <col min="3331" max="3331" width="17" style="2065" customWidth="1"/>
    <col min="3332" max="3332" width="9" style="2065" customWidth="1"/>
    <col min="3333" max="3333" width="6.85546875" style="2065" customWidth="1"/>
    <col min="3334" max="3334" width="7.7109375" style="2065" customWidth="1"/>
    <col min="3335" max="3335" width="8.140625" style="2065" customWidth="1"/>
    <col min="3336" max="3584" width="9.140625" style="2065"/>
    <col min="3585" max="3585" width="6.85546875" style="2065" customWidth="1"/>
    <col min="3586" max="3586" width="32.28515625" style="2065" customWidth="1"/>
    <col min="3587" max="3587" width="17" style="2065" customWidth="1"/>
    <col min="3588" max="3588" width="9" style="2065" customWidth="1"/>
    <col min="3589" max="3589" width="6.85546875" style="2065" customWidth="1"/>
    <col min="3590" max="3590" width="7.7109375" style="2065" customWidth="1"/>
    <col min="3591" max="3591" width="8.140625" style="2065" customWidth="1"/>
    <col min="3592" max="3840" width="9.140625" style="2065"/>
    <col min="3841" max="3841" width="6.85546875" style="2065" customWidth="1"/>
    <col min="3842" max="3842" width="32.28515625" style="2065" customWidth="1"/>
    <col min="3843" max="3843" width="17" style="2065" customWidth="1"/>
    <col min="3844" max="3844" width="9" style="2065" customWidth="1"/>
    <col min="3845" max="3845" width="6.85546875" style="2065" customWidth="1"/>
    <col min="3846" max="3846" width="7.7109375" style="2065" customWidth="1"/>
    <col min="3847" max="3847" width="8.140625" style="2065" customWidth="1"/>
    <col min="3848" max="4096" width="9.140625" style="2065"/>
    <col min="4097" max="4097" width="6.85546875" style="2065" customWidth="1"/>
    <col min="4098" max="4098" width="32.28515625" style="2065" customWidth="1"/>
    <col min="4099" max="4099" width="17" style="2065" customWidth="1"/>
    <col min="4100" max="4100" width="9" style="2065" customWidth="1"/>
    <col min="4101" max="4101" width="6.85546875" style="2065" customWidth="1"/>
    <col min="4102" max="4102" width="7.7109375" style="2065" customWidth="1"/>
    <col min="4103" max="4103" width="8.140625" style="2065" customWidth="1"/>
    <col min="4104" max="4352" width="9.140625" style="2065"/>
    <col min="4353" max="4353" width="6.85546875" style="2065" customWidth="1"/>
    <col min="4354" max="4354" width="32.28515625" style="2065" customWidth="1"/>
    <col min="4355" max="4355" width="17" style="2065" customWidth="1"/>
    <col min="4356" max="4356" width="9" style="2065" customWidth="1"/>
    <col min="4357" max="4357" width="6.85546875" style="2065" customWidth="1"/>
    <col min="4358" max="4358" width="7.7109375" style="2065" customWidth="1"/>
    <col min="4359" max="4359" width="8.140625" style="2065" customWidth="1"/>
    <col min="4360" max="4608" width="9.140625" style="2065"/>
    <col min="4609" max="4609" width="6.85546875" style="2065" customWidth="1"/>
    <col min="4610" max="4610" width="32.28515625" style="2065" customWidth="1"/>
    <col min="4611" max="4611" width="17" style="2065" customWidth="1"/>
    <col min="4612" max="4612" width="9" style="2065" customWidth="1"/>
    <col min="4613" max="4613" width="6.85546875" style="2065" customWidth="1"/>
    <col min="4614" max="4614" width="7.7109375" style="2065" customWidth="1"/>
    <col min="4615" max="4615" width="8.140625" style="2065" customWidth="1"/>
    <col min="4616" max="4864" width="9.140625" style="2065"/>
    <col min="4865" max="4865" width="6.85546875" style="2065" customWidth="1"/>
    <col min="4866" max="4866" width="32.28515625" style="2065" customWidth="1"/>
    <col min="4867" max="4867" width="17" style="2065" customWidth="1"/>
    <col min="4868" max="4868" width="9" style="2065" customWidth="1"/>
    <col min="4869" max="4869" width="6.85546875" style="2065" customWidth="1"/>
    <col min="4870" max="4870" width="7.7109375" style="2065" customWidth="1"/>
    <col min="4871" max="4871" width="8.140625" style="2065" customWidth="1"/>
    <col min="4872" max="5120" width="9.140625" style="2065"/>
    <col min="5121" max="5121" width="6.85546875" style="2065" customWidth="1"/>
    <col min="5122" max="5122" width="32.28515625" style="2065" customWidth="1"/>
    <col min="5123" max="5123" width="17" style="2065" customWidth="1"/>
    <col min="5124" max="5124" width="9" style="2065" customWidth="1"/>
    <col min="5125" max="5125" width="6.85546875" style="2065" customWidth="1"/>
    <col min="5126" max="5126" width="7.7109375" style="2065" customWidth="1"/>
    <col min="5127" max="5127" width="8.140625" style="2065" customWidth="1"/>
    <col min="5128" max="5376" width="9.140625" style="2065"/>
    <col min="5377" max="5377" width="6.85546875" style="2065" customWidth="1"/>
    <col min="5378" max="5378" width="32.28515625" style="2065" customWidth="1"/>
    <col min="5379" max="5379" width="17" style="2065" customWidth="1"/>
    <col min="5380" max="5380" width="9" style="2065" customWidth="1"/>
    <col min="5381" max="5381" width="6.85546875" style="2065" customWidth="1"/>
    <col min="5382" max="5382" width="7.7109375" style="2065" customWidth="1"/>
    <col min="5383" max="5383" width="8.140625" style="2065" customWidth="1"/>
    <col min="5384" max="5632" width="9.140625" style="2065"/>
    <col min="5633" max="5633" width="6.85546875" style="2065" customWidth="1"/>
    <col min="5634" max="5634" width="32.28515625" style="2065" customWidth="1"/>
    <col min="5635" max="5635" width="17" style="2065" customWidth="1"/>
    <col min="5636" max="5636" width="9" style="2065" customWidth="1"/>
    <col min="5637" max="5637" width="6.85546875" style="2065" customWidth="1"/>
    <col min="5638" max="5638" width="7.7109375" style="2065" customWidth="1"/>
    <col min="5639" max="5639" width="8.140625" style="2065" customWidth="1"/>
    <col min="5640" max="5888" width="9.140625" style="2065"/>
    <col min="5889" max="5889" width="6.85546875" style="2065" customWidth="1"/>
    <col min="5890" max="5890" width="32.28515625" style="2065" customWidth="1"/>
    <col min="5891" max="5891" width="17" style="2065" customWidth="1"/>
    <col min="5892" max="5892" width="9" style="2065" customWidth="1"/>
    <col min="5893" max="5893" width="6.85546875" style="2065" customWidth="1"/>
    <col min="5894" max="5894" width="7.7109375" style="2065" customWidth="1"/>
    <col min="5895" max="5895" width="8.140625" style="2065" customWidth="1"/>
    <col min="5896" max="6144" width="9.140625" style="2065"/>
    <col min="6145" max="6145" width="6.85546875" style="2065" customWidth="1"/>
    <col min="6146" max="6146" width="32.28515625" style="2065" customWidth="1"/>
    <col min="6147" max="6147" width="17" style="2065" customWidth="1"/>
    <col min="6148" max="6148" width="9" style="2065" customWidth="1"/>
    <col min="6149" max="6149" width="6.85546875" style="2065" customWidth="1"/>
    <col min="6150" max="6150" width="7.7109375" style="2065" customWidth="1"/>
    <col min="6151" max="6151" width="8.140625" style="2065" customWidth="1"/>
    <col min="6152" max="6400" width="9.140625" style="2065"/>
    <col min="6401" max="6401" width="6.85546875" style="2065" customWidth="1"/>
    <col min="6402" max="6402" width="32.28515625" style="2065" customWidth="1"/>
    <col min="6403" max="6403" width="17" style="2065" customWidth="1"/>
    <col min="6404" max="6404" width="9" style="2065" customWidth="1"/>
    <col min="6405" max="6405" width="6.85546875" style="2065" customWidth="1"/>
    <col min="6406" max="6406" width="7.7109375" style="2065" customWidth="1"/>
    <col min="6407" max="6407" width="8.140625" style="2065" customWidth="1"/>
    <col min="6408" max="6656" width="9.140625" style="2065"/>
    <col min="6657" max="6657" width="6.85546875" style="2065" customWidth="1"/>
    <col min="6658" max="6658" width="32.28515625" style="2065" customWidth="1"/>
    <col min="6659" max="6659" width="17" style="2065" customWidth="1"/>
    <col min="6660" max="6660" width="9" style="2065" customWidth="1"/>
    <col min="6661" max="6661" width="6.85546875" style="2065" customWidth="1"/>
    <col min="6662" max="6662" width="7.7109375" style="2065" customWidth="1"/>
    <col min="6663" max="6663" width="8.140625" style="2065" customWidth="1"/>
    <col min="6664" max="6912" width="9.140625" style="2065"/>
    <col min="6913" max="6913" width="6.85546875" style="2065" customWidth="1"/>
    <col min="6914" max="6914" width="32.28515625" style="2065" customWidth="1"/>
    <col min="6915" max="6915" width="17" style="2065" customWidth="1"/>
    <col min="6916" max="6916" width="9" style="2065" customWidth="1"/>
    <col min="6917" max="6917" width="6.85546875" style="2065" customWidth="1"/>
    <col min="6918" max="6918" width="7.7109375" style="2065" customWidth="1"/>
    <col min="6919" max="6919" width="8.140625" style="2065" customWidth="1"/>
    <col min="6920" max="7168" width="9.140625" style="2065"/>
    <col min="7169" max="7169" width="6.85546875" style="2065" customWidth="1"/>
    <col min="7170" max="7170" width="32.28515625" style="2065" customWidth="1"/>
    <col min="7171" max="7171" width="17" style="2065" customWidth="1"/>
    <col min="7172" max="7172" width="9" style="2065" customWidth="1"/>
    <col min="7173" max="7173" width="6.85546875" style="2065" customWidth="1"/>
    <col min="7174" max="7174" width="7.7109375" style="2065" customWidth="1"/>
    <col min="7175" max="7175" width="8.140625" style="2065" customWidth="1"/>
    <col min="7176" max="7424" width="9.140625" style="2065"/>
    <col min="7425" max="7425" width="6.85546875" style="2065" customWidth="1"/>
    <col min="7426" max="7426" width="32.28515625" style="2065" customWidth="1"/>
    <col min="7427" max="7427" width="17" style="2065" customWidth="1"/>
    <col min="7428" max="7428" width="9" style="2065" customWidth="1"/>
    <col min="7429" max="7429" width="6.85546875" style="2065" customWidth="1"/>
    <col min="7430" max="7430" width="7.7109375" style="2065" customWidth="1"/>
    <col min="7431" max="7431" width="8.140625" style="2065" customWidth="1"/>
    <col min="7432" max="7680" width="9.140625" style="2065"/>
    <col min="7681" max="7681" width="6.85546875" style="2065" customWidth="1"/>
    <col min="7682" max="7682" width="32.28515625" style="2065" customWidth="1"/>
    <col min="7683" max="7683" width="17" style="2065" customWidth="1"/>
    <col min="7684" max="7684" width="9" style="2065" customWidth="1"/>
    <col min="7685" max="7685" width="6.85546875" style="2065" customWidth="1"/>
    <col min="7686" max="7686" width="7.7109375" style="2065" customWidth="1"/>
    <col min="7687" max="7687" width="8.140625" style="2065" customWidth="1"/>
    <col min="7688" max="7936" width="9.140625" style="2065"/>
    <col min="7937" max="7937" width="6.85546875" style="2065" customWidth="1"/>
    <col min="7938" max="7938" width="32.28515625" style="2065" customWidth="1"/>
    <col min="7939" max="7939" width="17" style="2065" customWidth="1"/>
    <col min="7940" max="7940" width="9" style="2065" customWidth="1"/>
    <col min="7941" max="7941" width="6.85546875" style="2065" customWidth="1"/>
    <col min="7942" max="7942" width="7.7109375" style="2065" customWidth="1"/>
    <col min="7943" max="7943" width="8.140625" style="2065" customWidth="1"/>
    <col min="7944" max="8192" width="9.140625" style="2065"/>
    <col min="8193" max="8193" width="6.85546875" style="2065" customWidth="1"/>
    <col min="8194" max="8194" width="32.28515625" style="2065" customWidth="1"/>
    <col min="8195" max="8195" width="17" style="2065" customWidth="1"/>
    <col min="8196" max="8196" width="9" style="2065" customWidth="1"/>
    <col min="8197" max="8197" width="6.85546875" style="2065" customWidth="1"/>
    <col min="8198" max="8198" width="7.7109375" style="2065" customWidth="1"/>
    <col min="8199" max="8199" width="8.140625" style="2065" customWidth="1"/>
    <col min="8200" max="8448" width="9.140625" style="2065"/>
    <col min="8449" max="8449" width="6.85546875" style="2065" customWidth="1"/>
    <col min="8450" max="8450" width="32.28515625" style="2065" customWidth="1"/>
    <col min="8451" max="8451" width="17" style="2065" customWidth="1"/>
    <col min="8452" max="8452" width="9" style="2065" customWidth="1"/>
    <col min="8453" max="8453" width="6.85546875" style="2065" customWidth="1"/>
    <col min="8454" max="8454" width="7.7109375" style="2065" customWidth="1"/>
    <col min="8455" max="8455" width="8.140625" style="2065" customWidth="1"/>
    <col min="8456" max="8704" width="9.140625" style="2065"/>
    <col min="8705" max="8705" width="6.85546875" style="2065" customWidth="1"/>
    <col min="8706" max="8706" width="32.28515625" style="2065" customWidth="1"/>
    <col min="8707" max="8707" width="17" style="2065" customWidth="1"/>
    <col min="8708" max="8708" width="9" style="2065" customWidth="1"/>
    <col min="8709" max="8709" width="6.85546875" style="2065" customWidth="1"/>
    <col min="8710" max="8710" width="7.7109375" style="2065" customWidth="1"/>
    <col min="8711" max="8711" width="8.140625" style="2065" customWidth="1"/>
    <col min="8712" max="8960" width="9.140625" style="2065"/>
    <col min="8961" max="8961" width="6.85546875" style="2065" customWidth="1"/>
    <col min="8962" max="8962" width="32.28515625" style="2065" customWidth="1"/>
    <col min="8963" max="8963" width="17" style="2065" customWidth="1"/>
    <col min="8964" max="8964" width="9" style="2065" customWidth="1"/>
    <col min="8965" max="8965" width="6.85546875" style="2065" customWidth="1"/>
    <col min="8966" max="8966" width="7.7109375" style="2065" customWidth="1"/>
    <col min="8967" max="8967" width="8.140625" style="2065" customWidth="1"/>
    <col min="8968" max="9216" width="9.140625" style="2065"/>
    <col min="9217" max="9217" width="6.85546875" style="2065" customWidth="1"/>
    <col min="9218" max="9218" width="32.28515625" style="2065" customWidth="1"/>
    <col min="9219" max="9219" width="17" style="2065" customWidth="1"/>
    <col min="9220" max="9220" width="9" style="2065" customWidth="1"/>
    <col min="9221" max="9221" width="6.85546875" style="2065" customWidth="1"/>
    <col min="9222" max="9222" width="7.7109375" style="2065" customWidth="1"/>
    <col min="9223" max="9223" width="8.140625" style="2065" customWidth="1"/>
    <col min="9224" max="9472" width="9.140625" style="2065"/>
    <col min="9473" max="9473" width="6.85546875" style="2065" customWidth="1"/>
    <col min="9474" max="9474" width="32.28515625" style="2065" customWidth="1"/>
    <col min="9475" max="9475" width="17" style="2065" customWidth="1"/>
    <col min="9476" max="9476" width="9" style="2065" customWidth="1"/>
    <col min="9477" max="9477" width="6.85546875" style="2065" customWidth="1"/>
    <col min="9478" max="9478" width="7.7109375" style="2065" customWidth="1"/>
    <col min="9479" max="9479" width="8.140625" style="2065" customWidth="1"/>
    <col min="9480" max="9728" width="9.140625" style="2065"/>
    <col min="9729" max="9729" width="6.85546875" style="2065" customWidth="1"/>
    <col min="9730" max="9730" width="32.28515625" style="2065" customWidth="1"/>
    <col min="9731" max="9731" width="17" style="2065" customWidth="1"/>
    <col min="9732" max="9732" width="9" style="2065" customWidth="1"/>
    <col min="9733" max="9733" width="6.85546875" style="2065" customWidth="1"/>
    <col min="9734" max="9734" width="7.7109375" style="2065" customWidth="1"/>
    <col min="9735" max="9735" width="8.140625" style="2065" customWidth="1"/>
    <col min="9736" max="9984" width="9.140625" style="2065"/>
    <col min="9985" max="9985" width="6.85546875" style="2065" customWidth="1"/>
    <col min="9986" max="9986" width="32.28515625" style="2065" customWidth="1"/>
    <col min="9987" max="9987" width="17" style="2065" customWidth="1"/>
    <col min="9988" max="9988" width="9" style="2065" customWidth="1"/>
    <col min="9989" max="9989" width="6.85546875" style="2065" customWidth="1"/>
    <col min="9990" max="9990" width="7.7109375" style="2065" customWidth="1"/>
    <col min="9991" max="9991" width="8.140625" style="2065" customWidth="1"/>
    <col min="9992" max="10240" width="9.140625" style="2065"/>
    <col min="10241" max="10241" width="6.85546875" style="2065" customWidth="1"/>
    <col min="10242" max="10242" width="32.28515625" style="2065" customWidth="1"/>
    <col min="10243" max="10243" width="17" style="2065" customWidth="1"/>
    <col min="10244" max="10244" width="9" style="2065" customWidth="1"/>
    <col min="10245" max="10245" width="6.85546875" style="2065" customWidth="1"/>
    <col min="10246" max="10246" width="7.7109375" style="2065" customWidth="1"/>
    <col min="10247" max="10247" width="8.140625" style="2065" customWidth="1"/>
    <col min="10248" max="10496" width="9.140625" style="2065"/>
    <col min="10497" max="10497" width="6.85546875" style="2065" customWidth="1"/>
    <col min="10498" max="10498" width="32.28515625" style="2065" customWidth="1"/>
    <col min="10499" max="10499" width="17" style="2065" customWidth="1"/>
    <col min="10500" max="10500" width="9" style="2065" customWidth="1"/>
    <col min="10501" max="10501" width="6.85546875" style="2065" customWidth="1"/>
    <col min="10502" max="10502" width="7.7109375" style="2065" customWidth="1"/>
    <col min="10503" max="10503" width="8.140625" style="2065" customWidth="1"/>
    <col min="10504" max="10752" width="9.140625" style="2065"/>
    <col min="10753" max="10753" width="6.85546875" style="2065" customWidth="1"/>
    <col min="10754" max="10754" width="32.28515625" style="2065" customWidth="1"/>
    <col min="10755" max="10755" width="17" style="2065" customWidth="1"/>
    <col min="10756" max="10756" width="9" style="2065" customWidth="1"/>
    <col min="10757" max="10757" width="6.85546875" style="2065" customWidth="1"/>
    <col min="10758" max="10758" width="7.7109375" style="2065" customWidth="1"/>
    <col min="10759" max="10759" width="8.140625" style="2065" customWidth="1"/>
    <col min="10760" max="11008" width="9.140625" style="2065"/>
    <col min="11009" max="11009" width="6.85546875" style="2065" customWidth="1"/>
    <col min="11010" max="11010" width="32.28515625" style="2065" customWidth="1"/>
    <col min="11011" max="11011" width="17" style="2065" customWidth="1"/>
    <col min="11012" max="11012" width="9" style="2065" customWidth="1"/>
    <col min="11013" max="11013" width="6.85546875" style="2065" customWidth="1"/>
    <col min="11014" max="11014" width="7.7109375" style="2065" customWidth="1"/>
    <col min="11015" max="11015" width="8.140625" style="2065" customWidth="1"/>
    <col min="11016" max="11264" width="9.140625" style="2065"/>
    <col min="11265" max="11265" width="6.85546875" style="2065" customWidth="1"/>
    <col min="11266" max="11266" width="32.28515625" style="2065" customWidth="1"/>
    <col min="11267" max="11267" width="17" style="2065" customWidth="1"/>
    <col min="11268" max="11268" width="9" style="2065" customWidth="1"/>
    <col min="11269" max="11269" width="6.85546875" style="2065" customWidth="1"/>
    <col min="11270" max="11270" width="7.7109375" style="2065" customWidth="1"/>
    <col min="11271" max="11271" width="8.140625" style="2065" customWidth="1"/>
    <col min="11272" max="11520" width="9.140625" style="2065"/>
    <col min="11521" max="11521" width="6.85546875" style="2065" customWidth="1"/>
    <col min="11522" max="11522" width="32.28515625" style="2065" customWidth="1"/>
    <col min="11523" max="11523" width="17" style="2065" customWidth="1"/>
    <col min="11524" max="11524" width="9" style="2065" customWidth="1"/>
    <col min="11525" max="11525" width="6.85546875" style="2065" customWidth="1"/>
    <col min="11526" max="11526" width="7.7109375" style="2065" customWidth="1"/>
    <col min="11527" max="11527" width="8.140625" style="2065" customWidth="1"/>
    <col min="11528" max="11776" width="9.140625" style="2065"/>
    <col min="11777" max="11777" width="6.85546875" style="2065" customWidth="1"/>
    <col min="11778" max="11778" width="32.28515625" style="2065" customWidth="1"/>
    <col min="11779" max="11779" width="17" style="2065" customWidth="1"/>
    <col min="11780" max="11780" width="9" style="2065" customWidth="1"/>
    <col min="11781" max="11781" width="6.85546875" style="2065" customWidth="1"/>
    <col min="11782" max="11782" width="7.7109375" style="2065" customWidth="1"/>
    <col min="11783" max="11783" width="8.140625" style="2065" customWidth="1"/>
    <col min="11784" max="12032" width="9.140625" style="2065"/>
    <col min="12033" max="12033" width="6.85546875" style="2065" customWidth="1"/>
    <col min="12034" max="12034" width="32.28515625" style="2065" customWidth="1"/>
    <col min="12035" max="12035" width="17" style="2065" customWidth="1"/>
    <col min="12036" max="12036" width="9" style="2065" customWidth="1"/>
    <col min="12037" max="12037" width="6.85546875" style="2065" customWidth="1"/>
    <col min="12038" max="12038" width="7.7109375" style="2065" customWidth="1"/>
    <col min="12039" max="12039" width="8.140625" style="2065" customWidth="1"/>
    <col min="12040" max="12288" width="9.140625" style="2065"/>
    <col min="12289" max="12289" width="6.85546875" style="2065" customWidth="1"/>
    <col min="12290" max="12290" width="32.28515625" style="2065" customWidth="1"/>
    <col min="12291" max="12291" width="17" style="2065" customWidth="1"/>
    <col min="12292" max="12292" width="9" style="2065" customWidth="1"/>
    <col min="12293" max="12293" width="6.85546875" style="2065" customWidth="1"/>
    <col min="12294" max="12294" width="7.7109375" style="2065" customWidth="1"/>
    <col min="12295" max="12295" width="8.140625" style="2065" customWidth="1"/>
    <col min="12296" max="12544" width="9.140625" style="2065"/>
    <col min="12545" max="12545" width="6.85546875" style="2065" customWidth="1"/>
    <col min="12546" max="12546" width="32.28515625" style="2065" customWidth="1"/>
    <col min="12547" max="12547" width="17" style="2065" customWidth="1"/>
    <col min="12548" max="12548" width="9" style="2065" customWidth="1"/>
    <col min="12549" max="12549" width="6.85546875" style="2065" customWidth="1"/>
    <col min="12550" max="12550" width="7.7109375" style="2065" customWidth="1"/>
    <col min="12551" max="12551" width="8.140625" style="2065" customWidth="1"/>
    <col min="12552" max="12800" width="9.140625" style="2065"/>
    <col min="12801" max="12801" width="6.85546875" style="2065" customWidth="1"/>
    <col min="12802" max="12802" width="32.28515625" style="2065" customWidth="1"/>
    <col min="12803" max="12803" width="17" style="2065" customWidth="1"/>
    <col min="12804" max="12804" width="9" style="2065" customWidth="1"/>
    <col min="12805" max="12805" width="6.85546875" style="2065" customWidth="1"/>
    <col min="12806" max="12806" width="7.7109375" style="2065" customWidth="1"/>
    <col min="12807" max="12807" width="8.140625" style="2065" customWidth="1"/>
    <col min="12808" max="13056" width="9.140625" style="2065"/>
    <col min="13057" max="13057" width="6.85546875" style="2065" customWidth="1"/>
    <col min="13058" max="13058" width="32.28515625" style="2065" customWidth="1"/>
    <col min="13059" max="13059" width="17" style="2065" customWidth="1"/>
    <col min="13060" max="13060" width="9" style="2065" customWidth="1"/>
    <col min="13061" max="13061" width="6.85546875" style="2065" customWidth="1"/>
    <col min="13062" max="13062" width="7.7109375" style="2065" customWidth="1"/>
    <col min="13063" max="13063" width="8.140625" style="2065" customWidth="1"/>
    <col min="13064" max="13312" width="9.140625" style="2065"/>
    <col min="13313" max="13313" width="6.85546875" style="2065" customWidth="1"/>
    <col min="13314" max="13314" width="32.28515625" style="2065" customWidth="1"/>
    <col min="13315" max="13315" width="17" style="2065" customWidth="1"/>
    <col min="13316" max="13316" width="9" style="2065" customWidth="1"/>
    <col min="13317" max="13317" width="6.85546875" style="2065" customWidth="1"/>
    <col min="13318" max="13318" width="7.7109375" style="2065" customWidth="1"/>
    <col min="13319" max="13319" width="8.140625" style="2065" customWidth="1"/>
    <col min="13320" max="13568" width="9.140625" style="2065"/>
    <col min="13569" max="13569" width="6.85546875" style="2065" customWidth="1"/>
    <col min="13570" max="13570" width="32.28515625" style="2065" customWidth="1"/>
    <col min="13571" max="13571" width="17" style="2065" customWidth="1"/>
    <col min="13572" max="13572" width="9" style="2065" customWidth="1"/>
    <col min="13573" max="13573" width="6.85546875" style="2065" customWidth="1"/>
    <col min="13574" max="13574" width="7.7109375" style="2065" customWidth="1"/>
    <col min="13575" max="13575" width="8.140625" style="2065" customWidth="1"/>
    <col min="13576" max="13824" width="9.140625" style="2065"/>
    <col min="13825" max="13825" width="6.85546875" style="2065" customWidth="1"/>
    <col min="13826" max="13826" width="32.28515625" style="2065" customWidth="1"/>
    <col min="13827" max="13827" width="17" style="2065" customWidth="1"/>
    <col min="13828" max="13828" width="9" style="2065" customWidth="1"/>
    <col min="13829" max="13829" width="6.85546875" style="2065" customWidth="1"/>
    <col min="13830" max="13830" width="7.7109375" style="2065" customWidth="1"/>
    <col min="13831" max="13831" width="8.140625" style="2065" customWidth="1"/>
    <col min="13832" max="14080" width="9.140625" style="2065"/>
    <col min="14081" max="14081" width="6.85546875" style="2065" customWidth="1"/>
    <col min="14082" max="14082" width="32.28515625" style="2065" customWidth="1"/>
    <col min="14083" max="14083" width="17" style="2065" customWidth="1"/>
    <col min="14084" max="14084" width="9" style="2065" customWidth="1"/>
    <col min="14085" max="14085" width="6.85546875" style="2065" customWidth="1"/>
    <col min="14086" max="14086" width="7.7109375" style="2065" customWidth="1"/>
    <col min="14087" max="14087" width="8.140625" style="2065" customWidth="1"/>
    <col min="14088" max="14336" width="9.140625" style="2065"/>
    <col min="14337" max="14337" width="6.85546875" style="2065" customWidth="1"/>
    <col min="14338" max="14338" width="32.28515625" style="2065" customWidth="1"/>
    <col min="14339" max="14339" width="17" style="2065" customWidth="1"/>
    <col min="14340" max="14340" width="9" style="2065" customWidth="1"/>
    <col min="14341" max="14341" width="6.85546875" style="2065" customWidth="1"/>
    <col min="14342" max="14342" width="7.7109375" style="2065" customWidth="1"/>
    <col min="14343" max="14343" width="8.140625" style="2065" customWidth="1"/>
    <col min="14344" max="14592" width="9.140625" style="2065"/>
    <col min="14593" max="14593" width="6.85546875" style="2065" customWidth="1"/>
    <col min="14594" max="14594" width="32.28515625" style="2065" customWidth="1"/>
    <col min="14595" max="14595" width="17" style="2065" customWidth="1"/>
    <col min="14596" max="14596" width="9" style="2065" customWidth="1"/>
    <col min="14597" max="14597" width="6.85546875" style="2065" customWidth="1"/>
    <col min="14598" max="14598" width="7.7109375" style="2065" customWidth="1"/>
    <col min="14599" max="14599" width="8.140625" style="2065" customWidth="1"/>
    <col min="14600" max="14848" width="9.140625" style="2065"/>
    <col min="14849" max="14849" width="6.85546875" style="2065" customWidth="1"/>
    <col min="14850" max="14850" width="32.28515625" style="2065" customWidth="1"/>
    <col min="14851" max="14851" width="17" style="2065" customWidth="1"/>
    <col min="14852" max="14852" width="9" style="2065" customWidth="1"/>
    <col min="14853" max="14853" width="6.85546875" style="2065" customWidth="1"/>
    <col min="14854" max="14854" width="7.7109375" style="2065" customWidth="1"/>
    <col min="14855" max="14855" width="8.140625" style="2065" customWidth="1"/>
    <col min="14856" max="15104" width="9.140625" style="2065"/>
    <col min="15105" max="15105" width="6.85546875" style="2065" customWidth="1"/>
    <col min="15106" max="15106" width="32.28515625" style="2065" customWidth="1"/>
    <col min="15107" max="15107" width="17" style="2065" customWidth="1"/>
    <col min="15108" max="15108" width="9" style="2065" customWidth="1"/>
    <col min="15109" max="15109" width="6.85546875" style="2065" customWidth="1"/>
    <col min="15110" max="15110" width="7.7109375" style="2065" customWidth="1"/>
    <col min="15111" max="15111" width="8.140625" style="2065" customWidth="1"/>
    <col min="15112" max="15360" width="9.140625" style="2065"/>
    <col min="15361" max="15361" width="6.85546875" style="2065" customWidth="1"/>
    <col min="15362" max="15362" width="32.28515625" style="2065" customWidth="1"/>
    <col min="15363" max="15363" width="17" style="2065" customWidth="1"/>
    <col min="15364" max="15364" width="9" style="2065" customWidth="1"/>
    <col min="15365" max="15365" width="6.85546875" style="2065" customWidth="1"/>
    <col min="15366" max="15366" width="7.7109375" style="2065" customWidth="1"/>
    <col min="15367" max="15367" width="8.140625" style="2065" customWidth="1"/>
    <col min="15368" max="15616" width="9.140625" style="2065"/>
    <col min="15617" max="15617" width="6.85546875" style="2065" customWidth="1"/>
    <col min="15618" max="15618" width="32.28515625" style="2065" customWidth="1"/>
    <col min="15619" max="15619" width="17" style="2065" customWidth="1"/>
    <col min="15620" max="15620" width="9" style="2065" customWidth="1"/>
    <col min="15621" max="15621" width="6.85546875" style="2065" customWidth="1"/>
    <col min="15622" max="15622" width="7.7109375" style="2065" customWidth="1"/>
    <col min="15623" max="15623" width="8.140625" style="2065" customWidth="1"/>
    <col min="15624" max="15872" width="9.140625" style="2065"/>
    <col min="15873" max="15873" width="6.85546875" style="2065" customWidth="1"/>
    <col min="15874" max="15874" width="32.28515625" style="2065" customWidth="1"/>
    <col min="15875" max="15875" width="17" style="2065" customWidth="1"/>
    <col min="15876" max="15876" width="9" style="2065" customWidth="1"/>
    <col min="15877" max="15877" width="6.85546875" style="2065" customWidth="1"/>
    <col min="15878" max="15878" width="7.7109375" style="2065" customWidth="1"/>
    <col min="15879" max="15879" width="8.140625" style="2065" customWidth="1"/>
    <col min="15880" max="16128" width="9.140625" style="2065"/>
    <col min="16129" max="16129" width="6.85546875" style="2065" customWidth="1"/>
    <col min="16130" max="16130" width="32.28515625" style="2065" customWidth="1"/>
    <col min="16131" max="16131" width="17" style="2065" customWidth="1"/>
    <col min="16132" max="16132" width="9" style="2065" customWidth="1"/>
    <col min="16133" max="16133" width="6.85546875" style="2065" customWidth="1"/>
    <col min="16134" max="16134" width="7.7109375" style="2065" customWidth="1"/>
    <col min="16135" max="16135" width="8.140625" style="2065" customWidth="1"/>
    <col min="16136" max="16384" width="9.140625" style="2065"/>
  </cols>
  <sheetData>
    <row r="1" spans="1:25" ht="15" customHeight="1">
      <c r="A1" s="2588" t="s">
        <v>47</v>
      </c>
      <c r="B1" s="2589"/>
      <c r="C1" s="2589"/>
      <c r="D1" s="2589"/>
      <c r="E1" s="2589"/>
      <c r="F1" s="2589"/>
      <c r="G1" s="2589"/>
      <c r="H1" s="2589"/>
    </row>
    <row r="2" spans="1:25" ht="60" customHeight="1">
      <c r="A2" s="2556" t="s">
        <v>9181</v>
      </c>
      <c r="B2" s="2557"/>
      <c r="C2" s="2558"/>
      <c r="D2" s="2559"/>
      <c r="E2" s="2559"/>
      <c r="F2" s="2559"/>
      <c r="G2" s="2559"/>
      <c r="H2" s="2560"/>
    </row>
    <row r="3" spans="1:25" ht="30" customHeight="1">
      <c r="A3" s="2066" t="s">
        <v>9154</v>
      </c>
      <c r="B3" s="2066" t="s">
        <v>1502</v>
      </c>
      <c r="C3" s="2066" t="s">
        <v>9155</v>
      </c>
      <c r="D3" s="2066" t="s">
        <v>9182</v>
      </c>
      <c r="E3" s="2066" t="s">
        <v>9183</v>
      </c>
      <c r="F3" s="2066" t="s">
        <v>9184</v>
      </c>
      <c r="G3" s="2066" t="s">
        <v>9160</v>
      </c>
      <c r="H3" s="2066" t="s">
        <v>9159</v>
      </c>
      <c r="R3" s="2066" t="s">
        <v>9154</v>
      </c>
      <c r="S3" s="2066" t="s">
        <v>1502</v>
      </c>
      <c r="T3" s="2066" t="s">
        <v>9155</v>
      </c>
      <c r="U3" s="2066" t="s">
        <v>9182</v>
      </c>
      <c r="V3" s="2066" t="s">
        <v>9183</v>
      </c>
      <c r="W3" s="2066" t="s">
        <v>9184</v>
      </c>
      <c r="X3" s="2066" t="s">
        <v>9160</v>
      </c>
      <c r="Y3" s="2066" t="s">
        <v>9159</v>
      </c>
    </row>
    <row r="4" spans="1:25" ht="15" customHeight="1">
      <c r="A4" s="2065" t="str">
        <f t="shared" ref="A4:A10" si="0">IF(MaxNr5&gt;=$N4,VLOOKUP($N4,$Q$4:$Y$10,2,FALSE),"")</f>
        <v/>
      </c>
      <c r="B4" s="2065" t="str">
        <f t="shared" ref="B4:B10" si="1">IF(MaxNr5&gt;=$N4,VLOOKUP($N4,$Q$4:$Y$10,3,FALSE),"")</f>
        <v/>
      </c>
      <c r="C4" s="2065" t="str">
        <f t="shared" ref="C4:C10" si="2">IF(MaxNr5&gt;=$N4,VLOOKUP($N4,$Q$4:$Y$10,4,FALSE),"")</f>
        <v/>
      </c>
      <c r="D4" s="2065" t="str">
        <f t="shared" ref="D4:D10" si="3">IF(MaxNr5&gt;=$N4,VLOOKUP($N4,$Q$4:$Y$10,5,FALSE),"")</f>
        <v/>
      </c>
      <c r="E4" s="2065" t="str">
        <f t="shared" ref="E4:E10" si="4">IF(MaxNr5&gt;=$N4,VLOOKUP($N4,$Q$4:$Y$10,6,FALSE),"")</f>
        <v/>
      </c>
      <c r="F4" s="2065" t="str">
        <f t="shared" ref="F4:F10" si="5">IF(MaxNr5&gt;=$N4,VLOOKUP($N4,$Q$4:$Y$10,7,FALSE),"")</f>
        <v/>
      </c>
      <c r="G4" s="2065" t="str">
        <f t="shared" ref="G4:G10" si="6">IF(MaxNr5&gt;=$N4,VLOOKUP($N4,$Q$4:$Y$10,8,FALSE),"")</f>
        <v/>
      </c>
      <c r="H4" s="2065" t="str">
        <f t="shared" ref="H4:H10" si="7">IF(MaxNr5&gt;=$N4,VLOOKUP($N4,$Q$4:$Y$10,9,FALSE),"")</f>
        <v/>
      </c>
      <c r="N4" s="2065">
        <v>1</v>
      </c>
      <c r="O4" s="2065">
        <f>IF(U4&lt;&gt;"",1,0)</f>
        <v>0</v>
      </c>
      <c r="P4" s="2065">
        <f>O4</f>
        <v>0</v>
      </c>
      <c r="Q4" s="2065" t="str">
        <f>IF(O4&gt;0,P4,"")</f>
        <v/>
      </c>
      <c r="R4" s="2065" t="str">
        <f>IF(U4&lt;&gt;"",IF(Projekt!F75&lt;&gt;"",Projekt!F75,"lRW"),"")</f>
        <v/>
      </c>
      <c r="S4" s="2065" t="str">
        <f>IF(U4&lt;&gt;"",IF(Projekt!G75&lt;&gt;"",Projekt!G75,Projekt!C75),"")</f>
        <v/>
      </c>
      <c r="T4" s="2065" t="str">
        <f>IF(U4&lt;&gt;"","Dach/Aussenwand","")</f>
        <v/>
      </c>
      <c r="U4" s="2069" t="str">
        <f>IF(lRW&gt;0,lRW,"")</f>
        <v/>
      </c>
      <c r="V4" s="2069" t="str">
        <f>IF(U4&lt;&gt;"",PsiRW,"")</f>
        <v/>
      </c>
      <c r="W4" s="2069" t="str">
        <f>""</f>
        <v/>
      </c>
      <c r="X4" s="2068" t="str">
        <f>IF(U4&lt;&gt;"",1,"")</f>
        <v/>
      </c>
      <c r="Y4" s="2065" t="str">
        <f>IF(U4&lt;&gt;"",1,"")</f>
        <v/>
      </c>
    </row>
    <row r="5" spans="1:25" ht="15" customHeight="1">
      <c r="A5" s="2065" t="str">
        <f t="shared" si="0"/>
        <v/>
      </c>
      <c r="B5" s="2065" t="str">
        <f t="shared" si="1"/>
        <v/>
      </c>
      <c r="C5" s="2065" t="str">
        <f t="shared" si="2"/>
        <v/>
      </c>
      <c r="D5" s="2065" t="str">
        <f t="shared" si="3"/>
        <v/>
      </c>
      <c r="E5" s="2065" t="str">
        <f t="shared" si="4"/>
        <v/>
      </c>
      <c r="F5" s="2065" t="str">
        <f t="shared" si="5"/>
        <v/>
      </c>
      <c r="G5" s="2065" t="str">
        <f t="shared" si="6"/>
        <v/>
      </c>
      <c r="H5" s="2065" t="str">
        <f t="shared" si="7"/>
        <v/>
      </c>
      <c r="N5" s="2065">
        <v>2</v>
      </c>
      <c r="O5" s="2065">
        <f t="shared" ref="O5:O10" si="8">IF(U5&lt;&gt;"",1,0)</f>
        <v>0</v>
      </c>
      <c r="P5" s="2065">
        <f>P4+O5</f>
        <v>0</v>
      </c>
      <c r="Q5" s="2065" t="str">
        <f t="shared" ref="Q5:Q10" si="9">IF(O5&gt;0,P5,"")</f>
        <v/>
      </c>
      <c r="R5" s="2065" t="str">
        <f>IF(U5&lt;&gt;"",IF(Projekt!F77&lt;&gt;"",Projekt!F77,"lWF"),"")</f>
        <v/>
      </c>
      <c r="S5" s="2065" t="str">
        <f>IF(U5&lt;&gt;"",IF(Projekt!G77&lt;&gt;"",Projekt!G77,Projekt!C77),"")</f>
        <v/>
      </c>
      <c r="T5" s="2065" t="str">
        <f>IF(U5&lt;&gt;"","Gebäudesockel","")</f>
        <v/>
      </c>
      <c r="U5" s="2069" t="str">
        <f>IF(lWF&gt;0,lWF,"")</f>
        <v/>
      </c>
      <c r="V5" s="2069" t="str">
        <f>IF(U5&lt;&gt;"",PsiWF,"")</f>
        <v/>
      </c>
      <c r="W5" s="2069" t="str">
        <f>""</f>
        <v/>
      </c>
      <c r="X5" s="2068" t="str">
        <f t="shared" ref="X5:X10" si="10">IF(U5&lt;&gt;"",1,"")</f>
        <v/>
      </c>
      <c r="Y5" s="2065" t="str">
        <f t="shared" ref="Y5:Y10" si="11">IF(U5&lt;&gt;"",1,"")</f>
        <v/>
      </c>
    </row>
    <row r="6" spans="1:25" ht="15" customHeight="1">
      <c r="A6" s="2065" t="str">
        <f t="shared" si="0"/>
        <v/>
      </c>
      <c r="B6" s="2065" t="str">
        <f t="shared" si="1"/>
        <v/>
      </c>
      <c r="C6" s="2065" t="str">
        <f t="shared" si="2"/>
        <v/>
      </c>
      <c r="D6" s="2065" t="str">
        <f t="shared" si="3"/>
        <v/>
      </c>
      <c r="E6" s="2065" t="str">
        <f t="shared" si="4"/>
        <v/>
      </c>
      <c r="F6" s="2065" t="str">
        <f t="shared" si="5"/>
        <v/>
      </c>
      <c r="G6" s="2065" t="str">
        <f t="shared" si="6"/>
        <v/>
      </c>
      <c r="H6" s="2065" t="str">
        <f t="shared" si="7"/>
        <v/>
      </c>
      <c r="N6" s="2065">
        <v>3</v>
      </c>
      <c r="O6" s="2065">
        <f t="shared" si="8"/>
        <v>0</v>
      </c>
      <c r="P6" s="2065">
        <f t="shared" ref="P6:P10" si="12">P5+O6</f>
        <v>0</v>
      </c>
      <c r="Q6" s="2065" t="str">
        <f t="shared" si="9"/>
        <v/>
      </c>
      <c r="R6" s="2065" t="str">
        <f>IF(U6&lt;&gt;"",IF(Projekt!F79&lt;&gt;"",Projekt!F79,"lB"),"")</f>
        <v/>
      </c>
      <c r="S6" s="2065" t="str">
        <f>IF(U6&lt;&gt;"",IF(Projekt!G79&lt;&gt;"",Projekt!G79,Projekt!C79),"")</f>
        <v/>
      </c>
      <c r="T6" s="2065" t="str">
        <f>IF(U6&lt;&gt;"","Balkon","")</f>
        <v/>
      </c>
      <c r="U6" s="2069" t="str">
        <f>IF(lB&gt;0,lB,"")</f>
        <v/>
      </c>
      <c r="V6" s="2069" t="str">
        <f>IF(U6&lt;&gt;"",PsiB,"")</f>
        <v/>
      </c>
      <c r="W6" s="2069" t="str">
        <f>""</f>
        <v/>
      </c>
      <c r="X6" s="2068" t="str">
        <f t="shared" si="10"/>
        <v/>
      </c>
      <c r="Y6" s="2065" t="str">
        <f t="shared" si="11"/>
        <v/>
      </c>
    </row>
    <row r="7" spans="1:25" ht="15" customHeight="1">
      <c r="A7" s="2065" t="str">
        <f t="shared" si="0"/>
        <v/>
      </c>
      <c r="B7" s="2065" t="str">
        <f t="shared" si="1"/>
        <v/>
      </c>
      <c r="C7" s="2065" t="str">
        <f t="shared" si="2"/>
        <v/>
      </c>
      <c r="D7" s="2065" t="str">
        <f t="shared" si="3"/>
        <v/>
      </c>
      <c r="E7" s="2065" t="str">
        <f t="shared" si="4"/>
        <v/>
      </c>
      <c r="F7" s="2065" t="str">
        <f t="shared" si="5"/>
        <v/>
      </c>
      <c r="G7" s="2065" t="str">
        <f t="shared" si="6"/>
        <v/>
      </c>
      <c r="H7" s="2065" t="str">
        <f t="shared" si="7"/>
        <v/>
      </c>
      <c r="N7" s="2065">
        <v>4</v>
      </c>
      <c r="O7" s="2065">
        <f t="shared" si="8"/>
        <v>0</v>
      </c>
      <c r="P7" s="2065">
        <f t="shared" si="12"/>
        <v>0</v>
      </c>
      <c r="Q7" s="2065" t="str">
        <f t="shared" si="9"/>
        <v/>
      </c>
      <c r="R7" s="2065" t="str">
        <f>IF(U7&lt;&gt;"",IF(Projekt!F81&lt;&gt;"",Projekt!F81,"lW"),"")</f>
        <v/>
      </c>
      <c r="S7" s="2065" t="str">
        <f>IF(U7&lt;&gt;"",IF(Projekt!G81&lt;&gt;"",Projekt!G81,Projekt!C81),"")</f>
        <v/>
      </c>
      <c r="T7" s="2065" t="str">
        <f>IF(U7&lt;&gt;"","Fensteranschlag","")</f>
        <v/>
      </c>
      <c r="U7" s="2069" t="str">
        <f>IF(lW&gt;0,lW,"")</f>
        <v/>
      </c>
      <c r="V7" s="2069" t="str">
        <f>IF(U7&lt;&gt;"",PsiW,"")</f>
        <v/>
      </c>
      <c r="W7" s="2069" t="str">
        <f>""</f>
        <v/>
      </c>
      <c r="X7" s="2068" t="str">
        <f t="shared" si="10"/>
        <v/>
      </c>
      <c r="Y7" s="2065" t="str">
        <f t="shared" si="11"/>
        <v/>
      </c>
    </row>
    <row r="8" spans="1:25" ht="15" customHeight="1">
      <c r="A8" s="2065" t="str">
        <f t="shared" si="0"/>
        <v/>
      </c>
      <c r="B8" s="2065" t="str">
        <f t="shared" si="1"/>
        <v/>
      </c>
      <c r="C8" s="2065" t="str">
        <f t="shared" si="2"/>
        <v/>
      </c>
      <c r="D8" s="2065" t="str">
        <f t="shared" si="3"/>
        <v/>
      </c>
      <c r="E8" s="2065" t="str">
        <f t="shared" si="4"/>
        <v/>
      </c>
      <c r="F8" s="2065" t="str">
        <f t="shared" si="5"/>
        <v/>
      </c>
      <c r="G8" s="2065" t="str">
        <f t="shared" si="6"/>
        <v/>
      </c>
      <c r="H8" s="2065" t="str">
        <f t="shared" si="7"/>
        <v/>
      </c>
      <c r="N8" s="2065">
        <v>5</v>
      </c>
      <c r="O8" s="2065">
        <f t="shared" si="8"/>
        <v>0</v>
      </c>
      <c r="P8" s="2065">
        <f t="shared" si="12"/>
        <v>0</v>
      </c>
      <c r="Q8" s="2065" t="str">
        <f t="shared" si="9"/>
        <v/>
      </c>
      <c r="R8" s="2065" t="str">
        <f>IF(U8&lt;&gt;"",IF(Projekt!F83&lt;&gt;"",Projekt!F83,"lF"),"")</f>
        <v/>
      </c>
      <c r="S8" s="2065" t="str">
        <f>IF(U8&lt;&gt;"",IF(Projekt!G83&lt;&gt;"",Projekt!G83,Projekt!C83),"")</f>
        <v/>
      </c>
      <c r="T8" s="2065" t="str">
        <f>IF(U8&lt;&gt;"","Boden/Kellerwand","")</f>
        <v/>
      </c>
      <c r="U8" s="2069" t="str">
        <f>IF(lF&gt;0,lF,"")</f>
        <v/>
      </c>
      <c r="V8" s="2069" t="str">
        <f>IF(U8&lt;&gt;"",PsiF,"")</f>
        <v/>
      </c>
      <c r="W8" s="2069" t="str">
        <f>""</f>
        <v/>
      </c>
      <c r="X8" s="2068" t="str">
        <f t="shared" si="10"/>
        <v/>
      </c>
      <c r="Y8" s="2065" t="str">
        <f t="shared" si="11"/>
        <v/>
      </c>
    </row>
    <row r="9" spans="1:25" ht="15" customHeight="1">
      <c r="A9" s="2065" t="str">
        <f t="shared" si="0"/>
        <v/>
      </c>
      <c r="B9" s="2065" t="str">
        <f t="shared" si="1"/>
        <v/>
      </c>
      <c r="C9" s="2065" t="str">
        <f t="shared" si="2"/>
        <v/>
      </c>
      <c r="D9" s="2065" t="str">
        <f t="shared" si="3"/>
        <v/>
      </c>
      <c r="E9" s="2065" t="str">
        <f t="shared" si="4"/>
        <v/>
      </c>
      <c r="F9" s="2065" t="str">
        <f t="shared" si="5"/>
        <v/>
      </c>
      <c r="G9" s="2065" t="str">
        <f t="shared" si="6"/>
        <v/>
      </c>
      <c r="H9" s="2065" t="str">
        <f t="shared" si="7"/>
        <v/>
      </c>
      <c r="N9" s="2065">
        <v>6</v>
      </c>
      <c r="O9" s="2065">
        <f t="shared" si="8"/>
        <v>0</v>
      </c>
      <c r="P9" s="2065">
        <f t="shared" si="12"/>
        <v>0</v>
      </c>
      <c r="Q9" s="2065" t="str">
        <f t="shared" si="9"/>
        <v/>
      </c>
      <c r="R9" s="2065" t="str">
        <f>IF(U9&lt;&gt;"",IF(Projekt!F85&lt;&gt;"",Projekt!F85,"lR"),"")</f>
        <v/>
      </c>
      <c r="S9" s="2065" t="str">
        <f>IF(U9&lt;&gt;"",IF(Projekt!G85&lt;&gt;"",Projekt!G85,Projekt!C85),"")</f>
        <v/>
      </c>
      <c r="T9" s="2065" t="str">
        <f>IF(U9&lt;&gt;"","Rolladen","")</f>
        <v/>
      </c>
      <c r="U9" s="2069" t="str">
        <f>IF(lR&gt;0,lR,"")</f>
        <v/>
      </c>
      <c r="V9" s="2069" t="str">
        <f>IF(U9&lt;&gt;"",PsiR,"")</f>
        <v/>
      </c>
      <c r="W9" s="2069" t="str">
        <f>""</f>
        <v/>
      </c>
      <c r="X9" s="2068" t="str">
        <f t="shared" si="10"/>
        <v/>
      </c>
      <c r="Y9" s="2065" t="str">
        <f t="shared" si="11"/>
        <v/>
      </c>
    </row>
    <row r="10" spans="1:25" ht="15" customHeight="1">
      <c r="A10" s="2065" t="str">
        <f t="shared" si="0"/>
        <v/>
      </c>
      <c r="B10" s="2065" t="str">
        <f t="shared" si="1"/>
        <v/>
      </c>
      <c r="C10" s="2065" t="str">
        <f t="shared" si="2"/>
        <v/>
      </c>
      <c r="D10" s="2065" t="str">
        <f t="shared" si="3"/>
        <v/>
      </c>
      <c r="E10" s="2065" t="str">
        <f t="shared" si="4"/>
        <v/>
      </c>
      <c r="F10" s="2065" t="str">
        <f t="shared" si="5"/>
        <v/>
      </c>
      <c r="G10" s="2065" t="str">
        <f t="shared" si="6"/>
        <v/>
      </c>
      <c r="H10" s="2065" t="str">
        <f t="shared" si="7"/>
        <v/>
      </c>
      <c r="N10" s="2065">
        <v>7</v>
      </c>
      <c r="O10" s="2065">
        <f t="shared" si="8"/>
        <v>0</v>
      </c>
      <c r="P10" s="2065">
        <f t="shared" si="12"/>
        <v>0</v>
      </c>
      <c r="Q10" s="2065" t="str">
        <f t="shared" si="9"/>
        <v/>
      </c>
      <c r="R10" s="2065" t="str">
        <f>IF(U10&lt;&gt;"",IF(Projekt!F87&lt;&gt;"",Projekt!F87,"z"),"")</f>
        <v/>
      </c>
      <c r="S10" s="2065" t="str">
        <f>IF(U10&lt;&gt;"",IF(Projekt!G87&lt;&gt;"",Projekt!G87,Projekt!C87),"")</f>
        <v/>
      </c>
      <c r="T10" s="2065" t="str">
        <f>IF(U10&lt;&gt;"","Träger","")</f>
        <v/>
      </c>
      <c r="U10" s="2069" t="str">
        <f>IF(z.&gt;0,z.,"")</f>
        <v/>
      </c>
      <c r="V10" s="2069" t="str">
        <f>""</f>
        <v/>
      </c>
      <c r="W10" s="2069" t="str">
        <f>IF(U10&lt;&gt;"",Chi,"")</f>
        <v/>
      </c>
      <c r="X10" s="2068" t="str">
        <f t="shared" si="10"/>
        <v/>
      </c>
      <c r="Y10" s="2065" t="str">
        <f t="shared" si="11"/>
        <v/>
      </c>
    </row>
    <row r="11" spans="1:25" ht="15" customHeight="1">
      <c r="A11" s="2069"/>
      <c r="B11" s="2069"/>
      <c r="C11" s="2069"/>
      <c r="D11" s="2069"/>
      <c r="E11" s="2069"/>
      <c r="F11" s="2069"/>
      <c r="G11" s="2069"/>
      <c r="H11" s="2069"/>
    </row>
    <row r="12" spans="1:25" ht="15" customHeight="1">
      <c r="A12" s="2069"/>
      <c r="B12" s="2069"/>
      <c r="C12" s="2069"/>
      <c r="D12" s="2069"/>
      <c r="E12" s="2069"/>
      <c r="F12" s="2069"/>
      <c r="G12" s="2069"/>
      <c r="H12" s="2069"/>
    </row>
    <row r="13" spans="1:25" ht="15" customHeight="1">
      <c r="A13" s="2069"/>
      <c r="B13" s="2069"/>
      <c r="C13" s="2069"/>
      <c r="D13" s="2069"/>
      <c r="E13" s="2069"/>
      <c r="F13" s="2069"/>
      <c r="G13" s="2069"/>
      <c r="H13" s="2069"/>
    </row>
    <row r="14" spans="1:25" ht="15" customHeight="1">
      <c r="A14" s="2069"/>
      <c r="B14" s="2069"/>
      <c r="C14" s="2069"/>
      <c r="D14" s="2069"/>
      <c r="E14" s="2069"/>
      <c r="F14" s="2069"/>
      <c r="G14" s="2069"/>
      <c r="H14" s="2069"/>
    </row>
    <row r="15" spans="1:25" ht="15" customHeight="1">
      <c r="A15" s="2069"/>
      <c r="B15" s="2069"/>
      <c r="C15" s="2069"/>
      <c r="D15" s="2069"/>
      <c r="E15" s="2069"/>
      <c r="F15" s="2069"/>
      <c r="G15" s="2069"/>
      <c r="H15" s="2069"/>
    </row>
    <row r="16" spans="1:25" ht="15" customHeight="1">
      <c r="A16" s="2069"/>
      <c r="B16" s="2069"/>
      <c r="C16" s="2069"/>
      <c r="D16" s="2069"/>
      <c r="E16" s="2069"/>
      <c r="F16" s="2069"/>
      <c r="G16" s="2069"/>
      <c r="H16" s="2069"/>
    </row>
    <row r="17" spans="1:8" ht="15" customHeight="1">
      <c r="A17" s="2069"/>
      <c r="B17" s="2069"/>
      <c r="C17" s="2069"/>
      <c r="D17" s="2069"/>
      <c r="E17" s="2069"/>
      <c r="F17" s="2069"/>
      <c r="G17" s="2069"/>
      <c r="H17" s="2069"/>
    </row>
    <row r="18" spans="1:8" ht="15" customHeight="1">
      <c r="D18" s="2069"/>
      <c r="E18" s="2069"/>
      <c r="F18" s="2069"/>
      <c r="G18" s="2068"/>
    </row>
    <row r="19" spans="1:8" ht="15" customHeight="1">
      <c r="D19" s="2069"/>
      <c r="E19" s="2069"/>
      <c r="F19" s="2069"/>
      <c r="G19" s="2068"/>
    </row>
    <row r="20" spans="1:8" ht="15" customHeight="1">
      <c r="D20" s="2069"/>
      <c r="E20" s="2069"/>
      <c r="F20" s="2069"/>
      <c r="G20" s="2068"/>
    </row>
    <row r="21" spans="1:8" ht="15" customHeight="1">
      <c r="D21" s="2069"/>
      <c r="E21" s="2069"/>
      <c r="F21" s="2069"/>
      <c r="G21" s="2068"/>
    </row>
    <row r="22" spans="1:8" ht="15" customHeight="1">
      <c r="D22" s="2069"/>
      <c r="E22" s="2069"/>
      <c r="F22" s="2069"/>
      <c r="G22" s="2068"/>
    </row>
    <row r="23" spans="1:8" ht="15" customHeight="1">
      <c r="D23" s="2069"/>
      <c r="E23" s="2069"/>
      <c r="F23" s="2069"/>
      <c r="G23" s="2068"/>
    </row>
    <row r="24" spans="1:8" ht="15" customHeight="1">
      <c r="D24" s="2069"/>
      <c r="E24" s="2069"/>
      <c r="F24" s="2069"/>
      <c r="G24" s="2068"/>
    </row>
    <row r="25" spans="1:8" ht="15" customHeight="1">
      <c r="D25" s="2069"/>
      <c r="E25" s="2069"/>
      <c r="F25" s="2069"/>
      <c r="G25" s="2068"/>
    </row>
    <row r="26" spans="1:8" ht="15" customHeight="1">
      <c r="D26" s="2069"/>
      <c r="E26" s="2069"/>
      <c r="F26" s="2069"/>
      <c r="G26" s="2068"/>
    </row>
    <row r="27" spans="1:8" ht="15" customHeight="1">
      <c r="D27" s="2069"/>
      <c r="E27" s="2069"/>
      <c r="F27" s="2069"/>
      <c r="G27" s="2068"/>
    </row>
    <row r="28" spans="1:8" ht="15" customHeight="1">
      <c r="D28" s="2069"/>
      <c r="E28" s="2069"/>
      <c r="F28" s="2069"/>
      <c r="G28" s="2068"/>
    </row>
    <row r="29" spans="1:8" ht="15" customHeight="1">
      <c r="D29" s="2069"/>
      <c r="E29" s="2069"/>
      <c r="F29" s="2069"/>
      <c r="G29" s="2068"/>
    </row>
    <row r="30" spans="1:8" ht="15" customHeight="1">
      <c r="D30" s="2069"/>
      <c r="E30" s="2069"/>
      <c r="F30" s="2069"/>
      <c r="G30" s="2068"/>
    </row>
    <row r="31" spans="1:8" ht="15" customHeight="1">
      <c r="D31" s="2069"/>
      <c r="E31" s="2069"/>
      <c r="F31" s="2069"/>
      <c r="G31" s="2068"/>
    </row>
    <row r="32" spans="1:8" ht="15" customHeight="1">
      <c r="D32" s="2069"/>
      <c r="E32" s="2069"/>
      <c r="F32" s="2069"/>
      <c r="G32" s="2068"/>
    </row>
    <row r="33" spans="4:7" ht="15" customHeight="1">
      <c r="D33" s="2069"/>
      <c r="E33" s="2069"/>
      <c r="F33" s="2069"/>
      <c r="G33" s="2068"/>
    </row>
    <row r="34" spans="4:7" ht="15" customHeight="1">
      <c r="D34" s="2069"/>
      <c r="E34" s="2069"/>
      <c r="F34" s="2069"/>
      <c r="G34" s="2068"/>
    </row>
    <row r="35" spans="4:7" ht="15" customHeight="1">
      <c r="D35" s="2069"/>
      <c r="E35" s="2069"/>
      <c r="F35" s="2069"/>
      <c r="G35" s="2068"/>
    </row>
    <row r="36" spans="4:7" ht="15" customHeight="1">
      <c r="D36" s="2069"/>
      <c r="E36" s="2069"/>
      <c r="F36" s="2069"/>
      <c r="G36" s="2068"/>
    </row>
    <row r="37" spans="4:7" ht="15" customHeight="1">
      <c r="D37" s="2069"/>
      <c r="E37" s="2069"/>
      <c r="F37" s="2069"/>
      <c r="G37" s="2068"/>
    </row>
    <row r="38" spans="4:7" ht="15" customHeight="1">
      <c r="D38" s="2069"/>
      <c r="E38" s="2069"/>
      <c r="F38" s="2069"/>
      <c r="G38" s="2068"/>
    </row>
    <row r="39" spans="4:7" ht="15" customHeight="1">
      <c r="D39" s="2069"/>
      <c r="E39" s="2069"/>
      <c r="F39" s="2069"/>
      <c r="G39" s="2068"/>
    </row>
    <row r="40" spans="4:7" ht="15" customHeight="1">
      <c r="D40" s="2069"/>
      <c r="E40" s="2069"/>
      <c r="F40" s="2069"/>
      <c r="G40" s="2068"/>
    </row>
    <row r="41" spans="4:7" ht="15" customHeight="1">
      <c r="D41" s="2069"/>
      <c r="E41" s="2069"/>
      <c r="F41" s="2069"/>
      <c r="G41" s="2068"/>
    </row>
    <row r="42" spans="4:7" ht="15" customHeight="1">
      <c r="D42" s="2069"/>
      <c r="E42" s="2069"/>
      <c r="F42" s="2069"/>
      <c r="G42" s="2068"/>
    </row>
    <row r="43" spans="4:7" ht="15" customHeight="1">
      <c r="D43" s="2069"/>
      <c r="E43" s="2069"/>
      <c r="F43" s="2069"/>
      <c r="G43" s="2068"/>
    </row>
    <row r="44" spans="4:7" ht="15" customHeight="1">
      <c r="D44" s="2069"/>
      <c r="E44" s="2069"/>
      <c r="F44" s="2069"/>
      <c r="G44" s="2068"/>
    </row>
    <row r="45" spans="4:7" ht="15" customHeight="1">
      <c r="D45" s="2069"/>
      <c r="E45" s="2069"/>
      <c r="F45" s="2069"/>
      <c r="G45" s="2068"/>
    </row>
    <row r="46" spans="4:7" ht="15" customHeight="1">
      <c r="D46" s="2069"/>
      <c r="E46" s="2069"/>
      <c r="F46" s="2069"/>
      <c r="G46" s="2068"/>
    </row>
    <row r="47" spans="4:7" ht="15" customHeight="1">
      <c r="D47" s="2069"/>
      <c r="E47" s="2069"/>
      <c r="F47" s="2069"/>
      <c r="G47" s="2068"/>
    </row>
    <row r="48" spans="4:7" ht="15" customHeight="1">
      <c r="D48" s="2069"/>
      <c r="E48" s="2069"/>
      <c r="F48" s="2069"/>
      <c r="G48" s="2068"/>
    </row>
    <row r="49" spans="4:7" ht="15" customHeight="1">
      <c r="D49" s="2069"/>
      <c r="E49" s="2069"/>
      <c r="F49" s="2069"/>
      <c r="G49" s="2068"/>
    </row>
    <row r="50" spans="4:7" ht="15" customHeight="1">
      <c r="D50" s="2069"/>
      <c r="E50" s="2069"/>
      <c r="F50" s="2069"/>
      <c r="G50" s="2068"/>
    </row>
    <row r="51" spans="4:7" ht="15" customHeight="1">
      <c r="D51" s="2069"/>
      <c r="E51" s="2069"/>
      <c r="F51" s="2069"/>
      <c r="G51" s="2068"/>
    </row>
    <row r="52" spans="4:7" ht="15" customHeight="1">
      <c r="D52" s="2069"/>
      <c r="E52" s="2069"/>
      <c r="F52" s="2069"/>
      <c r="G52" s="2068"/>
    </row>
    <row r="53" spans="4:7" ht="15" customHeight="1">
      <c r="D53" s="2069"/>
      <c r="E53" s="2069"/>
      <c r="F53" s="2069"/>
      <c r="G53" s="2068"/>
    </row>
    <row r="54" spans="4:7" ht="15" customHeight="1">
      <c r="D54" s="2069"/>
      <c r="E54" s="2069"/>
      <c r="F54" s="2069"/>
      <c r="G54" s="2068"/>
    </row>
    <row r="55" spans="4:7" ht="15" customHeight="1">
      <c r="D55" s="2069"/>
      <c r="E55" s="2069"/>
      <c r="F55" s="2069"/>
      <c r="G55" s="2068"/>
    </row>
    <row r="56" spans="4:7" ht="15" customHeight="1">
      <c r="D56" s="2069"/>
      <c r="E56" s="2069"/>
      <c r="F56" s="2069"/>
      <c r="G56" s="2068"/>
    </row>
    <row r="57" spans="4:7" ht="15" customHeight="1">
      <c r="D57" s="2069"/>
      <c r="E57" s="2069"/>
      <c r="F57" s="2069"/>
      <c r="G57" s="2068"/>
    </row>
    <row r="58" spans="4:7" ht="15" customHeight="1">
      <c r="D58" s="2069"/>
      <c r="E58" s="2069"/>
      <c r="F58" s="2069"/>
      <c r="G58" s="2068"/>
    </row>
    <row r="59" spans="4:7" ht="15" customHeight="1">
      <c r="D59" s="2069"/>
      <c r="E59" s="2069"/>
      <c r="F59" s="2069"/>
      <c r="G59" s="2068"/>
    </row>
    <row r="60" spans="4:7" ht="15" customHeight="1">
      <c r="D60" s="2069"/>
      <c r="E60" s="2069"/>
      <c r="F60" s="2069"/>
      <c r="G60" s="2068"/>
    </row>
    <row r="61" spans="4:7" ht="15" customHeight="1">
      <c r="D61" s="2069"/>
      <c r="E61" s="2069"/>
      <c r="F61" s="2069"/>
      <c r="G61" s="2068"/>
    </row>
    <row r="62" spans="4:7" ht="15" customHeight="1">
      <c r="D62" s="2069"/>
      <c r="E62" s="2069"/>
      <c r="F62" s="2069"/>
      <c r="G62" s="2068"/>
    </row>
    <row r="63" spans="4:7" ht="15" customHeight="1">
      <c r="D63" s="2069"/>
      <c r="E63" s="2069"/>
      <c r="F63" s="2069"/>
      <c r="G63" s="2068"/>
    </row>
    <row r="64" spans="4:7" ht="15" customHeight="1">
      <c r="D64" s="2069"/>
      <c r="E64" s="2069"/>
      <c r="F64" s="2069"/>
      <c r="G64" s="2068"/>
    </row>
    <row r="65" spans="4:7" ht="15" customHeight="1">
      <c r="D65" s="2069"/>
      <c r="E65" s="2069"/>
      <c r="F65" s="2069"/>
      <c r="G65" s="2068"/>
    </row>
    <row r="66" spans="4:7" ht="15" customHeight="1">
      <c r="D66" s="2069"/>
      <c r="E66" s="2069"/>
      <c r="F66" s="2069"/>
      <c r="G66" s="2068"/>
    </row>
    <row r="67" spans="4:7" ht="15" customHeight="1">
      <c r="D67" s="2069"/>
      <c r="E67" s="2069"/>
      <c r="F67" s="2069"/>
      <c r="G67" s="2068"/>
    </row>
    <row r="68" spans="4:7" ht="15" customHeight="1">
      <c r="D68" s="2069"/>
      <c r="E68" s="2069"/>
      <c r="F68" s="2069"/>
      <c r="G68" s="2068"/>
    </row>
    <row r="69" spans="4:7" ht="15" customHeight="1">
      <c r="D69" s="2069"/>
      <c r="E69" s="2069"/>
      <c r="F69" s="2069"/>
      <c r="G69" s="2068"/>
    </row>
    <row r="70" spans="4:7" ht="15" customHeight="1">
      <c r="D70" s="2069"/>
      <c r="E70" s="2069"/>
      <c r="F70" s="2069"/>
      <c r="G70" s="2068"/>
    </row>
    <row r="71" spans="4:7" ht="15" customHeight="1">
      <c r="D71" s="2069"/>
      <c r="E71" s="2069"/>
      <c r="F71" s="2069"/>
      <c r="G71" s="2068"/>
    </row>
    <row r="72" spans="4:7" ht="15" customHeight="1">
      <c r="D72" s="2069"/>
      <c r="E72" s="2069"/>
      <c r="F72" s="2069"/>
      <c r="G72" s="2068"/>
    </row>
    <row r="73" spans="4:7" ht="15" customHeight="1">
      <c r="D73" s="2069"/>
      <c r="E73" s="2069"/>
      <c r="F73" s="2069"/>
      <c r="G73" s="2068"/>
    </row>
    <row r="74" spans="4:7" ht="15" customHeight="1">
      <c r="D74" s="2069"/>
      <c r="E74" s="2069"/>
      <c r="F74" s="2069"/>
      <c r="G74" s="2068"/>
    </row>
    <row r="75" spans="4:7" ht="15" customHeight="1">
      <c r="D75" s="2069"/>
      <c r="E75" s="2069"/>
      <c r="F75" s="2069"/>
      <c r="G75" s="2068"/>
    </row>
    <row r="76" spans="4:7" ht="15" customHeight="1">
      <c r="D76" s="2069"/>
      <c r="E76" s="2069"/>
      <c r="F76" s="2069"/>
      <c r="G76" s="2068"/>
    </row>
    <row r="77" spans="4:7" ht="15" customHeight="1">
      <c r="D77" s="2069"/>
      <c r="E77" s="2069"/>
      <c r="F77" s="2069"/>
      <c r="G77" s="2068"/>
    </row>
    <row r="78" spans="4:7" ht="15" customHeight="1">
      <c r="D78" s="2069"/>
      <c r="E78" s="2069"/>
      <c r="F78" s="2069"/>
      <c r="G78" s="2068"/>
    </row>
    <row r="79" spans="4:7" ht="15" customHeight="1">
      <c r="D79" s="2069"/>
      <c r="E79" s="2069"/>
      <c r="F79" s="2069"/>
      <c r="G79" s="2068"/>
    </row>
    <row r="80" spans="4:7" ht="15" customHeight="1">
      <c r="D80" s="2069"/>
      <c r="E80" s="2069"/>
      <c r="F80" s="2069"/>
      <c r="G80" s="2068"/>
    </row>
    <row r="81" spans="4:7" ht="15" customHeight="1">
      <c r="D81" s="2069"/>
      <c r="E81" s="2069"/>
      <c r="F81" s="2069"/>
      <c r="G81" s="2068"/>
    </row>
    <row r="82" spans="4:7" ht="15" customHeight="1">
      <c r="D82" s="2069"/>
      <c r="E82" s="2069"/>
      <c r="F82" s="2069"/>
      <c r="G82" s="2068"/>
    </row>
    <row r="83" spans="4:7" ht="15" customHeight="1">
      <c r="D83" s="2069"/>
      <c r="E83" s="2069"/>
      <c r="F83" s="2069"/>
      <c r="G83" s="2068"/>
    </row>
    <row r="84" spans="4:7" ht="15" customHeight="1">
      <c r="D84" s="2069"/>
      <c r="E84" s="2069"/>
      <c r="F84" s="2069"/>
      <c r="G84" s="2068"/>
    </row>
    <row r="85" spans="4:7" ht="15" customHeight="1">
      <c r="D85" s="2069"/>
      <c r="E85" s="2069"/>
      <c r="F85" s="2069"/>
      <c r="G85" s="2068"/>
    </row>
    <row r="86" spans="4:7" ht="15" customHeight="1">
      <c r="D86" s="2069"/>
      <c r="E86" s="2069"/>
      <c r="F86" s="2069"/>
      <c r="G86" s="2068"/>
    </row>
    <row r="87" spans="4:7" ht="15" customHeight="1">
      <c r="D87" s="2069"/>
      <c r="E87" s="2069"/>
      <c r="F87" s="2069"/>
      <c r="G87" s="2068"/>
    </row>
    <row r="88" spans="4:7" ht="15" customHeight="1">
      <c r="D88" s="2069"/>
      <c r="E88" s="2069"/>
      <c r="F88" s="2069"/>
      <c r="G88" s="2068"/>
    </row>
    <row r="89" spans="4:7" ht="15" customHeight="1">
      <c r="D89" s="2069"/>
      <c r="E89" s="2069"/>
      <c r="F89" s="2069"/>
      <c r="G89" s="2068"/>
    </row>
    <row r="90" spans="4:7" ht="15" customHeight="1">
      <c r="D90" s="2069"/>
      <c r="E90" s="2069"/>
      <c r="F90" s="2069"/>
      <c r="G90" s="2068"/>
    </row>
    <row r="91" spans="4:7" ht="15" customHeight="1">
      <c r="D91" s="2069"/>
      <c r="E91" s="2069"/>
      <c r="F91" s="2069"/>
      <c r="G91" s="2068"/>
    </row>
    <row r="92" spans="4:7" ht="15" customHeight="1">
      <c r="D92" s="2069"/>
      <c r="E92" s="2069"/>
      <c r="F92" s="2069"/>
      <c r="G92" s="2068"/>
    </row>
    <row r="93" spans="4:7" ht="15" customHeight="1">
      <c r="D93" s="2069"/>
      <c r="E93" s="2069"/>
      <c r="F93" s="2069"/>
      <c r="G93" s="2068"/>
    </row>
    <row r="94" spans="4:7" ht="15" customHeight="1">
      <c r="D94" s="2069"/>
      <c r="E94" s="2069"/>
      <c r="F94" s="2069"/>
      <c r="G94" s="2068"/>
    </row>
    <row r="95" spans="4:7" ht="15" customHeight="1">
      <c r="D95" s="2069"/>
      <c r="E95" s="2069"/>
      <c r="F95" s="2069"/>
      <c r="G95" s="2068"/>
    </row>
    <row r="96" spans="4:7" ht="15" customHeight="1">
      <c r="D96" s="2069"/>
      <c r="E96" s="2069"/>
      <c r="F96" s="2069"/>
      <c r="G96" s="2068"/>
    </row>
    <row r="97" spans="4:7" ht="15" customHeight="1">
      <c r="D97" s="2069"/>
      <c r="E97" s="2069"/>
      <c r="F97" s="2069"/>
      <c r="G97" s="2068"/>
    </row>
    <row r="98" spans="4:7" ht="15" customHeight="1">
      <c r="D98" s="2069"/>
      <c r="E98" s="2069"/>
      <c r="F98" s="2069"/>
      <c r="G98" s="2068"/>
    </row>
    <row r="99" spans="4:7" ht="15" customHeight="1">
      <c r="D99" s="2069"/>
      <c r="E99" s="2069"/>
      <c r="F99" s="2069"/>
      <c r="G99" s="2068"/>
    </row>
    <row r="100" spans="4:7" ht="15" customHeight="1">
      <c r="D100" s="2069"/>
      <c r="E100" s="2069"/>
      <c r="F100" s="2069"/>
      <c r="G100" s="2068"/>
    </row>
    <row r="101" spans="4:7" ht="15" customHeight="1">
      <c r="D101" s="2069"/>
      <c r="E101" s="2069"/>
      <c r="F101" s="2069"/>
      <c r="G101" s="2068"/>
    </row>
    <row r="102" spans="4:7" ht="15" customHeight="1">
      <c r="D102" s="2069"/>
      <c r="E102" s="2069"/>
      <c r="F102" s="2069"/>
      <c r="G102" s="2068"/>
    </row>
    <row r="103" spans="4:7" ht="15" customHeight="1">
      <c r="D103" s="2069"/>
      <c r="E103" s="2069"/>
      <c r="F103" s="2069"/>
      <c r="G103" s="2068"/>
    </row>
    <row r="104" spans="4:7" ht="15" customHeight="1">
      <c r="D104" s="2069"/>
      <c r="E104" s="2069"/>
      <c r="F104" s="2069"/>
      <c r="G104" s="2068"/>
    </row>
    <row r="105" spans="4:7" ht="15" customHeight="1">
      <c r="D105" s="2069"/>
      <c r="E105" s="2069"/>
      <c r="F105" s="2069"/>
      <c r="G105" s="2068"/>
    </row>
    <row r="106" spans="4:7" ht="15" customHeight="1">
      <c r="D106" s="2069"/>
      <c r="E106" s="2069"/>
      <c r="F106" s="2069"/>
      <c r="G106" s="2068"/>
    </row>
    <row r="107" spans="4:7" ht="15" customHeight="1">
      <c r="D107" s="2069"/>
      <c r="E107" s="2069"/>
      <c r="F107" s="2069"/>
      <c r="G107" s="2068"/>
    </row>
    <row r="108" spans="4:7" ht="15" customHeight="1">
      <c r="D108" s="2069"/>
      <c r="E108" s="2069"/>
      <c r="F108" s="2069"/>
      <c r="G108" s="2068"/>
    </row>
    <row r="109" spans="4:7" ht="15" customHeight="1">
      <c r="D109" s="2069"/>
      <c r="E109" s="2069"/>
      <c r="F109" s="2069"/>
      <c r="G109" s="2068"/>
    </row>
    <row r="110" spans="4:7" ht="15" customHeight="1">
      <c r="D110" s="2069"/>
      <c r="E110" s="2069"/>
      <c r="F110" s="2069"/>
      <c r="G110" s="2068"/>
    </row>
    <row r="111" spans="4:7" ht="15" customHeight="1">
      <c r="D111" s="2069"/>
      <c r="E111" s="2069"/>
      <c r="F111" s="2069"/>
      <c r="G111" s="2068"/>
    </row>
    <row r="112" spans="4:7" ht="15" customHeight="1">
      <c r="D112" s="2069"/>
      <c r="E112" s="2069"/>
      <c r="F112" s="2069"/>
      <c r="G112" s="2068"/>
    </row>
    <row r="113" spans="4:7" ht="15" customHeight="1">
      <c r="D113" s="2069"/>
      <c r="E113" s="2069"/>
      <c r="F113" s="2069"/>
      <c r="G113" s="2068"/>
    </row>
    <row r="114" spans="4:7" ht="15" customHeight="1">
      <c r="D114" s="2069"/>
      <c r="E114" s="2069"/>
      <c r="F114" s="2069"/>
      <c r="G114" s="2068"/>
    </row>
    <row r="115" spans="4:7" ht="15" customHeight="1">
      <c r="D115" s="2069"/>
      <c r="E115" s="2069"/>
      <c r="F115" s="2069"/>
      <c r="G115" s="2068"/>
    </row>
    <row r="116" spans="4:7" ht="15" customHeight="1">
      <c r="D116" s="2069"/>
      <c r="E116" s="2069"/>
      <c r="F116" s="2069"/>
      <c r="G116" s="2068"/>
    </row>
    <row r="117" spans="4:7" ht="15" customHeight="1">
      <c r="D117" s="2069"/>
      <c r="E117" s="2069"/>
      <c r="F117" s="2069"/>
      <c r="G117" s="2068"/>
    </row>
    <row r="118" spans="4:7" ht="15" customHeight="1">
      <c r="D118" s="2069"/>
      <c r="E118" s="2069"/>
      <c r="F118" s="2069"/>
      <c r="G118" s="2069"/>
    </row>
    <row r="119" spans="4:7" ht="15" customHeight="1">
      <c r="D119" s="2069"/>
      <c r="E119" s="2069"/>
      <c r="F119" s="2069"/>
      <c r="G119" s="2069"/>
    </row>
    <row r="120" spans="4:7" ht="15" customHeight="1">
      <c r="D120" s="2069"/>
      <c r="E120" s="2069"/>
      <c r="F120" s="2069"/>
      <c r="G120" s="2069"/>
    </row>
    <row r="121" spans="4:7" ht="15" customHeight="1">
      <c r="D121" s="2069"/>
      <c r="E121" s="2069"/>
      <c r="F121" s="2069"/>
      <c r="G121" s="2069"/>
    </row>
    <row r="122" spans="4:7" ht="15" customHeight="1">
      <c r="D122" s="2069"/>
      <c r="E122" s="2069"/>
      <c r="F122" s="2069"/>
      <c r="G122" s="2069"/>
    </row>
    <row r="123" spans="4:7" ht="15" customHeight="1">
      <c r="D123" s="2069"/>
      <c r="E123" s="2069"/>
      <c r="F123" s="2069"/>
      <c r="G123" s="2069"/>
    </row>
    <row r="124" spans="4:7" ht="15" customHeight="1">
      <c r="D124" s="2069"/>
      <c r="E124" s="2069"/>
      <c r="F124" s="2069"/>
      <c r="G124" s="2069"/>
    </row>
    <row r="125" spans="4:7" ht="15" customHeight="1">
      <c r="D125" s="2069"/>
      <c r="E125" s="2069"/>
      <c r="F125" s="2069"/>
      <c r="G125" s="2069"/>
    </row>
    <row r="126" spans="4:7" ht="15" customHeight="1">
      <c r="D126" s="2069"/>
      <c r="E126" s="2069"/>
      <c r="F126" s="2069"/>
      <c r="G126" s="2069"/>
    </row>
    <row r="127" spans="4:7" ht="15" customHeight="1">
      <c r="D127" s="2069"/>
      <c r="E127" s="2069"/>
      <c r="F127" s="2069"/>
      <c r="G127" s="2069"/>
    </row>
    <row r="128" spans="4:7" ht="15" customHeight="1">
      <c r="D128" s="2069"/>
      <c r="E128" s="2069"/>
      <c r="F128" s="2069"/>
      <c r="G128" s="2069"/>
    </row>
    <row r="129" spans="4:7" ht="15" customHeight="1">
      <c r="D129" s="2069"/>
      <c r="E129" s="2069"/>
      <c r="F129" s="2069"/>
      <c r="G129" s="2069"/>
    </row>
    <row r="130" spans="4:7" ht="15" customHeight="1">
      <c r="D130" s="2069"/>
      <c r="E130" s="2069"/>
      <c r="F130" s="2069"/>
      <c r="G130" s="2069"/>
    </row>
    <row r="131" spans="4:7" ht="15" customHeight="1">
      <c r="D131" s="2069"/>
      <c r="E131" s="2069"/>
      <c r="F131" s="2069"/>
      <c r="G131" s="2069"/>
    </row>
    <row r="132" spans="4:7" ht="15" customHeight="1">
      <c r="D132" s="2069"/>
      <c r="E132" s="2069"/>
      <c r="F132" s="2069"/>
      <c r="G132" s="2069"/>
    </row>
    <row r="133" spans="4:7" ht="15" customHeight="1">
      <c r="D133" s="2069"/>
      <c r="E133" s="2069"/>
      <c r="F133" s="2069"/>
      <c r="G133" s="2069"/>
    </row>
    <row r="134" spans="4:7" ht="15" customHeight="1">
      <c r="D134" s="2069"/>
      <c r="E134" s="2069"/>
      <c r="F134" s="2069"/>
      <c r="G134" s="2069"/>
    </row>
    <row r="135" spans="4:7" ht="15" customHeight="1">
      <c r="D135" s="2069"/>
      <c r="E135" s="2069"/>
      <c r="F135" s="2069"/>
      <c r="G135" s="2069"/>
    </row>
    <row r="136" spans="4:7" ht="15" customHeight="1">
      <c r="D136" s="2069"/>
      <c r="E136" s="2069"/>
      <c r="F136" s="2069"/>
      <c r="G136" s="2069"/>
    </row>
    <row r="137" spans="4:7" ht="15" customHeight="1">
      <c r="D137" s="2069"/>
      <c r="E137" s="2069"/>
      <c r="F137" s="2069"/>
      <c r="G137" s="2069"/>
    </row>
    <row r="138" spans="4:7" ht="15" customHeight="1">
      <c r="D138" s="2069"/>
      <c r="E138" s="2069"/>
      <c r="F138" s="2069"/>
      <c r="G138" s="2069"/>
    </row>
    <row r="139" spans="4:7" ht="15" customHeight="1">
      <c r="D139" s="2069"/>
      <c r="E139" s="2069"/>
      <c r="F139" s="2069"/>
      <c r="G139" s="2069"/>
    </row>
    <row r="140" spans="4:7" ht="15" customHeight="1">
      <c r="D140" s="2069"/>
      <c r="E140" s="2069"/>
      <c r="F140" s="2069"/>
      <c r="G140" s="2069"/>
    </row>
    <row r="141" spans="4:7" ht="15" customHeight="1">
      <c r="D141" s="2069"/>
      <c r="E141" s="2069"/>
      <c r="F141" s="2069"/>
      <c r="G141" s="2069"/>
    </row>
    <row r="142" spans="4:7" ht="15" customHeight="1">
      <c r="D142" s="2069"/>
      <c r="E142" s="2069"/>
      <c r="F142" s="2069"/>
      <c r="G142" s="2069"/>
    </row>
    <row r="143" spans="4:7" ht="15" customHeight="1">
      <c r="D143" s="2069"/>
      <c r="E143" s="2069"/>
      <c r="F143" s="2069"/>
      <c r="G143" s="2069"/>
    </row>
    <row r="144" spans="4:7" ht="15" customHeight="1">
      <c r="D144" s="2069"/>
      <c r="E144" s="2069"/>
      <c r="F144" s="2069"/>
      <c r="G144" s="2069"/>
    </row>
    <row r="145" spans="4:7" ht="15" customHeight="1">
      <c r="D145" s="2069"/>
      <c r="E145" s="2069"/>
      <c r="F145" s="2069"/>
      <c r="G145" s="2069"/>
    </row>
    <row r="146" spans="4:7" ht="15" customHeight="1">
      <c r="D146" s="2069"/>
      <c r="E146" s="2069"/>
      <c r="F146" s="2069"/>
      <c r="G146" s="2069"/>
    </row>
    <row r="147" spans="4:7" ht="15" customHeight="1">
      <c r="D147" s="2069"/>
      <c r="E147" s="2069"/>
      <c r="F147" s="2069"/>
      <c r="G147" s="2069"/>
    </row>
    <row r="148" spans="4:7" ht="15" customHeight="1">
      <c r="D148" s="2069"/>
      <c r="E148" s="2069"/>
      <c r="F148" s="2069"/>
      <c r="G148" s="2069"/>
    </row>
    <row r="149" spans="4:7" ht="15" customHeight="1">
      <c r="D149" s="2069"/>
      <c r="E149" s="2069"/>
      <c r="F149" s="2069"/>
      <c r="G149" s="2069"/>
    </row>
    <row r="150" spans="4:7" ht="15" customHeight="1">
      <c r="D150" s="2069"/>
      <c r="E150" s="2069"/>
      <c r="F150" s="2069"/>
      <c r="G150" s="2069"/>
    </row>
    <row r="151" spans="4:7" ht="15" customHeight="1">
      <c r="D151" s="2069"/>
      <c r="E151" s="2069"/>
      <c r="F151" s="2069"/>
      <c r="G151" s="2069"/>
    </row>
    <row r="152" spans="4:7" ht="15" customHeight="1">
      <c r="D152" s="2069"/>
      <c r="E152" s="2069"/>
      <c r="F152" s="2069"/>
      <c r="G152" s="2069"/>
    </row>
    <row r="153" spans="4:7" ht="15" customHeight="1">
      <c r="D153" s="2069"/>
      <c r="E153" s="2069"/>
      <c r="F153" s="2069"/>
      <c r="G153" s="2069"/>
    </row>
    <row r="154" spans="4:7" ht="15" customHeight="1">
      <c r="D154" s="2069"/>
      <c r="E154" s="2069"/>
      <c r="F154" s="2069"/>
      <c r="G154" s="2069"/>
    </row>
    <row r="155" spans="4:7" ht="15" customHeight="1">
      <c r="D155" s="2069"/>
      <c r="E155" s="2069"/>
      <c r="F155" s="2069"/>
      <c r="G155" s="2069"/>
    </row>
    <row r="156" spans="4:7" ht="15" customHeight="1">
      <c r="D156" s="2069"/>
      <c r="E156" s="2069"/>
      <c r="F156" s="2069"/>
      <c r="G156" s="2069"/>
    </row>
    <row r="157" spans="4:7" ht="15" customHeight="1">
      <c r="D157" s="2069"/>
      <c r="E157" s="2069"/>
      <c r="F157" s="2069"/>
      <c r="G157" s="2069"/>
    </row>
    <row r="158" spans="4:7" ht="15" customHeight="1">
      <c r="D158" s="2069"/>
      <c r="E158" s="2069"/>
      <c r="F158" s="2069"/>
      <c r="G158" s="2069"/>
    </row>
    <row r="159" spans="4:7" ht="15" customHeight="1">
      <c r="D159" s="2069"/>
      <c r="E159" s="2069"/>
      <c r="F159" s="2069"/>
      <c r="G159" s="2069"/>
    </row>
    <row r="160" spans="4:7" ht="15" customHeight="1">
      <c r="D160" s="2069"/>
      <c r="E160" s="2069"/>
      <c r="F160" s="2069"/>
      <c r="G160" s="2069"/>
    </row>
    <row r="161" spans="4:7" ht="15" customHeight="1">
      <c r="D161" s="2069"/>
      <c r="E161" s="2069"/>
      <c r="F161" s="2069"/>
      <c r="G161" s="2069"/>
    </row>
    <row r="162" spans="4:7" ht="15" customHeight="1">
      <c r="D162" s="2069"/>
      <c r="E162" s="2069"/>
      <c r="F162" s="2069"/>
      <c r="G162" s="2069"/>
    </row>
    <row r="163" spans="4:7" ht="15" customHeight="1">
      <c r="D163" s="2069"/>
      <c r="E163" s="2069"/>
      <c r="F163" s="2069"/>
      <c r="G163" s="2069"/>
    </row>
    <row r="164" spans="4:7" ht="15" customHeight="1">
      <c r="D164" s="2069"/>
      <c r="E164" s="2069"/>
      <c r="F164" s="2069"/>
      <c r="G164" s="2069"/>
    </row>
    <row r="165" spans="4:7" ht="15" customHeight="1">
      <c r="D165" s="2069"/>
      <c r="E165" s="2069"/>
      <c r="F165" s="2069"/>
      <c r="G165" s="2069"/>
    </row>
    <row r="166" spans="4:7" ht="15" customHeight="1">
      <c r="D166" s="2069"/>
      <c r="E166" s="2069"/>
      <c r="F166" s="2069"/>
      <c r="G166" s="2069"/>
    </row>
    <row r="167" spans="4:7" ht="15" customHeight="1">
      <c r="D167" s="2069"/>
      <c r="E167" s="2069"/>
      <c r="F167" s="2069"/>
      <c r="G167" s="2069"/>
    </row>
    <row r="168" spans="4:7" ht="15" customHeight="1">
      <c r="D168" s="2069"/>
      <c r="E168" s="2069"/>
      <c r="F168" s="2069"/>
      <c r="G168" s="2069"/>
    </row>
    <row r="169" spans="4:7" ht="15" customHeight="1">
      <c r="D169" s="2069"/>
      <c r="E169" s="2069"/>
      <c r="F169" s="2069"/>
      <c r="G169" s="2069"/>
    </row>
    <row r="170" spans="4:7" ht="15" customHeight="1">
      <c r="D170" s="2069"/>
      <c r="E170" s="2069"/>
      <c r="F170" s="2069"/>
      <c r="G170" s="2069"/>
    </row>
    <row r="171" spans="4:7" ht="15" customHeight="1">
      <c r="D171" s="2069"/>
      <c r="E171" s="2069"/>
      <c r="F171" s="2069"/>
      <c r="G171" s="2069"/>
    </row>
    <row r="172" spans="4:7" ht="15" customHeight="1">
      <c r="D172" s="2069"/>
      <c r="E172" s="2069"/>
      <c r="F172" s="2069"/>
      <c r="G172" s="2069"/>
    </row>
    <row r="173" spans="4:7" ht="15" customHeight="1">
      <c r="D173" s="2069"/>
      <c r="E173" s="2069"/>
      <c r="F173" s="2069"/>
      <c r="G173" s="2069"/>
    </row>
    <row r="174" spans="4:7" ht="15" customHeight="1">
      <c r="D174" s="2069"/>
      <c r="E174" s="2069"/>
      <c r="F174" s="2069"/>
      <c r="G174" s="2069"/>
    </row>
    <row r="175" spans="4:7" ht="15" customHeight="1">
      <c r="D175" s="2069"/>
      <c r="E175" s="2069"/>
      <c r="F175" s="2069"/>
      <c r="G175" s="2069"/>
    </row>
    <row r="176" spans="4:7" ht="15" customHeight="1">
      <c r="D176" s="2069"/>
      <c r="E176" s="2069"/>
      <c r="F176" s="2069"/>
      <c r="G176" s="2069"/>
    </row>
    <row r="177" spans="4:7" ht="15" customHeight="1">
      <c r="D177" s="2069"/>
      <c r="E177" s="2069"/>
      <c r="F177" s="2069"/>
      <c r="G177" s="2069"/>
    </row>
    <row r="178" spans="4:7" ht="15" customHeight="1">
      <c r="D178" s="2069"/>
      <c r="E178" s="2069"/>
      <c r="F178" s="2069"/>
      <c r="G178" s="2069"/>
    </row>
    <row r="179" spans="4:7" ht="15" customHeight="1">
      <c r="D179" s="2069"/>
      <c r="E179" s="2069"/>
      <c r="F179" s="2069"/>
      <c r="G179" s="2069"/>
    </row>
    <row r="180" spans="4:7" ht="15" customHeight="1">
      <c r="D180" s="2069"/>
      <c r="E180" s="2069"/>
      <c r="F180" s="2069"/>
      <c r="G180" s="2069"/>
    </row>
    <row r="181" spans="4:7" ht="15" customHeight="1">
      <c r="D181" s="2069"/>
      <c r="E181" s="2069"/>
      <c r="F181" s="2069"/>
      <c r="G181" s="2069"/>
    </row>
    <row r="182" spans="4:7" ht="15" customHeight="1">
      <c r="D182" s="2069"/>
      <c r="E182" s="2069"/>
      <c r="F182" s="2069"/>
      <c r="G182" s="2069"/>
    </row>
    <row r="183" spans="4:7" ht="15" customHeight="1">
      <c r="D183" s="2069"/>
      <c r="E183" s="2069"/>
      <c r="F183" s="2069"/>
      <c r="G183" s="2069"/>
    </row>
    <row r="184" spans="4:7" ht="15" customHeight="1">
      <c r="D184" s="2069"/>
      <c r="E184" s="2069"/>
      <c r="F184" s="2069"/>
      <c r="G184" s="2069"/>
    </row>
    <row r="185" spans="4:7" ht="15" customHeight="1">
      <c r="D185" s="2069"/>
      <c r="E185" s="2069"/>
      <c r="F185" s="2069"/>
      <c r="G185" s="2069"/>
    </row>
    <row r="186" spans="4:7" ht="15" customHeight="1">
      <c r="D186" s="2069"/>
      <c r="E186" s="2069"/>
      <c r="F186" s="2069"/>
      <c r="G186" s="2069"/>
    </row>
    <row r="187" spans="4:7" ht="15" customHeight="1">
      <c r="D187" s="2069"/>
      <c r="E187" s="2069"/>
      <c r="F187" s="2069"/>
      <c r="G187" s="2069"/>
    </row>
    <row r="188" spans="4:7" ht="15" customHeight="1">
      <c r="D188" s="2069"/>
      <c r="E188" s="2069"/>
      <c r="F188" s="2069"/>
      <c r="G188" s="2069"/>
    </row>
    <row r="189" spans="4:7" ht="15" customHeight="1">
      <c r="D189" s="2069"/>
      <c r="E189" s="2069"/>
      <c r="F189" s="2069"/>
      <c r="G189" s="2069"/>
    </row>
    <row r="190" spans="4:7" ht="15" customHeight="1">
      <c r="D190" s="2069"/>
      <c r="E190" s="2069"/>
      <c r="F190" s="2069"/>
      <c r="G190" s="2069"/>
    </row>
    <row r="191" spans="4:7" ht="15" customHeight="1">
      <c r="D191" s="2069"/>
      <c r="E191" s="2069"/>
      <c r="F191" s="2069"/>
      <c r="G191" s="2069"/>
    </row>
    <row r="192" spans="4:7" ht="15" customHeight="1">
      <c r="D192" s="2069"/>
      <c r="E192" s="2069"/>
      <c r="F192" s="2069"/>
      <c r="G192" s="2069"/>
    </row>
    <row r="193" spans="5:7" ht="15" customHeight="1">
      <c r="E193" s="2069"/>
      <c r="F193" s="2069"/>
      <c r="G193" s="2069"/>
    </row>
    <row r="194" spans="5:7" ht="15" customHeight="1">
      <c r="E194" s="2069"/>
      <c r="F194" s="2069"/>
      <c r="G194" s="2069"/>
    </row>
    <row r="195" spans="5:7" ht="15" customHeight="1">
      <c r="E195" s="2069"/>
      <c r="F195" s="2069"/>
      <c r="G195" s="2069"/>
    </row>
    <row r="196" spans="5:7" ht="15" customHeight="1">
      <c r="E196" s="2069"/>
      <c r="F196" s="2069"/>
      <c r="G196" s="2069"/>
    </row>
    <row r="197" spans="5:7" ht="15" customHeight="1">
      <c r="E197" s="2071"/>
      <c r="F197" s="2071"/>
      <c r="G197" s="2071"/>
    </row>
    <row r="198" spans="5:7" ht="15" customHeight="1">
      <c r="E198" s="2071"/>
      <c r="F198" s="2071"/>
      <c r="G198" s="2071"/>
    </row>
    <row r="199" spans="5:7" ht="15" customHeight="1">
      <c r="E199" s="2071"/>
      <c r="F199" s="2071"/>
      <c r="G199" s="2071"/>
    </row>
    <row r="200" spans="5:7" ht="15" customHeight="1">
      <c r="E200" s="2071"/>
      <c r="F200" s="2071"/>
      <c r="G200" s="2071"/>
    </row>
    <row r="201" spans="5:7" ht="15" customHeight="1">
      <c r="E201" s="2071"/>
      <c r="F201" s="2071"/>
      <c r="G201" s="2071"/>
    </row>
    <row r="202" spans="5:7" ht="15" customHeight="1">
      <c r="E202" s="2071"/>
      <c r="F202" s="2071"/>
      <c r="G202" s="2071"/>
    </row>
  </sheetData>
  <sheetProtection password="C9AE" sheet="1" objects="1" scenarios="1"/>
  <mergeCells count="3">
    <mergeCell ref="A1:H1"/>
    <mergeCell ref="A2:B2"/>
    <mergeCell ref="C2:H2"/>
  </mergeCells>
  <conditionalFormatting sqref="A11:H104">
    <cfRule type="expression" dxfId="5" priority="1" stopIfTrue="1">
      <formula>AND(COUNTA($A11:$H11)&gt;0,ISBLANK(A11))</formula>
    </cfRule>
  </conditionalFormatting>
  <conditionalFormatting sqref="R4:Y4 R5:X10 Y5:Y11">
    <cfRule type="expression" dxfId="4" priority="2" stopIfTrue="1">
      <formula>AND(COUNTA($R4:$Y4)&gt;0,ISBLANK(R4))</formula>
    </cfRule>
  </conditionalFormatting>
  <dataValidations count="1">
    <dataValidation type="list" showInputMessage="1" showErrorMessage="1" sqref="IY4:IY104 SU4:SU104 ACQ4:ACQ104 AMM4:AMM104 AWI4:AWI104 BGE4:BGE104 BQA4:BQA104 BZW4:BZW104 CJS4:CJS104 CTO4:CTO104 DDK4:DDK104 DNG4:DNG104 DXC4:DXC104 EGY4:EGY104 EQU4:EQU104 FAQ4:FAQ104 FKM4:FKM104 FUI4:FUI104 GEE4:GEE104 GOA4:GOA104 GXW4:GXW104 HHS4:HHS104 HRO4:HRO104 IBK4:IBK104 ILG4:ILG104 IVC4:IVC104 JEY4:JEY104 JOU4:JOU104 JYQ4:JYQ104 KIM4:KIM104 KSI4:KSI104 LCE4:LCE104 LMA4:LMA104 LVW4:LVW104 MFS4:MFS104 MPO4:MPO104 MZK4:MZK104 NJG4:NJG104 NTC4:NTC104 OCY4:OCY104 OMU4:OMU104 OWQ4:OWQ104 PGM4:PGM104 PQI4:PQI104 QAE4:QAE104 QKA4:QKA104 QTW4:QTW104 RDS4:RDS104 RNO4:RNO104 RXK4:RXK104 SHG4:SHG104 SRC4:SRC104 TAY4:TAY104 TKU4:TKU104 TUQ4:TUQ104 UEM4:UEM104 UOI4:UOI104 UYE4:UYE104 VIA4:VIA104 VRW4:VRW104 WBS4:WBS104 WLO4:WLO104 WVK4: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C18:C104 T4:T10">
      <formula1>ThermalBridgeType</formula1>
    </dataValidation>
  </dataValidation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BA3216"/>
  <sheetViews>
    <sheetView workbookViewId="0">
      <selection activeCell="BA2" sqref="BA2"/>
    </sheetView>
  </sheetViews>
  <sheetFormatPr baseColWidth="10" defaultColWidth="9.140625" defaultRowHeight="15"/>
  <cols>
    <col min="1" max="16384" width="9.140625" style="2064"/>
  </cols>
  <sheetData>
    <row r="1" spans="1:53" ht="30">
      <c r="A1" s="2063" t="s">
        <v>5645</v>
      </c>
      <c r="B1" s="2064" t="s">
        <v>5646</v>
      </c>
      <c r="C1" s="2063" t="s">
        <v>5647</v>
      </c>
      <c r="D1" s="2064">
        <v>1</v>
      </c>
    </row>
    <row r="2" spans="1:53">
      <c r="AX2" s="2064">
        <f>VLOOKUP(BA2,AW3:AX35,2,FALSE)</f>
        <v>0</v>
      </c>
      <c r="BA2" s="2086">
        <f>IF(Projekt!N35="",1,VLOOKUP(Projekt!N35,AZ3:BA43,2,FALSE))</f>
        <v>1</v>
      </c>
    </row>
    <row r="3" spans="1:53">
      <c r="A3" s="2064" t="s">
        <v>5648</v>
      </c>
      <c r="B3" s="2064" t="s">
        <v>5649</v>
      </c>
      <c r="C3" s="2064" t="s">
        <v>5650</v>
      </c>
      <c r="D3" s="2064" t="s">
        <v>5651</v>
      </c>
      <c r="E3" s="2064" t="s">
        <v>5652</v>
      </c>
      <c r="F3" s="2064" t="s">
        <v>5653</v>
      </c>
      <c r="G3" s="2064" t="s">
        <v>5654</v>
      </c>
      <c r="H3" s="2064" t="s">
        <v>5655</v>
      </c>
      <c r="I3" s="2064" t="s">
        <v>5656</v>
      </c>
      <c r="J3" s="2064" t="s">
        <v>5657</v>
      </c>
      <c r="K3" s="2064" t="s">
        <v>5658</v>
      </c>
      <c r="L3" s="2064" t="s">
        <v>5659</v>
      </c>
      <c r="M3" s="2064" t="s">
        <v>5660</v>
      </c>
      <c r="N3" s="2064" t="s">
        <v>5661</v>
      </c>
      <c r="O3" s="2064" t="s">
        <v>5662</v>
      </c>
      <c r="P3" s="2064" t="s">
        <v>5663</v>
      </c>
      <c r="Q3" s="2064" t="s">
        <v>5664</v>
      </c>
      <c r="R3" s="2064" t="s">
        <v>5665</v>
      </c>
      <c r="S3" s="2064" t="s">
        <v>5666</v>
      </c>
      <c r="T3" s="2064" t="s">
        <v>5667</v>
      </c>
      <c r="U3" s="2064" t="s">
        <v>5668</v>
      </c>
      <c r="V3" s="2064" t="s">
        <v>5669</v>
      </c>
      <c r="W3" s="2064" t="s">
        <v>5670</v>
      </c>
      <c r="X3" s="2064" t="s">
        <v>5671</v>
      </c>
      <c r="Y3" s="2064" t="s">
        <v>5672</v>
      </c>
      <c r="Z3" s="2064" t="s">
        <v>5673</v>
      </c>
      <c r="AA3" s="2064" t="s">
        <v>5674</v>
      </c>
      <c r="AB3" s="2064" t="s">
        <v>5675</v>
      </c>
      <c r="AC3" s="2064" t="s">
        <v>5676</v>
      </c>
      <c r="AD3" s="2064" t="s">
        <v>5677</v>
      </c>
      <c r="AE3" s="2064" t="s">
        <v>5678</v>
      </c>
      <c r="AF3" s="2064" t="s">
        <v>5679</v>
      </c>
      <c r="AG3" s="2064" t="s">
        <v>5680</v>
      </c>
      <c r="AH3" s="2064" t="s">
        <v>5681</v>
      </c>
      <c r="AI3" s="2064" t="s">
        <v>5682</v>
      </c>
      <c r="AJ3" s="2064" t="s">
        <v>5683</v>
      </c>
      <c r="AK3" s="2064" t="s">
        <v>5684</v>
      </c>
      <c r="AL3" s="2064" t="s">
        <v>5685</v>
      </c>
      <c r="AM3" s="2064" t="s">
        <v>5686</v>
      </c>
      <c r="AN3" s="2064" t="s">
        <v>5687</v>
      </c>
      <c r="AO3" s="2064" t="s">
        <v>5688</v>
      </c>
      <c r="AP3" s="2064" t="s">
        <v>5689</v>
      </c>
      <c r="AQ3" s="2064" t="s">
        <v>5690</v>
      </c>
      <c r="AR3" s="2064" t="s">
        <v>5691</v>
      </c>
      <c r="AS3" s="2064" t="s">
        <v>5692</v>
      </c>
      <c r="AW3" s="2064">
        <v>1</v>
      </c>
      <c r="BA3" s="2064">
        <v>1</v>
      </c>
    </row>
    <row r="4" spans="1:53">
      <c r="A4" s="2064" t="s">
        <v>5693</v>
      </c>
      <c r="B4" s="2064" t="s">
        <v>5694</v>
      </c>
      <c r="C4" s="2064" t="s">
        <v>5695</v>
      </c>
      <c r="D4" s="2064" t="s">
        <v>5696</v>
      </c>
      <c r="E4" s="2064" t="s">
        <v>5697</v>
      </c>
      <c r="F4" s="2064" t="s">
        <v>5698</v>
      </c>
      <c r="G4" s="2064" t="s">
        <v>372</v>
      </c>
      <c r="H4" s="2064" t="s">
        <v>5699</v>
      </c>
      <c r="I4" s="2064" t="s">
        <v>5700</v>
      </c>
      <c r="J4" s="2064" t="s">
        <v>5701</v>
      </c>
      <c r="K4" s="2064" t="s">
        <v>1576</v>
      </c>
      <c r="L4" s="2064" t="s">
        <v>1453</v>
      </c>
      <c r="M4" s="2064" t="s">
        <v>5702</v>
      </c>
      <c r="N4" s="2064" t="s">
        <v>1576</v>
      </c>
      <c r="O4" s="2064" t="s">
        <v>1240</v>
      </c>
      <c r="P4" s="2064" t="s">
        <v>5703</v>
      </c>
      <c r="Q4" s="2064" t="s">
        <v>1576</v>
      </c>
      <c r="R4" s="2064" t="s">
        <v>538</v>
      </c>
      <c r="S4" s="2064" t="s">
        <v>5704</v>
      </c>
      <c r="T4" s="2064" t="s">
        <v>5705</v>
      </c>
      <c r="U4" s="2064" t="s">
        <v>5706</v>
      </c>
      <c r="V4" s="2064" t="s">
        <v>5707</v>
      </c>
      <c r="W4" s="2064" t="s">
        <v>5708</v>
      </c>
      <c r="X4" s="2064" t="s">
        <v>5709</v>
      </c>
      <c r="Y4" s="2064" t="s">
        <v>5710</v>
      </c>
      <c r="Z4" s="2064" t="s">
        <v>5711</v>
      </c>
      <c r="AA4" s="2064" t="s">
        <v>5712</v>
      </c>
      <c r="AB4" s="2064" t="s">
        <v>523</v>
      </c>
      <c r="AC4" s="2064" t="s">
        <v>5713</v>
      </c>
      <c r="AD4" s="2064" t="s">
        <v>5714</v>
      </c>
      <c r="AE4" s="2064" t="s">
        <v>523</v>
      </c>
      <c r="AF4" s="2064" t="s">
        <v>523</v>
      </c>
      <c r="AG4" s="2064" t="s">
        <v>5715</v>
      </c>
      <c r="AH4" s="2064" t="s">
        <v>5716</v>
      </c>
      <c r="AI4" s="2064" t="s">
        <v>5717</v>
      </c>
      <c r="AJ4" s="2064" t="s">
        <v>5718</v>
      </c>
      <c r="AK4" s="2064" t="s">
        <v>5719</v>
      </c>
      <c r="AL4" s="2064" t="s">
        <v>5720</v>
      </c>
      <c r="AM4" s="2064" t="s">
        <v>5721</v>
      </c>
      <c r="AN4" s="2064" t="s">
        <v>5722</v>
      </c>
      <c r="AO4" s="2064" t="s">
        <v>5723</v>
      </c>
      <c r="AP4" s="2064" t="s">
        <v>5724</v>
      </c>
      <c r="AQ4" s="2064" t="s">
        <v>5720</v>
      </c>
      <c r="AR4" s="2064" t="s">
        <v>5725</v>
      </c>
      <c r="AS4" s="2064" t="s">
        <v>338</v>
      </c>
      <c r="AW4" s="2064">
        <v>2</v>
      </c>
      <c r="AX4" s="2064" t="s">
        <v>372</v>
      </c>
      <c r="AZ4" s="2064" t="str">
        <f>Klima!U93</f>
        <v>Adelboden 2028</v>
      </c>
      <c r="BA4" s="2064">
        <v>2</v>
      </c>
    </row>
    <row r="5" spans="1:53">
      <c r="A5" s="2064" t="s">
        <v>5726</v>
      </c>
      <c r="B5" s="2064" t="s">
        <v>5727</v>
      </c>
      <c r="C5" s="2064" t="s">
        <v>5728</v>
      </c>
      <c r="D5" s="2064" t="s">
        <v>5729</v>
      </c>
      <c r="E5" s="2064" t="s">
        <v>5730</v>
      </c>
      <c r="F5" s="2064" t="s">
        <v>5731</v>
      </c>
      <c r="G5" s="2064" t="s">
        <v>5732</v>
      </c>
      <c r="H5" s="2064" t="s">
        <v>5733</v>
      </c>
      <c r="I5" s="2064" t="s">
        <v>5734</v>
      </c>
      <c r="J5" s="2064" t="s">
        <v>5735</v>
      </c>
      <c r="K5" s="2064" t="s">
        <v>2977</v>
      </c>
      <c r="L5" s="2064" t="s">
        <v>5736</v>
      </c>
      <c r="M5" s="2064" t="s">
        <v>5737</v>
      </c>
      <c r="N5" s="2064" t="s">
        <v>2977</v>
      </c>
      <c r="O5" s="2064" t="s">
        <v>1241</v>
      </c>
      <c r="P5" s="2064" t="s">
        <v>1193</v>
      </c>
      <c r="Q5" s="2064" t="s">
        <v>2977</v>
      </c>
      <c r="R5" s="2064" t="s">
        <v>5738</v>
      </c>
      <c r="S5" s="2064" t="s">
        <v>5739</v>
      </c>
      <c r="T5" s="2064" t="s">
        <v>759</v>
      </c>
      <c r="U5" s="2064" t="s">
        <v>5740</v>
      </c>
      <c r="V5" s="2064" t="s">
        <v>5741</v>
      </c>
      <c r="W5" s="2064" t="s">
        <v>5742</v>
      </c>
      <c r="X5" s="2064" t="s">
        <v>5743</v>
      </c>
      <c r="Y5" s="2064" t="s">
        <v>5744</v>
      </c>
      <c r="Z5" s="2064" t="s">
        <v>263</v>
      </c>
      <c r="AA5" s="2064" t="s">
        <v>5745</v>
      </c>
      <c r="AB5" s="2064" t="s">
        <v>5746</v>
      </c>
      <c r="AC5" s="2064" t="s">
        <v>5747</v>
      </c>
      <c r="AD5" s="2064" t="s">
        <v>5748</v>
      </c>
      <c r="AE5" s="2064" t="s">
        <v>522</v>
      </c>
      <c r="AF5" s="2064" t="s">
        <v>522</v>
      </c>
      <c r="AG5" s="2064" t="s">
        <v>5749</v>
      </c>
      <c r="AH5" s="2064" t="s">
        <v>5750</v>
      </c>
      <c r="AI5" s="2064" t="s">
        <v>5751</v>
      </c>
      <c r="AJ5" s="2064" t="s">
        <v>5752</v>
      </c>
      <c r="AK5" s="2064" t="s">
        <v>5711</v>
      </c>
      <c r="AL5" s="2064" t="s">
        <v>5753</v>
      </c>
      <c r="AM5" s="2064" t="s">
        <v>5754</v>
      </c>
      <c r="AN5" s="2064" t="s">
        <v>5755</v>
      </c>
      <c r="AO5" s="2064" t="s">
        <v>5756</v>
      </c>
      <c r="AP5" s="2064" t="s">
        <v>5754</v>
      </c>
      <c r="AQ5" s="2064" t="s">
        <v>5753</v>
      </c>
      <c r="AR5" s="2064" t="s">
        <v>5757</v>
      </c>
      <c r="AS5" s="2064" t="s">
        <v>5758</v>
      </c>
      <c r="AW5" s="2064">
        <v>4</v>
      </c>
      <c r="AX5" s="2064" t="s">
        <v>5732</v>
      </c>
      <c r="AZ5" s="2064" t="str">
        <f>Klima!U94</f>
        <v>Aigle 2028</v>
      </c>
      <c r="BA5" s="2064">
        <v>3</v>
      </c>
    </row>
    <row r="6" spans="1:53">
      <c r="A6" s="2064" t="s">
        <v>5759</v>
      </c>
      <c r="B6" s="2064" t="s">
        <v>5760</v>
      </c>
      <c r="C6" s="2064" t="s">
        <v>5761</v>
      </c>
      <c r="D6" s="2064" t="s">
        <v>5762</v>
      </c>
      <c r="F6" s="2064" t="s">
        <v>5763</v>
      </c>
      <c r="G6" s="2064" t="s">
        <v>5764</v>
      </c>
      <c r="H6" s="2064" t="s">
        <v>5765</v>
      </c>
      <c r="I6" s="2064" t="s">
        <v>5766</v>
      </c>
      <c r="J6" s="2064" t="s">
        <v>5767</v>
      </c>
      <c r="K6" s="2064" t="s">
        <v>5768</v>
      </c>
      <c r="L6" s="2064" t="s">
        <v>5769</v>
      </c>
      <c r="M6" s="2064" t="s">
        <v>5770</v>
      </c>
      <c r="N6" s="2064" t="s">
        <v>5768</v>
      </c>
      <c r="P6" s="2064" t="s">
        <v>5771</v>
      </c>
      <c r="Q6" s="2064" t="s">
        <v>5768</v>
      </c>
      <c r="R6" s="2064" t="s">
        <v>5772</v>
      </c>
      <c r="S6" s="2064" t="s">
        <v>5773</v>
      </c>
      <c r="T6" s="2064" t="s">
        <v>1323</v>
      </c>
      <c r="U6" s="2064" t="s">
        <v>5774</v>
      </c>
      <c r="V6" s="2064" t="s">
        <v>5775</v>
      </c>
      <c r="W6" s="2064" t="s">
        <v>5776</v>
      </c>
      <c r="X6" s="2064" t="s">
        <v>5777</v>
      </c>
      <c r="Y6" s="2064" t="s">
        <v>5778</v>
      </c>
      <c r="Z6" s="2064" t="s">
        <v>5779</v>
      </c>
      <c r="AB6" s="2064" t="s">
        <v>5780</v>
      </c>
      <c r="AC6" s="2064" t="s">
        <v>5781</v>
      </c>
      <c r="AE6" s="2064" t="s">
        <v>5782</v>
      </c>
      <c r="AF6" s="2064" t="s">
        <v>5783</v>
      </c>
      <c r="AG6" s="2064" t="s">
        <v>5784</v>
      </c>
      <c r="AH6" s="2064" t="s">
        <v>5785</v>
      </c>
      <c r="AI6" s="2064" t="s">
        <v>1005</v>
      </c>
      <c r="AJ6" s="2064" t="s">
        <v>5786</v>
      </c>
      <c r="AK6" s="2064" t="s">
        <v>5754</v>
      </c>
      <c r="AL6" s="2064" t="s">
        <v>5787</v>
      </c>
      <c r="AM6" s="2064" t="s">
        <v>5788</v>
      </c>
      <c r="AN6" s="2064" t="s">
        <v>5787</v>
      </c>
      <c r="AO6" s="2064" t="s">
        <v>5789</v>
      </c>
      <c r="AP6" s="2064" t="s">
        <v>5790</v>
      </c>
      <c r="AQ6" s="2064" t="s">
        <v>5787</v>
      </c>
      <c r="AR6" s="2064" t="s">
        <v>5791</v>
      </c>
      <c r="AW6" s="2064">
        <v>5</v>
      </c>
      <c r="AX6" s="2064" t="s">
        <v>5764</v>
      </c>
      <c r="AZ6" s="2064" t="str">
        <f>Klima!U95</f>
        <v>Altdorf  2028</v>
      </c>
      <c r="BA6" s="2064">
        <v>4</v>
      </c>
    </row>
    <row r="7" spans="1:53">
      <c r="A7" s="2064" t="s">
        <v>5792</v>
      </c>
      <c r="B7" s="2064" t="s">
        <v>5793</v>
      </c>
      <c r="C7" s="2064" t="s">
        <v>5794</v>
      </c>
      <c r="D7" s="2064" t="s">
        <v>5795</v>
      </c>
      <c r="F7" s="2064" t="s">
        <v>5796</v>
      </c>
      <c r="G7" s="2064" t="s">
        <v>5797</v>
      </c>
      <c r="J7" s="2064" t="s">
        <v>5771</v>
      </c>
      <c r="K7" s="2064" t="s">
        <v>2976</v>
      </c>
      <c r="L7" s="2064" t="s">
        <v>5798</v>
      </c>
      <c r="M7" s="2064" t="s">
        <v>5799</v>
      </c>
      <c r="N7" s="2064" t="s">
        <v>2976</v>
      </c>
      <c r="P7" s="2064" t="s">
        <v>5800</v>
      </c>
      <c r="Q7" s="2064" t="s">
        <v>2976</v>
      </c>
      <c r="S7" s="2064" t="s">
        <v>5801</v>
      </c>
      <c r="T7" s="2064" t="s">
        <v>1360</v>
      </c>
      <c r="U7" s="2064" t="s">
        <v>5802</v>
      </c>
      <c r="V7" s="2064" t="s">
        <v>5803</v>
      </c>
      <c r="W7" s="2064" t="s">
        <v>5804</v>
      </c>
      <c r="X7" s="2064" t="s">
        <v>5805</v>
      </c>
      <c r="Y7" s="2064" t="s">
        <v>5806</v>
      </c>
      <c r="AB7" s="2064" t="s">
        <v>5807</v>
      </c>
      <c r="AG7" s="2064" t="s">
        <v>5808</v>
      </c>
      <c r="AI7" s="2064" t="s">
        <v>1735</v>
      </c>
      <c r="AJ7" s="2064" t="s">
        <v>5809</v>
      </c>
      <c r="AK7" s="2064" t="s">
        <v>5779</v>
      </c>
      <c r="AL7" s="2064" t="s">
        <v>5810</v>
      </c>
      <c r="AN7" s="2064" t="s">
        <v>5811</v>
      </c>
      <c r="AO7" s="2064" t="s">
        <v>5722</v>
      </c>
      <c r="AQ7" s="2064" t="s">
        <v>5810</v>
      </c>
      <c r="AW7" s="2064">
        <v>6</v>
      </c>
      <c r="AX7" s="2064" t="s">
        <v>5797</v>
      </c>
      <c r="AZ7" s="2064" t="str">
        <f>Klima!U96</f>
        <v>Basel-Binningen  2028</v>
      </c>
      <c r="BA7" s="2064">
        <v>5</v>
      </c>
    </row>
    <row r="8" spans="1:53">
      <c r="A8" s="2064" t="s">
        <v>5812</v>
      </c>
      <c r="B8" s="2064" t="s">
        <v>5813</v>
      </c>
      <c r="F8" s="2064" t="s">
        <v>5814</v>
      </c>
      <c r="G8" s="2064" t="s">
        <v>5815</v>
      </c>
      <c r="J8" s="2064" t="s">
        <v>5773</v>
      </c>
      <c r="K8" s="2064" t="s">
        <v>356</v>
      </c>
      <c r="N8" s="2064" t="s">
        <v>356</v>
      </c>
      <c r="P8" s="2064" t="s">
        <v>5816</v>
      </c>
      <c r="Q8" s="2064" t="s">
        <v>356</v>
      </c>
      <c r="S8" s="2064" t="s">
        <v>5771</v>
      </c>
      <c r="T8" s="2064" t="s">
        <v>5817</v>
      </c>
      <c r="U8" s="2064" t="s">
        <v>5818</v>
      </c>
      <c r="V8" s="2064" t="s">
        <v>5819</v>
      </c>
      <c r="W8" s="2064" t="s">
        <v>5820</v>
      </c>
      <c r="X8" s="2064" t="s">
        <v>229</v>
      </c>
      <c r="AB8" s="2064" t="s">
        <v>5821</v>
      </c>
      <c r="AG8" s="2064" t="s">
        <v>5822</v>
      </c>
      <c r="AI8" s="2064" t="s">
        <v>5823</v>
      </c>
      <c r="AJ8" s="2064" t="s">
        <v>5824</v>
      </c>
      <c r="AK8" s="2064" t="s">
        <v>5825</v>
      </c>
      <c r="AL8" s="2064" t="s">
        <v>5811</v>
      </c>
      <c r="AO8" s="2064" t="s">
        <v>5826</v>
      </c>
      <c r="AQ8" s="2064" t="s">
        <v>5811</v>
      </c>
      <c r="AW8" s="2064">
        <v>7</v>
      </c>
      <c r="AX8" s="2064" t="s">
        <v>5815</v>
      </c>
      <c r="AZ8" s="2064" t="str">
        <f>Klima!U97</f>
        <v>Bern  Liebefeld  2028</v>
      </c>
      <c r="BA8" s="2064">
        <v>6</v>
      </c>
    </row>
    <row r="9" spans="1:53">
      <c r="A9" s="2064" t="s">
        <v>5827</v>
      </c>
      <c r="B9" s="2064" t="s">
        <v>5828</v>
      </c>
      <c r="F9" s="2064" t="s">
        <v>5829</v>
      </c>
      <c r="G9" s="2064" t="s">
        <v>5830</v>
      </c>
      <c r="J9" s="2064" t="s">
        <v>5801</v>
      </c>
      <c r="K9" s="2064" t="s">
        <v>2975</v>
      </c>
      <c r="N9" s="2064" t="s">
        <v>2975</v>
      </c>
      <c r="Q9" s="2064" t="s">
        <v>2975</v>
      </c>
      <c r="S9" s="2064" t="s">
        <v>5831</v>
      </c>
      <c r="T9" s="2064" t="s">
        <v>5832</v>
      </c>
      <c r="V9" s="2064" t="s">
        <v>5833</v>
      </c>
      <c r="X9" s="2064" t="s">
        <v>5834</v>
      </c>
      <c r="AG9" s="2064" t="s">
        <v>5835</v>
      </c>
      <c r="AI9" s="2064" t="s">
        <v>5836</v>
      </c>
      <c r="AJ9" s="2064" t="s">
        <v>5837</v>
      </c>
      <c r="AO9" s="2064" t="s">
        <v>5838</v>
      </c>
      <c r="AW9" s="2064">
        <v>8</v>
      </c>
      <c r="AX9" s="2064" t="s">
        <v>5830</v>
      </c>
      <c r="AZ9" s="2064" t="str">
        <f>Klima!U98</f>
        <v>Buchs Aarau 2028</v>
      </c>
      <c r="BA9" s="2064">
        <v>7</v>
      </c>
    </row>
    <row r="10" spans="1:53">
      <c r="A10" s="2064" t="s">
        <v>5839</v>
      </c>
      <c r="B10" s="2064" t="s">
        <v>5840</v>
      </c>
      <c r="F10" s="2064" t="s">
        <v>5841</v>
      </c>
      <c r="G10" s="2064" t="s">
        <v>5842</v>
      </c>
      <c r="J10" s="2064" t="str">
        <f>""</f>
        <v/>
      </c>
      <c r="K10" s="2064" t="s">
        <v>1181</v>
      </c>
      <c r="N10" s="2064" t="s">
        <v>1181</v>
      </c>
      <c r="Q10" s="2064" t="s">
        <v>1181</v>
      </c>
      <c r="T10" s="2064" t="s">
        <v>2292</v>
      </c>
      <c r="V10" s="2064" t="s">
        <v>5843</v>
      </c>
      <c r="X10" s="2064" t="s">
        <v>5844</v>
      </c>
      <c r="AI10" s="2064" t="s">
        <v>5845</v>
      </c>
      <c r="AJ10" s="2064" t="s">
        <v>5846</v>
      </c>
      <c r="AO10" s="2064" t="s">
        <v>5755</v>
      </c>
      <c r="AW10" s="2064">
        <v>9</v>
      </c>
      <c r="AX10" s="2064" t="s">
        <v>5842</v>
      </c>
      <c r="AZ10" s="2064" t="str">
        <f>Klima!U99</f>
        <v>Chur  2028</v>
      </c>
      <c r="BA10" s="2064">
        <v>8</v>
      </c>
    </row>
    <row r="11" spans="1:53">
      <c r="A11" s="2064" t="s">
        <v>5847</v>
      </c>
      <c r="B11" s="2064" t="s">
        <v>5848</v>
      </c>
      <c r="F11" s="2064" t="s">
        <v>5849</v>
      </c>
      <c r="G11" s="2064" t="s">
        <v>5850</v>
      </c>
      <c r="K11" s="2064" t="s">
        <v>704</v>
      </c>
      <c r="N11" s="2064" t="s">
        <v>704</v>
      </c>
      <c r="Q11" s="2064" t="s">
        <v>704</v>
      </c>
      <c r="T11" s="2064" t="s">
        <v>5851</v>
      </c>
      <c r="V11" s="2064" t="s">
        <v>5852</v>
      </c>
      <c r="X11" s="2064" t="s">
        <v>5853</v>
      </c>
      <c r="AJ11" s="2064" t="s">
        <v>5854</v>
      </c>
      <c r="AO11" s="2064" t="s">
        <v>5855</v>
      </c>
      <c r="AW11" s="2064">
        <v>10</v>
      </c>
      <c r="AX11" s="2064" t="s">
        <v>5850</v>
      </c>
      <c r="AZ11" s="2064" t="str">
        <f>Klima!U100</f>
        <v>Davos  2028</v>
      </c>
      <c r="BA11" s="2064">
        <v>9</v>
      </c>
    </row>
    <row r="12" spans="1:53">
      <c r="A12" s="2064" t="s">
        <v>5856</v>
      </c>
      <c r="B12" s="2064" t="s">
        <v>5857</v>
      </c>
      <c r="F12" s="2064" t="s">
        <v>5858</v>
      </c>
      <c r="G12" s="2064" t="s">
        <v>5859</v>
      </c>
      <c r="K12" s="2064" t="s">
        <v>5860</v>
      </c>
      <c r="N12" s="2064" t="s">
        <v>5860</v>
      </c>
      <c r="Q12" s="2064" t="s">
        <v>5860</v>
      </c>
      <c r="V12" s="2064" t="s">
        <v>5861</v>
      </c>
      <c r="X12" s="2064" t="s">
        <v>5862</v>
      </c>
      <c r="AJ12" s="2064" t="s">
        <v>5863</v>
      </c>
      <c r="AO12" s="2064" t="s">
        <v>5787</v>
      </c>
      <c r="AW12" s="2064">
        <v>11</v>
      </c>
      <c r="AX12" s="2064" t="s">
        <v>5859</v>
      </c>
      <c r="AZ12" s="2064" t="str">
        <f>Klima!U101</f>
        <v>Disentis  2028</v>
      </c>
      <c r="BA12" s="2064">
        <v>10</v>
      </c>
    </row>
    <row r="13" spans="1:53">
      <c r="A13" s="2064" t="s">
        <v>506</v>
      </c>
      <c r="B13" s="2064" t="s">
        <v>5864</v>
      </c>
      <c r="F13" s="2064" t="s">
        <v>5865</v>
      </c>
      <c r="G13" s="2064" t="s">
        <v>5866</v>
      </c>
      <c r="N13" s="2064" t="s">
        <v>506</v>
      </c>
      <c r="V13" s="2064" t="s">
        <v>5867</v>
      </c>
      <c r="X13" s="2064" t="s">
        <v>5868</v>
      </c>
      <c r="AJ13" s="2064" t="s">
        <v>5869</v>
      </c>
      <c r="AO13" s="2064" t="s">
        <v>5811</v>
      </c>
      <c r="AW13" s="2064">
        <v>12</v>
      </c>
      <c r="AX13" s="2064" t="s">
        <v>5866</v>
      </c>
      <c r="AZ13" s="2064" t="str">
        <f>Klima!U102</f>
        <v>Engelberg  2028</v>
      </c>
      <c r="BA13" s="2064">
        <v>11</v>
      </c>
    </row>
    <row r="14" spans="1:53">
      <c r="B14" s="2064" t="s">
        <v>5870</v>
      </c>
      <c r="F14" s="2064" t="s">
        <v>5871</v>
      </c>
      <c r="G14" s="2064" t="s">
        <v>5872</v>
      </c>
      <c r="V14" s="2064" t="s">
        <v>5873</v>
      </c>
      <c r="X14" s="2064" t="s">
        <v>5874</v>
      </c>
      <c r="AJ14" s="2064" t="s">
        <v>5875</v>
      </c>
      <c r="AW14" s="2064">
        <v>13</v>
      </c>
      <c r="AX14" s="2064" t="s">
        <v>5872</v>
      </c>
      <c r="AZ14" s="2064" t="str">
        <f>Klima!U103</f>
        <v>Genève  2028</v>
      </c>
      <c r="BA14" s="2064">
        <v>12</v>
      </c>
    </row>
    <row r="15" spans="1:53">
      <c r="B15" s="2064" t="s">
        <v>5876</v>
      </c>
      <c r="F15" s="2064" t="s">
        <v>5877</v>
      </c>
      <c r="G15" s="2064" t="s">
        <v>5878</v>
      </c>
      <c r="V15" s="2064" t="s">
        <v>5879</v>
      </c>
      <c r="X15" s="2064" t="s">
        <v>5880</v>
      </c>
      <c r="AJ15" s="2064" t="s">
        <v>5881</v>
      </c>
      <c r="AW15" s="2064">
        <v>14</v>
      </c>
      <c r="AX15" s="2064" t="s">
        <v>5878</v>
      </c>
      <c r="AZ15" s="2064" t="str">
        <f>Klima!U104</f>
        <v>Glarus  2028</v>
      </c>
      <c r="BA15" s="2064">
        <v>13</v>
      </c>
    </row>
    <row r="16" spans="1:53">
      <c r="B16" s="2064" t="s">
        <v>5882</v>
      </c>
      <c r="F16" s="2064" t="s">
        <v>5883</v>
      </c>
      <c r="G16" s="2064" t="s">
        <v>2232</v>
      </c>
      <c r="V16" s="2064" t="s">
        <v>5884</v>
      </c>
      <c r="X16" s="2064" t="s">
        <v>5885</v>
      </c>
      <c r="AJ16" s="2064" t="s">
        <v>5886</v>
      </c>
      <c r="AW16" s="2064">
        <v>15</v>
      </c>
      <c r="AX16" s="2064" t="s">
        <v>2232</v>
      </c>
      <c r="AZ16" s="2064" t="str">
        <f>Klima!U105</f>
        <v>Gr. St. Bernhard  2028</v>
      </c>
      <c r="BA16" s="2064">
        <v>14</v>
      </c>
    </row>
    <row r="17" spans="2:53">
      <c r="B17" s="2064" t="s">
        <v>5887</v>
      </c>
      <c r="F17" s="2064" t="s">
        <v>5888</v>
      </c>
      <c r="G17" s="2064" t="s">
        <v>5889</v>
      </c>
      <c r="V17" s="2064" t="s">
        <v>5890</v>
      </c>
      <c r="X17" s="2064" t="s">
        <v>5891</v>
      </c>
      <c r="AJ17" s="2064" t="s">
        <v>5892</v>
      </c>
      <c r="AW17" s="2064">
        <v>17</v>
      </c>
      <c r="AX17" s="2064" t="s">
        <v>5889</v>
      </c>
      <c r="AZ17" s="2064" t="str">
        <f>Klima!U106</f>
        <v>Güttingen 2028</v>
      </c>
      <c r="BA17" s="2064">
        <v>15</v>
      </c>
    </row>
    <row r="18" spans="2:53">
      <c r="B18" s="2064" t="s">
        <v>5893</v>
      </c>
      <c r="F18" s="2064" t="s">
        <v>5894</v>
      </c>
      <c r="G18" s="2064" t="s">
        <v>5895</v>
      </c>
      <c r="V18" s="2064" t="s">
        <v>5896</v>
      </c>
      <c r="X18" s="2064" t="s">
        <v>5897</v>
      </c>
      <c r="AJ18" s="2064" t="s">
        <v>5898</v>
      </c>
      <c r="AW18" s="2064">
        <v>19</v>
      </c>
      <c r="AX18" s="2064" t="s">
        <v>5895</v>
      </c>
      <c r="AZ18" s="2064" t="str">
        <f>Klima!U107</f>
        <v>Interlaken 2028</v>
      </c>
      <c r="BA18" s="2064">
        <v>16</v>
      </c>
    </row>
    <row r="19" spans="2:53">
      <c r="B19" s="2064" t="s">
        <v>5899</v>
      </c>
      <c r="F19" s="2064" t="s">
        <v>5900</v>
      </c>
      <c r="G19" s="2064" t="s">
        <v>5901</v>
      </c>
      <c r="V19" s="2064" t="s">
        <v>5902</v>
      </c>
      <c r="X19" s="2064" t="s">
        <v>5903</v>
      </c>
      <c r="AJ19" s="2064" t="s">
        <v>5904</v>
      </c>
      <c r="AW19" s="2064">
        <v>20</v>
      </c>
      <c r="AX19" s="2064" t="s">
        <v>5901</v>
      </c>
      <c r="AZ19" s="2064" t="str">
        <f>Klima!U108</f>
        <v>La Chaux-de-Fonds  2028</v>
      </c>
      <c r="BA19" s="2064">
        <v>17</v>
      </c>
    </row>
    <row r="20" spans="2:53">
      <c r="B20" s="2064" t="s">
        <v>5905</v>
      </c>
      <c r="F20" s="2064" t="s">
        <v>5906</v>
      </c>
      <c r="G20" s="2064" t="s">
        <v>5907</v>
      </c>
      <c r="V20" s="2064" t="s">
        <v>5908</v>
      </c>
      <c r="X20" s="2064" t="s">
        <v>5909</v>
      </c>
      <c r="AJ20" s="2064" t="s">
        <v>5910</v>
      </c>
      <c r="AW20" s="2064">
        <v>21</v>
      </c>
      <c r="AX20" s="2064" t="s">
        <v>5907</v>
      </c>
      <c r="AZ20" s="2064" t="str">
        <f>Klima!U109</f>
        <v>La Frêtaz  2028</v>
      </c>
      <c r="BA20" s="2064">
        <v>18</v>
      </c>
    </row>
    <row r="21" spans="2:53">
      <c r="B21" s="2064" t="s">
        <v>5911</v>
      </c>
      <c r="F21" s="2064" t="s">
        <v>5912</v>
      </c>
      <c r="G21" s="2064" t="s">
        <v>5913</v>
      </c>
      <c r="X21" s="2064" t="s">
        <v>5914</v>
      </c>
      <c r="AJ21" s="2064" t="s">
        <v>5915</v>
      </c>
      <c r="AW21" s="2064">
        <v>22</v>
      </c>
      <c r="AX21" s="2064" t="s">
        <v>5913</v>
      </c>
      <c r="AZ21" s="2064" t="str">
        <f>Klima!U110</f>
        <v>Locarno-Monti  2028</v>
      </c>
      <c r="BA21" s="2064">
        <v>19</v>
      </c>
    </row>
    <row r="22" spans="2:53">
      <c r="B22" s="2064" t="s">
        <v>5916</v>
      </c>
      <c r="F22" s="2064" t="s">
        <v>5917</v>
      </c>
      <c r="G22" s="2064" t="s">
        <v>5918</v>
      </c>
      <c r="X22" s="2064" t="s">
        <v>5919</v>
      </c>
      <c r="AJ22" s="2064" t="s">
        <v>5920</v>
      </c>
      <c r="AW22" s="2064">
        <v>23</v>
      </c>
      <c r="AX22" s="2064" t="s">
        <v>5918</v>
      </c>
      <c r="AZ22" s="2064" t="str">
        <f>Klima!U111</f>
        <v>Lugano  2028</v>
      </c>
      <c r="BA22" s="2064">
        <v>20</v>
      </c>
    </row>
    <row r="23" spans="2:53">
      <c r="B23" s="2064" t="s">
        <v>5921</v>
      </c>
      <c r="F23" s="2064" t="s">
        <v>5922</v>
      </c>
      <c r="G23" s="2064" t="s">
        <v>5923</v>
      </c>
      <c r="X23" s="2064" t="s">
        <v>5924</v>
      </c>
      <c r="AJ23" s="2064" t="s">
        <v>5925</v>
      </c>
      <c r="AW23" s="2064">
        <v>24</v>
      </c>
      <c r="AX23" s="2064" t="s">
        <v>5923</v>
      </c>
      <c r="AZ23" s="2064" t="str">
        <f>Klima!U112</f>
        <v>Luzern  2028</v>
      </c>
      <c r="BA23" s="2064">
        <v>21</v>
      </c>
    </row>
    <row r="24" spans="2:53">
      <c r="B24" s="2064" t="s">
        <v>5926</v>
      </c>
      <c r="F24" s="2064" t="s">
        <v>5927</v>
      </c>
      <c r="G24" s="2064" t="s">
        <v>5928</v>
      </c>
      <c r="X24" s="2064" t="s">
        <v>5929</v>
      </c>
      <c r="AJ24" s="2064" t="s">
        <v>5930</v>
      </c>
      <c r="AW24" s="2064">
        <v>25</v>
      </c>
      <c r="AX24" s="2064" t="s">
        <v>5928</v>
      </c>
      <c r="AZ24" s="2064" t="str">
        <f>Klima!U113</f>
        <v>Magadino  2028</v>
      </c>
      <c r="BA24" s="2064">
        <v>22</v>
      </c>
    </row>
    <row r="25" spans="2:53">
      <c r="B25" s="2064" t="s">
        <v>5931</v>
      </c>
      <c r="F25" s="2064" t="s">
        <v>5932</v>
      </c>
      <c r="G25" s="2064" t="s">
        <v>5933</v>
      </c>
      <c r="X25" s="2064" t="s">
        <v>5934</v>
      </c>
      <c r="AW25" s="2064">
        <v>28</v>
      </c>
      <c r="AX25" s="2064" t="s">
        <v>5933</v>
      </c>
      <c r="AZ25" s="2064" t="str">
        <f>Klima!U114</f>
        <v>Montana  2028</v>
      </c>
      <c r="BA25" s="2064">
        <v>23</v>
      </c>
    </row>
    <row r="26" spans="2:53">
      <c r="B26" s="2064" t="s">
        <v>5935</v>
      </c>
      <c r="F26" s="2064" t="s">
        <v>5936</v>
      </c>
      <c r="G26" s="2064" t="s">
        <v>5937</v>
      </c>
      <c r="X26" s="2064" t="s">
        <v>5938</v>
      </c>
      <c r="AW26" s="2064">
        <v>30</v>
      </c>
      <c r="AX26" s="2064" t="s">
        <v>5937</v>
      </c>
      <c r="AZ26" s="2064" t="str">
        <f>Klima!U115</f>
        <v>Neuchâtel  2028</v>
      </c>
      <c r="BA26" s="2064">
        <v>24</v>
      </c>
    </row>
    <row r="27" spans="2:53">
      <c r="B27" s="2064" t="s">
        <v>5939</v>
      </c>
      <c r="F27" s="2064" t="s">
        <v>5940</v>
      </c>
      <c r="G27" s="2064" t="s">
        <v>1397</v>
      </c>
      <c r="X27" s="2064" t="s">
        <v>1032</v>
      </c>
      <c r="AW27" s="2064">
        <v>31</v>
      </c>
      <c r="AX27" s="2064" t="s">
        <v>1397</v>
      </c>
      <c r="AZ27" s="2064" t="str">
        <f>Klima!U116</f>
        <v>Payerne  2028</v>
      </c>
      <c r="BA27" s="2064">
        <v>25</v>
      </c>
    </row>
    <row r="28" spans="2:53">
      <c r="B28" s="2064" t="s">
        <v>5941</v>
      </c>
      <c r="F28" s="2064" t="s">
        <v>5942</v>
      </c>
      <c r="G28" s="2064" t="s">
        <v>5943</v>
      </c>
      <c r="X28" s="2064" t="s">
        <v>5944</v>
      </c>
      <c r="AW28" s="2064">
        <v>33</v>
      </c>
      <c r="AX28" s="2064" t="s">
        <v>5943</v>
      </c>
      <c r="AZ28" s="2064" t="str">
        <f>Klima!U117</f>
        <v>Piotta  2028</v>
      </c>
      <c r="BA28" s="2064">
        <v>26</v>
      </c>
    </row>
    <row r="29" spans="2:53">
      <c r="B29" s="2064" t="s">
        <v>5945</v>
      </c>
      <c r="F29" s="2064" t="s">
        <v>5946</v>
      </c>
      <c r="G29" s="2064" t="s">
        <v>5947</v>
      </c>
      <c r="AW29" s="2064">
        <v>34</v>
      </c>
      <c r="AX29" s="2064" t="s">
        <v>5947</v>
      </c>
      <c r="AZ29" s="2064" t="str">
        <f>Klima!U118</f>
        <v>Pully  2028</v>
      </c>
      <c r="BA29" s="2064">
        <v>27</v>
      </c>
    </row>
    <row r="30" spans="2:53">
      <c r="B30" s="2064" t="s">
        <v>5948</v>
      </c>
      <c r="F30" s="2064" t="s">
        <v>5949</v>
      </c>
      <c r="G30" s="2064" t="s">
        <v>5950</v>
      </c>
      <c r="AW30" s="2064">
        <v>35</v>
      </c>
      <c r="AX30" s="2064" t="s">
        <v>5950</v>
      </c>
      <c r="AZ30" s="2064" t="str">
        <f>Klima!U119</f>
        <v>Robbia  2028</v>
      </c>
      <c r="BA30" s="2064">
        <v>28</v>
      </c>
    </row>
    <row r="31" spans="2:53">
      <c r="B31" s="2064" t="s">
        <v>5951</v>
      </c>
      <c r="F31" s="2064" t="s">
        <v>5952</v>
      </c>
      <c r="G31" s="2064" t="s">
        <v>5953</v>
      </c>
      <c r="AW31" s="2064">
        <v>32</v>
      </c>
      <c r="AX31" s="2064" t="s">
        <v>5953</v>
      </c>
      <c r="AZ31" s="2064" t="str">
        <f>Klima!U120</f>
        <v>Rünenberg  2028</v>
      </c>
      <c r="BA31" s="2064">
        <v>29</v>
      </c>
    </row>
    <row r="32" spans="2:53">
      <c r="B32" s="2064" t="s">
        <v>5954</v>
      </c>
      <c r="F32" s="2064" t="s">
        <v>5955</v>
      </c>
      <c r="G32" s="2064" t="s">
        <v>5956</v>
      </c>
      <c r="AW32" s="2064">
        <v>37</v>
      </c>
      <c r="AX32" s="2064" t="s">
        <v>5956</v>
      </c>
      <c r="AZ32" s="2064" t="str">
        <f>Klima!U121</f>
        <v>Samedan  2028</v>
      </c>
      <c r="BA32" s="2064">
        <v>30</v>
      </c>
    </row>
    <row r="33" spans="2:53">
      <c r="B33" s="2064" t="s">
        <v>5957</v>
      </c>
      <c r="F33" s="2064" t="s">
        <v>5958</v>
      </c>
      <c r="G33" s="2064" t="s">
        <v>5959</v>
      </c>
      <c r="AW33" s="2064">
        <v>38</v>
      </c>
      <c r="AX33" s="2064" t="s">
        <v>5959</v>
      </c>
      <c r="AZ33" s="2064" t="str">
        <f>Klima!U122</f>
        <v>San Bernardino 2028</v>
      </c>
      <c r="BA33" s="2064">
        <v>31</v>
      </c>
    </row>
    <row r="34" spans="2:53">
      <c r="B34" s="2064" t="s">
        <v>5960</v>
      </c>
      <c r="F34" s="2064" t="s">
        <v>5961</v>
      </c>
      <c r="G34" s="2064" t="s">
        <v>5962</v>
      </c>
      <c r="AW34" s="2064">
        <v>39</v>
      </c>
      <c r="AX34" s="2064" t="s">
        <v>5962</v>
      </c>
      <c r="AZ34" s="2064" t="str">
        <f>Klima!U123</f>
        <v>St. Gallen  2028</v>
      </c>
      <c r="BA34" s="2064">
        <v>32</v>
      </c>
    </row>
    <row r="35" spans="2:53">
      <c r="B35" s="2064" t="s">
        <v>5963</v>
      </c>
      <c r="F35" s="2064" t="s">
        <v>5964</v>
      </c>
      <c r="G35" s="2064" t="s">
        <v>5965</v>
      </c>
      <c r="AW35" s="2064">
        <v>41</v>
      </c>
      <c r="AX35" s="2064" t="s">
        <v>5965</v>
      </c>
      <c r="AZ35" s="2064" t="str">
        <f>Klima!U124</f>
        <v>Schaffhausen  2028</v>
      </c>
      <c r="BA35" s="2064">
        <v>33</v>
      </c>
    </row>
    <row r="36" spans="2:53">
      <c r="B36" s="2064" t="s">
        <v>5966</v>
      </c>
      <c r="F36" s="2064" t="s">
        <v>5967</v>
      </c>
      <c r="AZ36" s="2064" t="str">
        <f>Klima!U125</f>
        <v>Schuls  2028</v>
      </c>
      <c r="BA36" s="2064">
        <v>34</v>
      </c>
    </row>
    <row r="37" spans="2:53">
      <c r="B37" s="2064" t="s">
        <v>5968</v>
      </c>
      <c r="F37" s="2064" t="s">
        <v>5969</v>
      </c>
      <c r="AZ37" s="2064" t="str">
        <f>Klima!U126</f>
        <v>Sion  2028</v>
      </c>
      <c r="BA37" s="2064">
        <v>35</v>
      </c>
    </row>
    <row r="38" spans="2:53">
      <c r="B38" s="2064" t="s">
        <v>5970</v>
      </c>
      <c r="F38" s="2064" t="s">
        <v>5971</v>
      </c>
      <c r="AZ38" s="2064" t="str">
        <f>Klima!U127</f>
        <v>Ulrichen 2028</v>
      </c>
      <c r="BA38" s="2064">
        <v>36</v>
      </c>
    </row>
    <row r="39" spans="2:53">
      <c r="B39" s="2064" t="s">
        <v>5972</v>
      </c>
      <c r="F39" s="2064" t="s">
        <v>5973</v>
      </c>
      <c r="AZ39" s="2064" t="str">
        <f>Klima!U128</f>
        <v>Vaduz  2028</v>
      </c>
      <c r="BA39" s="2064">
        <v>37</v>
      </c>
    </row>
    <row r="40" spans="2:53">
      <c r="B40" s="2064" t="s">
        <v>5974</v>
      </c>
      <c r="F40" s="2064" t="s">
        <v>5975</v>
      </c>
      <c r="AZ40" s="2064" t="str">
        <f>Klima!U129</f>
        <v>Wynau  2028</v>
      </c>
      <c r="BA40" s="2064">
        <v>38</v>
      </c>
    </row>
    <row r="41" spans="2:53">
      <c r="F41" s="2064" t="s">
        <v>5976</v>
      </c>
      <c r="AZ41" s="2064" t="str">
        <f>Klima!U130</f>
        <v>Zermatt  2028</v>
      </c>
      <c r="BA41" s="2064">
        <v>39</v>
      </c>
    </row>
    <row r="42" spans="2:53">
      <c r="F42" s="2064" t="s">
        <v>5977</v>
      </c>
      <c r="AZ42" s="2064" t="str">
        <f>Klima!U131</f>
        <v>Zürich-Kloten  2028</v>
      </c>
      <c r="BA42" s="2064">
        <v>40</v>
      </c>
    </row>
    <row r="43" spans="2:53">
      <c r="F43" s="2064" t="s">
        <v>5978</v>
      </c>
      <c r="AZ43" s="2064" t="str">
        <f>Klima!U132</f>
        <v>Zürich SMA  2028</v>
      </c>
      <c r="BA43" s="2064">
        <v>41</v>
      </c>
    </row>
    <row r="44" spans="2:53">
      <c r="F44" s="2064" t="s">
        <v>5979</v>
      </c>
    </row>
    <row r="45" spans="2:53">
      <c r="F45" s="2064" t="s">
        <v>5980</v>
      </c>
    </row>
    <row r="46" spans="2:53">
      <c r="F46" s="2064" t="s">
        <v>5981</v>
      </c>
    </row>
    <row r="47" spans="2:53">
      <c r="F47" s="2064" t="s">
        <v>5982</v>
      </c>
    </row>
    <row r="48" spans="2:53">
      <c r="F48" s="2064" t="s">
        <v>5983</v>
      </c>
    </row>
    <row r="49" spans="6:6">
      <c r="F49" s="2064" t="s">
        <v>5984</v>
      </c>
    </row>
    <row r="50" spans="6:6">
      <c r="F50" s="2064" t="s">
        <v>5985</v>
      </c>
    </row>
    <row r="51" spans="6:6">
      <c r="F51" s="2064" t="s">
        <v>5986</v>
      </c>
    </row>
    <row r="52" spans="6:6">
      <c r="F52" s="2064" t="s">
        <v>5987</v>
      </c>
    </row>
    <row r="53" spans="6:6">
      <c r="F53" s="2064" t="s">
        <v>5988</v>
      </c>
    </row>
    <row r="54" spans="6:6">
      <c r="F54" s="2064" t="s">
        <v>5989</v>
      </c>
    </row>
    <row r="55" spans="6:6">
      <c r="F55" s="2064" t="s">
        <v>5990</v>
      </c>
    </row>
    <row r="56" spans="6:6">
      <c r="F56" s="2064" t="s">
        <v>5991</v>
      </c>
    </row>
    <row r="57" spans="6:6">
      <c r="F57" s="2064" t="s">
        <v>5992</v>
      </c>
    </row>
    <row r="58" spans="6:6">
      <c r="F58" s="2064" t="s">
        <v>5993</v>
      </c>
    </row>
    <row r="59" spans="6:6">
      <c r="F59" s="2064" t="s">
        <v>5994</v>
      </c>
    </row>
    <row r="60" spans="6:6">
      <c r="F60" s="2064" t="s">
        <v>5995</v>
      </c>
    </row>
    <row r="61" spans="6:6">
      <c r="F61" s="2064" t="s">
        <v>5996</v>
      </c>
    </row>
    <row r="62" spans="6:6">
      <c r="F62" s="2064" t="s">
        <v>5997</v>
      </c>
    </row>
    <row r="63" spans="6:6">
      <c r="F63" s="2064" t="s">
        <v>5998</v>
      </c>
    </row>
    <row r="64" spans="6:6">
      <c r="F64" s="2064" t="s">
        <v>5999</v>
      </c>
    </row>
    <row r="65" spans="6:6">
      <c r="F65" s="2064" t="s">
        <v>6000</v>
      </c>
    </row>
    <row r="66" spans="6:6">
      <c r="F66" s="2064" t="s">
        <v>6001</v>
      </c>
    </row>
    <row r="67" spans="6:6">
      <c r="F67" s="2064" t="s">
        <v>6002</v>
      </c>
    </row>
    <row r="68" spans="6:6">
      <c r="F68" s="2064" t="s">
        <v>6003</v>
      </c>
    </row>
    <row r="69" spans="6:6">
      <c r="F69" s="2064" t="s">
        <v>6004</v>
      </c>
    </row>
    <row r="70" spans="6:6">
      <c r="F70" s="2064" t="s">
        <v>6005</v>
      </c>
    </row>
    <row r="71" spans="6:6">
      <c r="F71" s="2064" t="s">
        <v>6006</v>
      </c>
    </row>
    <row r="72" spans="6:6">
      <c r="F72" s="2064" t="s">
        <v>6007</v>
      </c>
    </row>
    <row r="73" spans="6:6">
      <c r="F73" s="2064" t="s">
        <v>6008</v>
      </c>
    </row>
    <row r="74" spans="6:6">
      <c r="F74" s="2064" t="s">
        <v>6009</v>
      </c>
    </row>
    <row r="75" spans="6:6">
      <c r="F75" s="2064" t="s">
        <v>6010</v>
      </c>
    </row>
    <row r="76" spans="6:6">
      <c r="F76" s="2064" t="s">
        <v>6011</v>
      </c>
    </row>
    <row r="77" spans="6:6">
      <c r="F77" s="2064" t="s">
        <v>6012</v>
      </c>
    </row>
    <row r="78" spans="6:6">
      <c r="F78" s="2064" t="s">
        <v>6013</v>
      </c>
    </row>
    <row r="79" spans="6:6">
      <c r="F79" s="2064" t="s">
        <v>6014</v>
      </c>
    </row>
    <row r="80" spans="6:6">
      <c r="F80" s="2064" t="s">
        <v>6015</v>
      </c>
    </row>
    <row r="81" spans="6:6">
      <c r="F81" s="2064" t="s">
        <v>6016</v>
      </c>
    </row>
    <row r="82" spans="6:6">
      <c r="F82" s="2064" t="s">
        <v>6017</v>
      </c>
    </row>
    <row r="83" spans="6:6">
      <c r="F83" s="2064" t="s">
        <v>6018</v>
      </c>
    </row>
    <row r="84" spans="6:6">
      <c r="F84" s="2064" t="s">
        <v>6019</v>
      </c>
    </row>
    <row r="85" spans="6:6">
      <c r="F85" s="2064" t="s">
        <v>6020</v>
      </c>
    </row>
    <row r="86" spans="6:6">
      <c r="F86" s="2064" t="s">
        <v>6021</v>
      </c>
    </row>
    <row r="87" spans="6:6">
      <c r="F87" s="2064" t="s">
        <v>6022</v>
      </c>
    </row>
    <row r="88" spans="6:6">
      <c r="F88" s="2064" t="s">
        <v>6023</v>
      </c>
    </row>
    <row r="89" spans="6:6">
      <c r="F89" s="2064" t="s">
        <v>6024</v>
      </c>
    </row>
    <row r="90" spans="6:6">
      <c r="F90" s="2064" t="s">
        <v>6025</v>
      </c>
    </row>
    <row r="91" spans="6:6">
      <c r="F91" s="2064" t="s">
        <v>6026</v>
      </c>
    </row>
    <row r="92" spans="6:6">
      <c r="F92" s="2064" t="s">
        <v>6027</v>
      </c>
    </row>
    <row r="93" spans="6:6">
      <c r="F93" s="2064" t="s">
        <v>6028</v>
      </c>
    </row>
    <row r="94" spans="6:6">
      <c r="F94" s="2064" t="s">
        <v>6029</v>
      </c>
    </row>
    <row r="95" spans="6:6">
      <c r="F95" s="2064" t="s">
        <v>6030</v>
      </c>
    </row>
    <row r="96" spans="6:6">
      <c r="F96" s="2064" t="s">
        <v>6031</v>
      </c>
    </row>
    <row r="97" spans="6:6">
      <c r="F97" s="2064" t="s">
        <v>6032</v>
      </c>
    </row>
    <row r="98" spans="6:6">
      <c r="F98" s="2064" t="s">
        <v>6033</v>
      </c>
    </row>
    <row r="99" spans="6:6">
      <c r="F99" s="2064" t="s">
        <v>6034</v>
      </c>
    </row>
    <row r="100" spans="6:6">
      <c r="F100" s="2064" t="s">
        <v>6035</v>
      </c>
    </row>
    <row r="101" spans="6:6">
      <c r="F101" s="2064" t="s">
        <v>6036</v>
      </c>
    </row>
    <row r="102" spans="6:6">
      <c r="F102" s="2064" t="s">
        <v>6037</v>
      </c>
    </row>
    <row r="103" spans="6:6">
      <c r="F103" s="2064" t="s">
        <v>6038</v>
      </c>
    </row>
    <row r="104" spans="6:6">
      <c r="F104" s="2064" t="s">
        <v>6039</v>
      </c>
    </row>
    <row r="105" spans="6:6">
      <c r="F105" s="2064" t="s">
        <v>6040</v>
      </c>
    </row>
    <row r="106" spans="6:6">
      <c r="F106" s="2064" t="s">
        <v>6041</v>
      </c>
    </row>
    <row r="107" spans="6:6">
      <c r="F107" s="2064" t="s">
        <v>6042</v>
      </c>
    </row>
    <row r="108" spans="6:6">
      <c r="F108" s="2064" t="s">
        <v>6043</v>
      </c>
    </row>
    <row r="109" spans="6:6">
      <c r="F109" s="2064" t="s">
        <v>6044</v>
      </c>
    </row>
    <row r="110" spans="6:6">
      <c r="F110" s="2064" t="s">
        <v>6045</v>
      </c>
    </row>
    <row r="111" spans="6:6">
      <c r="F111" s="2064" t="s">
        <v>6046</v>
      </c>
    </row>
    <row r="112" spans="6:6">
      <c r="F112" s="2064" t="s">
        <v>6047</v>
      </c>
    </row>
    <row r="113" spans="6:6">
      <c r="F113" s="2064" t="s">
        <v>6048</v>
      </c>
    </row>
    <row r="114" spans="6:6">
      <c r="F114" s="2064" t="s">
        <v>6049</v>
      </c>
    </row>
    <row r="115" spans="6:6">
      <c r="F115" s="2064" t="s">
        <v>6050</v>
      </c>
    </row>
    <row r="116" spans="6:6">
      <c r="F116" s="2064" t="s">
        <v>6051</v>
      </c>
    </row>
    <row r="117" spans="6:6">
      <c r="F117" s="2064" t="s">
        <v>6052</v>
      </c>
    </row>
    <row r="118" spans="6:6">
      <c r="F118" s="2064" t="s">
        <v>6053</v>
      </c>
    </row>
    <row r="119" spans="6:6">
      <c r="F119" s="2064" t="s">
        <v>6054</v>
      </c>
    </row>
    <row r="120" spans="6:6">
      <c r="F120" s="2064" t="s">
        <v>6055</v>
      </c>
    </row>
    <row r="121" spans="6:6">
      <c r="F121" s="2064" t="s">
        <v>6056</v>
      </c>
    </row>
    <row r="122" spans="6:6">
      <c r="F122" s="2064" t="s">
        <v>6057</v>
      </c>
    </row>
    <row r="123" spans="6:6">
      <c r="F123" s="2064" t="s">
        <v>6058</v>
      </c>
    </row>
    <row r="124" spans="6:6">
      <c r="F124" s="2064" t="s">
        <v>6059</v>
      </c>
    </row>
    <row r="125" spans="6:6">
      <c r="F125" s="2064" t="s">
        <v>6060</v>
      </c>
    </row>
    <row r="126" spans="6:6">
      <c r="F126" s="2064" t="s">
        <v>6061</v>
      </c>
    </row>
    <row r="127" spans="6:6">
      <c r="F127" s="2064" t="s">
        <v>6062</v>
      </c>
    </row>
    <row r="128" spans="6:6">
      <c r="F128" s="2064" t="s">
        <v>6063</v>
      </c>
    </row>
    <row r="129" spans="6:6">
      <c r="F129" s="2064" t="s">
        <v>6064</v>
      </c>
    </row>
    <row r="130" spans="6:6">
      <c r="F130" s="2064" t="s">
        <v>6065</v>
      </c>
    </row>
    <row r="131" spans="6:6">
      <c r="F131" s="2064" t="s">
        <v>6066</v>
      </c>
    </row>
    <row r="132" spans="6:6">
      <c r="F132" s="2064" t="s">
        <v>6067</v>
      </c>
    </row>
    <row r="133" spans="6:6">
      <c r="F133" s="2064" t="s">
        <v>6068</v>
      </c>
    </row>
    <row r="134" spans="6:6">
      <c r="F134" s="2064" t="s">
        <v>6069</v>
      </c>
    </row>
    <row r="135" spans="6:6">
      <c r="F135" s="2064" t="s">
        <v>6070</v>
      </c>
    </row>
    <row r="136" spans="6:6">
      <c r="F136" s="2064" t="s">
        <v>6071</v>
      </c>
    </row>
    <row r="137" spans="6:6">
      <c r="F137" s="2064" t="s">
        <v>6072</v>
      </c>
    </row>
    <row r="138" spans="6:6">
      <c r="F138" s="2064" t="s">
        <v>6073</v>
      </c>
    </row>
    <row r="139" spans="6:6">
      <c r="F139" s="2064" t="s">
        <v>6074</v>
      </c>
    </row>
    <row r="140" spans="6:6">
      <c r="F140" s="2064" t="s">
        <v>6075</v>
      </c>
    </row>
    <row r="141" spans="6:6">
      <c r="F141" s="2064" t="s">
        <v>6076</v>
      </c>
    </row>
    <row r="142" spans="6:6">
      <c r="F142" s="2064" t="s">
        <v>6077</v>
      </c>
    </row>
    <row r="143" spans="6:6">
      <c r="F143" s="2064" t="s">
        <v>6078</v>
      </c>
    </row>
    <row r="144" spans="6:6">
      <c r="F144" s="2064" t="s">
        <v>6079</v>
      </c>
    </row>
    <row r="145" spans="6:6">
      <c r="F145" s="2064" t="s">
        <v>6080</v>
      </c>
    </row>
    <row r="146" spans="6:6">
      <c r="F146" s="2064" t="s">
        <v>6081</v>
      </c>
    </row>
    <row r="147" spans="6:6">
      <c r="F147" s="2064" t="s">
        <v>6082</v>
      </c>
    </row>
    <row r="148" spans="6:6">
      <c r="F148" s="2064" t="s">
        <v>6083</v>
      </c>
    </row>
    <row r="149" spans="6:6">
      <c r="F149" s="2064" t="s">
        <v>6084</v>
      </c>
    </row>
    <row r="150" spans="6:6">
      <c r="F150" s="2064" t="s">
        <v>6085</v>
      </c>
    </row>
    <row r="151" spans="6:6">
      <c r="F151" s="2064" t="s">
        <v>6086</v>
      </c>
    </row>
    <row r="152" spans="6:6">
      <c r="F152" s="2064" t="s">
        <v>6087</v>
      </c>
    </row>
    <row r="153" spans="6:6">
      <c r="F153" s="2064" t="s">
        <v>6088</v>
      </c>
    </row>
    <row r="154" spans="6:6">
      <c r="F154" s="2064" t="s">
        <v>6089</v>
      </c>
    </row>
    <row r="155" spans="6:6">
      <c r="F155" s="2064" t="s">
        <v>6090</v>
      </c>
    </row>
    <row r="156" spans="6:6">
      <c r="F156" s="2064" t="s">
        <v>6091</v>
      </c>
    </row>
    <row r="157" spans="6:6">
      <c r="F157" s="2064" t="s">
        <v>6092</v>
      </c>
    </row>
    <row r="158" spans="6:6">
      <c r="F158" s="2064" t="s">
        <v>6093</v>
      </c>
    </row>
    <row r="159" spans="6:6">
      <c r="F159" s="2064" t="s">
        <v>6094</v>
      </c>
    </row>
    <row r="160" spans="6:6">
      <c r="F160" s="2064" t="s">
        <v>6095</v>
      </c>
    </row>
    <row r="161" spans="6:6">
      <c r="F161" s="2064" t="s">
        <v>6096</v>
      </c>
    </row>
    <row r="162" spans="6:6">
      <c r="F162" s="2064" t="s">
        <v>6097</v>
      </c>
    </row>
    <row r="163" spans="6:6">
      <c r="F163" s="2064" t="s">
        <v>6098</v>
      </c>
    </row>
    <row r="164" spans="6:6">
      <c r="F164" s="2064" t="s">
        <v>6099</v>
      </c>
    </row>
    <row r="165" spans="6:6">
      <c r="F165" s="2064" t="s">
        <v>6100</v>
      </c>
    </row>
    <row r="166" spans="6:6">
      <c r="F166" s="2064" t="s">
        <v>6101</v>
      </c>
    </row>
    <row r="167" spans="6:6">
      <c r="F167" s="2064" t="s">
        <v>6102</v>
      </c>
    </row>
    <row r="168" spans="6:6">
      <c r="F168" s="2064" t="s">
        <v>6103</v>
      </c>
    </row>
    <row r="169" spans="6:6">
      <c r="F169" s="2064" t="s">
        <v>6104</v>
      </c>
    </row>
    <row r="170" spans="6:6">
      <c r="F170" s="2064" t="s">
        <v>6105</v>
      </c>
    </row>
    <row r="171" spans="6:6">
      <c r="F171" s="2064" t="s">
        <v>6106</v>
      </c>
    </row>
    <row r="172" spans="6:6">
      <c r="F172" s="2064" t="s">
        <v>6107</v>
      </c>
    </row>
    <row r="173" spans="6:6">
      <c r="F173" s="2064" t="s">
        <v>6108</v>
      </c>
    </row>
    <row r="174" spans="6:6">
      <c r="F174" s="2064" t="s">
        <v>6109</v>
      </c>
    </row>
    <row r="175" spans="6:6">
      <c r="F175" s="2064" t="s">
        <v>6110</v>
      </c>
    </row>
    <row r="176" spans="6:6">
      <c r="F176" s="2064" t="s">
        <v>6111</v>
      </c>
    </row>
    <row r="177" spans="6:6">
      <c r="F177" s="2064" t="s">
        <v>6112</v>
      </c>
    </row>
    <row r="178" spans="6:6">
      <c r="F178" s="2064" t="s">
        <v>6113</v>
      </c>
    </row>
    <row r="179" spans="6:6">
      <c r="F179" s="2064" t="s">
        <v>6114</v>
      </c>
    </row>
    <row r="180" spans="6:6">
      <c r="F180" s="2064" t="s">
        <v>6115</v>
      </c>
    </row>
    <row r="181" spans="6:6">
      <c r="F181" s="2064" t="s">
        <v>6116</v>
      </c>
    </row>
    <row r="182" spans="6:6">
      <c r="F182" s="2064" t="s">
        <v>6117</v>
      </c>
    </row>
    <row r="183" spans="6:6">
      <c r="F183" s="2064" t="s">
        <v>6118</v>
      </c>
    </row>
    <row r="184" spans="6:6">
      <c r="F184" s="2064" t="s">
        <v>6119</v>
      </c>
    </row>
    <row r="185" spans="6:6">
      <c r="F185" s="2064" t="s">
        <v>6120</v>
      </c>
    </row>
    <row r="186" spans="6:6">
      <c r="F186" s="2064" t="s">
        <v>6121</v>
      </c>
    </row>
    <row r="187" spans="6:6">
      <c r="F187" s="2064" t="s">
        <v>6122</v>
      </c>
    </row>
    <row r="188" spans="6:6">
      <c r="F188" s="2064" t="s">
        <v>6123</v>
      </c>
    </row>
    <row r="189" spans="6:6">
      <c r="F189" s="2064" t="s">
        <v>6124</v>
      </c>
    </row>
    <row r="190" spans="6:6">
      <c r="F190" s="2064" t="s">
        <v>6125</v>
      </c>
    </row>
    <row r="191" spans="6:6">
      <c r="F191" s="2064" t="s">
        <v>6126</v>
      </c>
    </row>
    <row r="192" spans="6:6">
      <c r="F192" s="2064" t="s">
        <v>6127</v>
      </c>
    </row>
    <row r="193" spans="6:6">
      <c r="F193" s="2064" t="s">
        <v>6128</v>
      </c>
    </row>
    <row r="194" spans="6:6">
      <c r="F194" s="2064" t="s">
        <v>6129</v>
      </c>
    </row>
    <row r="195" spans="6:6">
      <c r="F195" s="2064" t="s">
        <v>6130</v>
      </c>
    </row>
    <row r="196" spans="6:6">
      <c r="F196" s="2064" t="s">
        <v>6131</v>
      </c>
    </row>
    <row r="197" spans="6:6">
      <c r="F197" s="2064" t="s">
        <v>6132</v>
      </c>
    </row>
    <row r="198" spans="6:6">
      <c r="F198" s="2064" t="s">
        <v>6133</v>
      </c>
    </row>
    <row r="199" spans="6:6">
      <c r="F199" s="2064" t="s">
        <v>6134</v>
      </c>
    </row>
    <row r="200" spans="6:6">
      <c r="F200" s="2064" t="s">
        <v>6135</v>
      </c>
    </row>
    <row r="201" spans="6:6">
      <c r="F201" s="2064" t="s">
        <v>6136</v>
      </c>
    </row>
    <row r="202" spans="6:6">
      <c r="F202" s="2064" t="s">
        <v>6137</v>
      </c>
    </row>
    <row r="203" spans="6:6">
      <c r="F203" s="2064" t="s">
        <v>6138</v>
      </c>
    </row>
    <row r="204" spans="6:6">
      <c r="F204" s="2064" t="s">
        <v>6139</v>
      </c>
    </row>
    <row r="205" spans="6:6">
      <c r="F205" s="2064" t="s">
        <v>6140</v>
      </c>
    </row>
    <row r="206" spans="6:6">
      <c r="F206" s="2064" t="s">
        <v>6141</v>
      </c>
    </row>
    <row r="207" spans="6:6">
      <c r="F207" s="2064" t="s">
        <v>6142</v>
      </c>
    </row>
    <row r="208" spans="6:6">
      <c r="F208" s="2064" t="s">
        <v>6143</v>
      </c>
    </row>
    <row r="209" spans="6:6">
      <c r="F209" s="2064" t="s">
        <v>6144</v>
      </c>
    </row>
    <row r="210" spans="6:6">
      <c r="F210" s="2064" t="s">
        <v>6145</v>
      </c>
    </row>
    <row r="211" spans="6:6">
      <c r="F211" s="2064" t="s">
        <v>6146</v>
      </c>
    </row>
    <row r="212" spans="6:6">
      <c r="F212" s="2064" t="s">
        <v>6147</v>
      </c>
    </row>
    <row r="213" spans="6:6">
      <c r="F213" s="2064" t="s">
        <v>6148</v>
      </c>
    </row>
    <row r="214" spans="6:6">
      <c r="F214" s="2064" t="s">
        <v>6149</v>
      </c>
    </row>
    <row r="215" spans="6:6">
      <c r="F215" s="2064" t="s">
        <v>6150</v>
      </c>
    </row>
    <row r="216" spans="6:6">
      <c r="F216" s="2064" t="s">
        <v>6151</v>
      </c>
    </row>
    <row r="217" spans="6:6">
      <c r="F217" s="2064" t="s">
        <v>6152</v>
      </c>
    </row>
    <row r="218" spans="6:6">
      <c r="F218" s="2064" t="s">
        <v>6153</v>
      </c>
    </row>
    <row r="219" spans="6:6">
      <c r="F219" s="2064" t="s">
        <v>6154</v>
      </c>
    </row>
    <row r="220" spans="6:6">
      <c r="F220" s="2064" t="s">
        <v>6155</v>
      </c>
    </row>
    <row r="221" spans="6:6">
      <c r="F221" s="2064" t="s">
        <v>6156</v>
      </c>
    </row>
    <row r="222" spans="6:6">
      <c r="F222" s="2064" t="s">
        <v>6157</v>
      </c>
    </row>
    <row r="223" spans="6:6">
      <c r="F223" s="2064" t="s">
        <v>6158</v>
      </c>
    </row>
    <row r="224" spans="6:6">
      <c r="F224" s="2064" t="s">
        <v>6159</v>
      </c>
    </row>
    <row r="225" spans="6:6">
      <c r="F225" s="2064" t="s">
        <v>6160</v>
      </c>
    </row>
    <row r="226" spans="6:6">
      <c r="F226" s="2064" t="s">
        <v>6161</v>
      </c>
    </row>
    <row r="227" spans="6:6">
      <c r="F227" s="2064" t="s">
        <v>6162</v>
      </c>
    </row>
    <row r="228" spans="6:6">
      <c r="F228" s="2064" t="s">
        <v>6163</v>
      </c>
    </row>
    <row r="229" spans="6:6">
      <c r="F229" s="2064" t="s">
        <v>6164</v>
      </c>
    </row>
    <row r="230" spans="6:6">
      <c r="F230" s="2064" t="s">
        <v>6165</v>
      </c>
    </row>
    <row r="231" spans="6:6">
      <c r="F231" s="2064" t="s">
        <v>6166</v>
      </c>
    </row>
    <row r="232" spans="6:6">
      <c r="F232" s="2064" t="s">
        <v>6167</v>
      </c>
    </row>
    <row r="233" spans="6:6">
      <c r="F233" s="2064" t="s">
        <v>6168</v>
      </c>
    </row>
    <row r="234" spans="6:6">
      <c r="F234" s="2064" t="s">
        <v>6169</v>
      </c>
    </row>
    <row r="235" spans="6:6">
      <c r="F235" s="2064" t="s">
        <v>6170</v>
      </c>
    </row>
    <row r="236" spans="6:6">
      <c r="F236" s="2064" t="s">
        <v>6171</v>
      </c>
    </row>
    <row r="237" spans="6:6">
      <c r="F237" s="2064" t="s">
        <v>6172</v>
      </c>
    </row>
    <row r="238" spans="6:6">
      <c r="F238" s="2064" t="s">
        <v>6173</v>
      </c>
    </row>
    <row r="239" spans="6:6">
      <c r="F239" s="2064" t="s">
        <v>6174</v>
      </c>
    </row>
    <row r="240" spans="6:6">
      <c r="F240" s="2064" t="s">
        <v>6175</v>
      </c>
    </row>
    <row r="241" spans="6:6">
      <c r="F241" s="2064" t="s">
        <v>6176</v>
      </c>
    </row>
    <row r="242" spans="6:6">
      <c r="F242" s="2064" t="s">
        <v>6177</v>
      </c>
    </row>
    <row r="243" spans="6:6">
      <c r="F243" s="2064" t="s">
        <v>6178</v>
      </c>
    </row>
    <row r="244" spans="6:6">
      <c r="F244" s="2064" t="s">
        <v>6179</v>
      </c>
    </row>
    <row r="245" spans="6:6">
      <c r="F245" s="2064" t="s">
        <v>6180</v>
      </c>
    </row>
    <row r="246" spans="6:6">
      <c r="F246" s="2064" t="s">
        <v>6181</v>
      </c>
    </row>
    <row r="247" spans="6:6">
      <c r="F247" s="2064" t="s">
        <v>6182</v>
      </c>
    </row>
    <row r="248" spans="6:6">
      <c r="F248" s="2064" t="s">
        <v>6183</v>
      </c>
    </row>
    <row r="249" spans="6:6">
      <c r="F249" s="2064" t="s">
        <v>6184</v>
      </c>
    </row>
    <row r="250" spans="6:6">
      <c r="F250" s="2064" t="s">
        <v>6185</v>
      </c>
    </row>
    <row r="251" spans="6:6">
      <c r="F251" s="2064" t="s">
        <v>6186</v>
      </c>
    </row>
    <row r="252" spans="6:6">
      <c r="F252" s="2064" t="s">
        <v>6187</v>
      </c>
    </row>
    <row r="253" spans="6:6">
      <c r="F253" s="2064" t="s">
        <v>6188</v>
      </c>
    </row>
    <row r="254" spans="6:6">
      <c r="F254" s="2064" t="s">
        <v>6189</v>
      </c>
    </row>
    <row r="255" spans="6:6">
      <c r="F255" s="2064" t="s">
        <v>6190</v>
      </c>
    </row>
    <row r="256" spans="6:6">
      <c r="F256" s="2064" t="s">
        <v>6191</v>
      </c>
    </row>
    <row r="257" spans="6:6">
      <c r="F257" s="2064" t="s">
        <v>6192</v>
      </c>
    </row>
    <row r="258" spans="6:6">
      <c r="F258" s="2064" t="s">
        <v>6193</v>
      </c>
    </row>
    <row r="259" spans="6:6">
      <c r="F259" s="2064" t="s">
        <v>6194</v>
      </c>
    </row>
    <row r="260" spans="6:6">
      <c r="F260" s="2064" t="s">
        <v>6195</v>
      </c>
    </row>
    <row r="261" spans="6:6">
      <c r="F261" s="2064" t="s">
        <v>6196</v>
      </c>
    </row>
    <row r="262" spans="6:6">
      <c r="F262" s="2064" t="s">
        <v>6197</v>
      </c>
    </row>
    <row r="263" spans="6:6">
      <c r="F263" s="2064" t="s">
        <v>6198</v>
      </c>
    </row>
    <row r="264" spans="6:6">
      <c r="F264" s="2064" t="s">
        <v>6199</v>
      </c>
    </row>
    <row r="265" spans="6:6">
      <c r="F265" s="2064" t="s">
        <v>6200</v>
      </c>
    </row>
    <row r="266" spans="6:6">
      <c r="F266" s="2064" t="s">
        <v>6201</v>
      </c>
    </row>
    <row r="267" spans="6:6">
      <c r="F267" s="2064" t="s">
        <v>6202</v>
      </c>
    </row>
    <row r="268" spans="6:6">
      <c r="F268" s="2064" t="s">
        <v>6203</v>
      </c>
    </row>
    <row r="269" spans="6:6">
      <c r="F269" s="2064" t="s">
        <v>6204</v>
      </c>
    </row>
    <row r="270" spans="6:6">
      <c r="F270" s="2064" t="s">
        <v>6205</v>
      </c>
    </row>
    <row r="271" spans="6:6">
      <c r="F271" s="2064" t="s">
        <v>6206</v>
      </c>
    </row>
    <row r="272" spans="6:6">
      <c r="F272" s="2064" t="s">
        <v>6207</v>
      </c>
    </row>
    <row r="273" spans="6:6">
      <c r="F273" s="2064" t="s">
        <v>6208</v>
      </c>
    </row>
    <row r="274" spans="6:6">
      <c r="F274" s="2064" t="s">
        <v>6209</v>
      </c>
    </row>
    <row r="275" spans="6:6">
      <c r="F275" s="2064" t="s">
        <v>6210</v>
      </c>
    </row>
    <row r="276" spans="6:6">
      <c r="F276" s="2064" t="s">
        <v>6211</v>
      </c>
    </row>
    <row r="277" spans="6:6">
      <c r="F277" s="2064" t="s">
        <v>6212</v>
      </c>
    </row>
    <row r="278" spans="6:6">
      <c r="F278" s="2064" t="s">
        <v>6213</v>
      </c>
    </row>
    <row r="279" spans="6:6">
      <c r="F279" s="2064" t="s">
        <v>6214</v>
      </c>
    </row>
    <row r="280" spans="6:6">
      <c r="F280" s="2064" t="s">
        <v>6215</v>
      </c>
    </row>
    <row r="281" spans="6:6">
      <c r="F281" s="2064" t="s">
        <v>6216</v>
      </c>
    </row>
    <row r="282" spans="6:6">
      <c r="F282" s="2064" t="s">
        <v>6217</v>
      </c>
    </row>
    <row r="283" spans="6:6">
      <c r="F283" s="2064" t="s">
        <v>6218</v>
      </c>
    </row>
    <row r="284" spans="6:6">
      <c r="F284" s="2064" t="s">
        <v>6219</v>
      </c>
    </row>
    <row r="285" spans="6:6">
      <c r="F285" s="2064" t="s">
        <v>6220</v>
      </c>
    </row>
    <row r="286" spans="6:6">
      <c r="F286" s="2064" t="s">
        <v>6221</v>
      </c>
    </row>
    <row r="287" spans="6:6">
      <c r="F287" s="2064" t="s">
        <v>6222</v>
      </c>
    </row>
    <row r="288" spans="6:6">
      <c r="F288" s="2064" t="s">
        <v>6223</v>
      </c>
    </row>
    <row r="289" spans="6:6">
      <c r="F289" s="2064" t="s">
        <v>6224</v>
      </c>
    </row>
    <row r="290" spans="6:6">
      <c r="F290" s="2064" t="s">
        <v>6225</v>
      </c>
    </row>
    <row r="291" spans="6:6">
      <c r="F291" s="2064" t="s">
        <v>4811</v>
      </c>
    </row>
    <row r="292" spans="6:6">
      <c r="F292" s="2064" t="s">
        <v>6226</v>
      </c>
    </row>
    <row r="293" spans="6:6">
      <c r="F293" s="2064" t="s">
        <v>6227</v>
      </c>
    </row>
    <row r="294" spans="6:6">
      <c r="F294" s="2064" t="s">
        <v>6228</v>
      </c>
    </row>
    <row r="295" spans="6:6">
      <c r="F295" s="2064" t="s">
        <v>6229</v>
      </c>
    </row>
    <row r="296" spans="6:6">
      <c r="F296" s="2064" t="s">
        <v>6230</v>
      </c>
    </row>
    <row r="297" spans="6:6">
      <c r="F297" s="2064" t="s">
        <v>6231</v>
      </c>
    </row>
    <row r="298" spans="6:6">
      <c r="F298" s="2064" t="s">
        <v>6232</v>
      </c>
    </row>
    <row r="299" spans="6:6">
      <c r="F299" s="2064" t="s">
        <v>6233</v>
      </c>
    </row>
    <row r="300" spans="6:6">
      <c r="F300" s="2064" t="s">
        <v>6234</v>
      </c>
    </row>
    <row r="301" spans="6:6">
      <c r="F301" s="2064" t="s">
        <v>6235</v>
      </c>
    </row>
    <row r="302" spans="6:6">
      <c r="F302" s="2064" t="s">
        <v>6236</v>
      </c>
    </row>
    <row r="303" spans="6:6">
      <c r="F303" s="2064" t="s">
        <v>6237</v>
      </c>
    </row>
    <row r="304" spans="6:6">
      <c r="F304" s="2064" t="s">
        <v>6238</v>
      </c>
    </row>
    <row r="305" spans="6:6">
      <c r="F305" s="2064" t="s">
        <v>6239</v>
      </c>
    </row>
    <row r="306" spans="6:6">
      <c r="F306" s="2064" t="s">
        <v>6240</v>
      </c>
    </row>
    <row r="307" spans="6:6">
      <c r="F307" s="2064" t="s">
        <v>6241</v>
      </c>
    </row>
    <row r="308" spans="6:6">
      <c r="F308" s="2064" t="s">
        <v>6242</v>
      </c>
    </row>
    <row r="309" spans="6:6">
      <c r="F309" s="2064" t="s">
        <v>6243</v>
      </c>
    </row>
    <row r="310" spans="6:6">
      <c r="F310" s="2064" t="s">
        <v>6244</v>
      </c>
    </row>
    <row r="311" spans="6:6">
      <c r="F311" s="2064" t="s">
        <v>6245</v>
      </c>
    </row>
    <row r="312" spans="6:6">
      <c r="F312" s="2064" t="s">
        <v>6246</v>
      </c>
    </row>
    <row r="313" spans="6:6">
      <c r="F313" s="2064" t="s">
        <v>6247</v>
      </c>
    </row>
    <row r="314" spans="6:6">
      <c r="F314" s="2064" t="s">
        <v>6248</v>
      </c>
    </row>
    <row r="315" spans="6:6">
      <c r="F315" s="2064" t="s">
        <v>6249</v>
      </c>
    </row>
    <row r="316" spans="6:6">
      <c r="F316" s="2064" t="s">
        <v>6250</v>
      </c>
    </row>
    <row r="317" spans="6:6">
      <c r="F317" s="2064" t="s">
        <v>6251</v>
      </c>
    </row>
    <row r="318" spans="6:6">
      <c r="F318" s="2064" t="s">
        <v>6252</v>
      </c>
    </row>
    <row r="319" spans="6:6">
      <c r="F319" s="2064" t="s">
        <v>6253</v>
      </c>
    </row>
    <row r="320" spans="6:6">
      <c r="F320" s="2064" t="s">
        <v>6254</v>
      </c>
    </row>
    <row r="321" spans="6:6">
      <c r="F321" s="2064" t="s">
        <v>6255</v>
      </c>
    </row>
    <row r="322" spans="6:6">
      <c r="F322" s="2064" t="s">
        <v>6256</v>
      </c>
    </row>
    <row r="323" spans="6:6">
      <c r="F323" s="2064" t="s">
        <v>6257</v>
      </c>
    </row>
    <row r="324" spans="6:6">
      <c r="F324" s="2064" t="s">
        <v>6258</v>
      </c>
    </row>
    <row r="325" spans="6:6">
      <c r="F325" s="2064" t="s">
        <v>6259</v>
      </c>
    </row>
    <row r="326" spans="6:6">
      <c r="F326" s="2064" t="s">
        <v>6260</v>
      </c>
    </row>
    <row r="327" spans="6:6">
      <c r="F327" s="2064" t="s">
        <v>6261</v>
      </c>
    </row>
    <row r="328" spans="6:6">
      <c r="F328" s="2064" t="s">
        <v>6262</v>
      </c>
    </row>
    <row r="329" spans="6:6">
      <c r="F329" s="2064" t="s">
        <v>6263</v>
      </c>
    </row>
    <row r="330" spans="6:6">
      <c r="F330" s="2064" t="s">
        <v>6264</v>
      </c>
    </row>
    <row r="331" spans="6:6">
      <c r="F331" s="2064" t="s">
        <v>6265</v>
      </c>
    </row>
    <row r="332" spans="6:6">
      <c r="F332" s="2064" t="s">
        <v>6266</v>
      </c>
    </row>
    <row r="333" spans="6:6">
      <c r="F333" s="2064" t="s">
        <v>6267</v>
      </c>
    </row>
    <row r="334" spans="6:6">
      <c r="F334" s="2064" t="s">
        <v>6268</v>
      </c>
    </row>
    <row r="335" spans="6:6">
      <c r="F335" s="2064" t="s">
        <v>6269</v>
      </c>
    </row>
    <row r="336" spans="6:6">
      <c r="F336" s="2064" t="s">
        <v>6270</v>
      </c>
    </row>
    <row r="337" spans="6:6">
      <c r="F337" s="2064" t="s">
        <v>6271</v>
      </c>
    </row>
    <row r="338" spans="6:6">
      <c r="F338" s="2064" t="s">
        <v>6272</v>
      </c>
    </row>
    <row r="339" spans="6:6">
      <c r="F339" s="2064" t="s">
        <v>6273</v>
      </c>
    </row>
    <row r="340" spans="6:6">
      <c r="F340" s="2064" t="s">
        <v>6274</v>
      </c>
    </row>
    <row r="341" spans="6:6">
      <c r="F341" s="2064" t="s">
        <v>6275</v>
      </c>
    </row>
    <row r="342" spans="6:6">
      <c r="F342" s="2064" t="s">
        <v>6276</v>
      </c>
    </row>
    <row r="343" spans="6:6">
      <c r="F343" s="2064" t="s">
        <v>6277</v>
      </c>
    </row>
    <row r="344" spans="6:6">
      <c r="F344" s="2064" t="s">
        <v>6278</v>
      </c>
    </row>
    <row r="345" spans="6:6">
      <c r="F345" s="2064" t="s">
        <v>6279</v>
      </c>
    </row>
    <row r="346" spans="6:6">
      <c r="F346" s="2064" t="s">
        <v>6280</v>
      </c>
    </row>
    <row r="347" spans="6:6">
      <c r="F347" s="2064" t="s">
        <v>6281</v>
      </c>
    </row>
    <row r="348" spans="6:6">
      <c r="F348" s="2064" t="s">
        <v>6282</v>
      </c>
    </row>
    <row r="349" spans="6:6">
      <c r="F349" s="2064" t="s">
        <v>6283</v>
      </c>
    </row>
    <row r="350" spans="6:6">
      <c r="F350" s="2064" t="s">
        <v>6284</v>
      </c>
    </row>
    <row r="351" spans="6:6">
      <c r="F351" s="2064" t="s">
        <v>6285</v>
      </c>
    </row>
    <row r="352" spans="6:6">
      <c r="F352" s="2064" t="s">
        <v>6286</v>
      </c>
    </row>
    <row r="353" spans="6:6">
      <c r="F353" s="2064" t="s">
        <v>6287</v>
      </c>
    </row>
    <row r="354" spans="6:6">
      <c r="F354" s="2064" t="s">
        <v>6288</v>
      </c>
    </row>
    <row r="355" spans="6:6">
      <c r="F355" s="2064" t="s">
        <v>6289</v>
      </c>
    </row>
    <row r="356" spans="6:6">
      <c r="F356" s="2064" t="s">
        <v>6290</v>
      </c>
    </row>
    <row r="357" spans="6:6">
      <c r="F357" s="2064" t="s">
        <v>6291</v>
      </c>
    </row>
    <row r="358" spans="6:6">
      <c r="F358" s="2064" t="s">
        <v>6292</v>
      </c>
    </row>
    <row r="359" spans="6:6">
      <c r="F359" s="2064" t="s">
        <v>6293</v>
      </c>
    </row>
    <row r="360" spans="6:6">
      <c r="F360" s="2064" t="s">
        <v>6294</v>
      </c>
    </row>
    <row r="361" spans="6:6">
      <c r="F361" s="2064" t="s">
        <v>6295</v>
      </c>
    </row>
    <row r="362" spans="6:6">
      <c r="F362" s="2064" t="s">
        <v>6296</v>
      </c>
    </row>
    <row r="363" spans="6:6">
      <c r="F363" s="2064" t="s">
        <v>6297</v>
      </c>
    </row>
    <row r="364" spans="6:6">
      <c r="F364" s="2064" t="s">
        <v>6298</v>
      </c>
    </row>
    <row r="365" spans="6:6">
      <c r="F365" s="2064" t="s">
        <v>6299</v>
      </c>
    </row>
    <row r="366" spans="6:6">
      <c r="F366" s="2064" t="s">
        <v>6300</v>
      </c>
    </row>
    <row r="367" spans="6:6">
      <c r="F367" s="2064" t="s">
        <v>6301</v>
      </c>
    </row>
    <row r="368" spans="6:6">
      <c r="F368" s="2064" t="s">
        <v>6302</v>
      </c>
    </row>
    <row r="369" spans="6:6">
      <c r="F369" s="2064" t="s">
        <v>6303</v>
      </c>
    </row>
    <row r="370" spans="6:6">
      <c r="F370" s="2064" t="s">
        <v>6304</v>
      </c>
    </row>
    <row r="371" spans="6:6">
      <c r="F371" s="2064" t="s">
        <v>6305</v>
      </c>
    </row>
    <row r="372" spans="6:6">
      <c r="F372" s="2064" t="s">
        <v>6306</v>
      </c>
    </row>
    <row r="373" spans="6:6">
      <c r="F373" s="2064" t="s">
        <v>6307</v>
      </c>
    </row>
    <row r="374" spans="6:6">
      <c r="F374" s="2064" t="s">
        <v>6308</v>
      </c>
    </row>
    <row r="375" spans="6:6">
      <c r="F375" s="2064" t="s">
        <v>6309</v>
      </c>
    </row>
    <row r="376" spans="6:6">
      <c r="F376" s="2064" t="s">
        <v>6310</v>
      </c>
    </row>
    <row r="377" spans="6:6">
      <c r="F377" s="2064" t="s">
        <v>6311</v>
      </c>
    </row>
    <row r="378" spans="6:6">
      <c r="F378" s="2064" t="s">
        <v>6312</v>
      </c>
    </row>
    <row r="379" spans="6:6">
      <c r="F379" s="2064" t="s">
        <v>6313</v>
      </c>
    </row>
    <row r="380" spans="6:6">
      <c r="F380" s="2064" t="s">
        <v>6314</v>
      </c>
    </row>
    <row r="381" spans="6:6">
      <c r="F381" s="2064" t="s">
        <v>6315</v>
      </c>
    </row>
    <row r="382" spans="6:6">
      <c r="F382" s="2064" t="s">
        <v>6316</v>
      </c>
    </row>
    <row r="383" spans="6:6">
      <c r="F383" s="2064" t="s">
        <v>6317</v>
      </c>
    </row>
    <row r="384" spans="6:6">
      <c r="F384" s="2064" t="s">
        <v>6318</v>
      </c>
    </row>
    <row r="385" spans="6:6">
      <c r="F385" s="2064" t="s">
        <v>6319</v>
      </c>
    </row>
    <row r="386" spans="6:6">
      <c r="F386" s="2064" t="s">
        <v>6320</v>
      </c>
    </row>
    <row r="387" spans="6:6">
      <c r="F387" s="2064" t="s">
        <v>6321</v>
      </c>
    </row>
    <row r="388" spans="6:6">
      <c r="F388" s="2064" t="s">
        <v>6322</v>
      </c>
    </row>
    <row r="389" spans="6:6">
      <c r="F389" s="2064" t="s">
        <v>6323</v>
      </c>
    </row>
    <row r="390" spans="6:6">
      <c r="F390" s="2064" t="s">
        <v>6324</v>
      </c>
    </row>
    <row r="391" spans="6:6">
      <c r="F391" s="2064" t="s">
        <v>6325</v>
      </c>
    </row>
    <row r="392" spans="6:6">
      <c r="F392" s="2064" t="s">
        <v>6326</v>
      </c>
    </row>
    <row r="393" spans="6:6">
      <c r="F393" s="2064" t="s">
        <v>6327</v>
      </c>
    </row>
    <row r="394" spans="6:6">
      <c r="F394" s="2064" t="s">
        <v>6328</v>
      </c>
    </row>
    <row r="395" spans="6:6">
      <c r="F395" s="2064" t="s">
        <v>6329</v>
      </c>
    </row>
    <row r="396" spans="6:6">
      <c r="F396" s="2064" t="s">
        <v>6330</v>
      </c>
    </row>
    <row r="397" spans="6:6">
      <c r="F397" s="2064" t="s">
        <v>6331</v>
      </c>
    </row>
    <row r="398" spans="6:6">
      <c r="F398" s="2064" t="s">
        <v>6332</v>
      </c>
    </row>
    <row r="399" spans="6:6">
      <c r="F399" s="2064" t="s">
        <v>6333</v>
      </c>
    </row>
    <row r="400" spans="6:6">
      <c r="F400" s="2064" t="s">
        <v>6334</v>
      </c>
    </row>
    <row r="401" spans="6:6">
      <c r="F401" s="2064" t="s">
        <v>6335</v>
      </c>
    </row>
    <row r="402" spans="6:6">
      <c r="F402" s="2064" t="s">
        <v>6336</v>
      </c>
    </row>
    <row r="403" spans="6:6">
      <c r="F403" s="2064" t="s">
        <v>6337</v>
      </c>
    </row>
    <row r="404" spans="6:6">
      <c r="F404" s="2064" t="s">
        <v>6338</v>
      </c>
    </row>
    <row r="405" spans="6:6">
      <c r="F405" s="2064" t="s">
        <v>6339</v>
      </c>
    </row>
    <row r="406" spans="6:6">
      <c r="F406" s="2064" t="s">
        <v>6340</v>
      </c>
    </row>
    <row r="407" spans="6:6">
      <c r="F407" s="2064" t="s">
        <v>6341</v>
      </c>
    </row>
    <row r="408" spans="6:6">
      <c r="F408" s="2064" t="s">
        <v>6342</v>
      </c>
    </row>
    <row r="409" spans="6:6">
      <c r="F409" s="2064" t="s">
        <v>6343</v>
      </c>
    </row>
    <row r="410" spans="6:6">
      <c r="F410" s="2064" t="s">
        <v>6344</v>
      </c>
    </row>
    <row r="411" spans="6:6">
      <c r="F411" s="2064" t="s">
        <v>6345</v>
      </c>
    </row>
    <row r="412" spans="6:6">
      <c r="F412" s="2064" t="s">
        <v>6346</v>
      </c>
    </row>
    <row r="413" spans="6:6">
      <c r="F413" s="2064" t="s">
        <v>6347</v>
      </c>
    </row>
    <row r="414" spans="6:6">
      <c r="F414" s="2064" t="s">
        <v>6348</v>
      </c>
    </row>
    <row r="415" spans="6:6">
      <c r="F415" s="2064" t="s">
        <v>6349</v>
      </c>
    </row>
    <row r="416" spans="6:6">
      <c r="F416" s="2064" t="s">
        <v>6350</v>
      </c>
    </row>
    <row r="417" spans="6:6">
      <c r="F417" s="2064" t="s">
        <v>6351</v>
      </c>
    </row>
    <row r="418" spans="6:6">
      <c r="F418" s="2064" t="s">
        <v>6352</v>
      </c>
    </row>
    <row r="419" spans="6:6">
      <c r="F419" s="2064" t="s">
        <v>6353</v>
      </c>
    </row>
    <row r="420" spans="6:6">
      <c r="F420" s="2064" t="s">
        <v>6354</v>
      </c>
    </row>
    <row r="421" spans="6:6">
      <c r="F421" s="2064" t="s">
        <v>6355</v>
      </c>
    </row>
    <row r="422" spans="6:6">
      <c r="F422" s="2064" t="s">
        <v>6356</v>
      </c>
    </row>
    <row r="423" spans="6:6">
      <c r="F423" s="2064" t="s">
        <v>6357</v>
      </c>
    </row>
    <row r="424" spans="6:6">
      <c r="F424" s="2064" t="s">
        <v>6358</v>
      </c>
    </row>
    <row r="425" spans="6:6">
      <c r="F425" s="2064" t="s">
        <v>6359</v>
      </c>
    </row>
    <row r="426" spans="6:6">
      <c r="F426" s="2064" t="s">
        <v>6360</v>
      </c>
    </row>
    <row r="427" spans="6:6">
      <c r="F427" s="2064" t="s">
        <v>6361</v>
      </c>
    </row>
    <row r="428" spans="6:6">
      <c r="F428" s="2064" t="s">
        <v>6362</v>
      </c>
    </row>
    <row r="429" spans="6:6">
      <c r="F429" s="2064" t="s">
        <v>6363</v>
      </c>
    </row>
    <row r="430" spans="6:6">
      <c r="F430" s="2064" t="s">
        <v>6364</v>
      </c>
    </row>
    <row r="431" spans="6:6">
      <c r="F431" s="2064" t="s">
        <v>6365</v>
      </c>
    </row>
    <row r="432" spans="6:6">
      <c r="F432" s="2064" t="s">
        <v>6366</v>
      </c>
    </row>
    <row r="433" spans="6:6">
      <c r="F433" s="2064" t="s">
        <v>6367</v>
      </c>
    </row>
    <row r="434" spans="6:6">
      <c r="F434" s="2064" t="s">
        <v>6368</v>
      </c>
    </row>
    <row r="435" spans="6:6">
      <c r="F435" s="2064" t="s">
        <v>6369</v>
      </c>
    </row>
    <row r="436" spans="6:6">
      <c r="F436" s="2064" t="s">
        <v>6370</v>
      </c>
    </row>
    <row r="437" spans="6:6">
      <c r="F437" s="2064" t="s">
        <v>6371</v>
      </c>
    </row>
    <row r="438" spans="6:6">
      <c r="F438" s="2064" t="s">
        <v>6372</v>
      </c>
    </row>
    <row r="439" spans="6:6">
      <c r="F439" s="2064" t="s">
        <v>6373</v>
      </c>
    </row>
    <row r="440" spans="6:6">
      <c r="F440" s="2064" t="s">
        <v>6374</v>
      </c>
    </row>
    <row r="441" spans="6:6">
      <c r="F441" s="2064" t="s">
        <v>6375</v>
      </c>
    </row>
    <row r="442" spans="6:6">
      <c r="F442" s="2064" t="s">
        <v>6376</v>
      </c>
    </row>
    <row r="443" spans="6:6">
      <c r="F443" s="2064" t="s">
        <v>6377</v>
      </c>
    </row>
    <row r="444" spans="6:6">
      <c r="F444" s="2064" t="s">
        <v>6378</v>
      </c>
    </row>
    <row r="445" spans="6:6">
      <c r="F445" s="2064" t="s">
        <v>6379</v>
      </c>
    </row>
    <row r="446" spans="6:6">
      <c r="F446" s="2064" t="s">
        <v>6380</v>
      </c>
    </row>
    <row r="447" spans="6:6">
      <c r="F447" s="2064" t="s">
        <v>6381</v>
      </c>
    </row>
    <row r="448" spans="6:6">
      <c r="F448" s="2064" t="s">
        <v>6382</v>
      </c>
    </row>
    <row r="449" spans="6:6">
      <c r="F449" s="2064" t="s">
        <v>6383</v>
      </c>
    </row>
    <row r="450" spans="6:6">
      <c r="F450" s="2064" t="s">
        <v>6384</v>
      </c>
    </row>
    <row r="451" spans="6:6">
      <c r="F451" s="2064" t="s">
        <v>6385</v>
      </c>
    </row>
    <row r="452" spans="6:6">
      <c r="F452" s="2064" t="s">
        <v>6386</v>
      </c>
    </row>
    <row r="453" spans="6:6">
      <c r="F453" s="2064" t="s">
        <v>6387</v>
      </c>
    </row>
    <row r="454" spans="6:6">
      <c r="F454" s="2064" t="s">
        <v>6388</v>
      </c>
    </row>
    <row r="455" spans="6:6">
      <c r="F455" s="2064" t="s">
        <v>6389</v>
      </c>
    </row>
    <row r="456" spans="6:6">
      <c r="F456" s="2064" t="s">
        <v>6390</v>
      </c>
    </row>
    <row r="457" spans="6:6">
      <c r="F457" s="2064" t="s">
        <v>6391</v>
      </c>
    </row>
    <row r="458" spans="6:6">
      <c r="F458" s="2064" t="s">
        <v>6392</v>
      </c>
    </row>
    <row r="459" spans="6:6">
      <c r="F459" s="2064" t="s">
        <v>6393</v>
      </c>
    </row>
    <row r="460" spans="6:6">
      <c r="F460" s="2064" t="s">
        <v>6394</v>
      </c>
    </row>
    <row r="461" spans="6:6">
      <c r="F461" s="2064" t="s">
        <v>6395</v>
      </c>
    </row>
    <row r="462" spans="6:6">
      <c r="F462" s="2064" t="s">
        <v>6396</v>
      </c>
    </row>
    <row r="463" spans="6:6">
      <c r="F463" s="2064" t="s">
        <v>6397</v>
      </c>
    </row>
    <row r="464" spans="6:6">
      <c r="F464" s="2064" t="s">
        <v>6398</v>
      </c>
    </row>
    <row r="465" spans="6:6">
      <c r="F465" s="2064" t="s">
        <v>6399</v>
      </c>
    </row>
    <row r="466" spans="6:6">
      <c r="F466" s="2064" t="s">
        <v>6400</v>
      </c>
    </row>
    <row r="467" spans="6:6">
      <c r="F467" s="2064" t="s">
        <v>6401</v>
      </c>
    </row>
    <row r="468" spans="6:6">
      <c r="F468" s="2064" t="s">
        <v>6402</v>
      </c>
    </row>
    <row r="469" spans="6:6">
      <c r="F469" s="2064" t="s">
        <v>6403</v>
      </c>
    </row>
    <row r="470" spans="6:6">
      <c r="F470" s="2064" t="s">
        <v>6404</v>
      </c>
    </row>
    <row r="471" spans="6:6">
      <c r="F471" s="2064" t="s">
        <v>6405</v>
      </c>
    </row>
    <row r="472" spans="6:6">
      <c r="F472" s="2064" t="s">
        <v>6406</v>
      </c>
    </row>
    <row r="473" spans="6:6">
      <c r="F473" s="2064" t="s">
        <v>6407</v>
      </c>
    </row>
    <row r="474" spans="6:6">
      <c r="F474" s="2064" t="s">
        <v>6408</v>
      </c>
    </row>
    <row r="475" spans="6:6">
      <c r="F475" s="2064" t="s">
        <v>6409</v>
      </c>
    </row>
    <row r="476" spans="6:6">
      <c r="F476" s="2064" t="s">
        <v>6410</v>
      </c>
    </row>
    <row r="477" spans="6:6">
      <c r="F477" s="2064" t="s">
        <v>6411</v>
      </c>
    </row>
    <row r="478" spans="6:6">
      <c r="F478" s="2064" t="s">
        <v>6412</v>
      </c>
    </row>
    <row r="479" spans="6:6">
      <c r="F479" s="2064" t="s">
        <v>6413</v>
      </c>
    </row>
    <row r="480" spans="6:6">
      <c r="F480" s="2064" t="s">
        <v>6414</v>
      </c>
    </row>
    <row r="481" spans="6:6">
      <c r="F481" s="2064" t="s">
        <v>6415</v>
      </c>
    </row>
    <row r="482" spans="6:6">
      <c r="F482" s="2064" t="s">
        <v>6416</v>
      </c>
    </row>
    <row r="483" spans="6:6">
      <c r="F483" s="2064" t="s">
        <v>6417</v>
      </c>
    </row>
    <row r="484" spans="6:6">
      <c r="F484" s="2064" t="s">
        <v>6418</v>
      </c>
    </row>
    <row r="485" spans="6:6">
      <c r="F485" s="2064" t="s">
        <v>6419</v>
      </c>
    </row>
    <row r="486" spans="6:6">
      <c r="F486" s="2064" t="s">
        <v>6420</v>
      </c>
    </row>
    <row r="487" spans="6:6">
      <c r="F487" s="2064" t="s">
        <v>6421</v>
      </c>
    </row>
    <row r="488" spans="6:6">
      <c r="F488" s="2064" t="s">
        <v>6422</v>
      </c>
    </row>
    <row r="489" spans="6:6">
      <c r="F489" s="2064" t="s">
        <v>6423</v>
      </c>
    </row>
    <row r="490" spans="6:6">
      <c r="F490" s="2064" t="s">
        <v>6424</v>
      </c>
    </row>
    <row r="491" spans="6:6">
      <c r="F491" s="2064" t="s">
        <v>6425</v>
      </c>
    </row>
    <row r="492" spans="6:6">
      <c r="F492" s="2064" t="s">
        <v>6426</v>
      </c>
    </row>
    <row r="493" spans="6:6">
      <c r="F493" s="2064" t="s">
        <v>6427</v>
      </c>
    </row>
    <row r="494" spans="6:6">
      <c r="F494" s="2064" t="s">
        <v>6428</v>
      </c>
    </row>
    <row r="495" spans="6:6">
      <c r="F495" s="2064" t="s">
        <v>6429</v>
      </c>
    </row>
    <row r="496" spans="6:6">
      <c r="F496" s="2064" t="s">
        <v>6430</v>
      </c>
    </row>
    <row r="497" spans="6:6">
      <c r="F497" s="2064" t="s">
        <v>6431</v>
      </c>
    </row>
    <row r="498" spans="6:6">
      <c r="F498" s="2064" t="s">
        <v>6432</v>
      </c>
    </row>
    <row r="499" spans="6:6">
      <c r="F499" s="2064" t="s">
        <v>6433</v>
      </c>
    </row>
    <row r="500" spans="6:6">
      <c r="F500" s="2064" t="s">
        <v>6434</v>
      </c>
    </row>
    <row r="501" spans="6:6">
      <c r="F501" s="2064" t="s">
        <v>6435</v>
      </c>
    </row>
    <row r="502" spans="6:6">
      <c r="F502" s="2064" t="s">
        <v>6436</v>
      </c>
    </row>
    <row r="503" spans="6:6">
      <c r="F503" s="2064" t="s">
        <v>6437</v>
      </c>
    </row>
    <row r="504" spans="6:6">
      <c r="F504" s="2064" t="s">
        <v>6438</v>
      </c>
    </row>
    <row r="505" spans="6:6">
      <c r="F505" s="2064" t="s">
        <v>6439</v>
      </c>
    </row>
    <row r="506" spans="6:6">
      <c r="F506" s="2064" t="s">
        <v>6440</v>
      </c>
    </row>
    <row r="507" spans="6:6">
      <c r="F507" s="2064" t="s">
        <v>6441</v>
      </c>
    </row>
    <row r="508" spans="6:6">
      <c r="F508" s="2064" t="s">
        <v>6442</v>
      </c>
    </row>
    <row r="509" spans="6:6">
      <c r="F509" s="2064" t="s">
        <v>6443</v>
      </c>
    </row>
    <row r="510" spans="6:6">
      <c r="F510" s="2064" t="s">
        <v>6444</v>
      </c>
    </row>
    <row r="511" spans="6:6">
      <c r="F511" s="2064" t="s">
        <v>6445</v>
      </c>
    </row>
    <row r="512" spans="6:6">
      <c r="F512" s="2064" t="s">
        <v>6446</v>
      </c>
    </row>
    <row r="513" spans="6:6">
      <c r="F513" s="2064" t="s">
        <v>6447</v>
      </c>
    </row>
    <row r="514" spans="6:6">
      <c r="F514" s="2064" t="s">
        <v>6448</v>
      </c>
    </row>
    <row r="515" spans="6:6">
      <c r="F515" s="2064" t="s">
        <v>6449</v>
      </c>
    </row>
    <row r="516" spans="6:6">
      <c r="F516" s="2064" t="s">
        <v>6450</v>
      </c>
    </row>
    <row r="517" spans="6:6">
      <c r="F517" s="2064" t="s">
        <v>6451</v>
      </c>
    </row>
    <row r="518" spans="6:6">
      <c r="F518" s="2064" t="s">
        <v>6452</v>
      </c>
    </row>
    <row r="519" spans="6:6">
      <c r="F519" s="2064" t="s">
        <v>6453</v>
      </c>
    </row>
    <row r="520" spans="6:6">
      <c r="F520" s="2064" t="s">
        <v>6454</v>
      </c>
    </row>
    <row r="521" spans="6:6">
      <c r="F521" s="2064" t="s">
        <v>6455</v>
      </c>
    </row>
    <row r="522" spans="6:6">
      <c r="F522" s="2064" t="s">
        <v>6456</v>
      </c>
    </row>
    <row r="523" spans="6:6">
      <c r="F523" s="2064" t="s">
        <v>6457</v>
      </c>
    </row>
    <row r="524" spans="6:6">
      <c r="F524" s="2064" t="s">
        <v>6458</v>
      </c>
    </row>
    <row r="525" spans="6:6">
      <c r="F525" s="2064" t="s">
        <v>6459</v>
      </c>
    </row>
    <row r="526" spans="6:6">
      <c r="F526" s="2064" t="s">
        <v>6460</v>
      </c>
    </row>
    <row r="527" spans="6:6">
      <c r="F527" s="2064" t="s">
        <v>6461</v>
      </c>
    </row>
    <row r="528" spans="6:6">
      <c r="F528" s="2064" t="s">
        <v>6462</v>
      </c>
    </row>
    <row r="529" spans="6:6">
      <c r="F529" s="2064" t="s">
        <v>6463</v>
      </c>
    </row>
    <row r="530" spans="6:6">
      <c r="F530" s="2064" t="s">
        <v>6464</v>
      </c>
    </row>
    <row r="531" spans="6:6">
      <c r="F531" s="2064" t="s">
        <v>6465</v>
      </c>
    </row>
    <row r="532" spans="6:6">
      <c r="F532" s="2064" t="s">
        <v>6466</v>
      </c>
    </row>
    <row r="533" spans="6:6">
      <c r="F533" s="2064" t="s">
        <v>6467</v>
      </c>
    </row>
    <row r="534" spans="6:6">
      <c r="F534" s="2064" t="s">
        <v>6468</v>
      </c>
    </row>
    <row r="535" spans="6:6">
      <c r="F535" s="2064" t="s">
        <v>6469</v>
      </c>
    </row>
    <row r="536" spans="6:6">
      <c r="F536" s="2064" t="s">
        <v>6470</v>
      </c>
    </row>
    <row r="537" spans="6:6">
      <c r="F537" s="2064" t="s">
        <v>6471</v>
      </c>
    </row>
    <row r="538" spans="6:6">
      <c r="F538" s="2064" t="s">
        <v>6472</v>
      </c>
    </row>
    <row r="539" spans="6:6">
      <c r="F539" s="2064" t="s">
        <v>6473</v>
      </c>
    </row>
    <row r="540" spans="6:6">
      <c r="F540" s="2064" t="s">
        <v>6474</v>
      </c>
    </row>
    <row r="541" spans="6:6">
      <c r="F541" s="2064" t="s">
        <v>6475</v>
      </c>
    </row>
    <row r="542" spans="6:6">
      <c r="F542" s="2064" t="s">
        <v>6476</v>
      </c>
    </row>
    <row r="543" spans="6:6">
      <c r="F543" s="2064" t="s">
        <v>6477</v>
      </c>
    </row>
    <row r="544" spans="6:6">
      <c r="F544" s="2064" t="s">
        <v>6478</v>
      </c>
    </row>
    <row r="545" spans="6:6">
      <c r="F545" s="2064" t="s">
        <v>6479</v>
      </c>
    </row>
    <row r="546" spans="6:6">
      <c r="F546" s="2064" t="s">
        <v>6480</v>
      </c>
    </row>
    <row r="547" spans="6:6">
      <c r="F547" s="2064" t="s">
        <v>6481</v>
      </c>
    </row>
    <row r="548" spans="6:6">
      <c r="F548" s="2064" t="s">
        <v>6482</v>
      </c>
    </row>
    <row r="549" spans="6:6">
      <c r="F549" s="2064" t="s">
        <v>6483</v>
      </c>
    </row>
    <row r="550" spans="6:6">
      <c r="F550" s="2064" t="s">
        <v>6484</v>
      </c>
    </row>
    <row r="551" spans="6:6">
      <c r="F551" s="2064" t="s">
        <v>6485</v>
      </c>
    </row>
    <row r="552" spans="6:6">
      <c r="F552" s="2064" t="s">
        <v>6486</v>
      </c>
    </row>
    <row r="553" spans="6:6">
      <c r="F553" s="2064" t="s">
        <v>6487</v>
      </c>
    </row>
    <row r="554" spans="6:6">
      <c r="F554" s="2064" t="s">
        <v>6488</v>
      </c>
    </row>
    <row r="555" spans="6:6">
      <c r="F555" s="2064" t="s">
        <v>6489</v>
      </c>
    </row>
    <row r="556" spans="6:6">
      <c r="F556" s="2064" t="s">
        <v>6490</v>
      </c>
    </row>
    <row r="557" spans="6:6">
      <c r="F557" s="2064" t="s">
        <v>6491</v>
      </c>
    </row>
    <row r="558" spans="6:6">
      <c r="F558" s="2064" t="s">
        <v>6492</v>
      </c>
    </row>
    <row r="559" spans="6:6">
      <c r="F559" s="2064" t="s">
        <v>6493</v>
      </c>
    </row>
    <row r="560" spans="6:6">
      <c r="F560" s="2064" t="s">
        <v>6494</v>
      </c>
    </row>
    <row r="561" spans="6:6">
      <c r="F561" s="2064" t="s">
        <v>6495</v>
      </c>
    </row>
    <row r="562" spans="6:6">
      <c r="F562" s="2064" t="s">
        <v>6496</v>
      </c>
    </row>
    <row r="563" spans="6:6">
      <c r="F563" s="2064" t="s">
        <v>6497</v>
      </c>
    </row>
    <row r="564" spans="6:6">
      <c r="F564" s="2064" t="s">
        <v>6498</v>
      </c>
    </row>
    <row r="565" spans="6:6">
      <c r="F565" s="2064" t="s">
        <v>6499</v>
      </c>
    </row>
    <row r="566" spans="6:6">
      <c r="F566" s="2064" t="s">
        <v>6500</v>
      </c>
    </row>
    <row r="567" spans="6:6">
      <c r="F567" s="2064" t="s">
        <v>6501</v>
      </c>
    </row>
    <row r="568" spans="6:6">
      <c r="F568" s="2064" t="s">
        <v>6502</v>
      </c>
    </row>
    <row r="569" spans="6:6">
      <c r="F569" s="2064" t="s">
        <v>6503</v>
      </c>
    </row>
    <row r="570" spans="6:6">
      <c r="F570" s="2064" t="s">
        <v>6504</v>
      </c>
    </row>
    <row r="571" spans="6:6">
      <c r="F571" s="2064" t="s">
        <v>6505</v>
      </c>
    </row>
    <row r="572" spans="6:6">
      <c r="F572" s="2064" t="s">
        <v>6506</v>
      </c>
    </row>
    <row r="573" spans="6:6">
      <c r="F573" s="2064" t="s">
        <v>6507</v>
      </c>
    </row>
    <row r="574" spans="6:6">
      <c r="F574" s="2064" t="s">
        <v>6508</v>
      </c>
    </row>
    <row r="575" spans="6:6">
      <c r="F575" s="2064" t="s">
        <v>6509</v>
      </c>
    </row>
    <row r="576" spans="6:6">
      <c r="F576" s="2064" t="s">
        <v>6510</v>
      </c>
    </row>
    <row r="577" spans="6:6">
      <c r="F577" s="2064" t="s">
        <v>6511</v>
      </c>
    </row>
    <row r="578" spans="6:6">
      <c r="F578" s="2064" t="s">
        <v>6512</v>
      </c>
    </row>
    <row r="579" spans="6:6">
      <c r="F579" s="2064" t="s">
        <v>6513</v>
      </c>
    </row>
    <row r="580" spans="6:6">
      <c r="F580" s="2064" t="s">
        <v>6514</v>
      </c>
    </row>
    <row r="581" spans="6:6">
      <c r="F581" s="2064" t="s">
        <v>6515</v>
      </c>
    </row>
    <row r="582" spans="6:6">
      <c r="F582" s="2064" t="s">
        <v>6516</v>
      </c>
    </row>
    <row r="583" spans="6:6">
      <c r="F583" s="2064" t="s">
        <v>6517</v>
      </c>
    </row>
    <row r="584" spans="6:6">
      <c r="F584" s="2064" t="s">
        <v>6518</v>
      </c>
    </row>
    <row r="585" spans="6:6">
      <c r="F585" s="2064" t="s">
        <v>6519</v>
      </c>
    </row>
    <row r="586" spans="6:6">
      <c r="F586" s="2064" t="s">
        <v>6520</v>
      </c>
    </row>
    <row r="587" spans="6:6">
      <c r="F587" s="2064" t="s">
        <v>6521</v>
      </c>
    </row>
    <row r="588" spans="6:6">
      <c r="F588" s="2064" t="s">
        <v>6522</v>
      </c>
    </row>
    <row r="589" spans="6:6">
      <c r="F589" s="2064" t="s">
        <v>6523</v>
      </c>
    </row>
    <row r="590" spans="6:6">
      <c r="F590" s="2064" t="s">
        <v>6524</v>
      </c>
    </row>
    <row r="591" spans="6:6">
      <c r="F591" s="2064" t="s">
        <v>6525</v>
      </c>
    </row>
    <row r="592" spans="6:6">
      <c r="F592" s="2064" t="s">
        <v>6526</v>
      </c>
    </row>
    <row r="593" spans="6:6">
      <c r="F593" s="2064" t="s">
        <v>6527</v>
      </c>
    </row>
    <row r="594" spans="6:6">
      <c r="F594" s="2064" t="s">
        <v>6528</v>
      </c>
    </row>
    <row r="595" spans="6:6">
      <c r="F595" s="2064" t="s">
        <v>6529</v>
      </c>
    </row>
    <row r="596" spans="6:6">
      <c r="F596" s="2064" t="s">
        <v>6530</v>
      </c>
    </row>
    <row r="597" spans="6:6">
      <c r="F597" s="2064" t="s">
        <v>6531</v>
      </c>
    </row>
    <row r="598" spans="6:6">
      <c r="F598" s="2064" t="s">
        <v>6532</v>
      </c>
    </row>
    <row r="599" spans="6:6">
      <c r="F599" s="2064" t="s">
        <v>6533</v>
      </c>
    </row>
    <row r="600" spans="6:6">
      <c r="F600" s="2064" t="s">
        <v>6534</v>
      </c>
    </row>
    <row r="601" spans="6:6">
      <c r="F601" s="2064" t="s">
        <v>6535</v>
      </c>
    </row>
    <row r="602" spans="6:6">
      <c r="F602" s="2064" t="s">
        <v>6536</v>
      </c>
    </row>
    <row r="603" spans="6:6">
      <c r="F603" s="2064" t="s">
        <v>6537</v>
      </c>
    </row>
    <row r="604" spans="6:6">
      <c r="F604" s="2064" t="s">
        <v>6538</v>
      </c>
    </row>
    <row r="605" spans="6:6">
      <c r="F605" s="2064" t="s">
        <v>6539</v>
      </c>
    </row>
    <row r="606" spans="6:6">
      <c r="F606" s="2064" t="s">
        <v>6540</v>
      </c>
    </row>
    <row r="607" spans="6:6">
      <c r="F607" s="2064" t="s">
        <v>6541</v>
      </c>
    </row>
    <row r="608" spans="6:6">
      <c r="F608" s="2064" t="s">
        <v>6542</v>
      </c>
    </row>
    <row r="609" spans="6:6">
      <c r="F609" s="2064" t="s">
        <v>6543</v>
      </c>
    </row>
    <row r="610" spans="6:6">
      <c r="F610" s="2064" t="s">
        <v>6544</v>
      </c>
    </row>
    <row r="611" spans="6:6">
      <c r="F611" s="2064" t="s">
        <v>6545</v>
      </c>
    </row>
    <row r="612" spans="6:6">
      <c r="F612" s="2064" t="s">
        <v>6546</v>
      </c>
    </row>
    <row r="613" spans="6:6">
      <c r="F613" s="2064" t="s">
        <v>6547</v>
      </c>
    </row>
    <row r="614" spans="6:6">
      <c r="F614" s="2064" t="s">
        <v>6548</v>
      </c>
    </row>
    <row r="615" spans="6:6">
      <c r="F615" s="2064" t="s">
        <v>6549</v>
      </c>
    </row>
    <row r="616" spans="6:6">
      <c r="F616" s="2064" t="s">
        <v>6550</v>
      </c>
    </row>
    <row r="617" spans="6:6">
      <c r="F617" s="2064" t="s">
        <v>6551</v>
      </c>
    </row>
    <row r="618" spans="6:6">
      <c r="F618" s="2064" t="s">
        <v>6552</v>
      </c>
    </row>
    <row r="619" spans="6:6">
      <c r="F619" s="2064" t="s">
        <v>6553</v>
      </c>
    </row>
    <row r="620" spans="6:6">
      <c r="F620" s="2064" t="s">
        <v>6554</v>
      </c>
    </row>
    <row r="621" spans="6:6">
      <c r="F621" s="2064" t="s">
        <v>6555</v>
      </c>
    </row>
    <row r="622" spans="6:6">
      <c r="F622" s="2064" t="s">
        <v>6556</v>
      </c>
    </row>
    <row r="623" spans="6:6">
      <c r="F623" s="2064" t="s">
        <v>6557</v>
      </c>
    </row>
    <row r="624" spans="6:6">
      <c r="F624" s="2064" t="s">
        <v>6558</v>
      </c>
    </row>
    <row r="625" spans="6:6">
      <c r="F625" s="2064" t="s">
        <v>6559</v>
      </c>
    </row>
    <row r="626" spans="6:6">
      <c r="F626" s="2064" t="s">
        <v>6560</v>
      </c>
    </row>
    <row r="627" spans="6:6">
      <c r="F627" s="2064" t="s">
        <v>6561</v>
      </c>
    </row>
    <row r="628" spans="6:6">
      <c r="F628" s="2064" t="s">
        <v>6562</v>
      </c>
    </row>
    <row r="629" spans="6:6">
      <c r="F629" s="2064" t="s">
        <v>6563</v>
      </c>
    </row>
    <row r="630" spans="6:6">
      <c r="F630" s="2064" t="s">
        <v>6564</v>
      </c>
    </row>
    <row r="631" spans="6:6">
      <c r="F631" s="2064" t="s">
        <v>6565</v>
      </c>
    </row>
    <row r="632" spans="6:6">
      <c r="F632" s="2064" t="s">
        <v>6566</v>
      </c>
    </row>
    <row r="633" spans="6:6">
      <c r="F633" s="2064" t="s">
        <v>6567</v>
      </c>
    </row>
    <row r="634" spans="6:6">
      <c r="F634" s="2064" t="s">
        <v>6568</v>
      </c>
    </row>
    <row r="635" spans="6:6">
      <c r="F635" s="2064" t="s">
        <v>6569</v>
      </c>
    </row>
    <row r="636" spans="6:6">
      <c r="F636" s="2064" t="s">
        <v>6570</v>
      </c>
    </row>
    <row r="637" spans="6:6">
      <c r="F637" s="2064" t="s">
        <v>6571</v>
      </c>
    </row>
    <row r="638" spans="6:6">
      <c r="F638" s="2064" t="s">
        <v>6572</v>
      </c>
    </row>
    <row r="639" spans="6:6">
      <c r="F639" s="2064" t="s">
        <v>6573</v>
      </c>
    </row>
    <row r="640" spans="6:6">
      <c r="F640" s="2064" t="s">
        <v>6574</v>
      </c>
    </row>
    <row r="641" spans="6:6">
      <c r="F641" s="2064" t="s">
        <v>6575</v>
      </c>
    </row>
    <row r="642" spans="6:6">
      <c r="F642" s="2064" t="s">
        <v>6576</v>
      </c>
    </row>
    <row r="643" spans="6:6">
      <c r="F643" s="2064" t="s">
        <v>6577</v>
      </c>
    </row>
    <row r="644" spans="6:6">
      <c r="F644" s="2064" t="s">
        <v>6578</v>
      </c>
    </row>
    <row r="645" spans="6:6">
      <c r="F645" s="2064" t="s">
        <v>6579</v>
      </c>
    </row>
    <row r="646" spans="6:6">
      <c r="F646" s="2064" t="s">
        <v>6580</v>
      </c>
    </row>
    <row r="647" spans="6:6">
      <c r="F647" s="2064" t="s">
        <v>6581</v>
      </c>
    </row>
    <row r="648" spans="6:6">
      <c r="F648" s="2064" t="s">
        <v>6582</v>
      </c>
    </row>
    <row r="649" spans="6:6">
      <c r="F649" s="2064" t="s">
        <v>6583</v>
      </c>
    </row>
    <row r="650" spans="6:6">
      <c r="F650" s="2064" t="s">
        <v>6584</v>
      </c>
    </row>
    <row r="651" spans="6:6">
      <c r="F651" s="2064" t="s">
        <v>6585</v>
      </c>
    </row>
    <row r="652" spans="6:6">
      <c r="F652" s="2064" t="s">
        <v>6586</v>
      </c>
    </row>
    <row r="653" spans="6:6">
      <c r="F653" s="2064" t="s">
        <v>6587</v>
      </c>
    </row>
    <row r="654" spans="6:6">
      <c r="F654" s="2064" t="s">
        <v>6588</v>
      </c>
    </row>
    <row r="655" spans="6:6">
      <c r="F655" s="2064" t="s">
        <v>6589</v>
      </c>
    </row>
    <row r="656" spans="6:6">
      <c r="F656" s="2064" t="s">
        <v>6590</v>
      </c>
    </row>
    <row r="657" spans="6:6">
      <c r="F657" s="2064" t="s">
        <v>6591</v>
      </c>
    </row>
    <row r="658" spans="6:6">
      <c r="F658" s="2064" t="s">
        <v>6592</v>
      </c>
    </row>
    <row r="659" spans="6:6">
      <c r="F659" s="2064" t="s">
        <v>6593</v>
      </c>
    </row>
    <row r="660" spans="6:6">
      <c r="F660" s="2064" t="s">
        <v>6594</v>
      </c>
    </row>
    <row r="661" spans="6:6">
      <c r="F661" s="2064" t="s">
        <v>6595</v>
      </c>
    </row>
    <row r="662" spans="6:6">
      <c r="F662" s="2064" t="s">
        <v>6596</v>
      </c>
    </row>
    <row r="663" spans="6:6">
      <c r="F663" s="2064" t="s">
        <v>6597</v>
      </c>
    </row>
    <row r="664" spans="6:6">
      <c r="F664" s="2064" t="s">
        <v>6598</v>
      </c>
    </row>
    <row r="665" spans="6:6">
      <c r="F665" s="2064" t="s">
        <v>6599</v>
      </c>
    </row>
    <row r="666" spans="6:6">
      <c r="F666" s="2064" t="s">
        <v>6600</v>
      </c>
    </row>
    <row r="667" spans="6:6">
      <c r="F667" s="2064" t="s">
        <v>6601</v>
      </c>
    </row>
    <row r="668" spans="6:6">
      <c r="F668" s="2064" t="s">
        <v>6602</v>
      </c>
    </row>
    <row r="669" spans="6:6">
      <c r="F669" s="2064" t="s">
        <v>6603</v>
      </c>
    </row>
    <row r="670" spans="6:6">
      <c r="F670" s="2064" t="s">
        <v>6604</v>
      </c>
    </row>
    <row r="671" spans="6:6">
      <c r="F671" s="2064" t="s">
        <v>6605</v>
      </c>
    </row>
    <row r="672" spans="6:6">
      <c r="F672" s="2064" t="s">
        <v>6606</v>
      </c>
    </row>
    <row r="673" spans="6:6">
      <c r="F673" s="2064" t="s">
        <v>6607</v>
      </c>
    </row>
    <row r="674" spans="6:6">
      <c r="F674" s="2064" t="s">
        <v>6608</v>
      </c>
    </row>
    <row r="675" spans="6:6">
      <c r="F675" s="2064" t="s">
        <v>6609</v>
      </c>
    </row>
    <row r="676" spans="6:6">
      <c r="F676" s="2064" t="s">
        <v>6610</v>
      </c>
    </row>
    <row r="677" spans="6:6">
      <c r="F677" s="2064" t="s">
        <v>6611</v>
      </c>
    </row>
    <row r="678" spans="6:6">
      <c r="F678" s="2064" t="s">
        <v>6612</v>
      </c>
    </row>
    <row r="679" spans="6:6">
      <c r="F679" s="2064" t="s">
        <v>6613</v>
      </c>
    </row>
    <row r="680" spans="6:6">
      <c r="F680" s="2064" t="s">
        <v>6614</v>
      </c>
    </row>
    <row r="681" spans="6:6">
      <c r="F681" s="2064" t="s">
        <v>6615</v>
      </c>
    </row>
    <row r="682" spans="6:6">
      <c r="F682" s="2064" t="s">
        <v>6616</v>
      </c>
    </row>
    <row r="683" spans="6:6">
      <c r="F683" s="2064" t="s">
        <v>6617</v>
      </c>
    </row>
    <row r="684" spans="6:6">
      <c r="F684" s="2064" t="s">
        <v>6618</v>
      </c>
    </row>
    <row r="685" spans="6:6">
      <c r="F685" s="2064" t="s">
        <v>6619</v>
      </c>
    </row>
    <row r="686" spans="6:6">
      <c r="F686" s="2064" t="s">
        <v>6620</v>
      </c>
    </row>
    <row r="687" spans="6:6">
      <c r="F687" s="2064" t="s">
        <v>6621</v>
      </c>
    </row>
    <row r="688" spans="6:6">
      <c r="F688" s="2064" t="s">
        <v>6622</v>
      </c>
    </row>
    <row r="689" spans="6:6">
      <c r="F689" s="2064" t="s">
        <v>6623</v>
      </c>
    </row>
    <row r="690" spans="6:6">
      <c r="F690" s="2064" t="s">
        <v>6624</v>
      </c>
    </row>
    <row r="691" spans="6:6">
      <c r="F691" s="2064" t="s">
        <v>6625</v>
      </c>
    </row>
    <row r="692" spans="6:6">
      <c r="F692" s="2064" t="s">
        <v>6626</v>
      </c>
    </row>
    <row r="693" spans="6:6">
      <c r="F693" s="2064" t="s">
        <v>6627</v>
      </c>
    </row>
    <row r="694" spans="6:6">
      <c r="F694" s="2064" t="s">
        <v>6628</v>
      </c>
    </row>
    <row r="695" spans="6:6">
      <c r="F695" s="2064" t="s">
        <v>6629</v>
      </c>
    </row>
    <row r="696" spans="6:6">
      <c r="F696" s="2064" t="s">
        <v>6630</v>
      </c>
    </row>
    <row r="697" spans="6:6">
      <c r="F697" s="2064" t="s">
        <v>6631</v>
      </c>
    </row>
    <row r="698" spans="6:6">
      <c r="F698" s="2064" t="s">
        <v>6632</v>
      </c>
    </row>
    <row r="699" spans="6:6">
      <c r="F699" s="2064" t="s">
        <v>6633</v>
      </c>
    </row>
    <row r="700" spans="6:6">
      <c r="F700" s="2064" t="s">
        <v>6634</v>
      </c>
    </row>
    <row r="701" spans="6:6">
      <c r="F701" s="2064" t="s">
        <v>6635</v>
      </c>
    </row>
    <row r="702" spans="6:6">
      <c r="F702" s="2064" t="s">
        <v>6636</v>
      </c>
    </row>
    <row r="703" spans="6:6">
      <c r="F703" s="2064" t="s">
        <v>6637</v>
      </c>
    </row>
    <row r="704" spans="6:6">
      <c r="F704" s="2064" t="s">
        <v>6638</v>
      </c>
    </row>
    <row r="705" spans="6:6">
      <c r="F705" s="2064" t="s">
        <v>6639</v>
      </c>
    </row>
    <row r="706" spans="6:6">
      <c r="F706" s="2064" t="s">
        <v>6640</v>
      </c>
    </row>
    <row r="707" spans="6:6">
      <c r="F707" s="2064" t="s">
        <v>6641</v>
      </c>
    </row>
    <row r="708" spans="6:6">
      <c r="F708" s="2064" t="s">
        <v>6642</v>
      </c>
    </row>
    <row r="709" spans="6:6">
      <c r="F709" s="2064" t="s">
        <v>6643</v>
      </c>
    </row>
    <row r="710" spans="6:6">
      <c r="F710" s="2064" t="s">
        <v>6644</v>
      </c>
    </row>
    <row r="711" spans="6:6">
      <c r="F711" s="2064" t="s">
        <v>6645</v>
      </c>
    </row>
    <row r="712" spans="6:6">
      <c r="F712" s="2064" t="s">
        <v>6646</v>
      </c>
    </row>
    <row r="713" spans="6:6">
      <c r="F713" s="2064" t="s">
        <v>6647</v>
      </c>
    </row>
    <row r="714" spans="6:6">
      <c r="F714" s="2064" t="s">
        <v>6648</v>
      </c>
    </row>
    <row r="715" spans="6:6">
      <c r="F715" s="2064" t="s">
        <v>6649</v>
      </c>
    </row>
    <row r="716" spans="6:6">
      <c r="F716" s="2064" t="s">
        <v>6650</v>
      </c>
    </row>
    <row r="717" spans="6:6">
      <c r="F717" s="2064" t="s">
        <v>6651</v>
      </c>
    </row>
    <row r="718" spans="6:6">
      <c r="F718" s="2064" t="s">
        <v>6652</v>
      </c>
    </row>
    <row r="719" spans="6:6">
      <c r="F719" s="2064" t="s">
        <v>6653</v>
      </c>
    </row>
    <row r="720" spans="6:6">
      <c r="F720" s="2064" t="s">
        <v>6654</v>
      </c>
    </row>
    <row r="721" spans="6:6">
      <c r="F721" s="2064" t="s">
        <v>6655</v>
      </c>
    </row>
    <row r="722" spans="6:6">
      <c r="F722" s="2064" t="s">
        <v>6656</v>
      </c>
    </row>
    <row r="723" spans="6:6">
      <c r="F723" s="2064" t="s">
        <v>6657</v>
      </c>
    </row>
    <row r="724" spans="6:6">
      <c r="F724" s="2064" t="s">
        <v>6658</v>
      </c>
    </row>
    <row r="725" spans="6:6">
      <c r="F725" s="2064" t="s">
        <v>6659</v>
      </c>
    </row>
    <row r="726" spans="6:6">
      <c r="F726" s="2064" t="s">
        <v>6660</v>
      </c>
    </row>
    <row r="727" spans="6:6">
      <c r="F727" s="2064" t="s">
        <v>6661</v>
      </c>
    </row>
    <row r="728" spans="6:6">
      <c r="F728" s="2064" t="s">
        <v>6662</v>
      </c>
    </row>
    <row r="729" spans="6:6">
      <c r="F729" s="2064" t="s">
        <v>6663</v>
      </c>
    </row>
    <row r="730" spans="6:6">
      <c r="F730" s="2064" t="s">
        <v>6664</v>
      </c>
    </row>
    <row r="731" spans="6:6">
      <c r="F731" s="2064" t="s">
        <v>6665</v>
      </c>
    </row>
    <row r="732" spans="6:6">
      <c r="F732" s="2064" t="s">
        <v>6666</v>
      </c>
    </row>
    <row r="733" spans="6:6">
      <c r="F733" s="2064" t="s">
        <v>6667</v>
      </c>
    </row>
    <row r="734" spans="6:6">
      <c r="F734" s="2064" t="s">
        <v>6668</v>
      </c>
    </row>
    <row r="735" spans="6:6">
      <c r="F735" s="2064" t="s">
        <v>6669</v>
      </c>
    </row>
    <row r="736" spans="6:6">
      <c r="F736" s="2064" t="s">
        <v>6670</v>
      </c>
    </row>
    <row r="737" spans="6:6">
      <c r="F737" s="2064" t="s">
        <v>6671</v>
      </c>
    </row>
    <row r="738" spans="6:6">
      <c r="F738" s="2064" t="s">
        <v>6672</v>
      </c>
    </row>
    <row r="739" spans="6:6">
      <c r="F739" s="2064" t="s">
        <v>6673</v>
      </c>
    </row>
    <row r="740" spans="6:6">
      <c r="F740" s="2064" t="s">
        <v>6674</v>
      </c>
    </row>
    <row r="741" spans="6:6">
      <c r="F741" s="2064" t="s">
        <v>6675</v>
      </c>
    </row>
    <row r="742" spans="6:6">
      <c r="F742" s="2064" t="s">
        <v>6676</v>
      </c>
    </row>
    <row r="743" spans="6:6">
      <c r="F743" s="2064" t="s">
        <v>6677</v>
      </c>
    </row>
    <row r="744" spans="6:6">
      <c r="F744" s="2064" t="s">
        <v>6678</v>
      </c>
    </row>
    <row r="745" spans="6:6">
      <c r="F745" s="2064" t="s">
        <v>6679</v>
      </c>
    </row>
    <row r="746" spans="6:6">
      <c r="F746" s="2064" t="s">
        <v>6680</v>
      </c>
    </row>
    <row r="747" spans="6:6">
      <c r="F747" s="2064" t="s">
        <v>6681</v>
      </c>
    </row>
    <row r="748" spans="6:6">
      <c r="F748" s="2064" t="s">
        <v>6682</v>
      </c>
    </row>
    <row r="749" spans="6:6">
      <c r="F749" s="2064" t="s">
        <v>6683</v>
      </c>
    </row>
    <row r="750" spans="6:6">
      <c r="F750" s="2064" t="s">
        <v>6684</v>
      </c>
    </row>
    <row r="751" spans="6:6">
      <c r="F751" s="2064" t="s">
        <v>6685</v>
      </c>
    </row>
    <row r="752" spans="6:6">
      <c r="F752" s="2064" t="s">
        <v>6686</v>
      </c>
    </row>
    <row r="753" spans="6:6">
      <c r="F753" s="2064" t="s">
        <v>6687</v>
      </c>
    </row>
    <row r="754" spans="6:6">
      <c r="F754" s="2064" t="s">
        <v>6688</v>
      </c>
    </row>
    <row r="755" spans="6:6">
      <c r="F755" s="2064" t="s">
        <v>6689</v>
      </c>
    </row>
    <row r="756" spans="6:6">
      <c r="F756" s="2064" t="s">
        <v>6690</v>
      </c>
    </row>
    <row r="757" spans="6:6">
      <c r="F757" s="2064" t="s">
        <v>6691</v>
      </c>
    </row>
    <row r="758" spans="6:6">
      <c r="F758" s="2064" t="s">
        <v>6692</v>
      </c>
    </row>
    <row r="759" spans="6:6">
      <c r="F759" s="2064" t="s">
        <v>6693</v>
      </c>
    </row>
    <row r="760" spans="6:6">
      <c r="F760" s="2064" t="s">
        <v>6694</v>
      </c>
    </row>
    <row r="761" spans="6:6">
      <c r="F761" s="2064" t="s">
        <v>6695</v>
      </c>
    </row>
    <row r="762" spans="6:6">
      <c r="F762" s="2064" t="s">
        <v>6696</v>
      </c>
    </row>
    <row r="763" spans="6:6">
      <c r="F763" s="2064" t="s">
        <v>6697</v>
      </c>
    </row>
    <row r="764" spans="6:6">
      <c r="F764" s="2064" t="s">
        <v>6698</v>
      </c>
    </row>
    <row r="765" spans="6:6">
      <c r="F765" s="2064" t="s">
        <v>6699</v>
      </c>
    </row>
    <row r="766" spans="6:6">
      <c r="F766" s="2064" t="s">
        <v>6700</v>
      </c>
    </row>
    <row r="767" spans="6:6">
      <c r="F767" s="2064" t="s">
        <v>6701</v>
      </c>
    </row>
    <row r="768" spans="6:6">
      <c r="F768" s="2064" t="s">
        <v>6702</v>
      </c>
    </row>
    <row r="769" spans="6:6">
      <c r="F769" s="2064" t="s">
        <v>6703</v>
      </c>
    </row>
    <row r="770" spans="6:6">
      <c r="F770" s="2064" t="s">
        <v>6704</v>
      </c>
    </row>
    <row r="771" spans="6:6">
      <c r="F771" s="2064" t="s">
        <v>6705</v>
      </c>
    </row>
    <row r="772" spans="6:6">
      <c r="F772" s="2064" t="s">
        <v>6706</v>
      </c>
    </row>
    <row r="773" spans="6:6">
      <c r="F773" s="2064" t="s">
        <v>6707</v>
      </c>
    </row>
    <row r="774" spans="6:6">
      <c r="F774" s="2064" t="s">
        <v>6708</v>
      </c>
    </row>
    <row r="775" spans="6:6">
      <c r="F775" s="2064" t="s">
        <v>6709</v>
      </c>
    </row>
    <row r="776" spans="6:6">
      <c r="F776" s="2064" t="s">
        <v>6710</v>
      </c>
    </row>
    <row r="777" spans="6:6">
      <c r="F777" s="2064" t="s">
        <v>6711</v>
      </c>
    </row>
    <row r="778" spans="6:6">
      <c r="F778" s="2064" t="s">
        <v>6712</v>
      </c>
    </row>
    <row r="779" spans="6:6">
      <c r="F779" s="2064" t="s">
        <v>6713</v>
      </c>
    </row>
    <row r="780" spans="6:6">
      <c r="F780" s="2064" t="s">
        <v>6714</v>
      </c>
    </row>
    <row r="781" spans="6:6">
      <c r="F781" s="2064" t="s">
        <v>6715</v>
      </c>
    </row>
    <row r="782" spans="6:6">
      <c r="F782" s="2064" t="s">
        <v>6716</v>
      </c>
    </row>
    <row r="783" spans="6:6">
      <c r="F783" s="2064" t="s">
        <v>6717</v>
      </c>
    </row>
    <row r="784" spans="6:6">
      <c r="F784" s="2064" t="s">
        <v>6718</v>
      </c>
    </row>
    <row r="785" spans="6:6">
      <c r="F785" s="2064" t="s">
        <v>6719</v>
      </c>
    </row>
    <row r="786" spans="6:6">
      <c r="F786" s="2064" t="s">
        <v>6720</v>
      </c>
    </row>
    <row r="787" spans="6:6">
      <c r="F787" s="2064" t="s">
        <v>6721</v>
      </c>
    </row>
    <row r="788" spans="6:6">
      <c r="F788" s="2064" t="s">
        <v>6722</v>
      </c>
    </row>
    <row r="789" spans="6:6">
      <c r="F789" s="2064" t="s">
        <v>6723</v>
      </c>
    </row>
    <row r="790" spans="6:6">
      <c r="F790" s="2064" t="s">
        <v>6724</v>
      </c>
    </row>
    <row r="791" spans="6:6">
      <c r="F791" s="2064" t="s">
        <v>6725</v>
      </c>
    </row>
    <row r="792" spans="6:6">
      <c r="F792" s="2064" t="s">
        <v>6726</v>
      </c>
    </row>
    <row r="793" spans="6:6">
      <c r="F793" s="2064" t="s">
        <v>6727</v>
      </c>
    </row>
    <row r="794" spans="6:6">
      <c r="F794" s="2064" t="s">
        <v>6728</v>
      </c>
    </row>
    <row r="795" spans="6:6">
      <c r="F795" s="2064" t="s">
        <v>6729</v>
      </c>
    </row>
    <row r="796" spans="6:6">
      <c r="F796" s="2064" t="s">
        <v>6730</v>
      </c>
    </row>
    <row r="797" spans="6:6">
      <c r="F797" s="2064" t="s">
        <v>6731</v>
      </c>
    </row>
    <row r="798" spans="6:6">
      <c r="F798" s="2064" t="s">
        <v>6732</v>
      </c>
    </row>
    <row r="799" spans="6:6">
      <c r="F799" s="2064" t="s">
        <v>6733</v>
      </c>
    </row>
    <row r="800" spans="6:6">
      <c r="F800" s="2064" t="s">
        <v>6734</v>
      </c>
    </row>
    <row r="801" spans="6:6">
      <c r="F801" s="2064" t="s">
        <v>6735</v>
      </c>
    </row>
    <row r="802" spans="6:6">
      <c r="F802" s="2064" t="s">
        <v>6736</v>
      </c>
    </row>
    <row r="803" spans="6:6">
      <c r="F803" s="2064" t="s">
        <v>6737</v>
      </c>
    </row>
    <row r="804" spans="6:6">
      <c r="F804" s="2064" t="s">
        <v>6738</v>
      </c>
    </row>
    <row r="805" spans="6:6">
      <c r="F805" s="2064" t="s">
        <v>6739</v>
      </c>
    </row>
    <row r="806" spans="6:6">
      <c r="F806" s="2064" t="s">
        <v>6740</v>
      </c>
    </row>
    <row r="807" spans="6:6">
      <c r="F807" s="2064" t="s">
        <v>6741</v>
      </c>
    </row>
    <row r="808" spans="6:6">
      <c r="F808" s="2064" t="s">
        <v>6742</v>
      </c>
    </row>
    <row r="809" spans="6:6">
      <c r="F809" s="2064" t="s">
        <v>6743</v>
      </c>
    </row>
    <row r="810" spans="6:6">
      <c r="F810" s="2064" t="s">
        <v>6744</v>
      </c>
    </row>
    <row r="811" spans="6:6">
      <c r="F811" s="2064" t="s">
        <v>6745</v>
      </c>
    </row>
    <row r="812" spans="6:6">
      <c r="F812" s="2064" t="s">
        <v>6746</v>
      </c>
    </row>
    <row r="813" spans="6:6">
      <c r="F813" s="2064" t="s">
        <v>6747</v>
      </c>
    </row>
    <row r="814" spans="6:6">
      <c r="F814" s="2064" t="s">
        <v>6748</v>
      </c>
    </row>
    <row r="815" spans="6:6">
      <c r="F815" s="2064" t="s">
        <v>6749</v>
      </c>
    </row>
    <row r="816" spans="6:6">
      <c r="F816" s="2064" t="s">
        <v>6750</v>
      </c>
    </row>
    <row r="817" spans="6:6">
      <c r="F817" s="2064" t="s">
        <v>6751</v>
      </c>
    </row>
    <row r="818" spans="6:6">
      <c r="F818" s="2064" t="s">
        <v>6752</v>
      </c>
    </row>
    <row r="819" spans="6:6">
      <c r="F819" s="2064" t="s">
        <v>6753</v>
      </c>
    </row>
    <row r="820" spans="6:6">
      <c r="F820" s="2064" t="s">
        <v>6754</v>
      </c>
    </row>
    <row r="821" spans="6:6">
      <c r="F821" s="2064" t="s">
        <v>6755</v>
      </c>
    </row>
    <row r="822" spans="6:6">
      <c r="F822" s="2064" t="s">
        <v>6756</v>
      </c>
    </row>
    <row r="823" spans="6:6">
      <c r="F823" s="2064" t="s">
        <v>6757</v>
      </c>
    </row>
    <row r="824" spans="6:6">
      <c r="F824" s="2064" t="s">
        <v>6758</v>
      </c>
    </row>
    <row r="825" spans="6:6">
      <c r="F825" s="2064" t="s">
        <v>6759</v>
      </c>
    </row>
    <row r="826" spans="6:6">
      <c r="F826" s="2064" t="s">
        <v>6760</v>
      </c>
    </row>
    <row r="827" spans="6:6">
      <c r="F827" s="2064" t="s">
        <v>6761</v>
      </c>
    </row>
    <row r="828" spans="6:6">
      <c r="F828" s="2064" t="s">
        <v>6762</v>
      </c>
    </row>
    <row r="829" spans="6:6">
      <c r="F829" s="2064" t="s">
        <v>6763</v>
      </c>
    </row>
    <row r="830" spans="6:6">
      <c r="F830" s="2064" t="s">
        <v>6764</v>
      </c>
    </row>
    <row r="831" spans="6:6">
      <c r="F831" s="2064" t="s">
        <v>6765</v>
      </c>
    </row>
    <row r="832" spans="6:6">
      <c r="F832" s="2064" t="s">
        <v>6766</v>
      </c>
    </row>
    <row r="833" spans="6:6">
      <c r="F833" s="2064" t="s">
        <v>6767</v>
      </c>
    </row>
    <row r="834" spans="6:6">
      <c r="F834" s="2064" t="s">
        <v>6768</v>
      </c>
    </row>
    <row r="835" spans="6:6">
      <c r="F835" s="2064" t="s">
        <v>6769</v>
      </c>
    </row>
    <row r="836" spans="6:6">
      <c r="F836" s="2064" t="s">
        <v>6770</v>
      </c>
    </row>
    <row r="837" spans="6:6">
      <c r="F837" s="2064" t="s">
        <v>6771</v>
      </c>
    </row>
    <row r="838" spans="6:6">
      <c r="F838" s="2064" t="s">
        <v>6772</v>
      </c>
    </row>
    <row r="839" spans="6:6">
      <c r="F839" s="2064" t="s">
        <v>6773</v>
      </c>
    </row>
    <row r="840" spans="6:6">
      <c r="F840" s="2064" t="s">
        <v>6774</v>
      </c>
    </row>
    <row r="841" spans="6:6">
      <c r="F841" s="2064" t="s">
        <v>6775</v>
      </c>
    </row>
    <row r="842" spans="6:6">
      <c r="F842" s="2064" t="s">
        <v>6776</v>
      </c>
    </row>
    <row r="843" spans="6:6">
      <c r="F843" s="2064" t="s">
        <v>6777</v>
      </c>
    </row>
    <row r="844" spans="6:6">
      <c r="F844" s="2064" t="s">
        <v>6778</v>
      </c>
    </row>
    <row r="845" spans="6:6">
      <c r="F845" s="2064" t="s">
        <v>6779</v>
      </c>
    </row>
    <row r="846" spans="6:6">
      <c r="F846" s="2064" t="s">
        <v>6780</v>
      </c>
    </row>
    <row r="847" spans="6:6">
      <c r="F847" s="2064" t="s">
        <v>6781</v>
      </c>
    </row>
    <row r="848" spans="6:6">
      <c r="F848" s="2064" t="s">
        <v>6782</v>
      </c>
    </row>
    <row r="849" spans="6:6">
      <c r="F849" s="2064" t="s">
        <v>6783</v>
      </c>
    </row>
    <row r="850" spans="6:6">
      <c r="F850" s="2064" t="s">
        <v>6784</v>
      </c>
    </row>
    <row r="851" spans="6:6">
      <c r="F851" s="2064" t="s">
        <v>6785</v>
      </c>
    </row>
    <row r="852" spans="6:6">
      <c r="F852" s="2064" t="s">
        <v>6786</v>
      </c>
    </row>
    <row r="853" spans="6:6">
      <c r="F853" s="2064" t="s">
        <v>6787</v>
      </c>
    </row>
    <row r="854" spans="6:6">
      <c r="F854" s="2064" t="s">
        <v>6788</v>
      </c>
    </row>
    <row r="855" spans="6:6">
      <c r="F855" s="2064" t="s">
        <v>6789</v>
      </c>
    </row>
    <row r="856" spans="6:6">
      <c r="F856" s="2064" t="s">
        <v>6790</v>
      </c>
    </row>
    <row r="857" spans="6:6">
      <c r="F857" s="2064" t="s">
        <v>6791</v>
      </c>
    </row>
    <row r="858" spans="6:6">
      <c r="F858" s="2064" t="s">
        <v>6792</v>
      </c>
    </row>
    <row r="859" spans="6:6">
      <c r="F859" s="2064" t="s">
        <v>6793</v>
      </c>
    </row>
    <row r="860" spans="6:6">
      <c r="F860" s="2064" t="s">
        <v>6794</v>
      </c>
    </row>
    <row r="861" spans="6:6">
      <c r="F861" s="2064" t="s">
        <v>6795</v>
      </c>
    </row>
    <row r="862" spans="6:6">
      <c r="F862" s="2064" t="s">
        <v>6796</v>
      </c>
    </row>
    <row r="863" spans="6:6">
      <c r="F863" s="2064" t="s">
        <v>6797</v>
      </c>
    </row>
    <row r="864" spans="6:6">
      <c r="F864" s="2064" t="s">
        <v>6798</v>
      </c>
    </row>
    <row r="865" spans="6:6">
      <c r="F865" s="2064" t="s">
        <v>6799</v>
      </c>
    </row>
    <row r="866" spans="6:6">
      <c r="F866" s="2064" t="s">
        <v>6800</v>
      </c>
    </row>
    <row r="867" spans="6:6">
      <c r="F867" s="2064" t="s">
        <v>6801</v>
      </c>
    </row>
    <row r="868" spans="6:6">
      <c r="F868" s="2064" t="s">
        <v>6802</v>
      </c>
    </row>
    <row r="869" spans="6:6">
      <c r="F869" s="2064" t="s">
        <v>6803</v>
      </c>
    </row>
    <row r="870" spans="6:6">
      <c r="F870" s="2064" t="s">
        <v>6804</v>
      </c>
    </row>
    <row r="871" spans="6:6">
      <c r="F871" s="2064" t="s">
        <v>6805</v>
      </c>
    </row>
    <row r="872" spans="6:6">
      <c r="F872" s="2064" t="s">
        <v>6806</v>
      </c>
    </row>
    <row r="873" spans="6:6">
      <c r="F873" s="2064" t="s">
        <v>6807</v>
      </c>
    </row>
    <row r="874" spans="6:6">
      <c r="F874" s="2064" t="s">
        <v>6808</v>
      </c>
    </row>
    <row r="875" spans="6:6">
      <c r="F875" s="2064" t="s">
        <v>6809</v>
      </c>
    </row>
    <row r="876" spans="6:6">
      <c r="F876" s="2064" t="s">
        <v>6810</v>
      </c>
    </row>
    <row r="877" spans="6:6">
      <c r="F877" s="2064" t="s">
        <v>6811</v>
      </c>
    </row>
    <row r="878" spans="6:6">
      <c r="F878" s="2064" t="s">
        <v>6812</v>
      </c>
    </row>
    <row r="879" spans="6:6">
      <c r="F879" s="2064" t="s">
        <v>6813</v>
      </c>
    </row>
    <row r="880" spans="6:6">
      <c r="F880" s="2064" t="s">
        <v>6814</v>
      </c>
    </row>
    <row r="881" spans="6:6">
      <c r="F881" s="2064" t="s">
        <v>6815</v>
      </c>
    </row>
    <row r="882" spans="6:6">
      <c r="F882" s="2064" t="s">
        <v>6816</v>
      </c>
    </row>
    <row r="883" spans="6:6">
      <c r="F883" s="2064" t="s">
        <v>6817</v>
      </c>
    </row>
    <row r="884" spans="6:6">
      <c r="F884" s="2064" t="s">
        <v>6818</v>
      </c>
    </row>
    <row r="885" spans="6:6">
      <c r="F885" s="2064" t="s">
        <v>6819</v>
      </c>
    </row>
    <row r="886" spans="6:6">
      <c r="F886" s="2064" t="s">
        <v>6820</v>
      </c>
    </row>
    <row r="887" spans="6:6">
      <c r="F887" s="2064" t="s">
        <v>6821</v>
      </c>
    </row>
    <row r="888" spans="6:6">
      <c r="F888" s="2064" t="s">
        <v>6822</v>
      </c>
    </row>
    <row r="889" spans="6:6">
      <c r="F889" s="2064" t="s">
        <v>6823</v>
      </c>
    </row>
    <row r="890" spans="6:6">
      <c r="F890" s="2064" t="s">
        <v>6824</v>
      </c>
    </row>
    <row r="891" spans="6:6">
      <c r="F891" s="2064" t="s">
        <v>6825</v>
      </c>
    </row>
    <row r="892" spans="6:6">
      <c r="F892" s="2064" t="s">
        <v>6826</v>
      </c>
    </row>
    <row r="893" spans="6:6">
      <c r="F893" s="2064" t="s">
        <v>6827</v>
      </c>
    </row>
    <row r="894" spans="6:6">
      <c r="F894" s="2064" t="s">
        <v>6828</v>
      </c>
    </row>
    <row r="895" spans="6:6">
      <c r="F895" s="2064" t="s">
        <v>6829</v>
      </c>
    </row>
    <row r="896" spans="6:6">
      <c r="F896" s="2064" t="s">
        <v>6830</v>
      </c>
    </row>
    <row r="897" spans="6:6">
      <c r="F897" s="2064" t="s">
        <v>6831</v>
      </c>
    </row>
    <row r="898" spans="6:6">
      <c r="F898" s="2064" t="s">
        <v>6832</v>
      </c>
    </row>
    <row r="899" spans="6:6">
      <c r="F899" s="2064" t="s">
        <v>6833</v>
      </c>
    </row>
    <row r="900" spans="6:6">
      <c r="F900" s="2064" t="s">
        <v>6834</v>
      </c>
    </row>
    <row r="901" spans="6:6">
      <c r="F901" s="2064" t="s">
        <v>6835</v>
      </c>
    </row>
    <row r="902" spans="6:6">
      <c r="F902" s="2064" t="s">
        <v>6836</v>
      </c>
    </row>
    <row r="903" spans="6:6">
      <c r="F903" s="2064" t="s">
        <v>6837</v>
      </c>
    </row>
    <row r="904" spans="6:6">
      <c r="F904" s="2064" t="s">
        <v>6838</v>
      </c>
    </row>
    <row r="905" spans="6:6">
      <c r="F905" s="2064" t="s">
        <v>6839</v>
      </c>
    </row>
    <row r="906" spans="6:6">
      <c r="F906" s="2064" t="s">
        <v>6840</v>
      </c>
    </row>
    <row r="907" spans="6:6">
      <c r="F907" s="2064" t="s">
        <v>6841</v>
      </c>
    </row>
    <row r="908" spans="6:6">
      <c r="F908" s="2064" t="s">
        <v>6842</v>
      </c>
    </row>
    <row r="909" spans="6:6">
      <c r="F909" s="2064" t="s">
        <v>6843</v>
      </c>
    </row>
    <row r="910" spans="6:6">
      <c r="F910" s="2064" t="s">
        <v>6844</v>
      </c>
    </row>
    <row r="911" spans="6:6">
      <c r="F911" s="2064" t="s">
        <v>6845</v>
      </c>
    </row>
    <row r="912" spans="6:6">
      <c r="F912" s="2064" t="s">
        <v>6846</v>
      </c>
    </row>
    <row r="913" spans="6:6">
      <c r="F913" s="2064" t="s">
        <v>6847</v>
      </c>
    </row>
    <row r="914" spans="6:6">
      <c r="F914" s="2064" t="s">
        <v>6848</v>
      </c>
    </row>
    <row r="915" spans="6:6">
      <c r="F915" s="2064" t="s">
        <v>6849</v>
      </c>
    </row>
    <row r="916" spans="6:6">
      <c r="F916" s="2064" t="s">
        <v>6850</v>
      </c>
    </row>
    <row r="917" spans="6:6">
      <c r="F917" s="2064" t="s">
        <v>6851</v>
      </c>
    </row>
    <row r="918" spans="6:6">
      <c r="F918" s="2064" t="s">
        <v>6852</v>
      </c>
    </row>
    <row r="919" spans="6:6">
      <c r="F919" s="2064" t="s">
        <v>6853</v>
      </c>
    </row>
    <row r="920" spans="6:6">
      <c r="F920" s="2064" t="s">
        <v>6854</v>
      </c>
    </row>
    <row r="921" spans="6:6">
      <c r="F921" s="2064" t="s">
        <v>6855</v>
      </c>
    </row>
    <row r="922" spans="6:6">
      <c r="F922" s="2064" t="s">
        <v>6856</v>
      </c>
    </row>
    <row r="923" spans="6:6">
      <c r="F923" s="2064" t="s">
        <v>6857</v>
      </c>
    </row>
    <row r="924" spans="6:6">
      <c r="F924" s="2064" t="s">
        <v>6858</v>
      </c>
    </row>
    <row r="925" spans="6:6">
      <c r="F925" s="2064" t="s">
        <v>6859</v>
      </c>
    </row>
    <row r="926" spans="6:6">
      <c r="F926" s="2064" t="s">
        <v>6860</v>
      </c>
    </row>
    <row r="927" spans="6:6">
      <c r="F927" s="2064" t="s">
        <v>6861</v>
      </c>
    </row>
    <row r="928" spans="6:6">
      <c r="F928" s="2064" t="s">
        <v>6862</v>
      </c>
    </row>
    <row r="929" spans="6:6">
      <c r="F929" s="2064" t="s">
        <v>6863</v>
      </c>
    </row>
    <row r="930" spans="6:6">
      <c r="F930" s="2064" t="s">
        <v>6864</v>
      </c>
    </row>
    <row r="931" spans="6:6">
      <c r="F931" s="2064" t="s">
        <v>6865</v>
      </c>
    </row>
    <row r="932" spans="6:6">
      <c r="F932" s="2064" t="s">
        <v>6866</v>
      </c>
    </row>
    <row r="933" spans="6:6">
      <c r="F933" s="2064" t="s">
        <v>6867</v>
      </c>
    </row>
    <row r="934" spans="6:6">
      <c r="F934" s="2064" t="s">
        <v>6868</v>
      </c>
    </row>
    <row r="935" spans="6:6">
      <c r="F935" s="2064" t="s">
        <v>6869</v>
      </c>
    </row>
    <row r="936" spans="6:6">
      <c r="F936" s="2064" t="s">
        <v>6870</v>
      </c>
    </row>
    <row r="937" spans="6:6">
      <c r="F937" s="2064" t="s">
        <v>6871</v>
      </c>
    </row>
    <row r="938" spans="6:6">
      <c r="F938" s="2064" t="s">
        <v>6872</v>
      </c>
    </row>
    <row r="939" spans="6:6">
      <c r="F939" s="2064" t="s">
        <v>6873</v>
      </c>
    </row>
    <row r="940" spans="6:6">
      <c r="F940" s="2064" t="s">
        <v>6874</v>
      </c>
    </row>
    <row r="941" spans="6:6">
      <c r="F941" s="2064" t="s">
        <v>6875</v>
      </c>
    </row>
    <row r="942" spans="6:6">
      <c r="F942" s="2064" t="s">
        <v>6876</v>
      </c>
    </row>
    <row r="943" spans="6:6">
      <c r="F943" s="2064" t="s">
        <v>6877</v>
      </c>
    </row>
    <row r="944" spans="6:6">
      <c r="F944" s="2064" t="s">
        <v>6878</v>
      </c>
    </row>
    <row r="945" spans="6:6">
      <c r="F945" s="2064" t="s">
        <v>6879</v>
      </c>
    </row>
    <row r="946" spans="6:6">
      <c r="F946" s="2064" t="s">
        <v>6880</v>
      </c>
    </row>
    <row r="947" spans="6:6">
      <c r="F947" s="2064" t="s">
        <v>6881</v>
      </c>
    </row>
    <row r="948" spans="6:6">
      <c r="F948" s="2064" t="s">
        <v>6882</v>
      </c>
    </row>
    <row r="949" spans="6:6">
      <c r="F949" s="2064" t="s">
        <v>6883</v>
      </c>
    </row>
    <row r="950" spans="6:6">
      <c r="F950" s="2064" t="s">
        <v>6884</v>
      </c>
    </row>
    <row r="951" spans="6:6">
      <c r="F951" s="2064" t="s">
        <v>6885</v>
      </c>
    </row>
    <row r="952" spans="6:6">
      <c r="F952" s="2064" t="s">
        <v>6886</v>
      </c>
    </row>
    <row r="953" spans="6:6">
      <c r="F953" s="2064" t="s">
        <v>6887</v>
      </c>
    </row>
    <row r="954" spans="6:6">
      <c r="F954" s="2064" t="s">
        <v>6888</v>
      </c>
    </row>
    <row r="955" spans="6:6">
      <c r="F955" s="2064" t="s">
        <v>6889</v>
      </c>
    </row>
    <row r="956" spans="6:6">
      <c r="F956" s="2064" t="s">
        <v>6890</v>
      </c>
    </row>
    <row r="957" spans="6:6">
      <c r="F957" s="2064" t="s">
        <v>6891</v>
      </c>
    </row>
    <row r="958" spans="6:6">
      <c r="F958" s="2064" t="s">
        <v>6892</v>
      </c>
    </row>
    <row r="959" spans="6:6">
      <c r="F959" s="2064" t="s">
        <v>6893</v>
      </c>
    </row>
    <row r="960" spans="6:6">
      <c r="F960" s="2064" t="s">
        <v>6894</v>
      </c>
    </row>
    <row r="961" spans="6:6">
      <c r="F961" s="2064" t="s">
        <v>6895</v>
      </c>
    </row>
    <row r="962" spans="6:6">
      <c r="F962" s="2064" t="s">
        <v>6896</v>
      </c>
    </row>
    <row r="963" spans="6:6">
      <c r="F963" s="2064" t="s">
        <v>6897</v>
      </c>
    </row>
    <row r="964" spans="6:6">
      <c r="F964" s="2064" t="s">
        <v>6898</v>
      </c>
    </row>
    <row r="965" spans="6:6">
      <c r="F965" s="2064" t="s">
        <v>6899</v>
      </c>
    </row>
    <row r="966" spans="6:6">
      <c r="F966" s="2064" t="s">
        <v>6900</v>
      </c>
    </row>
    <row r="967" spans="6:6">
      <c r="F967" s="2064" t="s">
        <v>6901</v>
      </c>
    </row>
    <row r="968" spans="6:6">
      <c r="F968" s="2064" t="s">
        <v>6902</v>
      </c>
    </row>
    <row r="969" spans="6:6">
      <c r="F969" s="2064" t="s">
        <v>6903</v>
      </c>
    </row>
    <row r="970" spans="6:6">
      <c r="F970" s="2064" t="s">
        <v>6904</v>
      </c>
    </row>
    <row r="971" spans="6:6">
      <c r="F971" s="2064" t="s">
        <v>6905</v>
      </c>
    </row>
    <row r="972" spans="6:6">
      <c r="F972" s="2064" t="s">
        <v>6906</v>
      </c>
    </row>
    <row r="973" spans="6:6">
      <c r="F973" s="2064" t="s">
        <v>6907</v>
      </c>
    </row>
    <row r="974" spans="6:6">
      <c r="F974" s="2064" t="s">
        <v>6908</v>
      </c>
    </row>
    <row r="975" spans="6:6">
      <c r="F975" s="2064" t="s">
        <v>6909</v>
      </c>
    </row>
    <row r="976" spans="6:6">
      <c r="F976" s="2064" t="s">
        <v>6910</v>
      </c>
    </row>
    <row r="977" spans="6:6">
      <c r="F977" s="2064" t="s">
        <v>6911</v>
      </c>
    </row>
    <row r="978" spans="6:6">
      <c r="F978" s="2064" t="s">
        <v>6912</v>
      </c>
    </row>
    <row r="979" spans="6:6">
      <c r="F979" s="2064" t="s">
        <v>6913</v>
      </c>
    </row>
    <row r="980" spans="6:6">
      <c r="F980" s="2064" t="s">
        <v>6914</v>
      </c>
    </row>
    <row r="981" spans="6:6">
      <c r="F981" s="2064" t="s">
        <v>6915</v>
      </c>
    </row>
    <row r="982" spans="6:6">
      <c r="F982" s="2064" t="s">
        <v>6916</v>
      </c>
    </row>
    <row r="983" spans="6:6">
      <c r="F983" s="2064" t="s">
        <v>6917</v>
      </c>
    </row>
    <row r="984" spans="6:6">
      <c r="F984" s="2064" t="s">
        <v>6918</v>
      </c>
    </row>
    <row r="985" spans="6:6">
      <c r="F985" s="2064" t="s">
        <v>6919</v>
      </c>
    </row>
    <row r="986" spans="6:6">
      <c r="F986" s="2064" t="s">
        <v>6920</v>
      </c>
    </row>
    <row r="987" spans="6:6">
      <c r="F987" s="2064" t="s">
        <v>6921</v>
      </c>
    </row>
    <row r="988" spans="6:6">
      <c r="F988" s="2064" t="s">
        <v>6922</v>
      </c>
    </row>
    <row r="989" spans="6:6">
      <c r="F989" s="2064" t="s">
        <v>6923</v>
      </c>
    </row>
    <row r="990" spans="6:6">
      <c r="F990" s="2064" t="s">
        <v>6924</v>
      </c>
    </row>
    <row r="991" spans="6:6">
      <c r="F991" s="2064" t="s">
        <v>6925</v>
      </c>
    </row>
    <row r="992" spans="6:6">
      <c r="F992" s="2064" t="s">
        <v>6926</v>
      </c>
    </row>
    <row r="993" spans="6:6">
      <c r="F993" s="2064" t="s">
        <v>6927</v>
      </c>
    </row>
    <row r="994" spans="6:6">
      <c r="F994" s="2064" t="s">
        <v>6928</v>
      </c>
    </row>
    <row r="995" spans="6:6">
      <c r="F995" s="2064" t="s">
        <v>6929</v>
      </c>
    </row>
    <row r="996" spans="6:6">
      <c r="F996" s="2064" t="s">
        <v>6930</v>
      </c>
    </row>
    <row r="997" spans="6:6">
      <c r="F997" s="2064" t="s">
        <v>6931</v>
      </c>
    </row>
    <row r="998" spans="6:6">
      <c r="F998" s="2064" t="s">
        <v>6932</v>
      </c>
    </row>
    <row r="999" spans="6:6">
      <c r="F999" s="2064" t="s">
        <v>6933</v>
      </c>
    </row>
    <row r="1000" spans="6:6">
      <c r="F1000" s="2064" t="s">
        <v>6934</v>
      </c>
    </row>
    <row r="1001" spans="6:6">
      <c r="F1001" s="2064" t="s">
        <v>6935</v>
      </c>
    </row>
    <row r="1002" spans="6:6">
      <c r="F1002" s="2064" t="s">
        <v>6936</v>
      </c>
    </row>
    <row r="1003" spans="6:6">
      <c r="F1003" s="2064" t="s">
        <v>6937</v>
      </c>
    </row>
    <row r="1004" spans="6:6">
      <c r="F1004" s="2064" t="s">
        <v>6938</v>
      </c>
    </row>
    <row r="1005" spans="6:6">
      <c r="F1005" s="2064" t="s">
        <v>6939</v>
      </c>
    </row>
    <row r="1006" spans="6:6">
      <c r="F1006" s="2064" t="s">
        <v>6940</v>
      </c>
    </row>
    <row r="1007" spans="6:6">
      <c r="F1007" s="2064" t="s">
        <v>6941</v>
      </c>
    </row>
    <row r="1008" spans="6:6">
      <c r="F1008" s="2064" t="s">
        <v>6942</v>
      </c>
    </row>
    <row r="1009" spans="6:6">
      <c r="F1009" s="2064" t="s">
        <v>6943</v>
      </c>
    </row>
    <row r="1010" spans="6:6">
      <c r="F1010" s="2064" t="s">
        <v>6944</v>
      </c>
    </row>
    <row r="1011" spans="6:6">
      <c r="F1011" s="2064" t="s">
        <v>6945</v>
      </c>
    </row>
    <row r="1012" spans="6:6">
      <c r="F1012" s="2064" t="s">
        <v>6946</v>
      </c>
    </row>
    <row r="1013" spans="6:6">
      <c r="F1013" s="2064" t="s">
        <v>6947</v>
      </c>
    </row>
    <row r="1014" spans="6:6">
      <c r="F1014" s="2064" t="s">
        <v>6948</v>
      </c>
    </row>
    <row r="1015" spans="6:6">
      <c r="F1015" s="2064" t="s">
        <v>6949</v>
      </c>
    </row>
    <row r="1016" spans="6:6">
      <c r="F1016" s="2064" t="s">
        <v>6950</v>
      </c>
    </row>
    <row r="1017" spans="6:6">
      <c r="F1017" s="2064" t="s">
        <v>6951</v>
      </c>
    </row>
    <row r="1018" spans="6:6">
      <c r="F1018" s="2064" t="s">
        <v>6952</v>
      </c>
    </row>
    <row r="1019" spans="6:6">
      <c r="F1019" s="2064" t="s">
        <v>6953</v>
      </c>
    </row>
    <row r="1020" spans="6:6">
      <c r="F1020" s="2064" t="s">
        <v>6954</v>
      </c>
    </row>
    <row r="1021" spans="6:6">
      <c r="F1021" s="2064" t="s">
        <v>6955</v>
      </c>
    </row>
    <row r="1022" spans="6:6">
      <c r="F1022" s="2064" t="s">
        <v>6956</v>
      </c>
    </row>
    <row r="1023" spans="6:6">
      <c r="F1023" s="2064" t="s">
        <v>6957</v>
      </c>
    </row>
    <row r="1024" spans="6:6">
      <c r="F1024" s="2064" t="s">
        <v>6958</v>
      </c>
    </row>
    <row r="1025" spans="6:6">
      <c r="F1025" s="2064" t="s">
        <v>6959</v>
      </c>
    </row>
    <row r="1026" spans="6:6">
      <c r="F1026" s="2064" t="s">
        <v>6960</v>
      </c>
    </row>
    <row r="1027" spans="6:6">
      <c r="F1027" s="2064" t="s">
        <v>6961</v>
      </c>
    </row>
    <row r="1028" spans="6:6">
      <c r="F1028" s="2064" t="s">
        <v>6962</v>
      </c>
    </row>
    <row r="1029" spans="6:6">
      <c r="F1029" s="2064" t="s">
        <v>6963</v>
      </c>
    </row>
    <row r="1030" spans="6:6">
      <c r="F1030" s="2064" t="s">
        <v>6964</v>
      </c>
    </row>
    <row r="1031" spans="6:6">
      <c r="F1031" s="2064" t="s">
        <v>6965</v>
      </c>
    </row>
    <row r="1032" spans="6:6">
      <c r="F1032" s="2064" t="s">
        <v>6966</v>
      </c>
    </row>
    <row r="1033" spans="6:6">
      <c r="F1033" s="2064" t="s">
        <v>6967</v>
      </c>
    </row>
    <row r="1034" spans="6:6">
      <c r="F1034" s="2064" t="s">
        <v>6968</v>
      </c>
    </row>
    <row r="1035" spans="6:6">
      <c r="F1035" s="2064" t="s">
        <v>6969</v>
      </c>
    </row>
    <row r="1036" spans="6:6">
      <c r="F1036" s="2064" t="s">
        <v>6970</v>
      </c>
    </row>
    <row r="1037" spans="6:6">
      <c r="F1037" s="2064" t="s">
        <v>6971</v>
      </c>
    </row>
    <row r="1038" spans="6:6">
      <c r="F1038" s="2064" t="s">
        <v>6972</v>
      </c>
    </row>
    <row r="1039" spans="6:6">
      <c r="F1039" s="2064" t="s">
        <v>6973</v>
      </c>
    </row>
    <row r="1040" spans="6:6">
      <c r="F1040" s="2064" t="s">
        <v>6974</v>
      </c>
    </row>
    <row r="1041" spans="6:6">
      <c r="F1041" s="2064" t="s">
        <v>6975</v>
      </c>
    </row>
    <row r="1042" spans="6:6">
      <c r="F1042" s="2064" t="s">
        <v>6976</v>
      </c>
    </row>
    <row r="1043" spans="6:6">
      <c r="F1043" s="2064" t="s">
        <v>6977</v>
      </c>
    </row>
    <row r="1044" spans="6:6">
      <c r="F1044" s="2064" t="s">
        <v>6978</v>
      </c>
    </row>
    <row r="1045" spans="6:6">
      <c r="F1045" s="2064" t="s">
        <v>6979</v>
      </c>
    </row>
    <row r="1046" spans="6:6">
      <c r="F1046" s="2064" t="s">
        <v>6980</v>
      </c>
    </row>
    <row r="1047" spans="6:6">
      <c r="F1047" s="2064" t="s">
        <v>6981</v>
      </c>
    </row>
    <row r="1048" spans="6:6">
      <c r="F1048" s="2064" t="s">
        <v>6982</v>
      </c>
    </row>
    <row r="1049" spans="6:6">
      <c r="F1049" s="2064" t="s">
        <v>6983</v>
      </c>
    </row>
    <row r="1050" spans="6:6">
      <c r="F1050" s="2064" t="s">
        <v>6984</v>
      </c>
    </row>
    <row r="1051" spans="6:6">
      <c r="F1051" s="2064" t="s">
        <v>6985</v>
      </c>
    </row>
    <row r="1052" spans="6:6">
      <c r="F1052" s="2064" t="s">
        <v>6986</v>
      </c>
    </row>
    <row r="1053" spans="6:6">
      <c r="F1053" s="2064" t="s">
        <v>6987</v>
      </c>
    </row>
    <row r="1054" spans="6:6">
      <c r="F1054" s="2064" t="s">
        <v>6988</v>
      </c>
    </row>
    <row r="1055" spans="6:6">
      <c r="F1055" s="2064" t="s">
        <v>6989</v>
      </c>
    </row>
    <row r="1056" spans="6:6">
      <c r="F1056" s="2064" t="s">
        <v>6990</v>
      </c>
    </row>
    <row r="1057" spans="6:6">
      <c r="F1057" s="2064" t="s">
        <v>6991</v>
      </c>
    </row>
    <row r="1058" spans="6:6">
      <c r="F1058" s="2064" t="s">
        <v>6992</v>
      </c>
    </row>
    <row r="1059" spans="6:6">
      <c r="F1059" s="2064" t="s">
        <v>6993</v>
      </c>
    </row>
    <row r="1060" spans="6:6">
      <c r="F1060" s="2064" t="s">
        <v>6994</v>
      </c>
    </row>
    <row r="1061" spans="6:6">
      <c r="F1061" s="2064" t="s">
        <v>6995</v>
      </c>
    </row>
    <row r="1062" spans="6:6">
      <c r="F1062" s="2064" t="s">
        <v>6996</v>
      </c>
    </row>
    <row r="1063" spans="6:6">
      <c r="F1063" s="2064" t="s">
        <v>6997</v>
      </c>
    </row>
    <row r="1064" spans="6:6">
      <c r="F1064" s="2064" t="s">
        <v>6998</v>
      </c>
    </row>
    <row r="1065" spans="6:6">
      <c r="F1065" s="2064" t="s">
        <v>6999</v>
      </c>
    </row>
    <row r="1066" spans="6:6">
      <c r="F1066" s="2064" t="s">
        <v>7000</v>
      </c>
    </row>
    <row r="1067" spans="6:6">
      <c r="F1067" s="2064" t="s">
        <v>7001</v>
      </c>
    </row>
    <row r="1068" spans="6:6">
      <c r="F1068" s="2064" t="s">
        <v>7002</v>
      </c>
    </row>
    <row r="1069" spans="6:6">
      <c r="F1069" s="2064" t="s">
        <v>7003</v>
      </c>
    </row>
    <row r="1070" spans="6:6">
      <c r="F1070" s="2064" t="s">
        <v>7004</v>
      </c>
    </row>
    <row r="1071" spans="6:6">
      <c r="F1071" s="2064" t="s">
        <v>7005</v>
      </c>
    </row>
    <row r="1072" spans="6:6">
      <c r="F1072" s="2064" t="s">
        <v>7006</v>
      </c>
    </row>
    <row r="1073" spans="6:6">
      <c r="F1073" s="2064" t="s">
        <v>7007</v>
      </c>
    </row>
    <row r="1074" spans="6:6">
      <c r="F1074" s="2064" t="s">
        <v>7008</v>
      </c>
    </row>
    <row r="1075" spans="6:6">
      <c r="F1075" s="2064" t="s">
        <v>7009</v>
      </c>
    </row>
    <row r="1076" spans="6:6">
      <c r="F1076" s="2064" t="s">
        <v>7010</v>
      </c>
    </row>
    <row r="1077" spans="6:6">
      <c r="F1077" s="2064" t="s">
        <v>7011</v>
      </c>
    </row>
    <row r="1078" spans="6:6">
      <c r="F1078" s="2064" t="s">
        <v>7012</v>
      </c>
    </row>
    <row r="1079" spans="6:6">
      <c r="F1079" s="2064" t="s">
        <v>7013</v>
      </c>
    </row>
    <row r="1080" spans="6:6">
      <c r="F1080" s="2064" t="s">
        <v>7014</v>
      </c>
    </row>
    <row r="1081" spans="6:6">
      <c r="F1081" s="2064" t="s">
        <v>7015</v>
      </c>
    </row>
    <row r="1082" spans="6:6">
      <c r="F1082" s="2064" t="s">
        <v>7016</v>
      </c>
    </row>
    <row r="1083" spans="6:6">
      <c r="F1083" s="2064" t="s">
        <v>7017</v>
      </c>
    </row>
    <row r="1084" spans="6:6">
      <c r="F1084" s="2064" t="s">
        <v>7018</v>
      </c>
    </row>
    <row r="1085" spans="6:6">
      <c r="F1085" s="2064" t="s">
        <v>7019</v>
      </c>
    </row>
    <row r="1086" spans="6:6">
      <c r="F1086" s="2064" t="s">
        <v>7020</v>
      </c>
    </row>
    <row r="1087" spans="6:6">
      <c r="F1087" s="2064" t="s">
        <v>7021</v>
      </c>
    </row>
    <row r="1088" spans="6:6">
      <c r="F1088" s="2064" t="s">
        <v>7022</v>
      </c>
    </row>
    <row r="1089" spans="6:6">
      <c r="F1089" s="2064" t="s">
        <v>7023</v>
      </c>
    </row>
    <row r="1090" spans="6:6">
      <c r="F1090" s="2064" t="s">
        <v>7024</v>
      </c>
    </row>
    <row r="1091" spans="6:6">
      <c r="F1091" s="2064" t="s">
        <v>7025</v>
      </c>
    </row>
    <row r="1092" spans="6:6">
      <c r="F1092" s="2064" t="s">
        <v>7026</v>
      </c>
    </row>
    <row r="1093" spans="6:6">
      <c r="F1093" s="2064" t="s">
        <v>7027</v>
      </c>
    </row>
    <row r="1094" spans="6:6">
      <c r="F1094" s="2064" t="s">
        <v>7028</v>
      </c>
    </row>
    <row r="1095" spans="6:6">
      <c r="F1095" s="2064" t="s">
        <v>7029</v>
      </c>
    </row>
    <row r="1096" spans="6:6">
      <c r="F1096" s="2064" t="s">
        <v>7030</v>
      </c>
    </row>
    <row r="1097" spans="6:6">
      <c r="F1097" s="2064" t="s">
        <v>7031</v>
      </c>
    </row>
    <row r="1098" spans="6:6">
      <c r="F1098" s="2064" t="s">
        <v>7032</v>
      </c>
    </row>
    <row r="1099" spans="6:6">
      <c r="F1099" s="2064" t="s">
        <v>7033</v>
      </c>
    </row>
    <row r="1100" spans="6:6">
      <c r="F1100" s="2064" t="s">
        <v>7034</v>
      </c>
    </row>
    <row r="1101" spans="6:6">
      <c r="F1101" s="2064" t="s">
        <v>7035</v>
      </c>
    </row>
    <row r="1102" spans="6:6">
      <c r="F1102" s="2064" t="s">
        <v>7036</v>
      </c>
    </row>
    <row r="1103" spans="6:6">
      <c r="F1103" s="2064" t="s">
        <v>7037</v>
      </c>
    </row>
    <row r="1104" spans="6:6">
      <c r="F1104" s="2064" t="s">
        <v>7038</v>
      </c>
    </row>
    <row r="1105" spans="6:6">
      <c r="F1105" s="2064" t="s">
        <v>7039</v>
      </c>
    </row>
    <row r="1106" spans="6:6">
      <c r="F1106" s="2064" t="s">
        <v>7040</v>
      </c>
    </row>
    <row r="1107" spans="6:6">
      <c r="F1107" s="2064" t="s">
        <v>7041</v>
      </c>
    </row>
    <row r="1108" spans="6:6">
      <c r="F1108" s="2064" t="s">
        <v>7042</v>
      </c>
    </row>
    <row r="1109" spans="6:6">
      <c r="F1109" s="2064" t="s">
        <v>7043</v>
      </c>
    </row>
    <row r="1110" spans="6:6">
      <c r="F1110" s="2064" t="s">
        <v>7044</v>
      </c>
    </row>
    <row r="1111" spans="6:6">
      <c r="F1111" s="2064" t="s">
        <v>7045</v>
      </c>
    </row>
    <row r="1112" spans="6:6">
      <c r="F1112" s="2064" t="s">
        <v>7046</v>
      </c>
    </row>
    <row r="1113" spans="6:6">
      <c r="F1113" s="2064" t="s">
        <v>7047</v>
      </c>
    </row>
    <row r="1114" spans="6:6">
      <c r="F1114" s="2064" t="s">
        <v>7048</v>
      </c>
    </row>
    <row r="1115" spans="6:6">
      <c r="F1115" s="2064" t="s">
        <v>7049</v>
      </c>
    </row>
    <row r="1116" spans="6:6">
      <c r="F1116" s="2064" t="s">
        <v>7050</v>
      </c>
    </row>
    <row r="1117" spans="6:6">
      <c r="F1117" s="2064" t="s">
        <v>7051</v>
      </c>
    </row>
    <row r="1118" spans="6:6">
      <c r="F1118" s="2064" t="s">
        <v>7052</v>
      </c>
    </row>
    <row r="1119" spans="6:6">
      <c r="F1119" s="2064" t="s">
        <v>7053</v>
      </c>
    </row>
    <row r="1120" spans="6:6">
      <c r="F1120" s="2064" t="s">
        <v>7054</v>
      </c>
    </row>
    <row r="1121" spans="6:6">
      <c r="F1121" s="2064" t="s">
        <v>7055</v>
      </c>
    </row>
    <row r="1122" spans="6:6">
      <c r="F1122" s="2064" t="s">
        <v>7056</v>
      </c>
    </row>
    <row r="1123" spans="6:6">
      <c r="F1123" s="2064" t="s">
        <v>7057</v>
      </c>
    </row>
    <row r="1124" spans="6:6">
      <c r="F1124" s="2064" t="s">
        <v>7058</v>
      </c>
    </row>
    <row r="1125" spans="6:6">
      <c r="F1125" s="2064" t="s">
        <v>7059</v>
      </c>
    </row>
    <row r="1126" spans="6:6">
      <c r="F1126" s="2064" t="s">
        <v>7060</v>
      </c>
    </row>
    <row r="1127" spans="6:6">
      <c r="F1127" s="2064" t="s">
        <v>7061</v>
      </c>
    </row>
    <row r="1128" spans="6:6">
      <c r="F1128" s="2064" t="s">
        <v>7062</v>
      </c>
    </row>
    <row r="1129" spans="6:6">
      <c r="F1129" s="2064" t="s">
        <v>7063</v>
      </c>
    </row>
    <row r="1130" spans="6:6">
      <c r="F1130" s="2064" t="s">
        <v>7064</v>
      </c>
    </row>
    <row r="1131" spans="6:6">
      <c r="F1131" s="2064" t="s">
        <v>7065</v>
      </c>
    </row>
    <row r="1132" spans="6:6">
      <c r="F1132" s="2064" t="s">
        <v>7066</v>
      </c>
    </row>
    <row r="1133" spans="6:6">
      <c r="F1133" s="2064" t="s">
        <v>7067</v>
      </c>
    </row>
    <row r="1134" spans="6:6">
      <c r="F1134" s="2064" t="s">
        <v>7068</v>
      </c>
    </row>
    <row r="1135" spans="6:6">
      <c r="F1135" s="2064" t="s">
        <v>7069</v>
      </c>
    </row>
    <row r="1136" spans="6:6">
      <c r="F1136" s="2064" t="s">
        <v>7070</v>
      </c>
    </row>
    <row r="1137" spans="6:6">
      <c r="F1137" s="2064" t="s">
        <v>7071</v>
      </c>
    </row>
    <row r="1138" spans="6:6">
      <c r="F1138" s="2064" t="s">
        <v>7072</v>
      </c>
    </row>
    <row r="1139" spans="6:6">
      <c r="F1139" s="2064" t="s">
        <v>7073</v>
      </c>
    </row>
    <row r="1140" spans="6:6">
      <c r="F1140" s="2064" t="s">
        <v>7074</v>
      </c>
    </row>
    <row r="1141" spans="6:6">
      <c r="F1141" s="2064" t="s">
        <v>7075</v>
      </c>
    </row>
    <row r="1142" spans="6:6">
      <c r="F1142" s="2064" t="s">
        <v>7076</v>
      </c>
    </row>
    <row r="1143" spans="6:6">
      <c r="F1143" s="2064" t="s">
        <v>7077</v>
      </c>
    </row>
    <row r="1144" spans="6:6">
      <c r="F1144" s="2064" t="s">
        <v>7078</v>
      </c>
    </row>
    <row r="1145" spans="6:6">
      <c r="F1145" s="2064" t="s">
        <v>7079</v>
      </c>
    </row>
    <row r="1146" spans="6:6">
      <c r="F1146" s="2064" t="s">
        <v>7080</v>
      </c>
    </row>
    <row r="1147" spans="6:6">
      <c r="F1147" s="2064" t="s">
        <v>7081</v>
      </c>
    </row>
    <row r="1148" spans="6:6">
      <c r="F1148" s="2064" t="s">
        <v>7082</v>
      </c>
    </row>
    <row r="1149" spans="6:6">
      <c r="F1149" s="2064" t="s">
        <v>7083</v>
      </c>
    </row>
    <row r="1150" spans="6:6">
      <c r="F1150" s="2064" t="s">
        <v>7084</v>
      </c>
    </row>
    <row r="1151" spans="6:6">
      <c r="F1151" s="2064" t="s">
        <v>7085</v>
      </c>
    </row>
    <row r="1152" spans="6:6">
      <c r="F1152" s="2064" t="s">
        <v>7086</v>
      </c>
    </row>
    <row r="1153" spans="6:6">
      <c r="F1153" s="2064" t="s">
        <v>7087</v>
      </c>
    </row>
    <row r="1154" spans="6:6">
      <c r="F1154" s="2064" t="s">
        <v>7088</v>
      </c>
    </row>
    <row r="1155" spans="6:6">
      <c r="F1155" s="2064" t="s">
        <v>7089</v>
      </c>
    </row>
    <row r="1156" spans="6:6">
      <c r="F1156" s="2064" t="s">
        <v>7090</v>
      </c>
    </row>
    <row r="1157" spans="6:6">
      <c r="F1157" s="2064" t="s">
        <v>7091</v>
      </c>
    </row>
    <row r="1158" spans="6:6">
      <c r="F1158" s="2064" t="s">
        <v>7092</v>
      </c>
    </row>
    <row r="1159" spans="6:6">
      <c r="F1159" s="2064" t="s">
        <v>7093</v>
      </c>
    </row>
    <row r="1160" spans="6:6">
      <c r="F1160" s="2064" t="s">
        <v>7094</v>
      </c>
    </row>
    <row r="1161" spans="6:6">
      <c r="F1161" s="2064" t="s">
        <v>7095</v>
      </c>
    </row>
    <row r="1162" spans="6:6">
      <c r="F1162" s="2064" t="s">
        <v>7096</v>
      </c>
    </row>
    <row r="1163" spans="6:6">
      <c r="F1163" s="2064" t="s">
        <v>7097</v>
      </c>
    </row>
    <row r="1164" spans="6:6">
      <c r="F1164" s="2064" t="s">
        <v>7098</v>
      </c>
    </row>
    <row r="1165" spans="6:6">
      <c r="F1165" s="2064" t="s">
        <v>7099</v>
      </c>
    </row>
    <row r="1166" spans="6:6">
      <c r="F1166" s="2064" t="s">
        <v>7100</v>
      </c>
    </row>
    <row r="1167" spans="6:6">
      <c r="F1167" s="2064" t="s">
        <v>7101</v>
      </c>
    </row>
    <row r="1168" spans="6:6">
      <c r="F1168" s="2064" t="s">
        <v>7102</v>
      </c>
    </row>
    <row r="1169" spans="6:6">
      <c r="F1169" s="2064" t="s">
        <v>7103</v>
      </c>
    </row>
    <row r="1170" spans="6:6">
      <c r="F1170" s="2064" t="s">
        <v>7104</v>
      </c>
    </row>
    <row r="1171" spans="6:6">
      <c r="F1171" s="2064" t="s">
        <v>7105</v>
      </c>
    </row>
    <row r="1172" spans="6:6">
      <c r="F1172" s="2064" t="s">
        <v>7106</v>
      </c>
    </row>
    <row r="1173" spans="6:6">
      <c r="F1173" s="2064" t="s">
        <v>7107</v>
      </c>
    </row>
    <row r="1174" spans="6:6">
      <c r="F1174" s="2064" t="s">
        <v>7108</v>
      </c>
    </row>
    <row r="1175" spans="6:6">
      <c r="F1175" s="2064" t="s">
        <v>7109</v>
      </c>
    </row>
    <row r="1176" spans="6:6">
      <c r="F1176" s="2064" t="s">
        <v>7110</v>
      </c>
    </row>
    <row r="1177" spans="6:6">
      <c r="F1177" s="2064" t="s">
        <v>7111</v>
      </c>
    </row>
    <row r="1178" spans="6:6">
      <c r="F1178" s="2064" t="s">
        <v>7112</v>
      </c>
    </row>
    <row r="1179" spans="6:6">
      <c r="F1179" s="2064" t="s">
        <v>7113</v>
      </c>
    </row>
    <row r="1180" spans="6:6">
      <c r="F1180" s="2064" t="s">
        <v>7114</v>
      </c>
    </row>
    <row r="1181" spans="6:6">
      <c r="F1181" s="2064" t="s">
        <v>7115</v>
      </c>
    </row>
    <row r="1182" spans="6:6">
      <c r="F1182" s="2064" t="s">
        <v>7116</v>
      </c>
    </row>
    <row r="1183" spans="6:6">
      <c r="F1183" s="2064" t="s">
        <v>7117</v>
      </c>
    </row>
    <row r="1184" spans="6:6">
      <c r="F1184" s="2064" t="s">
        <v>7118</v>
      </c>
    </row>
    <row r="1185" spans="6:6">
      <c r="F1185" s="2064" t="s">
        <v>7119</v>
      </c>
    </row>
    <row r="1186" spans="6:6">
      <c r="F1186" s="2064" t="s">
        <v>7120</v>
      </c>
    </row>
    <row r="1187" spans="6:6">
      <c r="F1187" s="2064" t="s">
        <v>7121</v>
      </c>
    </row>
    <row r="1188" spans="6:6">
      <c r="F1188" s="2064" t="s">
        <v>7122</v>
      </c>
    </row>
    <row r="1189" spans="6:6">
      <c r="F1189" s="2064" t="s">
        <v>7123</v>
      </c>
    </row>
    <row r="1190" spans="6:6">
      <c r="F1190" s="2064" t="s">
        <v>7124</v>
      </c>
    </row>
    <row r="1191" spans="6:6">
      <c r="F1191" s="2064" t="s">
        <v>7125</v>
      </c>
    </row>
    <row r="1192" spans="6:6">
      <c r="F1192" s="2064" t="s">
        <v>7126</v>
      </c>
    </row>
    <row r="1193" spans="6:6">
      <c r="F1193" s="2064" t="s">
        <v>7127</v>
      </c>
    </row>
    <row r="1194" spans="6:6">
      <c r="F1194" s="2064" t="s">
        <v>7128</v>
      </c>
    </row>
    <row r="1195" spans="6:6">
      <c r="F1195" s="2064" t="s">
        <v>7129</v>
      </c>
    </row>
    <row r="1196" spans="6:6">
      <c r="F1196" s="2064" t="s">
        <v>7130</v>
      </c>
    </row>
    <row r="1197" spans="6:6">
      <c r="F1197" s="2064" t="s">
        <v>7131</v>
      </c>
    </row>
    <row r="1198" spans="6:6">
      <c r="F1198" s="2064" t="s">
        <v>7132</v>
      </c>
    </row>
    <row r="1199" spans="6:6">
      <c r="F1199" s="2064" t="s">
        <v>7133</v>
      </c>
    </row>
    <row r="1200" spans="6:6">
      <c r="F1200" s="2064" t="s">
        <v>7134</v>
      </c>
    </row>
    <row r="1201" spans="6:6">
      <c r="F1201" s="2064" t="s">
        <v>7135</v>
      </c>
    </row>
    <row r="1202" spans="6:6">
      <c r="F1202" s="2064" t="s">
        <v>7136</v>
      </c>
    </row>
    <row r="1203" spans="6:6">
      <c r="F1203" s="2064" t="s">
        <v>7137</v>
      </c>
    </row>
    <row r="1204" spans="6:6">
      <c r="F1204" s="2064" t="s">
        <v>7138</v>
      </c>
    </row>
    <row r="1205" spans="6:6">
      <c r="F1205" s="2064" t="s">
        <v>7139</v>
      </c>
    </row>
    <row r="1206" spans="6:6">
      <c r="F1206" s="2064" t="s">
        <v>7140</v>
      </c>
    </row>
    <row r="1207" spans="6:6">
      <c r="F1207" s="2064" t="s">
        <v>7141</v>
      </c>
    </row>
    <row r="1208" spans="6:6">
      <c r="F1208" s="2064" t="s">
        <v>7142</v>
      </c>
    </row>
    <row r="1209" spans="6:6">
      <c r="F1209" s="2064" t="s">
        <v>7143</v>
      </c>
    </row>
    <row r="1210" spans="6:6">
      <c r="F1210" s="2064" t="s">
        <v>7144</v>
      </c>
    </row>
    <row r="1211" spans="6:6">
      <c r="F1211" s="2064" t="s">
        <v>7145</v>
      </c>
    </row>
    <row r="1212" spans="6:6">
      <c r="F1212" s="2064" t="s">
        <v>7146</v>
      </c>
    </row>
    <row r="1213" spans="6:6">
      <c r="F1213" s="2064" t="s">
        <v>7147</v>
      </c>
    </row>
    <row r="1214" spans="6:6">
      <c r="F1214" s="2064" t="s">
        <v>7148</v>
      </c>
    </row>
    <row r="1215" spans="6:6">
      <c r="F1215" s="2064" t="s">
        <v>7149</v>
      </c>
    </row>
    <row r="1216" spans="6:6">
      <c r="F1216" s="2064" t="s">
        <v>7150</v>
      </c>
    </row>
    <row r="1217" spans="6:6">
      <c r="F1217" s="2064" t="s">
        <v>7151</v>
      </c>
    </row>
    <row r="1218" spans="6:6">
      <c r="F1218" s="2064" t="s">
        <v>7152</v>
      </c>
    </row>
    <row r="1219" spans="6:6">
      <c r="F1219" s="2064" t="s">
        <v>7153</v>
      </c>
    </row>
    <row r="1220" spans="6:6">
      <c r="F1220" s="2064" t="s">
        <v>7154</v>
      </c>
    </row>
    <row r="1221" spans="6:6">
      <c r="F1221" s="2064" t="s">
        <v>7155</v>
      </c>
    </row>
    <row r="1222" spans="6:6">
      <c r="F1222" s="2064" t="s">
        <v>7156</v>
      </c>
    </row>
    <row r="1223" spans="6:6">
      <c r="F1223" s="2064" t="s">
        <v>7157</v>
      </c>
    </row>
    <row r="1224" spans="6:6">
      <c r="F1224" s="2064" t="s">
        <v>7158</v>
      </c>
    </row>
    <row r="1225" spans="6:6">
      <c r="F1225" s="2064" t="s">
        <v>7159</v>
      </c>
    </row>
    <row r="1226" spans="6:6">
      <c r="F1226" s="2064" t="s">
        <v>7160</v>
      </c>
    </row>
    <row r="1227" spans="6:6">
      <c r="F1227" s="2064" t="s">
        <v>7161</v>
      </c>
    </row>
    <row r="1228" spans="6:6">
      <c r="F1228" s="2064" t="s">
        <v>7162</v>
      </c>
    </row>
    <row r="1229" spans="6:6">
      <c r="F1229" s="2064" t="s">
        <v>7163</v>
      </c>
    </row>
    <row r="1230" spans="6:6">
      <c r="F1230" s="2064" t="s">
        <v>7164</v>
      </c>
    </row>
    <row r="1231" spans="6:6">
      <c r="F1231" s="2064" t="s">
        <v>7165</v>
      </c>
    </row>
    <row r="1232" spans="6:6">
      <c r="F1232" s="2064" t="s">
        <v>7166</v>
      </c>
    </row>
    <row r="1233" spans="6:6">
      <c r="F1233" s="2064" t="s">
        <v>7167</v>
      </c>
    </row>
    <row r="1234" spans="6:6">
      <c r="F1234" s="2064" t="s">
        <v>7168</v>
      </c>
    </row>
    <row r="1235" spans="6:6">
      <c r="F1235" s="2064" t="s">
        <v>7169</v>
      </c>
    </row>
    <row r="1236" spans="6:6">
      <c r="F1236" s="2064" t="s">
        <v>7170</v>
      </c>
    </row>
    <row r="1237" spans="6:6">
      <c r="F1237" s="2064" t="s">
        <v>7171</v>
      </c>
    </row>
    <row r="1238" spans="6:6">
      <c r="F1238" s="2064" t="s">
        <v>7172</v>
      </c>
    </row>
    <row r="1239" spans="6:6">
      <c r="F1239" s="2064" t="s">
        <v>7173</v>
      </c>
    </row>
    <row r="1240" spans="6:6">
      <c r="F1240" s="2064" t="s">
        <v>7174</v>
      </c>
    </row>
    <row r="1241" spans="6:6">
      <c r="F1241" s="2064" t="s">
        <v>7175</v>
      </c>
    </row>
    <row r="1242" spans="6:6">
      <c r="F1242" s="2064" t="s">
        <v>7176</v>
      </c>
    </row>
    <row r="1243" spans="6:6">
      <c r="F1243" s="2064" t="s">
        <v>7177</v>
      </c>
    </row>
    <row r="1244" spans="6:6">
      <c r="F1244" s="2064" t="s">
        <v>7178</v>
      </c>
    </row>
    <row r="1245" spans="6:6">
      <c r="F1245" s="2064" t="s">
        <v>7179</v>
      </c>
    </row>
    <row r="1246" spans="6:6">
      <c r="F1246" s="2064" t="s">
        <v>7180</v>
      </c>
    </row>
    <row r="1247" spans="6:6">
      <c r="F1247" s="2064" t="s">
        <v>7181</v>
      </c>
    </row>
    <row r="1248" spans="6:6">
      <c r="F1248" s="2064" t="s">
        <v>7182</v>
      </c>
    </row>
    <row r="1249" spans="6:6">
      <c r="F1249" s="2064" t="s">
        <v>7183</v>
      </c>
    </row>
    <row r="1250" spans="6:6">
      <c r="F1250" s="2064" t="s">
        <v>7184</v>
      </c>
    </row>
    <row r="1251" spans="6:6">
      <c r="F1251" s="2064" t="s">
        <v>7185</v>
      </c>
    </row>
    <row r="1252" spans="6:6">
      <c r="F1252" s="2064" t="s">
        <v>7186</v>
      </c>
    </row>
    <row r="1253" spans="6:6">
      <c r="F1253" s="2064" t="s">
        <v>7187</v>
      </c>
    </row>
    <row r="1254" spans="6:6">
      <c r="F1254" s="2064" t="s">
        <v>7188</v>
      </c>
    </row>
    <row r="1255" spans="6:6">
      <c r="F1255" s="2064" t="s">
        <v>7189</v>
      </c>
    </row>
    <row r="1256" spans="6:6">
      <c r="F1256" s="2064" t="s">
        <v>7190</v>
      </c>
    </row>
    <row r="1257" spans="6:6">
      <c r="F1257" s="2064" t="s">
        <v>7191</v>
      </c>
    </row>
    <row r="1258" spans="6:6">
      <c r="F1258" s="2064" t="s">
        <v>7192</v>
      </c>
    </row>
    <row r="1259" spans="6:6">
      <c r="F1259" s="2064" t="s">
        <v>7193</v>
      </c>
    </row>
    <row r="1260" spans="6:6">
      <c r="F1260" s="2064" t="s">
        <v>7194</v>
      </c>
    </row>
    <row r="1261" spans="6:6">
      <c r="F1261" s="2064" t="s">
        <v>7195</v>
      </c>
    </row>
    <row r="1262" spans="6:6">
      <c r="F1262" s="2064" t="s">
        <v>7196</v>
      </c>
    </row>
    <row r="1263" spans="6:6">
      <c r="F1263" s="2064" t="s">
        <v>7197</v>
      </c>
    </row>
    <row r="1264" spans="6:6">
      <c r="F1264" s="2064" t="s">
        <v>7198</v>
      </c>
    </row>
    <row r="1265" spans="6:6">
      <c r="F1265" s="2064" t="s">
        <v>7199</v>
      </c>
    </row>
    <row r="1266" spans="6:6">
      <c r="F1266" s="2064" t="s">
        <v>7200</v>
      </c>
    </row>
    <row r="1267" spans="6:6">
      <c r="F1267" s="2064" t="s">
        <v>7201</v>
      </c>
    </row>
    <row r="1268" spans="6:6">
      <c r="F1268" s="2064" t="s">
        <v>7202</v>
      </c>
    </row>
    <row r="1269" spans="6:6">
      <c r="F1269" s="2064" t="s">
        <v>7203</v>
      </c>
    </row>
    <row r="1270" spans="6:6">
      <c r="F1270" s="2064" t="s">
        <v>7204</v>
      </c>
    </row>
    <row r="1271" spans="6:6">
      <c r="F1271" s="2064" t="s">
        <v>7205</v>
      </c>
    </row>
    <row r="1272" spans="6:6">
      <c r="F1272" s="2064" t="s">
        <v>7206</v>
      </c>
    </row>
    <row r="1273" spans="6:6">
      <c r="F1273" s="2064" t="s">
        <v>7207</v>
      </c>
    </row>
    <row r="1274" spans="6:6">
      <c r="F1274" s="2064" t="s">
        <v>7208</v>
      </c>
    </row>
    <row r="1275" spans="6:6">
      <c r="F1275" s="2064" t="s">
        <v>7209</v>
      </c>
    </row>
    <row r="1276" spans="6:6">
      <c r="F1276" s="2064" t="s">
        <v>7210</v>
      </c>
    </row>
    <row r="1277" spans="6:6">
      <c r="F1277" s="2064" t="s">
        <v>7211</v>
      </c>
    </row>
    <row r="1278" spans="6:6">
      <c r="F1278" s="2064" t="s">
        <v>7212</v>
      </c>
    </row>
    <row r="1279" spans="6:6">
      <c r="F1279" s="2064" t="s">
        <v>7213</v>
      </c>
    </row>
    <row r="1280" spans="6:6">
      <c r="F1280" s="2064" t="s">
        <v>7214</v>
      </c>
    </row>
    <row r="1281" spans="6:6">
      <c r="F1281" s="2064" t="s">
        <v>7215</v>
      </c>
    </row>
    <row r="1282" spans="6:6">
      <c r="F1282" s="2064" t="s">
        <v>7216</v>
      </c>
    </row>
    <row r="1283" spans="6:6">
      <c r="F1283" s="2064" t="s">
        <v>7217</v>
      </c>
    </row>
    <row r="1284" spans="6:6">
      <c r="F1284" s="2064" t="s">
        <v>7218</v>
      </c>
    </row>
    <row r="1285" spans="6:6">
      <c r="F1285" s="2064" t="s">
        <v>7219</v>
      </c>
    </row>
    <row r="1286" spans="6:6">
      <c r="F1286" s="2064" t="s">
        <v>7220</v>
      </c>
    </row>
    <row r="1287" spans="6:6">
      <c r="F1287" s="2064" t="s">
        <v>7221</v>
      </c>
    </row>
    <row r="1288" spans="6:6">
      <c r="F1288" s="2064" t="s">
        <v>7222</v>
      </c>
    </row>
    <row r="1289" spans="6:6">
      <c r="F1289" s="2064" t="s">
        <v>7223</v>
      </c>
    </row>
    <row r="1290" spans="6:6">
      <c r="F1290" s="2064" t="s">
        <v>7224</v>
      </c>
    </row>
    <row r="1291" spans="6:6">
      <c r="F1291" s="2064" t="s">
        <v>7225</v>
      </c>
    </row>
    <row r="1292" spans="6:6">
      <c r="F1292" s="2064" t="s">
        <v>7226</v>
      </c>
    </row>
    <row r="1293" spans="6:6">
      <c r="F1293" s="2064" t="s">
        <v>7227</v>
      </c>
    </row>
    <row r="1294" spans="6:6">
      <c r="F1294" s="2064" t="s">
        <v>7228</v>
      </c>
    </row>
    <row r="1295" spans="6:6">
      <c r="F1295" s="2064" t="s">
        <v>7229</v>
      </c>
    </row>
    <row r="1296" spans="6:6">
      <c r="F1296" s="2064" t="s">
        <v>7230</v>
      </c>
    </row>
    <row r="1297" spans="6:6">
      <c r="F1297" s="2064" t="s">
        <v>7231</v>
      </c>
    </row>
    <row r="1298" spans="6:6">
      <c r="F1298" s="2064" t="s">
        <v>7232</v>
      </c>
    </row>
    <row r="1299" spans="6:6">
      <c r="F1299" s="2064" t="s">
        <v>7233</v>
      </c>
    </row>
    <row r="1300" spans="6:6">
      <c r="F1300" s="2064" t="s">
        <v>7234</v>
      </c>
    </row>
    <row r="1301" spans="6:6">
      <c r="F1301" s="2064" t="s">
        <v>7235</v>
      </c>
    </row>
    <row r="1302" spans="6:6">
      <c r="F1302" s="2064" t="s">
        <v>7236</v>
      </c>
    </row>
    <row r="1303" spans="6:6">
      <c r="F1303" s="2064" t="s">
        <v>7237</v>
      </c>
    </row>
    <row r="1304" spans="6:6">
      <c r="F1304" s="2064" t="s">
        <v>7238</v>
      </c>
    </row>
    <row r="1305" spans="6:6">
      <c r="F1305" s="2064" t="s">
        <v>7239</v>
      </c>
    </row>
    <row r="1306" spans="6:6">
      <c r="F1306" s="2064" t="s">
        <v>7240</v>
      </c>
    </row>
    <row r="1307" spans="6:6">
      <c r="F1307" s="2064" t="s">
        <v>7241</v>
      </c>
    </row>
    <row r="1308" spans="6:6">
      <c r="F1308" s="2064" t="s">
        <v>7242</v>
      </c>
    </row>
    <row r="1309" spans="6:6">
      <c r="F1309" s="2064" t="s">
        <v>7243</v>
      </c>
    </row>
    <row r="1310" spans="6:6">
      <c r="F1310" s="2064" t="s">
        <v>7244</v>
      </c>
    </row>
    <row r="1311" spans="6:6">
      <c r="F1311" s="2064" t="s">
        <v>7245</v>
      </c>
    </row>
    <row r="1312" spans="6:6">
      <c r="F1312" s="2064" t="s">
        <v>7246</v>
      </c>
    </row>
    <row r="1313" spans="6:6">
      <c r="F1313" s="2064" t="s">
        <v>7247</v>
      </c>
    </row>
    <row r="1314" spans="6:6">
      <c r="F1314" s="2064" t="s">
        <v>7248</v>
      </c>
    </row>
    <row r="1315" spans="6:6">
      <c r="F1315" s="2064" t="s">
        <v>7249</v>
      </c>
    </row>
    <row r="1316" spans="6:6">
      <c r="F1316" s="2064" t="s">
        <v>7250</v>
      </c>
    </row>
    <row r="1317" spans="6:6">
      <c r="F1317" s="2064" t="s">
        <v>7251</v>
      </c>
    </row>
    <row r="1318" spans="6:6">
      <c r="F1318" s="2064" t="s">
        <v>7252</v>
      </c>
    </row>
    <row r="1319" spans="6:6">
      <c r="F1319" s="2064" t="s">
        <v>7253</v>
      </c>
    </row>
    <row r="1320" spans="6:6">
      <c r="F1320" s="2064" t="s">
        <v>7254</v>
      </c>
    </row>
    <row r="1321" spans="6:6">
      <c r="F1321" s="2064" t="s">
        <v>7255</v>
      </c>
    </row>
    <row r="1322" spans="6:6">
      <c r="F1322" s="2064" t="s">
        <v>7256</v>
      </c>
    </row>
    <row r="1323" spans="6:6">
      <c r="F1323" s="2064" t="s">
        <v>7257</v>
      </c>
    </row>
    <row r="1324" spans="6:6">
      <c r="F1324" s="2064" t="s">
        <v>7258</v>
      </c>
    </row>
    <row r="1325" spans="6:6">
      <c r="F1325" s="2064" t="s">
        <v>7259</v>
      </c>
    </row>
    <row r="1326" spans="6:6">
      <c r="F1326" s="2064" t="s">
        <v>7260</v>
      </c>
    </row>
    <row r="1327" spans="6:6">
      <c r="F1327" s="2064" t="s">
        <v>7261</v>
      </c>
    </row>
    <row r="1328" spans="6:6">
      <c r="F1328" s="2064" t="s">
        <v>7262</v>
      </c>
    </row>
    <row r="1329" spans="6:6">
      <c r="F1329" s="2064" t="s">
        <v>7263</v>
      </c>
    </row>
    <row r="1330" spans="6:6">
      <c r="F1330" s="2064" t="s">
        <v>7264</v>
      </c>
    </row>
    <row r="1331" spans="6:6">
      <c r="F1331" s="2064" t="s">
        <v>7265</v>
      </c>
    </row>
    <row r="1332" spans="6:6">
      <c r="F1332" s="2064" t="s">
        <v>7266</v>
      </c>
    </row>
    <row r="1333" spans="6:6">
      <c r="F1333" s="2064" t="s">
        <v>7267</v>
      </c>
    </row>
    <row r="1334" spans="6:6">
      <c r="F1334" s="2064" t="s">
        <v>7268</v>
      </c>
    </row>
    <row r="1335" spans="6:6">
      <c r="F1335" s="2064" t="s">
        <v>7269</v>
      </c>
    </row>
    <row r="1336" spans="6:6">
      <c r="F1336" s="2064" t="s">
        <v>7270</v>
      </c>
    </row>
    <row r="1337" spans="6:6">
      <c r="F1337" s="2064" t="s">
        <v>7271</v>
      </c>
    </row>
    <row r="1338" spans="6:6">
      <c r="F1338" s="2064" t="s">
        <v>7272</v>
      </c>
    </row>
    <row r="1339" spans="6:6">
      <c r="F1339" s="2064" t="s">
        <v>7273</v>
      </c>
    </row>
    <row r="1340" spans="6:6">
      <c r="F1340" s="2064" t="s">
        <v>7274</v>
      </c>
    </row>
    <row r="1341" spans="6:6">
      <c r="F1341" s="2064" t="s">
        <v>7275</v>
      </c>
    </row>
    <row r="1342" spans="6:6">
      <c r="F1342" s="2064" t="s">
        <v>7276</v>
      </c>
    </row>
    <row r="1343" spans="6:6">
      <c r="F1343" s="2064" t="s">
        <v>7277</v>
      </c>
    </row>
    <row r="1344" spans="6:6">
      <c r="F1344" s="2064" t="s">
        <v>7278</v>
      </c>
    </row>
    <row r="1345" spans="6:6">
      <c r="F1345" s="2064" t="s">
        <v>7279</v>
      </c>
    </row>
    <row r="1346" spans="6:6">
      <c r="F1346" s="2064" t="s">
        <v>7280</v>
      </c>
    </row>
    <row r="1347" spans="6:6">
      <c r="F1347" s="2064" t="s">
        <v>7281</v>
      </c>
    </row>
    <row r="1348" spans="6:6">
      <c r="F1348" s="2064" t="s">
        <v>7282</v>
      </c>
    </row>
    <row r="1349" spans="6:6">
      <c r="F1349" s="2064" t="s">
        <v>7283</v>
      </c>
    </row>
    <row r="1350" spans="6:6">
      <c r="F1350" s="2064" t="s">
        <v>7284</v>
      </c>
    </row>
    <row r="1351" spans="6:6">
      <c r="F1351" s="2064" t="s">
        <v>7285</v>
      </c>
    </row>
    <row r="1352" spans="6:6">
      <c r="F1352" s="2064" t="s">
        <v>7286</v>
      </c>
    </row>
    <row r="1353" spans="6:6">
      <c r="F1353" s="2064" t="s">
        <v>7287</v>
      </c>
    </row>
    <row r="1354" spans="6:6">
      <c r="F1354" s="2064" t="s">
        <v>7288</v>
      </c>
    </row>
    <row r="1355" spans="6:6">
      <c r="F1355" s="2064" t="s">
        <v>7289</v>
      </c>
    </row>
    <row r="1356" spans="6:6">
      <c r="F1356" s="2064" t="s">
        <v>7290</v>
      </c>
    </row>
    <row r="1357" spans="6:6">
      <c r="F1357" s="2064" t="s">
        <v>7291</v>
      </c>
    </row>
    <row r="1358" spans="6:6">
      <c r="F1358" s="2064" t="s">
        <v>7292</v>
      </c>
    </row>
    <row r="1359" spans="6:6">
      <c r="F1359" s="2064" t="s">
        <v>7293</v>
      </c>
    </row>
    <row r="1360" spans="6:6">
      <c r="F1360" s="2064" t="s">
        <v>7294</v>
      </c>
    </row>
    <row r="1361" spans="6:6">
      <c r="F1361" s="2064" t="s">
        <v>7295</v>
      </c>
    </row>
    <row r="1362" spans="6:6">
      <c r="F1362" s="2064" t="s">
        <v>7296</v>
      </c>
    </row>
    <row r="1363" spans="6:6">
      <c r="F1363" s="2064" t="s">
        <v>7297</v>
      </c>
    </row>
    <row r="1364" spans="6:6">
      <c r="F1364" s="2064" t="s">
        <v>7298</v>
      </c>
    </row>
    <row r="1365" spans="6:6">
      <c r="F1365" s="2064" t="s">
        <v>7299</v>
      </c>
    </row>
    <row r="1366" spans="6:6">
      <c r="F1366" s="2064" t="s">
        <v>7300</v>
      </c>
    </row>
    <row r="1367" spans="6:6">
      <c r="F1367" s="2064" t="s">
        <v>7301</v>
      </c>
    </row>
    <row r="1368" spans="6:6">
      <c r="F1368" s="2064" t="s">
        <v>7302</v>
      </c>
    </row>
    <row r="1369" spans="6:6">
      <c r="F1369" s="2064" t="s">
        <v>7303</v>
      </c>
    </row>
    <row r="1370" spans="6:6">
      <c r="F1370" s="2064" t="s">
        <v>7304</v>
      </c>
    </row>
    <row r="1371" spans="6:6">
      <c r="F1371" s="2064" t="s">
        <v>7305</v>
      </c>
    </row>
    <row r="1372" spans="6:6">
      <c r="F1372" s="2064" t="s">
        <v>7306</v>
      </c>
    </row>
    <row r="1373" spans="6:6">
      <c r="F1373" s="2064" t="s">
        <v>7307</v>
      </c>
    </row>
    <row r="1374" spans="6:6">
      <c r="F1374" s="2064" t="s">
        <v>7308</v>
      </c>
    </row>
    <row r="1375" spans="6:6">
      <c r="F1375" s="2064" t="s">
        <v>7309</v>
      </c>
    </row>
    <row r="1376" spans="6:6">
      <c r="F1376" s="2064" t="s">
        <v>7310</v>
      </c>
    </row>
    <row r="1377" spans="6:6">
      <c r="F1377" s="2064" t="s">
        <v>7311</v>
      </c>
    </row>
    <row r="1378" spans="6:6">
      <c r="F1378" s="2064" t="s">
        <v>7312</v>
      </c>
    </row>
    <row r="1379" spans="6:6">
      <c r="F1379" s="2064" t="s">
        <v>7313</v>
      </c>
    </row>
    <row r="1380" spans="6:6">
      <c r="F1380" s="2064" t="s">
        <v>7314</v>
      </c>
    </row>
    <row r="1381" spans="6:6">
      <c r="F1381" s="2064" t="s">
        <v>7315</v>
      </c>
    </row>
    <row r="1382" spans="6:6">
      <c r="F1382" s="2064" t="s">
        <v>7316</v>
      </c>
    </row>
    <row r="1383" spans="6:6">
      <c r="F1383" s="2064" t="s">
        <v>7317</v>
      </c>
    </row>
    <row r="1384" spans="6:6">
      <c r="F1384" s="2064" t="s">
        <v>7318</v>
      </c>
    </row>
    <row r="1385" spans="6:6">
      <c r="F1385" s="2064" t="s">
        <v>7319</v>
      </c>
    </row>
    <row r="1386" spans="6:6">
      <c r="F1386" s="2064" t="s">
        <v>7320</v>
      </c>
    </row>
    <row r="1387" spans="6:6">
      <c r="F1387" s="2064" t="s">
        <v>7321</v>
      </c>
    </row>
    <row r="1388" spans="6:6">
      <c r="F1388" s="2064" t="s">
        <v>7322</v>
      </c>
    </row>
    <row r="1389" spans="6:6">
      <c r="F1389" s="2064" t="s">
        <v>7323</v>
      </c>
    </row>
    <row r="1390" spans="6:6">
      <c r="F1390" s="2064" t="s">
        <v>7324</v>
      </c>
    </row>
    <row r="1391" spans="6:6">
      <c r="F1391" s="2064" t="s">
        <v>7325</v>
      </c>
    </row>
    <row r="1392" spans="6:6">
      <c r="F1392" s="2064" t="s">
        <v>7326</v>
      </c>
    </row>
    <row r="1393" spans="6:6">
      <c r="F1393" s="2064" t="s">
        <v>7327</v>
      </c>
    </row>
    <row r="1394" spans="6:6">
      <c r="F1394" s="2064" t="s">
        <v>7328</v>
      </c>
    </row>
    <row r="1395" spans="6:6">
      <c r="F1395" s="2064" t="s">
        <v>7329</v>
      </c>
    </row>
    <row r="1396" spans="6:6">
      <c r="F1396" s="2064" t="s">
        <v>7330</v>
      </c>
    </row>
    <row r="1397" spans="6:6">
      <c r="F1397" s="2064" t="s">
        <v>7331</v>
      </c>
    </row>
    <row r="1398" spans="6:6">
      <c r="F1398" s="2064" t="s">
        <v>7332</v>
      </c>
    </row>
    <row r="1399" spans="6:6">
      <c r="F1399" s="2064" t="s">
        <v>7333</v>
      </c>
    </row>
    <row r="1400" spans="6:6">
      <c r="F1400" s="2064" t="s">
        <v>7334</v>
      </c>
    </row>
    <row r="1401" spans="6:6">
      <c r="F1401" s="2064" t="s">
        <v>7335</v>
      </c>
    </row>
    <row r="1402" spans="6:6">
      <c r="F1402" s="2064" t="s">
        <v>7336</v>
      </c>
    </row>
    <row r="1403" spans="6:6">
      <c r="F1403" s="2064" t="s">
        <v>7337</v>
      </c>
    </row>
    <row r="1404" spans="6:6">
      <c r="F1404" s="2064" t="s">
        <v>7338</v>
      </c>
    </row>
    <row r="1405" spans="6:6">
      <c r="F1405" s="2064" t="s">
        <v>7339</v>
      </c>
    </row>
    <row r="1406" spans="6:6">
      <c r="F1406" s="2064" t="s">
        <v>7340</v>
      </c>
    </row>
    <row r="1407" spans="6:6">
      <c r="F1407" s="2064" t="s">
        <v>7341</v>
      </c>
    </row>
    <row r="1408" spans="6:6">
      <c r="F1408" s="2064" t="s">
        <v>7342</v>
      </c>
    </row>
    <row r="1409" spans="6:6">
      <c r="F1409" s="2064" t="s">
        <v>7343</v>
      </c>
    </row>
    <row r="1410" spans="6:6">
      <c r="F1410" s="2064" t="s">
        <v>7344</v>
      </c>
    </row>
    <row r="1411" spans="6:6">
      <c r="F1411" s="2064" t="s">
        <v>7345</v>
      </c>
    </row>
    <row r="1412" spans="6:6">
      <c r="F1412" s="2064" t="s">
        <v>7346</v>
      </c>
    </row>
    <row r="1413" spans="6:6">
      <c r="F1413" s="2064" t="s">
        <v>7347</v>
      </c>
    </row>
    <row r="1414" spans="6:6">
      <c r="F1414" s="2064" t="s">
        <v>7348</v>
      </c>
    </row>
    <row r="1415" spans="6:6">
      <c r="F1415" s="2064" t="s">
        <v>7349</v>
      </c>
    </row>
    <row r="1416" spans="6:6">
      <c r="F1416" s="2064" t="s">
        <v>7350</v>
      </c>
    </row>
    <row r="1417" spans="6:6">
      <c r="F1417" s="2064" t="s">
        <v>7351</v>
      </c>
    </row>
    <row r="1418" spans="6:6">
      <c r="F1418" s="2064" t="s">
        <v>7352</v>
      </c>
    </row>
    <row r="1419" spans="6:6">
      <c r="F1419" s="2064" t="s">
        <v>7353</v>
      </c>
    </row>
    <row r="1420" spans="6:6">
      <c r="F1420" s="2064" t="s">
        <v>7354</v>
      </c>
    </row>
    <row r="1421" spans="6:6">
      <c r="F1421" s="2064" t="s">
        <v>7355</v>
      </c>
    </row>
    <row r="1422" spans="6:6">
      <c r="F1422" s="2064" t="s">
        <v>7356</v>
      </c>
    </row>
    <row r="1423" spans="6:6">
      <c r="F1423" s="2064" t="s">
        <v>7357</v>
      </c>
    </row>
    <row r="1424" spans="6:6">
      <c r="F1424" s="2064" t="s">
        <v>7358</v>
      </c>
    </row>
    <row r="1425" spans="6:6">
      <c r="F1425" s="2064" t="s">
        <v>7359</v>
      </c>
    </row>
    <row r="1426" spans="6:6">
      <c r="F1426" s="2064" t="s">
        <v>7360</v>
      </c>
    </row>
    <row r="1427" spans="6:6">
      <c r="F1427" s="2064" t="s">
        <v>7361</v>
      </c>
    </row>
    <row r="1428" spans="6:6">
      <c r="F1428" s="2064" t="s">
        <v>7362</v>
      </c>
    </row>
    <row r="1429" spans="6:6">
      <c r="F1429" s="2064" t="s">
        <v>7363</v>
      </c>
    </row>
    <row r="1430" spans="6:6">
      <c r="F1430" s="2064" t="s">
        <v>7364</v>
      </c>
    </row>
    <row r="1431" spans="6:6">
      <c r="F1431" s="2064" t="s">
        <v>7365</v>
      </c>
    </row>
    <row r="1432" spans="6:6">
      <c r="F1432" s="2064" t="s">
        <v>7366</v>
      </c>
    </row>
    <row r="1433" spans="6:6">
      <c r="F1433" s="2064" t="s">
        <v>7367</v>
      </c>
    </row>
    <row r="1434" spans="6:6">
      <c r="F1434" s="2064" t="s">
        <v>7368</v>
      </c>
    </row>
    <row r="1435" spans="6:6">
      <c r="F1435" s="2064" t="s">
        <v>7369</v>
      </c>
    </row>
    <row r="1436" spans="6:6">
      <c r="F1436" s="2064" t="s">
        <v>7370</v>
      </c>
    </row>
    <row r="1437" spans="6:6">
      <c r="F1437" s="2064" t="s">
        <v>7371</v>
      </c>
    </row>
    <row r="1438" spans="6:6">
      <c r="F1438" s="2064" t="s">
        <v>7372</v>
      </c>
    </row>
    <row r="1439" spans="6:6">
      <c r="F1439" s="2064" t="s">
        <v>7373</v>
      </c>
    </row>
    <row r="1440" spans="6:6">
      <c r="F1440" s="2064" t="s">
        <v>7374</v>
      </c>
    </row>
    <row r="1441" spans="6:6">
      <c r="F1441" s="2064" t="s">
        <v>7375</v>
      </c>
    </row>
    <row r="1442" spans="6:6">
      <c r="F1442" s="2064" t="s">
        <v>7376</v>
      </c>
    </row>
    <row r="1443" spans="6:6">
      <c r="F1443" s="2064" t="s">
        <v>7377</v>
      </c>
    </row>
    <row r="1444" spans="6:6">
      <c r="F1444" s="2064" t="s">
        <v>7378</v>
      </c>
    </row>
    <row r="1445" spans="6:6">
      <c r="F1445" s="2064" t="s">
        <v>7379</v>
      </c>
    </row>
    <row r="1446" spans="6:6">
      <c r="F1446" s="2064" t="s">
        <v>7380</v>
      </c>
    </row>
    <row r="1447" spans="6:6">
      <c r="F1447" s="2064" t="s">
        <v>7381</v>
      </c>
    </row>
    <row r="1448" spans="6:6">
      <c r="F1448" s="2064" t="s">
        <v>7382</v>
      </c>
    </row>
    <row r="1449" spans="6:6">
      <c r="F1449" s="2064" t="s">
        <v>7383</v>
      </c>
    </row>
    <row r="1450" spans="6:6">
      <c r="F1450" s="2064" t="s">
        <v>7384</v>
      </c>
    </row>
    <row r="1451" spans="6:6">
      <c r="F1451" s="2064" t="s">
        <v>7385</v>
      </c>
    </row>
    <row r="1452" spans="6:6">
      <c r="F1452" s="2064" t="s">
        <v>7386</v>
      </c>
    </row>
    <row r="1453" spans="6:6">
      <c r="F1453" s="2064" t="s">
        <v>7387</v>
      </c>
    </row>
    <row r="1454" spans="6:6">
      <c r="F1454" s="2064" t="s">
        <v>7388</v>
      </c>
    </row>
    <row r="1455" spans="6:6">
      <c r="F1455" s="2064" t="s">
        <v>7389</v>
      </c>
    </row>
    <row r="1456" spans="6:6">
      <c r="F1456" s="2064" t="s">
        <v>7390</v>
      </c>
    </row>
    <row r="1457" spans="6:6">
      <c r="F1457" s="2064" t="s">
        <v>7391</v>
      </c>
    </row>
    <row r="1458" spans="6:6">
      <c r="F1458" s="2064" t="s">
        <v>7392</v>
      </c>
    </row>
    <row r="1459" spans="6:6">
      <c r="F1459" s="2064" t="s">
        <v>7393</v>
      </c>
    </row>
    <row r="1460" spans="6:6">
      <c r="F1460" s="2064" t="s">
        <v>7394</v>
      </c>
    </row>
    <row r="1461" spans="6:6">
      <c r="F1461" s="2064" t="s">
        <v>7395</v>
      </c>
    </row>
    <row r="1462" spans="6:6">
      <c r="F1462" s="2064" t="s">
        <v>7396</v>
      </c>
    </row>
    <row r="1463" spans="6:6">
      <c r="F1463" s="2064" t="s">
        <v>7397</v>
      </c>
    </row>
    <row r="1464" spans="6:6">
      <c r="F1464" s="2064" t="s">
        <v>7398</v>
      </c>
    </row>
    <row r="1465" spans="6:6">
      <c r="F1465" s="2064" t="s">
        <v>7399</v>
      </c>
    </row>
    <row r="1466" spans="6:6">
      <c r="F1466" s="2064" t="s">
        <v>7400</v>
      </c>
    </row>
    <row r="1467" spans="6:6">
      <c r="F1467" s="2064" t="s">
        <v>7401</v>
      </c>
    </row>
    <row r="1468" spans="6:6">
      <c r="F1468" s="2064" t="s">
        <v>7402</v>
      </c>
    </row>
    <row r="1469" spans="6:6">
      <c r="F1469" s="2064" t="s">
        <v>7403</v>
      </c>
    </row>
    <row r="1470" spans="6:6">
      <c r="F1470" s="2064" t="s">
        <v>7404</v>
      </c>
    </row>
    <row r="1471" spans="6:6">
      <c r="F1471" s="2064" t="s">
        <v>7405</v>
      </c>
    </row>
    <row r="1472" spans="6:6">
      <c r="F1472" s="2064" t="s">
        <v>7406</v>
      </c>
    </row>
    <row r="1473" spans="6:6">
      <c r="F1473" s="2064" t="s">
        <v>7407</v>
      </c>
    </row>
    <row r="1474" spans="6:6">
      <c r="F1474" s="2064" t="s">
        <v>7408</v>
      </c>
    </row>
    <row r="1475" spans="6:6">
      <c r="F1475" s="2064" t="s">
        <v>7409</v>
      </c>
    </row>
    <row r="1476" spans="6:6">
      <c r="F1476" s="2064" t="s">
        <v>7410</v>
      </c>
    </row>
    <row r="1477" spans="6:6">
      <c r="F1477" s="2064" t="s">
        <v>7411</v>
      </c>
    </row>
    <row r="1478" spans="6:6">
      <c r="F1478" s="2064" t="s">
        <v>7412</v>
      </c>
    </row>
    <row r="1479" spans="6:6">
      <c r="F1479" s="2064" t="s">
        <v>7413</v>
      </c>
    </row>
    <row r="1480" spans="6:6">
      <c r="F1480" s="2064" t="s">
        <v>7414</v>
      </c>
    </row>
    <row r="1481" spans="6:6">
      <c r="F1481" s="2064" t="s">
        <v>7415</v>
      </c>
    </row>
    <row r="1482" spans="6:6">
      <c r="F1482" s="2064" t="s">
        <v>7416</v>
      </c>
    </row>
    <row r="1483" spans="6:6">
      <c r="F1483" s="2064" t="s">
        <v>7417</v>
      </c>
    </row>
    <row r="1484" spans="6:6">
      <c r="F1484" s="2064" t="s">
        <v>7418</v>
      </c>
    </row>
    <row r="1485" spans="6:6">
      <c r="F1485" s="2064" t="s">
        <v>7419</v>
      </c>
    </row>
    <row r="1486" spans="6:6">
      <c r="F1486" s="2064" t="s">
        <v>7420</v>
      </c>
    </row>
    <row r="1487" spans="6:6">
      <c r="F1487" s="2064" t="s">
        <v>7421</v>
      </c>
    </row>
    <row r="1488" spans="6:6">
      <c r="F1488" s="2064" t="s">
        <v>7422</v>
      </c>
    </row>
    <row r="1489" spans="6:6">
      <c r="F1489" s="2064" t="s">
        <v>7423</v>
      </c>
    </row>
    <row r="1490" spans="6:6">
      <c r="F1490" s="2064" t="s">
        <v>7424</v>
      </c>
    </row>
    <row r="1491" spans="6:6">
      <c r="F1491" s="2064" t="s">
        <v>7425</v>
      </c>
    </row>
    <row r="1492" spans="6:6">
      <c r="F1492" s="2064" t="s">
        <v>7426</v>
      </c>
    </row>
    <row r="1493" spans="6:6">
      <c r="F1493" s="2064" t="s">
        <v>7427</v>
      </c>
    </row>
    <row r="1494" spans="6:6">
      <c r="F1494" s="2064" t="s">
        <v>7428</v>
      </c>
    </row>
    <row r="1495" spans="6:6">
      <c r="F1495" s="2064" t="s">
        <v>7429</v>
      </c>
    </row>
    <row r="1496" spans="6:6">
      <c r="F1496" s="2064" t="s">
        <v>7430</v>
      </c>
    </row>
    <row r="1497" spans="6:6">
      <c r="F1497" s="2064" t="s">
        <v>7431</v>
      </c>
    </row>
    <row r="1498" spans="6:6">
      <c r="F1498" s="2064" t="s">
        <v>7432</v>
      </c>
    </row>
    <row r="1499" spans="6:6">
      <c r="F1499" s="2064" t="s">
        <v>7433</v>
      </c>
    </row>
    <row r="1500" spans="6:6">
      <c r="F1500" s="2064" t="s">
        <v>7434</v>
      </c>
    </row>
    <row r="1501" spans="6:6">
      <c r="F1501" s="2064" t="s">
        <v>7435</v>
      </c>
    </row>
    <row r="1502" spans="6:6">
      <c r="F1502" s="2064" t="s">
        <v>7436</v>
      </c>
    </row>
    <row r="1503" spans="6:6">
      <c r="F1503" s="2064" t="s">
        <v>7437</v>
      </c>
    </row>
    <row r="1504" spans="6:6">
      <c r="F1504" s="2064" t="s">
        <v>7438</v>
      </c>
    </row>
    <row r="1505" spans="6:6">
      <c r="F1505" s="2064" t="s">
        <v>7439</v>
      </c>
    </row>
    <row r="1506" spans="6:6">
      <c r="F1506" s="2064" t="s">
        <v>7440</v>
      </c>
    </row>
    <row r="1507" spans="6:6">
      <c r="F1507" s="2064" t="s">
        <v>7441</v>
      </c>
    </row>
    <row r="1508" spans="6:6">
      <c r="F1508" s="2064" t="s">
        <v>7442</v>
      </c>
    </row>
    <row r="1509" spans="6:6">
      <c r="F1509" s="2064" t="s">
        <v>7443</v>
      </c>
    </row>
    <row r="1510" spans="6:6">
      <c r="F1510" s="2064" t="s">
        <v>7444</v>
      </c>
    </row>
    <row r="1511" spans="6:6">
      <c r="F1511" s="2064" t="s">
        <v>7445</v>
      </c>
    </row>
    <row r="1512" spans="6:6">
      <c r="F1512" s="2064" t="s">
        <v>7446</v>
      </c>
    </row>
    <row r="1513" spans="6:6">
      <c r="F1513" s="2064" t="s">
        <v>7447</v>
      </c>
    </row>
    <row r="1514" spans="6:6">
      <c r="F1514" s="2064" t="s">
        <v>7448</v>
      </c>
    </row>
    <row r="1515" spans="6:6">
      <c r="F1515" s="2064" t="s">
        <v>7449</v>
      </c>
    </row>
    <row r="1516" spans="6:6">
      <c r="F1516" s="2064" t="s">
        <v>7450</v>
      </c>
    </row>
    <row r="1517" spans="6:6">
      <c r="F1517" s="2064" t="s">
        <v>7451</v>
      </c>
    </row>
    <row r="1518" spans="6:6">
      <c r="F1518" s="2064" t="s">
        <v>7452</v>
      </c>
    </row>
    <row r="1519" spans="6:6">
      <c r="F1519" s="2064" t="s">
        <v>7453</v>
      </c>
    </row>
    <row r="1520" spans="6:6">
      <c r="F1520" s="2064" t="s">
        <v>7454</v>
      </c>
    </row>
    <row r="1521" spans="6:6">
      <c r="F1521" s="2064" t="s">
        <v>7455</v>
      </c>
    </row>
    <row r="1522" spans="6:6">
      <c r="F1522" s="2064" t="s">
        <v>7456</v>
      </c>
    </row>
    <row r="1523" spans="6:6">
      <c r="F1523" s="2064" t="s">
        <v>7457</v>
      </c>
    </row>
    <row r="1524" spans="6:6">
      <c r="F1524" s="2064" t="s">
        <v>7458</v>
      </c>
    </row>
    <row r="1525" spans="6:6">
      <c r="F1525" s="2064" t="s">
        <v>7459</v>
      </c>
    </row>
    <row r="1526" spans="6:6">
      <c r="F1526" s="2064" t="s">
        <v>7460</v>
      </c>
    </row>
    <row r="1527" spans="6:6">
      <c r="F1527" s="2064" t="s">
        <v>7461</v>
      </c>
    </row>
    <row r="1528" spans="6:6">
      <c r="F1528" s="2064" t="s">
        <v>7462</v>
      </c>
    </row>
    <row r="1529" spans="6:6">
      <c r="F1529" s="2064" t="s">
        <v>7463</v>
      </c>
    </row>
    <row r="1530" spans="6:6">
      <c r="F1530" s="2064" t="s">
        <v>7464</v>
      </c>
    </row>
    <row r="1531" spans="6:6">
      <c r="F1531" s="2064" t="s">
        <v>7465</v>
      </c>
    </row>
    <row r="1532" spans="6:6">
      <c r="F1532" s="2064" t="s">
        <v>7466</v>
      </c>
    </row>
    <row r="1533" spans="6:6">
      <c r="F1533" s="2064" t="s">
        <v>7467</v>
      </c>
    </row>
    <row r="1534" spans="6:6">
      <c r="F1534" s="2064" t="s">
        <v>7468</v>
      </c>
    </row>
    <row r="1535" spans="6:6">
      <c r="F1535" s="2064" t="s">
        <v>7469</v>
      </c>
    </row>
    <row r="1536" spans="6:6">
      <c r="F1536" s="2064" t="s">
        <v>7470</v>
      </c>
    </row>
    <row r="1537" spans="6:6">
      <c r="F1537" s="2064" t="s">
        <v>7471</v>
      </c>
    </row>
    <row r="1538" spans="6:6">
      <c r="F1538" s="2064" t="s">
        <v>7472</v>
      </c>
    </row>
    <row r="1539" spans="6:6">
      <c r="F1539" s="2064" t="s">
        <v>7473</v>
      </c>
    </row>
    <row r="1540" spans="6:6">
      <c r="F1540" s="2064" t="s">
        <v>7474</v>
      </c>
    </row>
    <row r="1541" spans="6:6">
      <c r="F1541" s="2064" t="s">
        <v>7475</v>
      </c>
    </row>
    <row r="1542" spans="6:6">
      <c r="F1542" s="2064" t="s">
        <v>7476</v>
      </c>
    </row>
    <row r="1543" spans="6:6">
      <c r="F1543" s="2064" t="s">
        <v>7477</v>
      </c>
    </row>
    <row r="1544" spans="6:6">
      <c r="F1544" s="2064" t="s">
        <v>7478</v>
      </c>
    </row>
    <row r="1545" spans="6:6">
      <c r="F1545" s="2064" t="s">
        <v>7479</v>
      </c>
    </row>
    <row r="1546" spans="6:6">
      <c r="F1546" s="2064" t="s">
        <v>7480</v>
      </c>
    </row>
    <row r="1547" spans="6:6">
      <c r="F1547" s="2064" t="s">
        <v>7481</v>
      </c>
    </row>
    <row r="1548" spans="6:6">
      <c r="F1548" s="2064" t="s">
        <v>7482</v>
      </c>
    </row>
    <row r="1549" spans="6:6">
      <c r="F1549" s="2064" t="s">
        <v>7483</v>
      </c>
    </row>
    <row r="1550" spans="6:6">
      <c r="F1550" s="2064" t="s">
        <v>7484</v>
      </c>
    </row>
    <row r="1551" spans="6:6">
      <c r="F1551" s="2064" t="s">
        <v>7485</v>
      </c>
    </row>
    <row r="1552" spans="6:6">
      <c r="F1552" s="2064" t="s">
        <v>7486</v>
      </c>
    </row>
    <row r="1553" spans="6:6">
      <c r="F1553" s="2064" t="s">
        <v>7487</v>
      </c>
    </row>
    <row r="1554" spans="6:6">
      <c r="F1554" s="2064" t="s">
        <v>7488</v>
      </c>
    </row>
    <row r="1555" spans="6:6">
      <c r="F1555" s="2064" t="s">
        <v>7489</v>
      </c>
    </row>
    <row r="1556" spans="6:6">
      <c r="F1556" s="2064" t="s">
        <v>7490</v>
      </c>
    </row>
    <row r="1557" spans="6:6">
      <c r="F1557" s="2064" t="s">
        <v>7491</v>
      </c>
    </row>
    <row r="1558" spans="6:6">
      <c r="F1558" s="2064" t="s">
        <v>7492</v>
      </c>
    </row>
    <row r="1559" spans="6:6">
      <c r="F1559" s="2064" t="s">
        <v>7493</v>
      </c>
    </row>
    <row r="1560" spans="6:6">
      <c r="F1560" s="2064" t="s">
        <v>7494</v>
      </c>
    </row>
    <row r="1561" spans="6:6">
      <c r="F1561" s="2064" t="s">
        <v>7495</v>
      </c>
    </row>
    <row r="1562" spans="6:6">
      <c r="F1562" s="2064" t="s">
        <v>7496</v>
      </c>
    </row>
    <row r="1563" spans="6:6">
      <c r="F1563" s="2064" t="s">
        <v>7497</v>
      </c>
    </row>
    <row r="1564" spans="6:6">
      <c r="F1564" s="2064" t="s">
        <v>7498</v>
      </c>
    </row>
    <row r="1565" spans="6:6">
      <c r="F1565" s="2064" t="s">
        <v>7499</v>
      </c>
    </row>
    <row r="1566" spans="6:6">
      <c r="F1566" s="2064" t="s">
        <v>7500</v>
      </c>
    </row>
    <row r="1567" spans="6:6">
      <c r="F1567" s="2064" t="s">
        <v>7501</v>
      </c>
    </row>
    <row r="1568" spans="6:6">
      <c r="F1568" s="2064" t="s">
        <v>7502</v>
      </c>
    </row>
    <row r="1569" spans="6:6">
      <c r="F1569" s="2064" t="s">
        <v>7503</v>
      </c>
    </row>
    <row r="1570" spans="6:6">
      <c r="F1570" s="2064" t="s">
        <v>7504</v>
      </c>
    </row>
    <row r="1571" spans="6:6">
      <c r="F1571" s="2064" t="s">
        <v>7505</v>
      </c>
    </row>
    <row r="1572" spans="6:6">
      <c r="F1572" s="2064" t="s">
        <v>7506</v>
      </c>
    </row>
    <row r="1573" spans="6:6">
      <c r="F1573" s="2064" t="s">
        <v>7507</v>
      </c>
    </row>
    <row r="1574" spans="6:6">
      <c r="F1574" s="2064" t="s">
        <v>7508</v>
      </c>
    </row>
    <row r="1575" spans="6:6">
      <c r="F1575" s="2064" t="s">
        <v>7509</v>
      </c>
    </row>
    <row r="1576" spans="6:6">
      <c r="F1576" s="2064" t="s">
        <v>7510</v>
      </c>
    </row>
    <row r="1577" spans="6:6">
      <c r="F1577" s="2064" t="s">
        <v>7511</v>
      </c>
    </row>
    <row r="1578" spans="6:6">
      <c r="F1578" s="2064" t="s">
        <v>7512</v>
      </c>
    </row>
    <row r="1579" spans="6:6">
      <c r="F1579" s="2064" t="s">
        <v>7513</v>
      </c>
    </row>
    <row r="1580" spans="6:6">
      <c r="F1580" s="2064" t="s">
        <v>7514</v>
      </c>
    </row>
    <row r="1581" spans="6:6">
      <c r="F1581" s="2064" t="s">
        <v>7515</v>
      </c>
    </row>
    <row r="1582" spans="6:6">
      <c r="F1582" s="2064" t="s">
        <v>7516</v>
      </c>
    </row>
    <row r="1583" spans="6:6">
      <c r="F1583" s="2064" t="s">
        <v>7517</v>
      </c>
    </row>
    <row r="1584" spans="6:6">
      <c r="F1584" s="2064" t="s">
        <v>7518</v>
      </c>
    </row>
    <row r="1585" spans="6:6">
      <c r="F1585" s="2064" t="s">
        <v>7519</v>
      </c>
    </row>
    <row r="1586" spans="6:6">
      <c r="F1586" s="2064" t="s">
        <v>7520</v>
      </c>
    </row>
    <row r="1587" spans="6:6">
      <c r="F1587" s="2064" t="s">
        <v>7521</v>
      </c>
    </row>
    <row r="1588" spans="6:6">
      <c r="F1588" s="2064" t="s">
        <v>7522</v>
      </c>
    </row>
    <row r="1589" spans="6:6">
      <c r="F1589" s="2064" t="s">
        <v>7523</v>
      </c>
    </row>
    <row r="1590" spans="6:6">
      <c r="F1590" s="2064" t="s">
        <v>7524</v>
      </c>
    </row>
    <row r="1591" spans="6:6">
      <c r="F1591" s="2064" t="s">
        <v>7525</v>
      </c>
    </row>
    <row r="1592" spans="6:6">
      <c r="F1592" s="2064" t="s">
        <v>7526</v>
      </c>
    </row>
    <row r="1593" spans="6:6">
      <c r="F1593" s="2064" t="s">
        <v>7527</v>
      </c>
    </row>
    <row r="1594" spans="6:6">
      <c r="F1594" s="2064" t="s">
        <v>7528</v>
      </c>
    </row>
    <row r="1595" spans="6:6">
      <c r="F1595" s="2064" t="s">
        <v>7529</v>
      </c>
    </row>
    <row r="1596" spans="6:6">
      <c r="F1596" s="2064" t="s">
        <v>7530</v>
      </c>
    </row>
    <row r="1597" spans="6:6">
      <c r="F1597" s="2064" t="s">
        <v>7531</v>
      </c>
    </row>
    <row r="1598" spans="6:6">
      <c r="F1598" s="2064" t="s">
        <v>7532</v>
      </c>
    </row>
    <row r="1599" spans="6:6">
      <c r="F1599" s="2064" t="s">
        <v>7533</v>
      </c>
    </row>
    <row r="1600" spans="6:6">
      <c r="F1600" s="2064" t="s">
        <v>7534</v>
      </c>
    </row>
    <row r="1601" spans="6:6">
      <c r="F1601" s="2064" t="s">
        <v>7535</v>
      </c>
    </row>
    <row r="1602" spans="6:6">
      <c r="F1602" s="2064" t="s">
        <v>7536</v>
      </c>
    </row>
    <row r="1603" spans="6:6">
      <c r="F1603" s="2064" t="s">
        <v>7537</v>
      </c>
    </row>
    <row r="1604" spans="6:6">
      <c r="F1604" s="2064" t="s">
        <v>7538</v>
      </c>
    </row>
    <row r="1605" spans="6:6">
      <c r="F1605" s="2064" t="s">
        <v>7539</v>
      </c>
    </row>
    <row r="1606" spans="6:6">
      <c r="F1606" s="2064" t="s">
        <v>7540</v>
      </c>
    </row>
    <row r="1607" spans="6:6">
      <c r="F1607" s="2064" t="s">
        <v>7541</v>
      </c>
    </row>
    <row r="1608" spans="6:6">
      <c r="F1608" s="2064" t="s">
        <v>7542</v>
      </c>
    </row>
    <row r="1609" spans="6:6">
      <c r="F1609" s="2064" t="s">
        <v>7543</v>
      </c>
    </row>
    <row r="1610" spans="6:6">
      <c r="F1610" s="2064" t="s">
        <v>7544</v>
      </c>
    </row>
    <row r="1611" spans="6:6">
      <c r="F1611" s="2064" t="s">
        <v>7545</v>
      </c>
    </row>
    <row r="1612" spans="6:6">
      <c r="F1612" s="2064" t="s">
        <v>7546</v>
      </c>
    </row>
    <row r="1613" spans="6:6">
      <c r="F1613" s="2064" t="s">
        <v>7547</v>
      </c>
    </row>
    <row r="1614" spans="6:6">
      <c r="F1614" s="2064" t="s">
        <v>7548</v>
      </c>
    </row>
    <row r="1615" spans="6:6">
      <c r="F1615" s="2064" t="s">
        <v>7549</v>
      </c>
    </row>
    <row r="1616" spans="6:6">
      <c r="F1616" s="2064" t="s">
        <v>7550</v>
      </c>
    </row>
    <row r="1617" spans="6:6">
      <c r="F1617" s="2064" t="s">
        <v>7551</v>
      </c>
    </row>
    <row r="1618" spans="6:6">
      <c r="F1618" s="2064" t="s">
        <v>7552</v>
      </c>
    </row>
    <row r="1619" spans="6:6">
      <c r="F1619" s="2064" t="s">
        <v>7553</v>
      </c>
    </row>
    <row r="1620" spans="6:6">
      <c r="F1620" s="2064" t="s">
        <v>7554</v>
      </c>
    </row>
    <row r="1621" spans="6:6">
      <c r="F1621" s="2064" t="s">
        <v>7555</v>
      </c>
    </row>
    <row r="1622" spans="6:6">
      <c r="F1622" s="2064" t="s">
        <v>7556</v>
      </c>
    </row>
    <row r="1623" spans="6:6">
      <c r="F1623" s="2064" t="s">
        <v>7557</v>
      </c>
    </row>
    <row r="1624" spans="6:6">
      <c r="F1624" s="2064" t="s">
        <v>7558</v>
      </c>
    </row>
    <row r="1625" spans="6:6">
      <c r="F1625" s="2064" t="s">
        <v>7559</v>
      </c>
    </row>
    <row r="1626" spans="6:6">
      <c r="F1626" s="2064" t="s">
        <v>7560</v>
      </c>
    </row>
    <row r="1627" spans="6:6">
      <c r="F1627" s="2064" t="s">
        <v>7561</v>
      </c>
    </row>
    <row r="1628" spans="6:6">
      <c r="F1628" s="2064" t="s">
        <v>7562</v>
      </c>
    </row>
    <row r="1629" spans="6:6">
      <c r="F1629" s="2064" t="s">
        <v>7563</v>
      </c>
    </row>
    <row r="1630" spans="6:6">
      <c r="F1630" s="2064" t="s">
        <v>7564</v>
      </c>
    </row>
    <row r="1631" spans="6:6">
      <c r="F1631" s="2064" t="s">
        <v>7565</v>
      </c>
    </row>
    <row r="1632" spans="6:6">
      <c r="F1632" s="2064" t="s">
        <v>7566</v>
      </c>
    </row>
    <row r="1633" spans="6:6">
      <c r="F1633" s="2064" t="s">
        <v>7567</v>
      </c>
    </row>
    <row r="1634" spans="6:6">
      <c r="F1634" s="2064" t="s">
        <v>7568</v>
      </c>
    </row>
    <row r="1635" spans="6:6">
      <c r="F1635" s="2064" t="s">
        <v>7569</v>
      </c>
    </row>
    <row r="1636" spans="6:6">
      <c r="F1636" s="2064" t="s">
        <v>7570</v>
      </c>
    </row>
    <row r="1637" spans="6:6">
      <c r="F1637" s="2064" t="s">
        <v>7571</v>
      </c>
    </row>
    <row r="1638" spans="6:6">
      <c r="F1638" s="2064" t="s">
        <v>7572</v>
      </c>
    </row>
    <row r="1639" spans="6:6">
      <c r="F1639" s="2064" t="s">
        <v>7573</v>
      </c>
    </row>
    <row r="1640" spans="6:6">
      <c r="F1640" s="2064" t="s">
        <v>7574</v>
      </c>
    </row>
    <row r="1641" spans="6:6">
      <c r="F1641" s="2064" t="s">
        <v>7575</v>
      </c>
    </row>
    <row r="1642" spans="6:6">
      <c r="F1642" s="2064" t="s">
        <v>7576</v>
      </c>
    </row>
    <row r="1643" spans="6:6">
      <c r="F1643" s="2064" t="s">
        <v>7577</v>
      </c>
    </row>
    <row r="1644" spans="6:6">
      <c r="F1644" s="2064" t="s">
        <v>7578</v>
      </c>
    </row>
    <row r="1645" spans="6:6">
      <c r="F1645" s="2064" t="s">
        <v>7579</v>
      </c>
    </row>
    <row r="1646" spans="6:6">
      <c r="F1646" s="2064" t="s">
        <v>7580</v>
      </c>
    </row>
    <row r="1647" spans="6:6">
      <c r="F1647" s="2064" t="s">
        <v>7581</v>
      </c>
    </row>
    <row r="1648" spans="6:6">
      <c r="F1648" s="2064" t="s">
        <v>7582</v>
      </c>
    </row>
    <row r="1649" spans="6:6">
      <c r="F1649" s="2064" t="s">
        <v>7583</v>
      </c>
    </row>
    <row r="1650" spans="6:6">
      <c r="F1650" s="2064" t="s">
        <v>7584</v>
      </c>
    </row>
    <row r="1651" spans="6:6">
      <c r="F1651" s="2064" t="s">
        <v>7585</v>
      </c>
    </row>
    <row r="1652" spans="6:6">
      <c r="F1652" s="2064" t="s">
        <v>7586</v>
      </c>
    </row>
    <row r="1653" spans="6:6">
      <c r="F1653" s="2064" t="s">
        <v>7587</v>
      </c>
    </row>
    <row r="1654" spans="6:6">
      <c r="F1654" s="2064" t="s">
        <v>7588</v>
      </c>
    </row>
    <row r="1655" spans="6:6">
      <c r="F1655" s="2064" t="s">
        <v>7589</v>
      </c>
    </row>
    <row r="1656" spans="6:6">
      <c r="F1656" s="2064" t="s">
        <v>7590</v>
      </c>
    </row>
    <row r="1657" spans="6:6">
      <c r="F1657" s="2064" t="s">
        <v>7591</v>
      </c>
    </row>
    <row r="1658" spans="6:6">
      <c r="F1658" s="2064" t="s">
        <v>7592</v>
      </c>
    </row>
    <row r="1659" spans="6:6">
      <c r="F1659" s="2064" t="s">
        <v>7593</v>
      </c>
    </row>
    <row r="1660" spans="6:6">
      <c r="F1660" s="2064" t="s">
        <v>7594</v>
      </c>
    </row>
    <row r="1661" spans="6:6">
      <c r="F1661" s="2064" t="s">
        <v>7595</v>
      </c>
    </row>
    <row r="1662" spans="6:6">
      <c r="F1662" s="2064" t="s">
        <v>7596</v>
      </c>
    </row>
    <row r="1663" spans="6:6">
      <c r="F1663" s="2064" t="s">
        <v>7597</v>
      </c>
    </row>
    <row r="1664" spans="6:6">
      <c r="F1664" s="2064" t="s">
        <v>7598</v>
      </c>
    </row>
    <row r="1665" spans="6:6">
      <c r="F1665" s="2064" t="s">
        <v>7599</v>
      </c>
    </row>
    <row r="1666" spans="6:6">
      <c r="F1666" s="2064" t="s">
        <v>7600</v>
      </c>
    </row>
    <row r="1667" spans="6:6">
      <c r="F1667" s="2064" t="s">
        <v>7601</v>
      </c>
    </row>
    <row r="1668" spans="6:6">
      <c r="F1668" s="2064" t="s">
        <v>7602</v>
      </c>
    </row>
    <row r="1669" spans="6:6">
      <c r="F1669" s="2064" t="s">
        <v>7603</v>
      </c>
    </row>
    <row r="1670" spans="6:6">
      <c r="F1670" s="2064" t="s">
        <v>7604</v>
      </c>
    </row>
    <row r="1671" spans="6:6">
      <c r="F1671" s="2064" t="s">
        <v>7605</v>
      </c>
    </row>
    <row r="1672" spans="6:6">
      <c r="F1672" s="2064" t="s">
        <v>7606</v>
      </c>
    </row>
    <row r="1673" spans="6:6">
      <c r="F1673" s="2064" t="s">
        <v>7607</v>
      </c>
    </row>
    <row r="1674" spans="6:6">
      <c r="F1674" s="2064" t="s">
        <v>7608</v>
      </c>
    </row>
    <row r="1675" spans="6:6">
      <c r="F1675" s="2064" t="s">
        <v>7609</v>
      </c>
    </row>
    <row r="1676" spans="6:6">
      <c r="F1676" s="2064" t="s">
        <v>7610</v>
      </c>
    </row>
    <row r="1677" spans="6:6">
      <c r="F1677" s="2064" t="s">
        <v>7611</v>
      </c>
    </row>
    <row r="1678" spans="6:6">
      <c r="F1678" s="2064" t="s">
        <v>7612</v>
      </c>
    </row>
    <row r="1679" spans="6:6">
      <c r="F1679" s="2064" t="s">
        <v>7613</v>
      </c>
    </row>
    <row r="1680" spans="6:6">
      <c r="F1680" s="2064" t="s">
        <v>7614</v>
      </c>
    </row>
    <row r="1681" spans="6:6">
      <c r="F1681" s="2064" t="s">
        <v>7615</v>
      </c>
    </row>
    <row r="1682" spans="6:6">
      <c r="F1682" s="2064" t="s">
        <v>7616</v>
      </c>
    </row>
    <row r="1683" spans="6:6">
      <c r="F1683" s="2064" t="s">
        <v>7617</v>
      </c>
    </row>
    <row r="1684" spans="6:6">
      <c r="F1684" s="2064" t="s">
        <v>7618</v>
      </c>
    </row>
    <row r="1685" spans="6:6">
      <c r="F1685" s="2064" t="s">
        <v>7619</v>
      </c>
    </row>
    <row r="1686" spans="6:6">
      <c r="F1686" s="2064" t="s">
        <v>7620</v>
      </c>
    </row>
    <row r="1687" spans="6:6">
      <c r="F1687" s="2064" t="s">
        <v>7621</v>
      </c>
    </row>
    <row r="1688" spans="6:6">
      <c r="F1688" s="2064" t="s">
        <v>7622</v>
      </c>
    </row>
    <row r="1689" spans="6:6">
      <c r="F1689" s="2064" t="s">
        <v>7623</v>
      </c>
    </row>
    <row r="1690" spans="6:6">
      <c r="F1690" s="2064" t="s">
        <v>7624</v>
      </c>
    </row>
    <row r="1691" spans="6:6">
      <c r="F1691" s="2064" t="s">
        <v>7625</v>
      </c>
    </row>
    <row r="1692" spans="6:6">
      <c r="F1692" s="2064" t="s">
        <v>7626</v>
      </c>
    </row>
    <row r="1693" spans="6:6">
      <c r="F1693" s="2064" t="s">
        <v>7627</v>
      </c>
    </row>
    <row r="1694" spans="6:6">
      <c r="F1694" s="2064" t="s">
        <v>7628</v>
      </c>
    </row>
    <row r="1695" spans="6:6">
      <c r="F1695" s="2064" t="s">
        <v>7629</v>
      </c>
    </row>
    <row r="1696" spans="6:6">
      <c r="F1696" s="2064" t="s">
        <v>7630</v>
      </c>
    </row>
    <row r="1697" spans="6:6">
      <c r="F1697" s="2064" t="s">
        <v>7631</v>
      </c>
    </row>
    <row r="1698" spans="6:6">
      <c r="F1698" s="2064" t="s">
        <v>7632</v>
      </c>
    </row>
    <row r="1699" spans="6:6">
      <c r="F1699" s="2064" t="s">
        <v>7633</v>
      </c>
    </row>
    <row r="1700" spans="6:6">
      <c r="F1700" s="2064" t="s">
        <v>7634</v>
      </c>
    </row>
    <row r="1701" spans="6:6">
      <c r="F1701" s="2064" t="s">
        <v>7635</v>
      </c>
    </row>
    <row r="1702" spans="6:6">
      <c r="F1702" s="2064" t="s">
        <v>7636</v>
      </c>
    </row>
    <row r="1703" spans="6:6">
      <c r="F1703" s="2064" t="s">
        <v>7637</v>
      </c>
    </row>
    <row r="1704" spans="6:6">
      <c r="F1704" s="2064" t="s">
        <v>7638</v>
      </c>
    </row>
    <row r="1705" spans="6:6">
      <c r="F1705" s="2064" t="s">
        <v>7639</v>
      </c>
    </row>
    <row r="1706" spans="6:6">
      <c r="F1706" s="2064" t="s">
        <v>7640</v>
      </c>
    </row>
    <row r="1707" spans="6:6">
      <c r="F1707" s="2064" t="s">
        <v>7641</v>
      </c>
    </row>
    <row r="1708" spans="6:6">
      <c r="F1708" s="2064" t="s">
        <v>7642</v>
      </c>
    </row>
    <row r="1709" spans="6:6">
      <c r="F1709" s="2064" t="s">
        <v>7643</v>
      </c>
    </row>
    <row r="1710" spans="6:6">
      <c r="F1710" s="2064" t="s">
        <v>7644</v>
      </c>
    </row>
    <row r="1711" spans="6:6">
      <c r="F1711" s="2064" t="s">
        <v>7645</v>
      </c>
    </row>
    <row r="1712" spans="6:6">
      <c r="F1712" s="2064" t="s">
        <v>7646</v>
      </c>
    </row>
    <row r="1713" spans="6:6">
      <c r="F1713" s="2064" t="s">
        <v>7647</v>
      </c>
    </row>
    <row r="1714" spans="6:6">
      <c r="F1714" s="2064" t="s">
        <v>7648</v>
      </c>
    </row>
    <row r="1715" spans="6:6">
      <c r="F1715" s="2064" t="s">
        <v>7649</v>
      </c>
    </row>
    <row r="1716" spans="6:6">
      <c r="F1716" s="2064" t="s">
        <v>7650</v>
      </c>
    </row>
    <row r="1717" spans="6:6">
      <c r="F1717" s="2064" t="s">
        <v>7651</v>
      </c>
    </row>
    <row r="1718" spans="6:6">
      <c r="F1718" s="2064" t="s">
        <v>7652</v>
      </c>
    </row>
    <row r="1719" spans="6:6">
      <c r="F1719" s="2064" t="s">
        <v>7653</v>
      </c>
    </row>
    <row r="1720" spans="6:6">
      <c r="F1720" s="2064" t="s">
        <v>7654</v>
      </c>
    </row>
    <row r="1721" spans="6:6">
      <c r="F1721" s="2064" t="s">
        <v>7655</v>
      </c>
    </row>
    <row r="1722" spans="6:6">
      <c r="F1722" s="2064" t="s">
        <v>7656</v>
      </c>
    </row>
    <row r="1723" spans="6:6">
      <c r="F1723" s="2064" t="s">
        <v>7657</v>
      </c>
    </row>
    <row r="1724" spans="6:6">
      <c r="F1724" s="2064" t="s">
        <v>7658</v>
      </c>
    </row>
    <row r="1725" spans="6:6">
      <c r="F1725" s="2064" t="s">
        <v>7659</v>
      </c>
    </row>
    <row r="1726" spans="6:6">
      <c r="F1726" s="2064" t="s">
        <v>7660</v>
      </c>
    </row>
    <row r="1727" spans="6:6">
      <c r="F1727" s="2064" t="s">
        <v>7661</v>
      </c>
    </row>
    <row r="1728" spans="6:6">
      <c r="F1728" s="2064" t="s">
        <v>7662</v>
      </c>
    </row>
    <row r="1729" spans="6:6">
      <c r="F1729" s="2064" t="s">
        <v>7663</v>
      </c>
    </row>
    <row r="1730" spans="6:6">
      <c r="F1730" s="2064" t="s">
        <v>7664</v>
      </c>
    </row>
    <row r="1731" spans="6:6">
      <c r="F1731" s="2064" t="s">
        <v>7665</v>
      </c>
    </row>
    <row r="1732" spans="6:6">
      <c r="F1732" s="2064" t="s">
        <v>7666</v>
      </c>
    </row>
    <row r="1733" spans="6:6">
      <c r="F1733" s="2064" t="s">
        <v>7667</v>
      </c>
    </row>
    <row r="1734" spans="6:6">
      <c r="F1734" s="2064" t="s">
        <v>7668</v>
      </c>
    </row>
    <row r="1735" spans="6:6">
      <c r="F1735" s="2064" t="s">
        <v>7669</v>
      </c>
    </row>
    <row r="1736" spans="6:6">
      <c r="F1736" s="2064" t="s">
        <v>7670</v>
      </c>
    </row>
    <row r="1737" spans="6:6">
      <c r="F1737" s="2064" t="s">
        <v>7671</v>
      </c>
    </row>
    <row r="1738" spans="6:6">
      <c r="F1738" s="2064" t="s">
        <v>7672</v>
      </c>
    </row>
    <row r="1739" spans="6:6">
      <c r="F1739" s="2064" t="s">
        <v>7673</v>
      </c>
    </row>
    <row r="1740" spans="6:6">
      <c r="F1740" s="2064" t="s">
        <v>7674</v>
      </c>
    </row>
    <row r="1741" spans="6:6">
      <c r="F1741" s="2064" t="s">
        <v>7675</v>
      </c>
    </row>
    <row r="1742" spans="6:6">
      <c r="F1742" s="2064" t="s">
        <v>7676</v>
      </c>
    </row>
    <row r="1743" spans="6:6">
      <c r="F1743" s="2064" t="s">
        <v>7677</v>
      </c>
    </row>
    <row r="1744" spans="6:6">
      <c r="F1744" s="2064" t="s">
        <v>7678</v>
      </c>
    </row>
    <row r="1745" spans="6:6">
      <c r="F1745" s="2064" t="s">
        <v>7679</v>
      </c>
    </row>
    <row r="1746" spans="6:6">
      <c r="F1746" s="2064" t="s">
        <v>7680</v>
      </c>
    </row>
    <row r="1747" spans="6:6">
      <c r="F1747" s="2064" t="s">
        <v>7681</v>
      </c>
    </row>
    <row r="1748" spans="6:6">
      <c r="F1748" s="2064" t="s">
        <v>7682</v>
      </c>
    </row>
    <row r="1749" spans="6:6">
      <c r="F1749" s="2064" t="s">
        <v>7683</v>
      </c>
    </row>
    <row r="1750" spans="6:6">
      <c r="F1750" s="2064" t="s">
        <v>7684</v>
      </c>
    </row>
    <row r="1751" spans="6:6">
      <c r="F1751" s="2064" t="s">
        <v>7685</v>
      </c>
    </row>
    <row r="1752" spans="6:6">
      <c r="F1752" s="2064" t="s">
        <v>7686</v>
      </c>
    </row>
    <row r="1753" spans="6:6">
      <c r="F1753" s="2064" t="s">
        <v>7687</v>
      </c>
    </row>
    <row r="1754" spans="6:6">
      <c r="F1754" s="2064" t="s">
        <v>7688</v>
      </c>
    </row>
    <row r="1755" spans="6:6">
      <c r="F1755" s="2064" t="s">
        <v>7689</v>
      </c>
    </row>
    <row r="1756" spans="6:6">
      <c r="F1756" s="2064" t="s">
        <v>7690</v>
      </c>
    </row>
    <row r="1757" spans="6:6">
      <c r="F1757" s="2064" t="s">
        <v>7691</v>
      </c>
    </row>
    <row r="1758" spans="6:6">
      <c r="F1758" s="2064" t="s">
        <v>7692</v>
      </c>
    </row>
    <row r="1759" spans="6:6">
      <c r="F1759" s="2064" t="s">
        <v>7693</v>
      </c>
    </row>
    <row r="1760" spans="6:6">
      <c r="F1760" s="2064" t="s">
        <v>7694</v>
      </c>
    </row>
    <row r="1761" spans="6:6">
      <c r="F1761" s="2064" t="s">
        <v>7695</v>
      </c>
    </row>
    <row r="1762" spans="6:6">
      <c r="F1762" s="2064" t="s">
        <v>7696</v>
      </c>
    </row>
    <row r="1763" spans="6:6">
      <c r="F1763" s="2064" t="s">
        <v>7697</v>
      </c>
    </row>
    <row r="1764" spans="6:6">
      <c r="F1764" s="2064" t="s">
        <v>7698</v>
      </c>
    </row>
    <row r="1765" spans="6:6">
      <c r="F1765" s="2064" t="s">
        <v>7699</v>
      </c>
    </row>
    <row r="1766" spans="6:6">
      <c r="F1766" s="2064" t="s">
        <v>7700</v>
      </c>
    </row>
    <row r="1767" spans="6:6">
      <c r="F1767" s="2064" t="s">
        <v>7701</v>
      </c>
    </row>
    <row r="1768" spans="6:6">
      <c r="F1768" s="2064" t="s">
        <v>7702</v>
      </c>
    </row>
    <row r="1769" spans="6:6">
      <c r="F1769" s="2064" t="s">
        <v>7703</v>
      </c>
    </row>
    <row r="1770" spans="6:6">
      <c r="F1770" s="2064" t="s">
        <v>7704</v>
      </c>
    </row>
    <row r="1771" spans="6:6">
      <c r="F1771" s="2064" t="s">
        <v>7705</v>
      </c>
    </row>
    <row r="1772" spans="6:6">
      <c r="F1772" s="2064" t="s">
        <v>7706</v>
      </c>
    </row>
    <row r="1773" spans="6:6">
      <c r="F1773" s="2064" t="s">
        <v>7707</v>
      </c>
    </row>
    <row r="1774" spans="6:6">
      <c r="F1774" s="2064" t="s">
        <v>7708</v>
      </c>
    </row>
    <row r="1775" spans="6:6">
      <c r="F1775" s="2064" t="s">
        <v>7709</v>
      </c>
    </row>
    <row r="1776" spans="6:6">
      <c r="F1776" s="2064" t="s">
        <v>7710</v>
      </c>
    </row>
    <row r="1777" spans="6:6">
      <c r="F1777" s="2064" t="s">
        <v>7711</v>
      </c>
    </row>
    <row r="1778" spans="6:6">
      <c r="F1778" s="2064" t="s">
        <v>7712</v>
      </c>
    </row>
    <row r="1779" spans="6:6">
      <c r="F1779" s="2064" t="s">
        <v>7713</v>
      </c>
    </row>
    <row r="1780" spans="6:6">
      <c r="F1780" s="2064" t="s">
        <v>7714</v>
      </c>
    </row>
    <row r="1781" spans="6:6">
      <c r="F1781" s="2064" t="s">
        <v>7715</v>
      </c>
    </row>
    <row r="1782" spans="6:6">
      <c r="F1782" s="2064" t="s">
        <v>7716</v>
      </c>
    </row>
    <row r="1783" spans="6:6">
      <c r="F1783" s="2064" t="s">
        <v>7717</v>
      </c>
    </row>
    <row r="1784" spans="6:6">
      <c r="F1784" s="2064" t="s">
        <v>7718</v>
      </c>
    </row>
    <row r="1785" spans="6:6">
      <c r="F1785" s="2064" t="s">
        <v>7719</v>
      </c>
    </row>
    <row r="1786" spans="6:6">
      <c r="F1786" s="2064" t="s">
        <v>7720</v>
      </c>
    </row>
    <row r="1787" spans="6:6">
      <c r="F1787" s="2064" t="s">
        <v>7721</v>
      </c>
    </row>
    <row r="1788" spans="6:6">
      <c r="F1788" s="2064" t="s">
        <v>7722</v>
      </c>
    </row>
    <row r="1789" spans="6:6">
      <c r="F1789" s="2064" t="s">
        <v>7723</v>
      </c>
    </row>
    <row r="1790" spans="6:6">
      <c r="F1790" s="2064" t="s">
        <v>7724</v>
      </c>
    </row>
    <row r="1791" spans="6:6">
      <c r="F1791" s="2064" t="s">
        <v>7725</v>
      </c>
    </row>
    <row r="1792" spans="6:6">
      <c r="F1792" s="2064" t="s">
        <v>7726</v>
      </c>
    </row>
    <row r="1793" spans="6:6">
      <c r="F1793" s="2064" t="s">
        <v>7727</v>
      </c>
    </row>
    <row r="1794" spans="6:6">
      <c r="F1794" s="2064" t="s">
        <v>7728</v>
      </c>
    </row>
    <row r="1795" spans="6:6">
      <c r="F1795" s="2064" t="s">
        <v>7729</v>
      </c>
    </row>
    <row r="1796" spans="6:6">
      <c r="F1796" s="2064" t="s">
        <v>7730</v>
      </c>
    </row>
    <row r="1797" spans="6:6">
      <c r="F1797" s="2064" t="s">
        <v>7731</v>
      </c>
    </row>
    <row r="1798" spans="6:6">
      <c r="F1798" s="2064" t="s">
        <v>7732</v>
      </c>
    </row>
    <row r="1799" spans="6:6">
      <c r="F1799" s="2064" t="s">
        <v>7733</v>
      </c>
    </row>
    <row r="1800" spans="6:6">
      <c r="F1800" s="2064" t="s">
        <v>7734</v>
      </c>
    </row>
    <row r="1801" spans="6:6">
      <c r="F1801" s="2064" t="s">
        <v>7735</v>
      </c>
    </row>
    <row r="1802" spans="6:6">
      <c r="F1802" s="2064" t="s">
        <v>7736</v>
      </c>
    </row>
    <row r="1803" spans="6:6">
      <c r="F1803" s="2064" t="s">
        <v>7737</v>
      </c>
    </row>
    <row r="1804" spans="6:6">
      <c r="F1804" s="2064" t="s">
        <v>7738</v>
      </c>
    </row>
    <row r="1805" spans="6:6">
      <c r="F1805" s="2064" t="s">
        <v>7739</v>
      </c>
    </row>
    <row r="1806" spans="6:6">
      <c r="F1806" s="2064" t="s">
        <v>7740</v>
      </c>
    </row>
    <row r="1807" spans="6:6">
      <c r="F1807" s="2064" t="s">
        <v>7741</v>
      </c>
    </row>
    <row r="1808" spans="6:6">
      <c r="F1808" s="2064" t="s">
        <v>7742</v>
      </c>
    </row>
    <row r="1809" spans="6:6">
      <c r="F1809" s="2064" t="s">
        <v>7743</v>
      </c>
    </row>
    <row r="1810" spans="6:6">
      <c r="F1810" s="2064" t="s">
        <v>7744</v>
      </c>
    </row>
    <row r="1811" spans="6:6">
      <c r="F1811" s="2064" t="s">
        <v>7745</v>
      </c>
    </row>
    <row r="1812" spans="6:6">
      <c r="F1812" s="2064" t="s">
        <v>7746</v>
      </c>
    </row>
    <row r="1813" spans="6:6">
      <c r="F1813" s="2064" t="s">
        <v>7747</v>
      </c>
    </row>
    <row r="1814" spans="6:6">
      <c r="F1814" s="2064" t="s">
        <v>7748</v>
      </c>
    </row>
    <row r="1815" spans="6:6">
      <c r="F1815" s="2064" t="s">
        <v>7749</v>
      </c>
    </row>
    <row r="1816" spans="6:6">
      <c r="F1816" s="2064" t="s">
        <v>7750</v>
      </c>
    </row>
    <row r="1817" spans="6:6">
      <c r="F1817" s="2064" t="s">
        <v>7751</v>
      </c>
    </row>
    <row r="1818" spans="6:6">
      <c r="F1818" s="2064" t="s">
        <v>7752</v>
      </c>
    </row>
    <row r="1819" spans="6:6">
      <c r="F1819" s="2064" t="s">
        <v>7753</v>
      </c>
    </row>
    <row r="1820" spans="6:6">
      <c r="F1820" s="2064" t="s">
        <v>7754</v>
      </c>
    </row>
    <row r="1821" spans="6:6">
      <c r="F1821" s="2064" t="s">
        <v>7755</v>
      </c>
    </row>
    <row r="1822" spans="6:6">
      <c r="F1822" s="2064" t="s">
        <v>7756</v>
      </c>
    </row>
    <row r="1823" spans="6:6">
      <c r="F1823" s="2064" t="s">
        <v>7757</v>
      </c>
    </row>
    <row r="1824" spans="6:6">
      <c r="F1824" s="2064" t="s">
        <v>7758</v>
      </c>
    </row>
    <row r="1825" spans="6:6">
      <c r="F1825" s="2064" t="s">
        <v>7759</v>
      </c>
    </row>
    <row r="1826" spans="6:6">
      <c r="F1826" s="2064" t="s">
        <v>7760</v>
      </c>
    </row>
    <row r="1827" spans="6:6">
      <c r="F1827" s="2064" t="s">
        <v>7761</v>
      </c>
    </row>
    <row r="1828" spans="6:6">
      <c r="F1828" s="2064" t="s">
        <v>7762</v>
      </c>
    </row>
    <row r="1829" spans="6:6">
      <c r="F1829" s="2064" t="s">
        <v>7763</v>
      </c>
    </row>
    <row r="1830" spans="6:6">
      <c r="F1830" s="2064" t="s">
        <v>7764</v>
      </c>
    </row>
    <row r="1831" spans="6:6">
      <c r="F1831" s="2064" t="s">
        <v>7765</v>
      </c>
    </row>
    <row r="1832" spans="6:6">
      <c r="F1832" s="2064" t="s">
        <v>7766</v>
      </c>
    </row>
    <row r="1833" spans="6:6">
      <c r="F1833" s="2064" t="s">
        <v>7767</v>
      </c>
    </row>
    <row r="1834" spans="6:6">
      <c r="F1834" s="2064" t="s">
        <v>7768</v>
      </c>
    </row>
    <row r="1835" spans="6:6">
      <c r="F1835" s="2064" t="s">
        <v>7769</v>
      </c>
    </row>
    <row r="1836" spans="6:6">
      <c r="F1836" s="2064" t="s">
        <v>7770</v>
      </c>
    </row>
    <row r="1837" spans="6:6">
      <c r="F1837" s="2064" t="s">
        <v>7771</v>
      </c>
    </row>
    <row r="1838" spans="6:6">
      <c r="F1838" s="2064" t="s">
        <v>7772</v>
      </c>
    </row>
    <row r="1839" spans="6:6">
      <c r="F1839" s="2064" t="s">
        <v>7773</v>
      </c>
    </row>
    <row r="1840" spans="6:6">
      <c r="F1840" s="2064" t="s">
        <v>7774</v>
      </c>
    </row>
    <row r="1841" spans="6:6">
      <c r="F1841" s="2064" t="s">
        <v>7775</v>
      </c>
    </row>
    <row r="1842" spans="6:6">
      <c r="F1842" s="2064" t="s">
        <v>7776</v>
      </c>
    </row>
    <row r="1843" spans="6:6">
      <c r="F1843" s="2064" t="s">
        <v>7777</v>
      </c>
    </row>
    <row r="1844" spans="6:6">
      <c r="F1844" s="2064" t="s">
        <v>7778</v>
      </c>
    </row>
    <row r="1845" spans="6:6">
      <c r="F1845" s="2064" t="s">
        <v>7779</v>
      </c>
    </row>
    <row r="1846" spans="6:6">
      <c r="F1846" s="2064" t="s">
        <v>7780</v>
      </c>
    </row>
    <row r="1847" spans="6:6">
      <c r="F1847" s="2064" t="s">
        <v>7781</v>
      </c>
    </row>
    <row r="1848" spans="6:6">
      <c r="F1848" s="2064" t="s">
        <v>7782</v>
      </c>
    </row>
    <row r="1849" spans="6:6">
      <c r="F1849" s="2064" t="s">
        <v>7783</v>
      </c>
    </row>
    <row r="1850" spans="6:6">
      <c r="F1850" s="2064" t="s">
        <v>7784</v>
      </c>
    </row>
    <row r="1851" spans="6:6">
      <c r="F1851" s="2064" t="s">
        <v>7785</v>
      </c>
    </row>
    <row r="1852" spans="6:6">
      <c r="F1852" s="2064" t="s">
        <v>7786</v>
      </c>
    </row>
    <row r="1853" spans="6:6">
      <c r="F1853" s="2064" t="s">
        <v>7787</v>
      </c>
    </row>
    <row r="1854" spans="6:6">
      <c r="F1854" s="2064" t="s">
        <v>7788</v>
      </c>
    </row>
    <row r="1855" spans="6:6">
      <c r="F1855" s="2064" t="s">
        <v>7789</v>
      </c>
    </row>
    <row r="1856" spans="6:6">
      <c r="F1856" s="2064" t="s">
        <v>7790</v>
      </c>
    </row>
    <row r="1857" spans="6:6">
      <c r="F1857" s="2064" t="s">
        <v>7791</v>
      </c>
    </row>
    <row r="1858" spans="6:6">
      <c r="F1858" s="2064" t="s">
        <v>7792</v>
      </c>
    </row>
    <row r="1859" spans="6:6">
      <c r="F1859" s="2064" t="s">
        <v>7793</v>
      </c>
    </row>
    <row r="1860" spans="6:6">
      <c r="F1860" s="2064" t="s">
        <v>7794</v>
      </c>
    </row>
    <row r="1861" spans="6:6">
      <c r="F1861" s="2064" t="s">
        <v>7795</v>
      </c>
    </row>
    <row r="1862" spans="6:6">
      <c r="F1862" s="2064" t="s">
        <v>7796</v>
      </c>
    </row>
    <row r="1863" spans="6:6">
      <c r="F1863" s="2064" t="s">
        <v>7797</v>
      </c>
    </row>
    <row r="1864" spans="6:6">
      <c r="F1864" s="2064" t="s">
        <v>7798</v>
      </c>
    </row>
    <row r="1865" spans="6:6">
      <c r="F1865" s="2064" t="s">
        <v>7799</v>
      </c>
    </row>
    <row r="1866" spans="6:6">
      <c r="F1866" s="2064" t="s">
        <v>7800</v>
      </c>
    </row>
    <row r="1867" spans="6:6">
      <c r="F1867" s="2064" t="s">
        <v>7801</v>
      </c>
    </row>
    <row r="1868" spans="6:6">
      <c r="F1868" s="2064" t="s">
        <v>7802</v>
      </c>
    </row>
    <row r="1869" spans="6:6">
      <c r="F1869" s="2064" t="s">
        <v>7803</v>
      </c>
    </row>
    <row r="1870" spans="6:6">
      <c r="F1870" s="2064" t="s">
        <v>7804</v>
      </c>
    </row>
    <row r="1871" spans="6:6">
      <c r="F1871" s="2064" t="s">
        <v>7805</v>
      </c>
    </row>
    <row r="1872" spans="6:6">
      <c r="F1872" s="2064" t="s">
        <v>7806</v>
      </c>
    </row>
    <row r="1873" spans="6:6">
      <c r="F1873" s="2064" t="s">
        <v>7807</v>
      </c>
    </row>
    <row r="1874" spans="6:6">
      <c r="F1874" s="2064" t="s">
        <v>7808</v>
      </c>
    </row>
    <row r="1875" spans="6:6">
      <c r="F1875" s="2064" t="s">
        <v>7809</v>
      </c>
    </row>
    <row r="1876" spans="6:6">
      <c r="F1876" s="2064" t="s">
        <v>7810</v>
      </c>
    </row>
    <row r="1877" spans="6:6">
      <c r="F1877" s="2064" t="s">
        <v>7811</v>
      </c>
    </row>
    <row r="1878" spans="6:6">
      <c r="F1878" s="2064" t="s">
        <v>7812</v>
      </c>
    </row>
    <row r="1879" spans="6:6">
      <c r="F1879" s="2064" t="s">
        <v>7813</v>
      </c>
    </row>
    <row r="1880" spans="6:6">
      <c r="F1880" s="2064" t="s">
        <v>7814</v>
      </c>
    </row>
    <row r="1881" spans="6:6">
      <c r="F1881" s="2064" t="s">
        <v>7815</v>
      </c>
    </row>
    <row r="1882" spans="6:6">
      <c r="F1882" s="2064" t="s">
        <v>7816</v>
      </c>
    </row>
    <row r="1883" spans="6:6">
      <c r="F1883" s="2064" t="s">
        <v>7817</v>
      </c>
    </row>
    <row r="1884" spans="6:6">
      <c r="F1884" s="2064" t="s">
        <v>7818</v>
      </c>
    </row>
    <row r="1885" spans="6:6">
      <c r="F1885" s="2064" t="s">
        <v>7819</v>
      </c>
    </row>
    <row r="1886" spans="6:6">
      <c r="F1886" s="2064" t="s">
        <v>7820</v>
      </c>
    </row>
    <row r="1887" spans="6:6">
      <c r="F1887" s="2064" t="s">
        <v>7821</v>
      </c>
    </row>
    <row r="1888" spans="6:6">
      <c r="F1888" s="2064" t="s">
        <v>7822</v>
      </c>
    </row>
    <row r="1889" spans="6:6">
      <c r="F1889" s="2064" t="s">
        <v>7823</v>
      </c>
    </row>
    <row r="1890" spans="6:6">
      <c r="F1890" s="2064" t="s">
        <v>7824</v>
      </c>
    </row>
    <row r="1891" spans="6:6">
      <c r="F1891" s="2064" t="s">
        <v>7825</v>
      </c>
    </row>
    <row r="1892" spans="6:6">
      <c r="F1892" s="2064" t="s">
        <v>7826</v>
      </c>
    </row>
    <row r="1893" spans="6:6">
      <c r="F1893" s="2064" t="s">
        <v>7827</v>
      </c>
    </row>
    <row r="1894" spans="6:6">
      <c r="F1894" s="2064" t="s">
        <v>7828</v>
      </c>
    </row>
    <row r="1895" spans="6:6">
      <c r="F1895" s="2064" t="s">
        <v>7829</v>
      </c>
    </row>
    <row r="1896" spans="6:6">
      <c r="F1896" s="2064" t="s">
        <v>7830</v>
      </c>
    </row>
    <row r="1897" spans="6:6">
      <c r="F1897" s="2064" t="s">
        <v>7831</v>
      </c>
    </row>
    <row r="1898" spans="6:6">
      <c r="F1898" s="2064" t="s">
        <v>7832</v>
      </c>
    </row>
    <row r="1899" spans="6:6">
      <c r="F1899" s="2064" t="s">
        <v>7833</v>
      </c>
    </row>
    <row r="1900" spans="6:6">
      <c r="F1900" s="2064" t="s">
        <v>7834</v>
      </c>
    </row>
    <row r="1901" spans="6:6">
      <c r="F1901" s="2064" t="s">
        <v>7835</v>
      </c>
    </row>
    <row r="1902" spans="6:6">
      <c r="F1902" s="2064" t="s">
        <v>7836</v>
      </c>
    </row>
    <row r="1903" spans="6:6">
      <c r="F1903" s="2064" t="s">
        <v>7837</v>
      </c>
    </row>
    <row r="1904" spans="6:6">
      <c r="F1904" s="2064" t="s">
        <v>7838</v>
      </c>
    </row>
    <row r="1905" spans="6:6">
      <c r="F1905" s="2064" t="s">
        <v>7839</v>
      </c>
    </row>
    <row r="1906" spans="6:6">
      <c r="F1906" s="2064" t="s">
        <v>7840</v>
      </c>
    </row>
    <row r="1907" spans="6:6">
      <c r="F1907" s="2064" t="s">
        <v>7841</v>
      </c>
    </row>
    <row r="1908" spans="6:6">
      <c r="F1908" s="2064" t="s">
        <v>7842</v>
      </c>
    </row>
    <row r="1909" spans="6:6">
      <c r="F1909" s="2064" t="s">
        <v>7843</v>
      </c>
    </row>
    <row r="1910" spans="6:6">
      <c r="F1910" s="2064" t="s">
        <v>7844</v>
      </c>
    </row>
    <row r="1911" spans="6:6">
      <c r="F1911" s="2064" t="s">
        <v>7845</v>
      </c>
    </row>
    <row r="1912" spans="6:6">
      <c r="F1912" s="2064" t="s">
        <v>7846</v>
      </c>
    </row>
    <row r="1913" spans="6:6">
      <c r="F1913" s="2064" t="s">
        <v>7847</v>
      </c>
    </row>
    <row r="1914" spans="6:6">
      <c r="F1914" s="2064" t="s">
        <v>7848</v>
      </c>
    </row>
    <row r="1915" spans="6:6">
      <c r="F1915" s="2064" t="s">
        <v>7849</v>
      </c>
    </row>
    <row r="1916" spans="6:6">
      <c r="F1916" s="2064" t="s">
        <v>7850</v>
      </c>
    </row>
    <row r="1917" spans="6:6">
      <c r="F1917" s="2064" t="s">
        <v>7851</v>
      </c>
    </row>
    <row r="1918" spans="6:6">
      <c r="F1918" s="2064" t="s">
        <v>7852</v>
      </c>
    </row>
    <row r="1919" spans="6:6">
      <c r="F1919" s="2064" t="s">
        <v>7853</v>
      </c>
    </row>
    <row r="1920" spans="6:6">
      <c r="F1920" s="2064" t="s">
        <v>7854</v>
      </c>
    </row>
    <row r="1921" spans="6:6">
      <c r="F1921" s="2064" t="s">
        <v>7855</v>
      </c>
    </row>
    <row r="1922" spans="6:6">
      <c r="F1922" s="2064" t="s">
        <v>7856</v>
      </c>
    </row>
    <row r="1923" spans="6:6">
      <c r="F1923" s="2064" t="s">
        <v>7857</v>
      </c>
    </row>
    <row r="1924" spans="6:6">
      <c r="F1924" s="2064" t="s">
        <v>7858</v>
      </c>
    </row>
    <row r="1925" spans="6:6">
      <c r="F1925" s="2064" t="s">
        <v>7859</v>
      </c>
    </row>
    <row r="1926" spans="6:6">
      <c r="F1926" s="2064" t="s">
        <v>7860</v>
      </c>
    </row>
    <row r="1927" spans="6:6">
      <c r="F1927" s="2064" t="s">
        <v>7861</v>
      </c>
    </row>
    <row r="1928" spans="6:6">
      <c r="F1928" s="2064" t="s">
        <v>7862</v>
      </c>
    </row>
    <row r="1929" spans="6:6">
      <c r="F1929" s="2064" t="s">
        <v>7863</v>
      </c>
    </row>
    <row r="1930" spans="6:6">
      <c r="F1930" s="2064" t="s">
        <v>7864</v>
      </c>
    </row>
    <row r="1931" spans="6:6">
      <c r="F1931" s="2064" t="s">
        <v>7865</v>
      </c>
    </row>
    <row r="1932" spans="6:6">
      <c r="F1932" s="2064" t="s">
        <v>7866</v>
      </c>
    </row>
    <row r="1933" spans="6:6">
      <c r="F1933" s="2064" t="s">
        <v>7867</v>
      </c>
    </row>
    <row r="1934" spans="6:6">
      <c r="F1934" s="2064" t="s">
        <v>7868</v>
      </c>
    </row>
    <row r="1935" spans="6:6">
      <c r="F1935" s="2064" t="s">
        <v>7869</v>
      </c>
    </row>
    <row r="1936" spans="6:6">
      <c r="F1936" s="2064" t="s">
        <v>7870</v>
      </c>
    </row>
    <row r="1937" spans="6:6">
      <c r="F1937" s="2064" t="s">
        <v>7871</v>
      </c>
    </row>
    <row r="1938" spans="6:6">
      <c r="F1938" s="2064" t="s">
        <v>7872</v>
      </c>
    </row>
    <row r="1939" spans="6:6">
      <c r="F1939" s="2064" t="s">
        <v>7873</v>
      </c>
    </row>
    <row r="1940" spans="6:6">
      <c r="F1940" s="2064" t="s">
        <v>7874</v>
      </c>
    </row>
    <row r="1941" spans="6:6">
      <c r="F1941" s="2064" t="s">
        <v>7875</v>
      </c>
    </row>
    <row r="1942" spans="6:6">
      <c r="F1942" s="2064" t="s">
        <v>7876</v>
      </c>
    </row>
    <row r="1943" spans="6:6">
      <c r="F1943" s="2064" t="s">
        <v>7877</v>
      </c>
    </row>
    <row r="1944" spans="6:6">
      <c r="F1944" s="2064" t="s">
        <v>7878</v>
      </c>
    </row>
    <row r="1945" spans="6:6">
      <c r="F1945" s="2064" t="s">
        <v>7879</v>
      </c>
    </row>
    <row r="1946" spans="6:6">
      <c r="F1946" s="2064" t="s">
        <v>7880</v>
      </c>
    </row>
    <row r="1947" spans="6:6">
      <c r="F1947" s="2064" t="s">
        <v>7881</v>
      </c>
    </row>
    <row r="1948" spans="6:6">
      <c r="F1948" s="2064" t="s">
        <v>7882</v>
      </c>
    </row>
    <row r="1949" spans="6:6">
      <c r="F1949" s="2064" t="s">
        <v>7883</v>
      </c>
    </row>
    <row r="1950" spans="6:6">
      <c r="F1950" s="2064" t="s">
        <v>7884</v>
      </c>
    </row>
    <row r="1951" spans="6:6">
      <c r="F1951" s="2064" t="s">
        <v>7885</v>
      </c>
    </row>
    <row r="1952" spans="6:6">
      <c r="F1952" s="2064" t="s">
        <v>7886</v>
      </c>
    </row>
    <row r="1953" spans="6:6">
      <c r="F1953" s="2064" t="s">
        <v>7887</v>
      </c>
    </row>
    <row r="1954" spans="6:6">
      <c r="F1954" s="2064" t="s">
        <v>7888</v>
      </c>
    </row>
    <row r="1955" spans="6:6">
      <c r="F1955" s="2064" t="s">
        <v>7889</v>
      </c>
    </row>
    <row r="1956" spans="6:6">
      <c r="F1956" s="2064" t="s">
        <v>7890</v>
      </c>
    </row>
    <row r="1957" spans="6:6">
      <c r="F1957" s="2064" t="s">
        <v>7891</v>
      </c>
    </row>
    <row r="1958" spans="6:6">
      <c r="F1958" s="2064" t="s">
        <v>7892</v>
      </c>
    </row>
    <row r="1959" spans="6:6">
      <c r="F1959" s="2064" t="s">
        <v>7893</v>
      </c>
    </row>
    <row r="1960" spans="6:6">
      <c r="F1960" s="2064" t="s">
        <v>7894</v>
      </c>
    </row>
    <row r="1961" spans="6:6">
      <c r="F1961" s="2064" t="s">
        <v>7895</v>
      </c>
    </row>
    <row r="1962" spans="6:6">
      <c r="F1962" s="2064" t="s">
        <v>7896</v>
      </c>
    </row>
    <row r="1963" spans="6:6">
      <c r="F1963" s="2064" t="s">
        <v>7897</v>
      </c>
    </row>
    <row r="1964" spans="6:6">
      <c r="F1964" s="2064" t="s">
        <v>7898</v>
      </c>
    </row>
    <row r="1965" spans="6:6">
      <c r="F1965" s="2064" t="s">
        <v>7899</v>
      </c>
    </row>
    <row r="1966" spans="6:6">
      <c r="F1966" s="2064" t="s">
        <v>7900</v>
      </c>
    </row>
    <row r="1967" spans="6:6">
      <c r="F1967" s="2064" t="s">
        <v>7901</v>
      </c>
    </row>
    <row r="1968" spans="6:6">
      <c r="F1968" s="2064" t="s">
        <v>7902</v>
      </c>
    </row>
    <row r="1969" spans="6:6">
      <c r="F1969" s="2064" t="s">
        <v>7903</v>
      </c>
    </row>
    <row r="1970" spans="6:6">
      <c r="F1970" s="2064" t="s">
        <v>7904</v>
      </c>
    </row>
    <row r="1971" spans="6:6">
      <c r="F1971" s="2064" t="s">
        <v>7905</v>
      </c>
    </row>
    <row r="1972" spans="6:6">
      <c r="F1972" s="2064" t="s">
        <v>7906</v>
      </c>
    </row>
    <row r="1973" spans="6:6">
      <c r="F1973" s="2064" t="s">
        <v>7907</v>
      </c>
    </row>
    <row r="1974" spans="6:6">
      <c r="F1974" s="2064" t="s">
        <v>7908</v>
      </c>
    </row>
    <row r="1975" spans="6:6">
      <c r="F1975" s="2064" t="s">
        <v>7909</v>
      </c>
    </row>
    <row r="1976" spans="6:6">
      <c r="F1976" s="2064" t="s">
        <v>7910</v>
      </c>
    </row>
    <row r="1977" spans="6:6">
      <c r="F1977" s="2064" t="s">
        <v>7911</v>
      </c>
    </row>
    <row r="1978" spans="6:6">
      <c r="F1978" s="2064" t="s">
        <v>7912</v>
      </c>
    </row>
    <row r="1979" spans="6:6">
      <c r="F1979" s="2064" t="s">
        <v>7913</v>
      </c>
    </row>
    <row r="1980" spans="6:6">
      <c r="F1980" s="2064" t="s">
        <v>7914</v>
      </c>
    </row>
    <row r="1981" spans="6:6">
      <c r="F1981" s="2064" t="s">
        <v>7915</v>
      </c>
    </row>
    <row r="1982" spans="6:6">
      <c r="F1982" s="2064" t="s">
        <v>7916</v>
      </c>
    </row>
    <row r="1983" spans="6:6">
      <c r="F1983" s="2064" t="s">
        <v>7917</v>
      </c>
    </row>
    <row r="1984" spans="6:6">
      <c r="F1984" s="2064" t="s">
        <v>7918</v>
      </c>
    </row>
    <row r="1985" spans="6:6">
      <c r="F1985" s="2064" t="s">
        <v>7919</v>
      </c>
    </row>
    <row r="1986" spans="6:6">
      <c r="F1986" s="2064" t="s">
        <v>7920</v>
      </c>
    </row>
    <row r="1987" spans="6:6">
      <c r="F1987" s="2064" t="s">
        <v>7921</v>
      </c>
    </row>
    <row r="1988" spans="6:6">
      <c r="F1988" s="2064" t="s">
        <v>7922</v>
      </c>
    </row>
    <row r="1989" spans="6:6">
      <c r="F1989" s="2064" t="s">
        <v>7923</v>
      </c>
    </row>
    <row r="1990" spans="6:6">
      <c r="F1990" s="2064" t="s">
        <v>7924</v>
      </c>
    </row>
    <row r="1991" spans="6:6">
      <c r="F1991" s="2064" t="s">
        <v>7925</v>
      </c>
    </row>
    <row r="1992" spans="6:6">
      <c r="F1992" s="2064" t="s">
        <v>7926</v>
      </c>
    </row>
    <row r="1993" spans="6:6">
      <c r="F1993" s="2064" t="s">
        <v>7927</v>
      </c>
    </row>
    <row r="1994" spans="6:6">
      <c r="F1994" s="2064" t="s">
        <v>7928</v>
      </c>
    </row>
    <row r="1995" spans="6:6">
      <c r="F1995" s="2064" t="s">
        <v>7929</v>
      </c>
    </row>
    <row r="1996" spans="6:6">
      <c r="F1996" s="2064" t="s">
        <v>7930</v>
      </c>
    </row>
    <row r="1997" spans="6:6">
      <c r="F1997" s="2064" t="s">
        <v>7931</v>
      </c>
    </row>
    <row r="1998" spans="6:6">
      <c r="F1998" s="2064" t="s">
        <v>7932</v>
      </c>
    </row>
    <row r="1999" spans="6:6">
      <c r="F1999" s="2064" t="s">
        <v>7933</v>
      </c>
    </row>
    <row r="2000" spans="6:6">
      <c r="F2000" s="2064" t="s">
        <v>7934</v>
      </c>
    </row>
    <row r="2001" spans="6:6">
      <c r="F2001" s="2064" t="s">
        <v>7935</v>
      </c>
    </row>
    <row r="2002" spans="6:6">
      <c r="F2002" s="2064" t="s">
        <v>7936</v>
      </c>
    </row>
    <row r="2003" spans="6:6">
      <c r="F2003" s="2064" t="s">
        <v>7937</v>
      </c>
    </row>
    <row r="2004" spans="6:6">
      <c r="F2004" s="2064" t="s">
        <v>7938</v>
      </c>
    </row>
    <row r="2005" spans="6:6">
      <c r="F2005" s="2064" t="s">
        <v>7939</v>
      </c>
    </row>
    <row r="2006" spans="6:6">
      <c r="F2006" s="2064" t="s">
        <v>7940</v>
      </c>
    </row>
    <row r="2007" spans="6:6">
      <c r="F2007" s="2064" t="s">
        <v>7941</v>
      </c>
    </row>
    <row r="2008" spans="6:6">
      <c r="F2008" s="2064" t="s">
        <v>7942</v>
      </c>
    </row>
    <row r="2009" spans="6:6">
      <c r="F2009" s="2064" t="s">
        <v>7943</v>
      </c>
    </row>
    <row r="2010" spans="6:6">
      <c r="F2010" s="2064" t="s">
        <v>7944</v>
      </c>
    </row>
    <row r="2011" spans="6:6">
      <c r="F2011" s="2064" t="s">
        <v>7945</v>
      </c>
    </row>
    <row r="2012" spans="6:6">
      <c r="F2012" s="2064" t="s">
        <v>7946</v>
      </c>
    </row>
    <row r="2013" spans="6:6">
      <c r="F2013" s="2064" t="s">
        <v>7947</v>
      </c>
    </row>
    <row r="2014" spans="6:6">
      <c r="F2014" s="2064" t="s">
        <v>7948</v>
      </c>
    </row>
    <row r="2015" spans="6:6">
      <c r="F2015" s="2064" t="s">
        <v>7949</v>
      </c>
    </row>
    <row r="2016" spans="6:6">
      <c r="F2016" s="2064" t="s">
        <v>7950</v>
      </c>
    </row>
    <row r="2017" spans="6:6">
      <c r="F2017" s="2064" t="s">
        <v>7951</v>
      </c>
    </row>
    <row r="2018" spans="6:6">
      <c r="F2018" s="2064" t="s">
        <v>7952</v>
      </c>
    </row>
    <row r="2019" spans="6:6">
      <c r="F2019" s="2064" t="s">
        <v>7953</v>
      </c>
    </row>
    <row r="2020" spans="6:6">
      <c r="F2020" s="2064" t="s">
        <v>7954</v>
      </c>
    </row>
    <row r="2021" spans="6:6">
      <c r="F2021" s="2064" t="s">
        <v>7955</v>
      </c>
    </row>
    <row r="2022" spans="6:6">
      <c r="F2022" s="2064" t="s">
        <v>7956</v>
      </c>
    </row>
    <row r="2023" spans="6:6">
      <c r="F2023" s="2064" t="s">
        <v>7957</v>
      </c>
    </row>
    <row r="2024" spans="6:6">
      <c r="F2024" s="2064" t="s">
        <v>7958</v>
      </c>
    </row>
    <row r="2025" spans="6:6">
      <c r="F2025" s="2064" t="s">
        <v>7959</v>
      </c>
    </row>
    <row r="2026" spans="6:6">
      <c r="F2026" s="2064" t="s">
        <v>7960</v>
      </c>
    </row>
    <row r="2027" spans="6:6">
      <c r="F2027" s="2064" t="s">
        <v>7961</v>
      </c>
    </row>
    <row r="2028" spans="6:6">
      <c r="F2028" s="2064" t="s">
        <v>7962</v>
      </c>
    </row>
    <row r="2029" spans="6:6">
      <c r="F2029" s="2064" t="s">
        <v>7963</v>
      </c>
    </row>
    <row r="2030" spans="6:6">
      <c r="F2030" s="2064" t="s">
        <v>7964</v>
      </c>
    </row>
    <row r="2031" spans="6:6">
      <c r="F2031" s="2064" t="s">
        <v>7965</v>
      </c>
    </row>
    <row r="2032" spans="6:6">
      <c r="F2032" s="2064" t="s">
        <v>7966</v>
      </c>
    </row>
    <row r="2033" spans="6:6">
      <c r="F2033" s="2064" t="s">
        <v>7967</v>
      </c>
    </row>
    <row r="2034" spans="6:6">
      <c r="F2034" s="2064" t="s">
        <v>7968</v>
      </c>
    </row>
    <row r="2035" spans="6:6">
      <c r="F2035" s="2064" t="s">
        <v>7969</v>
      </c>
    </row>
    <row r="2036" spans="6:6">
      <c r="F2036" s="2064" t="s">
        <v>7970</v>
      </c>
    </row>
    <row r="2037" spans="6:6">
      <c r="F2037" s="2064" t="s">
        <v>7971</v>
      </c>
    </row>
    <row r="2038" spans="6:6">
      <c r="F2038" s="2064" t="s">
        <v>7972</v>
      </c>
    </row>
    <row r="2039" spans="6:6">
      <c r="F2039" s="2064" t="s">
        <v>7973</v>
      </c>
    </row>
    <row r="2040" spans="6:6">
      <c r="F2040" s="2064" t="s">
        <v>7974</v>
      </c>
    </row>
    <row r="2041" spans="6:6">
      <c r="F2041" s="2064" t="s">
        <v>7975</v>
      </c>
    </row>
    <row r="2042" spans="6:6">
      <c r="F2042" s="2064" t="s">
        <v>7976</v>
      </c>
    </row>
    <row r="2043" spans="6:6">
      <c r="F2043" s="2064" t="s">
        <v>7977</v>
      </c>
    </row>
    <row r="2044" spans="6:6">
      <c r="F2044" s="2064" t="s">
        <v>7978</v>
      </c>
    </row>
    <row r="2045" spans="6:6">
      <c r="F2045" s="2064" t="s">
        <v>7979</v>
      </c>
    </row>
    <row r="2046" spans="6:6">
      <c r="F2046" s="2064" t="s">
        <v>7980</v>
      </c>
    </row>
    <row r="2047" spans="6:6">
      <c r="F2047" s="2064" t="s">
        <v>7981</v>
      </c>
    </row>
    <row r="2048" spans="6:6">
      <c r="F2048" s="2064" t="s">
        <v>7982</v>
      </c>
    </row>
    <row r="2049" spans="6:6">
      <c r="F2049" s="2064" t="s">
        <v>7983</v>
      </c>
    </row>
    <row r="2050" spans="6:6">
      <c r="F2050" s="2064" t="s">
        <v>7984</v>
      </c>
    </row>
    <row r="2051" spans="6:6">
      <c r="F2051" s="2064" t="s">
        <v>7985</v>
      </c>
    </row>
    <row r="2052" spans="6:6">
      <c r="F2052" s="2064" t="s">
        <v>7986</v>
      </c>
    </row>
    <row r="2053" spans="6:6">
      <c r="F2053" s="2064" t="s">
        <v>7987</v>
      </c>
    </row>
    <row r="2054" spans="6:6">
      <c r="F2054" s="2064" t="s">
        <v>7988</v>
      </c>
    </row>
    <row r="2055" spans="6:6">
      <c r="F2055" s="2064" t="s">
        <v>7989</v>
      </c>
    </row>
    <row r="2056" spans="6:6">
      <c r="F2056" s="2064" t="s">
        <v>7990</v>
      </c>
    </row>
    <row r="2057" spans="6:6">
      <c r="F2057" s="2064" t="s">
        <v>7991</v>
      </c>
    </row>
    <row r="2058" spans="6:6">
      <c r="F2058" s="2064" t="s">
        <v>7992</v>
      </c>
    </row>
    <row r="2059" spans="6:6">
      <c r="F2059" s="2064" t="s">
        <v>7993</v>
      </c>
    </row>
    <row r="2060" spans="6:6">
      <c r="F2060" s="2064" t="s">
        <v>7994</v>
      </c>
    </row>
    <row r="2061" spans="6:6">
      <c r="F2061" s="2064" t="s">
        <v>7995</v>
      </c>
    </row>
    <row r="2062" spans="6:6">
      <c r="F2062" s="2064" t="s">
        <v>7996</v>
      </c>
    </row>
    <row r="2063" spans="6:6">
      <c r="F2063" s="2064" t="s">
        <v>7997</v>
      </c>
    </row>
    <row r="2064" spans="6:6">
      <c r="F2064" s="2064" t="s">
        <v>7998</v>
      </c>
    </row>
    <row r="2065" spans="6:6">
      <c r="F2065" s="2064" t="s">
        <v>7999</v>
      </c>
    </row>
    <row r="2066" spans="6:6">
      <c r="F2066" s="2064" t="s">
        <v>8000</v>
      </c>
    </row>
    <row r="2067" spans="6:6">
      <c r="F2067" s="2064" t="s">
        <v>8001</v>
      </c>
    </row>
    <row r="2068" spans="6:6">
      <c r="F2068" s="2064" t="s">
        <v>8002</v>
      </c>
    </row>
    <row r="2069" spans="6:6">
      <c r="F2069" s="2064" t="s">
        <v>8003</v>
      </c>
    </row>
    <row r="2070" spans="6:6">
      <c r="F2070" s="2064" t="s">
        <v>8004</v>
      </c>
    </row>
    <row r="2071" spans="6:6">
      <c r="F2071" s="2064" t="s">
        <v>8005</v>
      </c>
    </row>
    <row r="2072" spans="6:6">
      <c r="F2072" s="2064" t="s">
        <v>8006</v>
      </c>
    </row>
    <row r="2073" spans="6:6">
      <c r="F2073" s="2064" t="s">
        <v>8007</v>
      </c>
    </row>
    <row r="2074" spans="6:6">
      <c r="F2074" s="2064" t="s">
        <v>8008</v>
      </c>
    </row>
    <row r="2075" spans="6:6">
      <c r="F2075" s="2064" t="s">
        <v>8009</v>
      </c>
    </row>
    <row r="2076" spans="6:6">
      <c r="F2076" s="2064" t="s">
        <v>8010</v>
      </c>
    </row>
    <row r="2077" spans="6:6">
      <c r="F2077" s="2064" t="s">
        <v>8011</v>
      </c>
    </row>
    <row r="2078" spans="6:6">
      <c r="F2078" s="2064" t="s">
        <v>8012</v>
      </c>
    </row>
    <row r="2079" spans="6:6">
      <c r="F2079" s="2064" t="s">
        <v>8013</v>
      </c>
    </row>
    <row r="2080" spans="6:6">
      <c r="F2080" s="2064" t="s">
        <v>8014</v>
      </c>
    </row>
    <row r="2081" spans="6:6">
      <c r="F2081" s="2064" t="s">
        <v>8015</v>
      </c>
    </row>
    <row r="2082" spans="6:6">
      <c r="F2082" s="2064" t="s">
        <v>8016</v>
      </c>
    </row>
    <row r="2083" spans="6:6">
      <c r="F2083" s="2064" t="s">
        <v>8017</v>
      </c>
    </row>
    <row r="2084" spans="6:6">
      <c r="F2084" s="2064" t="s">
        <v>8018</v>
      </c>
    </row>
    <row r="2085" spans="6:6">
      <c r="F2085" s="2064" t="s">
        <v>8019</v>
      </c>
    </row>
    <row r="2086" spans="6:6">
      <c r="F2086" s="2064" t="s">
        <v>8020</v>
      </c>
    </row>
    <row r="2087" spans="6:6">
      <c r="F2087" s="2064" t="s">
        <v>8021</v>
      </c>
    </row>
    <row r="2088" spans="6:6">
      <c r="F2088" s="2064" t="s">
        <v>8022</v>
      </c>
    </row>
    <row r="2089" spans="6:6">
      <c r="F2089" s="2064" t="s">
        <v>8023</v>
      </c>
    </row>
    <row r="2090" spans="6:6">
      <c r="F2090" s="2064" t="s">
        <v>8024</v>
      </c>
    </row>
    <row r="2091" spans="6:6">
      <c r="F2091" s="2064" t="s">
        <v>8025</v>
      </c>
    </row>
    <row r="2092" spans="6:6">
      <c r="F2092" s="2064" t="s">
        <v>8026</v>
      </c>
    </row>
    <row r="2093" spans="6:6">
      <c r="F2093" s="2064" t="s">
        <v>8027</v>
      </c>
    </row>
    <row r="2094" spans="6:6">
      <c r="F2094" s="2064" t="s">
        <v>8028</v>
      </c>
    </row>
    <row r="2095" spans="6:6">
      <c r="F2095" s="2064" t="s">
        <v>8029</v>
      </c>
    </row>
    <row r="2096" spans="6:6">
      <c r="F2096" s="2064" t="s">
        <v>8030</v>
      </c>
    </row>
    <row r="2097" spans="6:6">
      <c r="F2097" s="2064" t="s">
        <v>8031</v>
      </c>
    </row>
    <row r="2098" spans="6:6">
      <c r="F2098" s="2064" t="s">
        <v>8032</v>
      </c>
    </row>
    <row r="2099" spans="6:6">
      <c r="F2099" s="2064" t="s">
        <v>8033</v>
      </c>
    </row>
    <row r="2100" spans="6:6">
      <c r="F2100" s="2064" t="s">
        <v>8034</v>
      </c>
    </row>
    <row r="2101" spans="6:6">
      <c r="F2101" s="2064" t="s">
        <v>8035</v>
      </c>
    </row>
    <row r="2102" spans="6:6">
      <c r="F2102" s="2064" t="s">
        <v>8036</v>
      </c>
    </row>
    <row r="2103" spans="6:6">
      <c r="F2103" s="2064" t="s">
        <v>8037</v>
      </c>
    </row>
    <row r="2104" spans="6:6">
      <c r="F2104" s="2064" t="s">
        <v>8038</v>
      </c>
    </row>
    <row r="2105" spans="6:6">
      <c r="F2105" s="2064" t="s">
        <v>8039</v>
      </c>
    </row>
    <row r="2106" spans="6:6">
      <c r="F2106" s="2064" t="s">
        <v>8040</v>
      </c>
    </row>
    <row r="2107" spans="6:6">
      <c r="F2107" s="2064" t="s">
        <v>8041</v>
      </c>
    </row>
    <row r="2108" spans="6:6">
      <c r="F2108" s="2064" t="s">
        <v>8042</v>
      </c>
    </row>
    <row r="2109" spans="6:6">
      <c r="F2109" s="2064" t="s">
        <v>8043</v>
      </c>
    </row>
    <row r="2110" spans="6:6">
      <c r="F2110" s="2064" t="s">
        <v>8044</v>
      </c>
    </row>
    <row r="2111" spans="6:6">
      <c r="F2111" s="2064" t="s">
        <v>8045</v>
      </c>
    </row>
    <row r="2112" spans="6:6">
      <c r="F2112" s="2064" t="s">
        <v>8046</v>
      </c>
    </row>
    <row r="2113" spans="6:6">
      <c r="F2113" s="2064" t="s">
        <v>8047</v>
      </c>
    </row>
    <row r="2114" spans="6:6">
      <c r="F2114" s="2064" t="s">
        <v>8048</v>
      </c>
    </row>
    <row r="2115" spans="6:6">
      <c r="F2115" s="2064" t="s">
        <v>8049</v>
      </c>
    </row>
    <row r="2116" spans="6:6">
      <c r="F2116" s="2064" t="s">
        <v>8050</v>
      </c>
    </row>
    <row r="2117" spans="6:6">
      <c r="F2117" s="2064" t="s">
        <v>8051</v>
      </c>
    </row>
    <row r="2118" spans="6:6">
      <c r="F2118" s="2064" t="s">
        <v>8052</v>
      </c>
    </row>
    <row r="2119" spans="6:6">
      <c r="F2119" s="2064" t="s">
        <v>8053</v>
      </c>
    </row>
    <row r="2120" spans="6:6">
      <c r="F2120" s="2064" t="s">
        <v>8054</v>
      </c>
    </row>
    <row r="2121" spans="6:6">
      <c r="F2121" s="2064" t="s">
        <v>8055</v>
      </c>
    </row>
    <row r="2122" spans="6:6">
      <c r="F2122" s="2064" t="s">
        <v>8056</v>
      </c>
    </row>
    <row r="2123" spans="6:6">
      <c r="F2123" s="2064" t="s">
        <v>8057</v>
      </c>
    </row>
    <row r="2124" spans="6:6">
      <c r="F2124" s="2064" t="s">
        <v>8058</v>
      </c>
    </row>
    <row r="2125" spans="6:6">
      <c r="F2125" s="2064" t="s">
        <v>8059</v>
      </c>
    </row>
    <row r="2126" spans="6:6">
      <c r="F2126" s="2064" t="s">
        <v>8060</v>
      </c>
    </row>
    <row r="2127" spans="6:6">
      <c r="F2127" s="2064" t="s">
        <v>8061</v>
      </c>
    </row>
    <row r="2128" spans="6:6">
      <c r="F2128" s="2064" t="s">
        <v>8062</v>
      </c>
    </row>
    <row r="2129" spans="6:6">
      <c r="F2129" s="2064" t="s">
        <v>8063</v>
      </c>
    </row>
    <row r="2130" spans="6:6">
      <c r="F2130" s="2064" t="s">
        <v>8064</v>
      </c>
    </row>
    <row r="2131" spans="6:6">
      <c r="F2131" s="2064" t="s">
        <v>8065</v>
      </c>
    </row>
    <row r="2132" spans="6:6">
      <c r="F2132" s="2064" t="s">
        <v>8066</v>
      </c>
    </row>
    <row r="2133" spans="6:6">
      <c r="F2133" s="2064" t="s">
        <v>8067</v>
      </c>
    </row>
    <row r="2134" spans="6:6">
      <c r="F2134" s="2064" t="s">
        <v>8068</v>
      </c>
    </row>
    <row r="2135" spans="6:6">
      <c r="F2135" s="2064" t="s">
        <v>8069</v>
      </c>
    </row>
    <row r="2136" spans="6:6">
      <c r="F2136" s="2064" t="s">
        <v>8070</v>
      </c>
    </row>
    <row r="2137" spans="6:6">
      <c r="F2137" s="2064" t="s">
        <v>8071</v>
      </c>
    </row>
    <row r="2138" spans="6:6">
      <c r="F2138" s="2064" t="s">
        <v>8072</v>
      </c>
    </row>
    <row r="2139" spans="6:6">
      <c r="F2139" s="2064" t="s">
        <v>8073</v>
      </c>
    </row>
    <row r="2140" spans="6:6">
      <c r="F2140" s="2064" t="s">
        <v>8074</v>
      </c>
    </row>
    <row r="2141" spans="6:6">
      <c r="F2141" s="2064" t="s">
        <v>8075</v>
      </c>
    </row>
    <row r="2142" spans="6:6">
      <c r="F2142" s="2064" t="s">
        <v>8076</v>
      </c>
    </row>
    <row r="2143" spans="6:6">
      <c r="F2143" s="2064" t="s">
        <v>8077</v>
      </c>
    </row>
    <row r="2144" spans="6:6">
      <c r="F2144" s="2064" t="s">
        <v>8078</v>
      </c>
    </row>
    <row r="2145" spans="6:6">
      <c r="F2145" s="2064" t="s">
        <v>8079</v>
      </c>
    </row>
    <row r="2146" spans="6:6">
      <c r="F2146" s="2064" t="s">
        <v>8080</v>
      </c>
    </row>
    <row r="2147" spans="6:6">
      <c r="F2147" s="2064" t="s">
        <v>8081</v>
      </c>
    </row>
    <row r="2148" spans="6:6">
      <c r="F2148" s="2064" t="s">
        <v>8082</v>
      </c>
    </row>
    <row r="2149" spans="6:6">
      <c r="F2149" s="2064" t="s">
        <v>8083</v>
      </c>
    </row>
    <row r="2150" spans="6:6">
      <c r="F2150" s="2064" t="s">
        <v>8084</v>
      </c>
    </row>
    <row r="2151" spans="6:6">
      <c r="F2151" s="2064" t="s">
        <v>8085</v>
      </c>
    </row>
    <row r="2152" spans="6:6">
      <c r="F2152" s="2064" t="s">
        <v>8086</v>
      </c>
    </row>
    <row r="2153" spans="6:6">
      <c r="F2153" s="2064" t="s">
        <v>8087</v>
      </c>
    </row>
    <row r="2154" spans="6:6">
      <c r="F2154" s="2064" t="s">
        <v>8088</v>
      </c>
    </row>
    <row r="2155" spans="6:6">
      <c r="F2155" s="2064" t="s">
        <v>8089</v>
      </c>
    </row>
    <row r="2156" spans="6:6">
      <c r="F2156" s="2064" t="s">
        <v>8090</v>
      </c>
    </row>
    <row r="2157" spans="6:6">
      <c r="F2157" s="2064" t="s">
        <v>8091</v>
      </c>
    </row>
    <row r="2158" spans="6:6">
      <c r="F2158" s="2064" t="s">
        <v>8092</v>
      </c>
    </row>
    <row r="2159" spans="6:6">
      <c r="F2159" s="2064" t="s">
        <v>8093</v>
      </c>
    </row>
    <row r="2160" spans="6:6">
      <c r="F2160" s="2064" t="s">
        <v>8094</v>
      </c>
    </row>
    <row r="2161" spans="6:6">
      <c r="F2161" s="2064" t="s">
        <v>8095</v>
      </c>
    </row>
    <row r="2162" spans="6:6">
      <c r="F2162" s="2064" t="s">
        <v>8096</v>
      </c>
    </row>
    <row r="2163" spans="6:6">
      <c r="F2163" s="2064" t="s">
        <v>8097</v>
      </c>
    </row>
    <row r="2164" spans="6:6">
      <c r="F2164" s="2064" t="s">
        <v>8098</v>
      </c>
    </row>
    <row r="2165" spans="6:6">
      <c r="F2165" s="2064" t="s">
        <v>8099</v>
      </c>
    </row>
    <row r="2166" spans="6:6">
      <c r="F2166" s="2064" t="s">
        <v>8100</v>
      </c>
    </row>
    <row r="2167" spans="6:6">
      <c r="F2167" s="2064" t="s">
        <v>8101</v>
      </c>
    </row>
    <row r="2168" spans="6:6">
      <c r="F2168" s="2064" t="s">
        <v>8102</v>
      </c>
    </row>
    <row r="2169" spans="6:6">
      <c r="F2169" s="2064" t="s">
        <v>8103</v>
      </c>
    </row>
    <row r="2170" spans="6:6">
      <c r="F2170" s="2064" t="s">
        <v>8104</v>
      </c>
    </row>
    <row r="2171" spans="6:6">
      <c r="F2171" s="2064" t="s">
        <v>8105</v>
      </c>
    </row>
    <row r="2172" spans="6:6">
      <c r="F2172" s="2064" t="s">
        <v>8106</v>
      </c>
    </row>
    <row r="2173" spans="6:6">
      <c r="F2173" s="2064" t="s">
        <v>8107</v>
      </c>
    </row>
    <row r="2174" spans="6:6">
      <c r="F2174" s="2064" t="s">
        <v>8108</v>
      </c>
    </row>
    <row r="2175" spans="6:6">
      <c r="F2175" s="2064" t="s">
        <v>8109</v>
      </c>
    </row>
    <row r="2176" spans="6:6">
      <c r="F2176" s="2064" t="s">
        <v>8110</v>
      </c>
    </row>
    <row r="2177" spans="6:6">
      <c r="F2177" s="2064" t="s">
        <v>8111</v>
      </c>
    </row>
    <row r="2178" spans="6:6">
      <c r="F2178" s="2064" t="s">
        <v>8112</v>
      </c>
    </row>
    <row r="2179" spans="6:6">
      <c r="F2179" s="2064" t="s">
        <v>8113</v>
      </c>
    </row>
    <row r="2180" spans="6:6">
      <c r="F2180" s="2064" t="s">
        <v>8114</v>
      </c>
    </row>
    <row r="2181" spans="6:6">
      <c r="F2181" s="2064" t="s">
        <v>8115</v>
      </c>
    </row>
    <row r="2182" spans="6:6">
      <c r="F2182" s="2064" t="s">
        <v>8116</v>
      </c>
    </row>
    <row r="2183" spans="6:6">
      <c r="F2183" s="2064" t="s">
        <v>8117</v>
      </c>
    </row>
    <row r="2184" spans="6:6">
      <c r="F2184" s="2064" t="s">
        <v>8118</v>
      </c>
    </row>
    <row r="2185" spans="6:6">
      <c r="F2185" s="2064" t="s">
        <v>8119</v>
      </c>
    </row>
    <row r="2186" spans="6:6">
      <c r="F2186" s="2064" t="s">
        <v>8120</v>
      </c>
    </row>
    <row r="2187" spans="6:6">
      <c r="F2187" s="2064" t="s">
        <v>8121</v>
      </c>
    </row>
    <row r="2188" spans="6:6">
      <c r="F2188" s="2064" t="s">
        <v>8122</v>
      </c>
    </row>
    <row r="2189" spans="6:6">
      <c r="F2189" s="2064" t="s">
        <v>8123</v>
      </c>
    </row>
    <row r="2190" spans="6:6">
      <c r="F2190" s="2064" t="s">
        <v>8124</v>
      </c>
    </row>
    <row r="2191" spans="6:6">
      <c r="F2191" s="2064" t="s">
        <v>8125</v>
      </c>
    </row>
    <row r="2192" spans="6:6">
      <c r="F2192" s="2064" t="s">
        <v>8126</v>
      </c>
    </row>
    <row r="2193" spans="6:6">
      <c r="F2193" s="2064" t="s">
        <v>8127</v>
      </c>
    </row>
    <row r="2194" spans="6:6">
      <c r="F2194" s="2064" t="s">
        <v>8128</v>
      </c>
    </row>
    <row r="2195" spans="6:6">
      <c r="F2195" s="2064" t="s">
        <v>8129</v>
      </c>
    </row>
    <row r="2196" spans="6:6">
      <c r="F2196" s="2064" t="s">
        <v>8130</v>
      </c>
    </row>
    <row r="2197" spans="6:6">
      <c r="F2197" s="2064" t="s">
        <v>8131</v>
      </c>
    </row>
    <row r="2198" spans="6:6">
      <c r="F2198" s="2064" t="s">
        <v>8132</v>
      </c>
    </row>
    <row r="2199" spans="6:6">
      <c r="F2199" s="2064" t="s">
        <v>8133</v>
      </c>
    </row>
    <row r="2200" spans="6:6">
      <c r="F2200" s="2064" t="s">
        <v>8134</v>
      </c>
    </row>
    <row r="2201" spans="6:6">
      <c r="F2201" s="2064" t="s">
        <v>8135</v>
      </c>
    </row>
    <row r="2202" spans="6:6">
      <c r="F2202" s="2064" t="s">
        <v>8136</v>
      </c>
    </row>
    <row r="2203" spans="6:6">
      <c r="F2203" s="2064" t="s">
        <v>8137</v>
      </c>
    </row>
    <row r="2204" spans="6:6">
      <c r="F2204" s="2064" t="s">
        <v>8138</v>
      </c>
    </row>
    <row r="2205" spans="6:6">
      <c r="F2205" s="2064" t="s">
        <v>8139</v>
      </c>
    </row>
    <row r="2206" spans="6:6">
      <c r="F2206" s="2064" t="s">
        <v>8140</v>
      </c>
    </row>
    <row r="2207" spans="6:6">
      <c r="F2207" s="2064" t="s">
        <v>8141</v>
      </c>
    </row>
    <row r="2208" spans="6:6">
      <c r="F2208" s="2064" t="s">
        <v>8142</v>
      </c>
    </row>
    <row r="2209" spans="6:6">
      <c r="F2209" s="2064" t="s">
        <v>8143</v>
      </c>
    </row>
    <row r="2210" spans="6:6">
      <c r="F2210" s="2064" t="s">
        <v>8144</v>
      </c>
    </row>
    <row r="2211" spans="6:6">
      <c r="F2211" s="2064" t="s">
        <v>8145</v>
      </c>
    </row>
    <row r="2212" spans="6:6">
      <c r="F2212" s="2064" t="s">
        <v>8146</v>
      </c>
    </row>
    <row r="2213" spans="6:6">
      <c r="F2213" s="2064" t="s">
        <v>8147</v>
      </c>
    </row>
    <row r="2214" spans="6:6">
      <c r="F2214" s="2064" t="s">
        <v>8148</v>
      </c>
    </row>
    <row r="2215" spans="6:6">
      <c r="F2215" s="2064" t="s">
        <v>8149</v>
      </c>
    </row>
    <row r="2216" spans="6:6">
      <c r="F2216" s="2064" t="s">
        <v>8150</v>
      </c>
    </row>
    <row r="2217" spans="6:6">
      <c r="F2217" s="2064" t="s">
        <v>8151</v>
      </c>
    </row>
    <row r="2218" spans="6:6">
      <c r="F2218" s="2064" t="s">
        <v>8152</v>
      </c>
    </row>
    <row r="2219" spans="6:6">
      <c r="F2219" s="2064" t="s">
        <v>8153</v>
      </c>
    </row>
    <row r="2220" spans="6:6">
      <c r="F2220" s="2064" t="s">
        <v>8154</v>
      </c>
    </row>
    <row r="2221" spans="6:6">
      <c r="F2221" s="2064" t="s">
        <v>8155</v>
      </c>
    </row>
    <row r="2222" spans="6:6">
      <c r="F2222" s="2064" t="s">
        <v>8156</v>
      </c>
    </row>
    <row r="2223" spans="6:6">
      <c r="F2223" s="2064" t="s">
        <v>8157</v>
      </c>
    </row>
    <row r="2224" spans="6:6">
      <c r="F2224" s="2064" t="s">
        <v>8158</v>
      </c>
    </row>
    <row r="2225" spans="6:6">
      <c r="F2225" s="2064" t="s">
        <v>8159</v>
      </c>
    </row>
    <row r="2226" spans="6:6">
      <c r="F2226" s="2064" t="s">
        <v>8160</v>
      </c>
    </row>
    <row r="2227" spans="6:6">
      <c r="F2227" s="2064" t="s">
        <v>8161</v>
      </c>
    </row>
    <row r="2228" spans="6:6">
      <c r="F2228" s="2064" t="s">
        <v>8162</v>
      </c>
    </row>
    <row r="2229" spans="6:6">
      <c r="F2229" s="2064" t="s">
        <v>8163</v>
      </c>
    </row>
    <row r="2230" spans="6:6">
      <c r="F2230" s="2064" t="s">
        <v>8164</v>
      </c>
    </row>
    <row r="2231" spans="6:6">
      <c r="F2231" s="2064" t="s">
        <v>8165</v>
      </c>
    </row>
    <row r="2232" spans="6:6">
      <c r="F2232" s="2064" t="s">
        <v>8166</v>
      </c>
    </row>
    <row r="2233" spans="6:6">
      <c r="F2233" s="2064" t="s">
        <v>8167</v>
      </c>
    </row>
    <row r="2234" spans="6:6">
      <c r="F2234" s="2064" t="s">
        <v>8168</v>
      </c>
    </row>
    <row r="2235" spans="6:6">
      <c r="F2235" s="2064" t="s">
        <v>8169</v>
      </c>
    </row>
    <row r="2236" spans="6:6">
      <c r="F2236" s="2064" t="s">
        <v>8170</v>
      </c>
    </row>
    <row r="2237" spans="6:6">
      <c r="F2237" s="2064" t="s">
        <v>8171</v>
      </c>
    </row>
    <row r="2238" spans="6:6">
      <c r="F2238" s="2064" t="s">
        <v>8172</v>
      </c>
    </row>
    <row r="2239" spans="6:6">
      <c r="F2239" s="2064" t="s">
        <v>8173</v>
      </c>
    </row>
    <row r="2240" spans="6:6">
      <c r="F2240" s="2064" t="s">
        <v>8174</v>
      </c>
    </row>
    <row r="2241" spans="6:6">
      <c r="F2241" s="2064" t="s">
        <v>8175</v>
      </c>
    </row>
    <row r="2242" spans="6:6">
      <c r="F2242" s="2064" t="s">
        <v>8176</v>
      </c>
    </row>
    <row r="2243" spans="6:6">
      <c r="F2243" s="2064" t="s">
        <v>8177</v>
      </c>
    </row>
    <row r="2244" spans="6:6">
      <c r="F2244" s="2064" t="s">
        <v>8178</v>
      </c>
    </row>
    <row r="2245" spans="6:6">
      <c r="F2245" s="2064" t="s">
        <v>8179</v>
      </c>
    </row>
    <row r="2246" spans="6:6">
      <c r="F2246" s="2064" t="s">
        <v>8180</v>
      </c>
    </row>
    <row r="2247" spans="6:6">
      <c r="F2247" s="2064" t="s">
        <v>8181</v>
      </c>
    </row>
    <row r="2248" spans="6:6">
      <c r="F2248" s="2064" t="s">
        <v>8182</v>
      </c>
    </row>
    <row r="2249" spans="6:6">
      <c r="F2249" s="2064" t="s">
        <v>8183</v>
      </c>
    </row>
    <row r="2250" spans="6:6">
      <c r="F2250" s="2064" t="s">
        <v>8184</v>
      </c>
    </row>
    <row r="2251" spans="6:6">
      <c r="F2251" s="2064" t="s">
        <v>8185</v>
      </c>
    </row>
    <row r="2252" spans="6:6">
      <c r="F2252" s="2064" t="s">
        <v>8186</v>
      </c>
    </row>
    <row r="2253" spans="6:6">
      <c r="F2253" s="2064" t="s">
        <v>8187</v>
      </c>
    </row>
    <row r="2254" spans="6:6">
      <c r="F2254" s="2064" t="s">
        <v>8188</v>
      </c>
    </row>
    <row r="2255" spans="6:6">
      <c r="F2255" s="2064" t="s">
        <v>8189</v>
      </c>
    </row>
    <row r="2256" spans="6:6">
      <c r="F2256" s="2064" t="s">
        <v>8190</v>
      </c>
    </row>
    <row r="2257" spans="6:6">
      <c r="F2257" s="2064" t="s">
        <v>8191</v>
      </c>
    </row>
    <row r="2258" spans="6:6">
      <c r="F2258" s="2064" t="s">
        <v>8192</v>
      </c>
    </row>
    <row r="2259" spans="6:6">
      <c r="F2259" s="2064" t="s">
        <v>8193</v>
      </c>
    </row>
    <row r="2260" spans="6:6">
      <c r="F2260" s="2064" t="s">
        <v>8194</v>
      </c>
    </row>
    <row r="2261" spans="6:6">
      <c r="F2261" s="2064" t="s">
        <v>8195</v>
      </c>
    </row>
    <row r="2262" spans="6:6">
      <c r="F2262" s="2064" t="s">
        <v>8196</v>
      </c>
    </row>
    <row r="2263" spans="6:6">
      <c r="F2263" s="2064" t="s">
        <v>8197</v>
      </c>
    </row>
    <row r="2264" spans="6:6">
      <c r="F2264" s="2064" t="s">
        <v>8198</v>
      </c>
    </row>
    <row r="2265" spans="6:6">
      <c r="F2265" s="2064" t="s">
        <v>8199</v>
      </c>
    </row>
    <row r="2266" spans="6:6">
      <c r="F2266" s="2064" t="s">
        <v>8200</v>
      </c>
    </row>
    <row r="2267" spans="6:6">
      <c r="F2267" s="2064" t="s">
        <v>8201</v>
      </c>
    </row>
    <row r="2268" spans="6:6">
      <c r="F2268" s="2064" t="s">
        <v>8202</v>
      </c>
    </row>
    <row r="2269" spans="6:6">
      <c r="F2269" s="2064" t="s">
        <v>8203</v>
      </c>
    </row>
    <row r="2270" spans="6:6">
      <c r="F2270" s="2064" t="s">
        <v>8204</v>
      </c>
    </row>
    <row r="2271" spans="6:6">
      <c r="F2271" s="2064" t="s">
        <v>8205</v>
      </c>
    </row>
    <row r="2272" spans="6:6">
      <c r="F2272" s="2064" t="s">
        <v>8206</v>
      </c>
    </row>
    <row r="2273" spans="6:6">
      <c r="F2273" s="2064" t="s">
        <v>8207</v>
      </c>
    </row>
    <row r="2274" spans="6:6">
      <c r="F2274" s="2064" t="s">
        <v>8208</v>
      </c>
    </row>
    <row r="2275" spans="6:6">
      <c r="F2275" s="2064" t="s">
        <v>8209</v>
      </c>
    </row>
    <row r="2276" spans="6:6">
      <c r="F2276" s="2064" t="s">
        <v>8210</v>
      </c>
    </row>
    <row r="2277" spans="6:6">
      <c r="F2277" s="2064" t="s">
        <v>8211</v>
      </c>
    </row>
    <row r="2278" spans="6:6">
      <c r="F2278" s="2064" t="s">
        <v>8212</v>
      </c>
    </row>
    <row r="2279" spans="6:6">
      <c r="F2279" s="2064" t="s">
        <v>8213</v>
      </c>
    </row>
    <row r="2280" spans="6:6">
      <c r="F2280" s="2064" t="s">
        <v>8214</v>
      </c>
    </row>
    <row r="2281" spans="6:6">
      <c r="F2281" s="2064" t="s">
        <v>8215</v>
      </c>
    </row>
    <row r="2282" spans="6:6">
      <c r="F2282" s="2064" t="s">
        <v>8216</v>
      </c>
    </row>
    <row r="2283" spans="6:6">
      <c r="F2283" s="2064" t="s">
        <v>8217</v>
      </c>
    </row>
    <row r="2284" spans="6:6">
      <c r="F2284" s="2064" t="s">
        <v>8218</v>
      </c>
    </row>
    <row r="2285" spans="6:6">
      <c r="F2285" s="2064" t="s">
        <v>8219</v>
      </c>
    </row>
    <row r="2286" spans="6:6">
      <c r="F2286" s="2064" t="s">
        <v>8220</v>
      </c>
    </row>
    <row r="2287" spans="6:6">
      <c r="F2287" s="2064" t="s">
        <v>8221</v>
      </c>
    </row>
    <row r="2288" spans="6:6">
      <c r="F2288" s="2064" t="s">
        <v>8222</v>
      </c>
    </row>
    <row r="2289" spans="6:6">
      <c r="F2289" s="2064" t="s">
        <v>8223</v>
      </c>
    </row>
    <row r="2290" spans="6:6">
      <c r="F2290" s="2064" t="s">
        <v>8224</v>
      </c>
    </row>
    <row r="2291" spans="6:6">
      <c r="F2291" s="2064" t="s">
        <v>8225</v>
      </c>
    </row>
    <row r="2292" spans="6:6">
      <c r="F2292" s="2064" t="s">
        <v>8226</v>
      </c>
    </row>
    <row r="2293" spans="6:6">
      <c r="F2293" s="2064" t="s">
        <v>8227</v>
      </c>
    </row>
    <row r="2294" spans="6:6">
      <c r="F2294" s="2064" t="s">
        <v>8228</v>
      </c>
    </row>
    <row r="2295" spans="6:6">
      <c r="F2295" s="2064" t="s">
        <v>8229</v>
      </c>
    </row>
    <row r="2296" spans="6:6">
      <c r="F2296" s="2064" t="s">
        <v>8230</v>
      </c>
    </row>
    <row r="2297" spans="6:6">
      <c r="F2297" s="2064" t="s">
        <v>8231</v>
      </c>
    </row>
    <row r="2298" spans="6:6">
      <c r="F2298" s="2064" t="s">
        <v>8232</v>
      </c>
    </row>
    <row r="2299" spans="6:6">
      <c r="F2299" s="2064" t="s">
        <v>8233</v>
      </c>
    </row>
    <row r="2300" spans="6:6">
      <c r="F2300" s="2064" t="s">
        <v>8234</v>
      </c>
    </row>
    <row r="2301" spans="6:6">
      <c r="F2301" s="2064" t="s">
        <v>8235</v>
      </c>
    </row>
    <row r="2302" spans="6:6">
      <c r="F2302" s="2064" t="s">
        <v>8236</v>
      </c>
    </row>
    <row r="2303" spans="6:6">
      <c r="F2303" s="2064" t="s">
        <v>8237</v>
      </c>
    </row>
    <row r="2304" spans="6:6">
      <c r="F2304" s="2064" t="s">
        <v>8238</v>
      </c>
    </row>
    <row r="2305" spans="6:6">
      <c r="F2305" s="2064" t="s">
        <v>8239</v>
      </c>
    </row>
    <row r="2306" spans="6:6">
      <c r="F2306" s="2064" t="s">
        <v>8240</v>
      </c>
    </row>
    <row r="2307" spans="6:6">
      <c r="F2307" s="2064" t="s">
        <v>8241</v>
      </c>
    </row>
    <row r="2308" spans="6:6">
      <c r="F2308" s="2064" t="s">
        <v>8242</v>
      </c>
    </row>
    <row r="2309" spans="6:6">
      <c r="F2309" s="2064" t="s">
        <v>8243</v>
      </c>
    </row>
    <row r="2310" spans="6:6">
      <c r="F2310" s="2064" t="s">
        <v>8244</v>
      </c>
    </row>
    <row r="2311" spans="6:6">
      <c r="F2311" s="2064" t="s">
        <v>8245</v>
      </c>
    </row>
    <row r="2312" spans="6:6">
      <c r="F2312" s="2064" t="s">
        <v>8246</v>
      </c>
    </row>
    <row r="2313" spans="6:6">
      <c r="F2313" s="2064" t="s">
        <v>8247</v>
      </c>
    </row>
    <row r="2314" spans="6:6">
      <c r="F2314" s="2064" t="s">
        <v>8248</v>
      </c>
    </row>
    <row r="2315" spans="6:6">
      <c r="F2315" s="2064" t="s">
        <v>8249</v>
      </c>
    </row>
    <row r="2316" spans="6:6">
      <c r="F2316" s="2064" t="s">
        <v>8250</v>
      </c>
    </row>
    <row r="2317" spans="6:6">
      <c r="F2317" s="2064" t="s">
        <v>8251</v>
      </c>
    </row>
    <row r="2318" spans="6:6">
      <c r="F2318" s="2064" t="s">
        <v>8252</v>
      </c>
    </row>
    <row r="2319" spans="6:6">
      <c r="F2319" s="2064" t="s">
        <v>8253</v>
      </c>
    </row>
    <row r="2320" spans="6:6">
      <c r="F2320" s="2064" t="s">
        <v>8254</v>
      </c>
    </row>
    <row r="2321" spans="6:6">
      <c r="F2321" s="2064" t="s">
        <v>8255</v>
      </c>
    </row>
    <row r="2322" spans="6:6">
      <c r="F2322" s="2064" t="s">
        <v>8256</v>
      </c>
    </row>
    <row r="2323" spans="6:6">
      <c r="F2323" s="2064" t="s">
        <v>8257</v>
      </c>
    </row>
    <row r="2324" spans="6:6">
      <c r="F2324" s="2064" t="s">
        <v>8258</v>
      </c>
    </row>
    <row r="2325" spans="6:6">
      <c r="F2325" s="2064" t="s">
        <v>8259</v>
      </c>
    </row>
    <row r="2326" spans="6:6">
      <c r="F2326" s="2064" t="s">
        <v>8260</v>
      </c>
    </row>
    <row r="2327" spans="6:6">
      <c r="F2327" s="2064" t="s">
        <v>8261</v>
      </c>
    </row>
    <row r="2328" spans="6:6">
      <c r="F2328" s="2064" t="s">
        <v>8262</v>
      </c>
    </row>
    <row r="2329" spans="6:6">
      <c r="F2329" s="2064" t="s">
        <v>8263</v>
      </c>
    </row>
    <row r="2330" spans="6:6">
      <c r="F2330" s="2064" t="s">
        <v>8264</v>
      </c>
    </row>
    <row r="2331" spans="6:6">
      <c r="F2331" s="2064" t="s">
        <v>8265</v>
      </c>
    </row>
    <row r="2332" spans="6:6">
      <c r="F2332" s="2064" t="s">
        <v>8266</v>
      </c>
    </row>
    <row r="2333" spans="6:6">
      <c r="F2333" s="2064" t="s">
        <v>8267</v>
      </c>
    </row>
    <row r="2334" spans="6:6">
      <c r="F2334" s="2064" t="s">
        <v>8268</v>
      </c>
    </row>
    <row r="2335" spans="6:6">
      <c r="F2335" s="2064" t="s">
        <v>8269</v>
      </c>
    </row>
    <row r="2336" spans="6:6">
      <c r="F2336" s="2064" t="s">
        <v>8270</v>
      </c>
    </row>
    <row r="2337" spans="6:6">
      <c r="F2337" s="2064" t="s">
        <v>8271</v>
      </c>
    </row>
    <row r="2338" spans="6:6">
      <c r="F2338" s="2064" t="s">
        <v>8272</v>
      </c>
    </row>
    <row r="2339" spans="6:6">
      <c r="F2339" s="2064" t="s">
        <v>8273</v>
      </c>
    </row>
    <row r="2340" spans="6:6">
      <c r="F2340" s="2064" t="s">
        <v>8274</v>
      </c>
    </row>
    <row r="2341" spans="6:6">
      <c r="F2341" s="2064" t="s">
        <v>8275</v>
      </c>
    </row>
    <row r="2342" spans="6:6">
      <c r="F2342" s="2064" t="s">
        <v>8276</v>
      </c>
    </row>
    <row r="2343" spans="6:6">
      <c r="F2343" s="2064" t="s">
        <v>8277</v>
      </c>
    </row>
    <row r="2344" spans="6:6">
      <c r="F2344" s="2064" t="s">
        <v>8278</v>
      </c>
    </row>
    <row r="2345" spans="6:6">
      <c r="F2345" s="2064" t="s">
        <v>8279</v>
      </c>
    </row>
    <row r="2346" spans="6:6">
      <c r="F2346" s="2064" t="s">
        <v>8280</v>
      </c>
    </row>
    <row r="2347" spans="6:6">
      <c r="F2347" s="2064" t="s">
        <v>8281</v>
      </c>
    </row>
    <row r="2348" spans="6:6">
      <c r="F2348" s="2064" t="s">
        <v>8282</v>
      </c>
    </row>
    <row r="2349" spans="6:6">
      <c r="F2349" s="2064" t="s">
        <v>8283</v>
      </c>
    </row>
    <row r="2350" spans="6:6">
      <c r="F2350" s="2064" t="s">
        <v>8284</v>
      </c>
    </row>
    <row r="2351" spans="6:6">
      <c r="F2351" s="2064" t="s">
        <v>8285</v>
      </c>
    </row>
    <row r="2352" spans="6:6">
      <c r="F2352" s="2064" t="s">
        <v>8286</v>
      </c>
    </row>
    <row r="2353" spans="6:6">
      <c r="F2353" s="2064" t="s">
        <v>8287</v>
      </c>
    </row>
    <row r="2354" spans="6:6">
      <c r="F2354" s="2064" t="s">
        <v>8288</v>
      </c>
    </row>
    <row r="2355" spans="6:6">
      <c r="F2355" s="2064" t="s">
        <v>8289</v>
      </c>
    </row>
    <row r="2356" spans="6:6">
      <c r="F2356" s="2064" t="s">
        <v>8290</v>
      </c>
    </row>
    <row r="2357" spans="6:6">
      <c r="F2357" s="2064" t="s">
        <v>8291</v>
      </c>
    </row>
    <row r="2358" spans="6:6">
      <c r="F2358" s="2064" t="s">
        <v>8292</v>
      </c>
    </row>
    <row r="2359" spans="6:6">
      <c r="F2359" s="2064" t="s">
        <v>8293</v>
      </c>
    </row>
    <row r="2360" spans="6:6">
      <c r="F2360" s="2064" t="s">
        <v>8294</v>
      </c>
    </row>
    <row r="2361" spans="6:6">
      <c r="F2361" s="2064" t="s">
        <v>8295</v>
      </c>
    </row>
    <row r="2362" spans="6:6">
      <c r="F2362" s="2064" t="s">
        <v>8296</v>
      </c>
    </row>
    <row r="2363" spans="6:6">
      <c r="F2363" s="2064" t="s">
        <v>8297</v>
      </c>
    </row>
    <row r="2364" spans="6:6">
      <c r="F2364" s="2064" t="s">
        <v>8298</v>
      </c>
    </row>
    <row r="2365" spans="6:6">
      <c r="F2365" s="2064" t="s">
        <v>8299</v>
      </c>
    </row>
    <row r="2366" spans="6:6">
      <c r="F2366" s="2064" t="s">
        <v>8300</v>
      </c>
    </row>
    <row r="2367" spans="6:6">
      <c r="F2367" s="2064" t="s">
        <v>8301</v>
      </c>
    </row>
    <row r="2368" spans="6:6">
      <c r="F2368" s="2064" t="s">
        <v>8302</v>
      </c>
    </row>
    <row r="2369" spans="6:6">
      <c r="F2369" s="2064" t="s">
        <v>8303</v>
      </c>
    </row>
    <row r="2370" spans="6:6">
      <c r="F2370" s="2064" t="s">
        <v>8304</v>
      </c>
    </row>
    <row r="2371" spans="6:6">
      <c r="F2371" s="2064" t="s">
        <v>8305</v>
      </c>
    </row>
    <row r="2372" spans="6:6">
      <c r="F2372" s="2064" t="s">
        <v>8306</v>
      </c>
    </row>
    <row r="2373" spans="6:6">
      <c r="F2373" s="2064" t="s">
        <v>8307</v>
      </c>
    </row>
    <row r="2374" spans="6:6">
      <c r="F2374" s="2064" t="s">
        <v>8308</v>
      </c>
    </row>
    <row r="2375" spans="6:6">
      <c r="F2375" s="2064" t="s">
        <v>8309</v>
      </c>
    </row>
    <row r="2376" spans="6:6">
      <c r="F2376" s="2064" t="s">
        <v>8310</v>
      </c>
    </row>
    <row r="2377" spans="6:6">
      <c r="F2377" s="2064" t="s">
        <v>8311</v>
      </c>
    </row>
    <row r="2378" spans="6:6">
      <c r="F2378" s="2064" t="s">
        <v>8312</v>
      </c>
    </row>
    <row r="2379" spans="6:6">
      <c r="F2379" s="2064" t="s">
        <v>8313</v>
      </c>
    </row>
    <row r="2380" spans="6:6">
      <c r="F2380" s="2064" t="s">
        <v>8314</v>
      </c>
    </row>
    <row r="2381" spans="6:6">
      <c r="F2381" s="2064" t="s">
        <v>8315</v>
      </c>
    </row>
    <row r="2382" spans="6:6">
      <c r="F2382" s="2064" t="s">
        <v>8316</v>
      </c>
    </row>
    <row r="2383" spans="6:6">
      <c r="F2383" s="2064" t="s">
        <v>8317</v>
      </c>
    </row>
    <row r="2384" spans="6:6">
      <c r="F2384" s="2064" t="s">
        <v>8318</v>
      </c>
    </row>
    <row r="2385" spans="6:6">
      <c r="F2385" s="2064" t="s">
        <v>8319</v>
      </c>
    </row>
    <row r="2386" spans="6:6">
      <c r="F2386" s="2064" t="s">
        <v>8320</v>
      </c>
    </row>
    <row r="2387" spans="6:6">
      <c r="F2387" s="2064" t="s">
        <v>8321</v>
      </c>
    </row>
    <row r="2388" spans="6:6">
      <c r="F2388" s="2064" t="s">
        <v>8322</v>
      </c>
    </row>
    <row r="2389" spans="6:6">
      <c r="F2389" s="2064" t="s">
        <v>8323</v>
      </c>
    </row>
    <row r="2390" spans="6:6">
      <c r="F2390" s="2064" t="s">
        <v>8324</v>
      </c>
    </row>
    <row r="2391" spans="6:6">
      <c r="F2391" s="2064" t="s">
        <v>8325</v>
      </c>
    </row>
    <row r="2392" spans="6:6">
      <c r="F2392" s="2064" t="s">
        <v>8326</v>
      </c>
    </row>
    <row r="2393" spans="6:6">
      <c r="F2393" s="2064" t="s">
        <v>8327</v>
      </c>
    </row>
    <row r="2394" spans="6:6">
      <c r="F2394" s="2064" t="s">
        <v>8328</v>
      </c>
    </row>
    <row r="2395" spans="6:6">
      <c r="F2395" s="2064" t="s">
        <v>8329</v>
      </c>
    </row>
    <row r="2396" spans="6:6">
      <c r="F2396" s="2064" t="s">
        <v>8330</v>
      </c>
    </row>
    <row r="2397" spans="6:6">
      <c r="F2397" s="2064" t="s">
        <v>8331</v>
      </c>
    </row>
    <row r="2398" spans="6:6">
      <c r="F2398" s="2064" t="s">
        <v>8332</v>
      </c>
    </row>
    <row r="2399" spans="6:6">
      <c r="F2399" s="2064" t="s">
        <v>8333</v>
      </c>
    </row>
    <row r="2400" spans="6:6">
      <c r="F2400" s="2064" t="s">
        <v>8334</v>
      </c>
    </row>
    <row r="2401" spans="6:6">
      <c r="F2401" s="2064" t="s">
        <v>8335</v>
      </c>
    </row>
    <row r="2402" spans="6:6">
      <c r="F2402" s="2064" t="s">
        <v>8336</v>
      </c>
    </row>
    <row r="2403" spans="6:6">
      <c r="F2403" s="2064" t="s">
        <v>8337</v>
      </c>
    </row>
    <row r="2404" spans="6:6">
      <c r="F2404" s="2064" t="s">
        <v>8338</v>
      </c>
    </row>
    <row r="2405" spans="6:6">
      <c r="F2405" s="2064" t="s">
        <v>8339</v>
      </c>
    </row>
    <row r="2406" spans="6:6">
      <c r="F2406" s="2064" t="s">
        <v>8340</v>
      </c>
    </row>
    <row r="2407" spans="6:6">
      <c r="F2407" s="2064" t="s">
        <v>8341</v>
      </c>
    </row>
    <row r="2408" spans="6:6">
      <c r="F2408" s="2064" t="s">
        <v>8342</v>
      </c>
    </row>
    <row r="2409" spans="6:6">
      <c r="F2409" s="2064" t="s">
        <v>8343</v>
      </c>
    </row>
    <row r="2410" spans="6:6">
      <c r="F2410" s="2064" t="s">
        <v>8344</v>
      </c>
    </row>
    <row r="2411" spans="6:6">
      <c r="F2411" s="2064" t="s">
        <v>8345</v>
      </c>
    </row>
    <row r="2412" spans="6:6">
      <c r="F2412" s="2064" t="s">
        <v>8346</v>
      </c>
    </row>
    <row r="2413" spans="6:6">
      <c r="F2413" s="2064" t="s">
        <v>8347</v>
      </c>
    </row>
    <row r="2414" spans="6:6">
      <c r="F2414" s="2064" t="s">
        <v>8348</v>
      </c>
    </row>
    <row r="2415" spans="6:6">
      <c r="F2415" s="2064" t="s">
        <v>8349</v>
      </c>
    </row>
    <row r="2416" spans="6:6">
      <c r="F2416" s="2064" t="s">
        <v>8350</v>
      </c>
    </row>
    <row r="2417" spans="6:6">
      <c r="F2417" s="2064" t="s">
        <v>8351</v>
      </c>
    </row>
    <row r="2418" spans="6:6">
      <c r="F2418" s="2064" t="s">
        <v>8352</v>
      </c>
    </row>
    <row r="2419" spans="6:6">
      <c r="F2419" s="2064" t="s">
        <v>8353</v>
      </c>
    </row>
    <row r="2420" spans="6:6">
      <c r="F2420" s="2064" t="s">
        <v>8354</v>
      </c>
    </row>
    <row r="2421" spans="6:6">
      <c r="F2421" s="2064" t="s">
        <v>8355</v>
      </c>
    </row>
    <row r="2422" spans="6:6">
      <c r="F2422" s="2064" t="s">
        <v>8356</v>
      </c>
    </row>
    <row r="2423" spans="6:6">
      <c r="F2423" s="2064" t="s">
        <v>8357</v>
      </c>
    </row>
    <row r="2424" spans="6:6">
      <c r="F2424" s="2064" t="s">
        <v>8358</v>
      </c>
    </row>
    <row r="2425" spans="6:6">
      <c r="F2425" s="2064" t="s">
        <v>8359</v>
      </c>
    </row>
    <row r="2426" spans="6:6">
      <c r="F2426" s="2064" t="s">
        <v>8360</v>
      </c>
    </row>
    <row r="2427" spans="6:6">
      <c r="F2427" s="2064" t="s">
        <v>8361</v>
      </c>
    </row>
    <row r="2428" spans="6:6">
      <c r="F2428" s="2064" t="s">
        <v>8362</v>
      </c>
    </row>
    <row r="2429" spans="6:6">
      <c r="F2429" s="2064" t="s">
        <v>8363</v>
      </c>
    </row>
    <row r="2430" spans="6:6">
      <c r="F2430" s="2064" t="s">
        <v>8364</v>
      </c>
    </row>
    <row r="2431" spans="6:6">
      <c r="F2431" s="2064" t="s">
        <v>8365</v>
      </c>
    </row>
    <row r="2432" spans="6:6">
      <c r="F2432" s="2064" t="s">
        <v>8366</v>
      </c>
    </row>
    <row r="2433" spans="6:6">
      <c r="F2433" s="2064" t="s">
        <v>8367</v>
      </c>
    </row>
    <row r="2434" spans="6:6">
      <c r="F2434" s="2064" t="s">
        <v>8368</v>
      </c>
    </row>
    <row r="2435" spans="6:6">
      <c r="F2435" s="2064" t="s">
        <v>8369</v>
      </c>
    </row>
    <row r="2436" spans="6:6">
      <c r="F2436" s="2064" t="s">
        <v>8370</v>
      </c>
    </row>
    <row r="2437" spans="6:6">
      <c r="F2437" s="2064" t="s">
        <v>8371</v>
      </c>
    </row>
    <row r="2438" spans="6:6">
      <c r="F2438" s="2064" t="s">
        <v>8372</v>
      </c>
    </row>
    <row r="2439" spans="6:6">
      <c r="F2439" s="2064" t="s">
        <v>8373</v>
      </c>
    </row>
    <row r="2440" spans="6:6">
      <c r="F2440" s="2064" t="s">
        <v>8374</v>
      </c>
    </row>
    <row r="2441" spans="6:6">
      <c r="F2441" s="2064" t="s">
        <v>8375</v>
      </c>
    </row>
    <row r="2442" spans="6:6">
      <c r="F2442" s="2064" t="s">
        <v>8376</v>
      </c>
    </row>
    <row r="2443" spans="6:6">
      <c r="F2443" s="2064" t="s">
        <v>8377</v>
      </c>
    </row>
    <row r="2444" spans="6:6">
      <c r="F2444" s="2064" t="s">
        <v>8378</v>
      </c>
    </row>
    <row r="2445" spans="6:6">
      <c r="F2445" s="2064" t="s">
        <v>8379</v>
      </c>
    </row>
    <row r="2446" spans="6:6">
      <c r="F2446" s="2064" t="s">
        <v>8380</v>
      </c>
    </row>
    <row r="2447" spans="6:6">
      <c r="F2447" s="2064" t="s">
        <v>8381</v>
      </c>
    </row>
    <row r="2448" spans="6:6">
      <c r="F2448" s="2064" t="s">
        <v>8382</v>
      </c>
    </row>
    <row r="2449" spans="6:6">
      <c r="F2449" s="2064" t="s">
        <v>8383</v>
      </c>
    </row>
    <row r="2450" spans="6:6">
      <c r="F2450" s="2064" t="s">
        <v>8384</v>
      </c>
    </row>
    <row r="2451" spans="6:6">
      <c r="F2451" s="2064" t="s">
        <v>8385</v>
      </c>
    </row>
    <row r="2452" spans="6:6">
      <c r="F2452" s="2064" t="s">
        <v>8386</v>
      </c>
    </row>
    <row r="2453" spans="6:6">
      <c r="F2453" s="2064" t="s">
        <v>8387</v>
      </c>
    </row>
    <row r="2454" spans="6:6">
      <c r="F2454" s="2064" t="s">
        <v>8388</v>
      </c>
    </row>
    <row r="2455" spans="6:6">
      <c r="F2455" s="2064" t="s">
        <v>8389</v>
      </c>
    </row>
    <row r="2456" spans="6:6">
      <c r="F2456" s="2064" t="s">
        <v>8390</v>
      </c>
    </row>
    <row r="2457" spans="6:6">
      <c r="F2457" s="2064" t="s">
        <v>8391</v>
      </c>
    </row>
    <row r="2458" spans="6:6">
      <c r="F2458" s="2064" t="s">
        <v>8392</v>
      </c>
    </row>
    <row r="2459" spans="6:6">
      <c r="F2459" s="2064" t="s">
        <v>8393</v>
      </c>
    </row>
    <row r="2460" spans="6:6">
      <c r="F2460" s="2064" t="s">
        <v>8394</v>
      </c>
    </row>
    <row r="2461" spans="6:6">
      <c r="F2461" s="2064" t="s">
        <v>8395</v>
      </c>
    </row>
    <row r="2462" spans="6:6">
      <c r="F2462" s="2064" t="s">
        <v>8396</v>
      </c>
    </row>
    <row r="2463" spans="6:6">
      <c r="F2463" s="2064" t="s">
        <v>8397</v>
      </c>
    </row>
    <row r="2464" spans="6:6">
      <c r="F2464" s="2064" t="s">
        <v>8398</v>
      </c>
    </row>
    <row r="2465" spans="6:6">
      <c r="F2465" s="2064" t="s">
        <v>8399</v>
      </c>
    </row>
    <row r="2466" spans="6:6">
      <c r="F2466" s="2064" t="s">
        <v>8400</v>
      </c>
    </row>
    <row r="2467" spans="6:6">
      <c r="F2467" s="2064" t="s">
        <v>8401</v>
      </c>
    </row>
    <row r="2468" spans="6:6">
      <c r="F2468" s="2064" t="s">
        <v>8402</v>
      </c>
    </row>
    <row r="2469" spans="6:6">
      <c r="F2469" s="2064" t="s">
        <v>8403</v>
      </c>
    </row>
    <row r="2470" spans="6:6">
      <c r="F2470" s="2064" t="s">
        <v>8404</v>
      </c>
    </row>
    <row r="2471" spans="6:6">
      <c r="F2471" s="2064" t="s">
        <v>8405</v>
      </c>
    </row>
    <row r="2472" spans="6:6">
      <c r="F2472" s="2064" t="s">
        <v>8406</v>
      </c>
    </row>
    <row r="2473" spans="6:6">
      <c r="F2473" s="2064" t="s">
        <v>8407</v>
      </c>
    </row>
    <row r="2474" spans="6:6">
      <c r="F2474" s="2064" t="s">
        <v>8408</v>
      </c>
    </row>
    <row r="2475" spans="6:6">
      <c r="F2475" s="2064" t="s">
        <v>8409</v>
      </c>
    </row>
    <row r="2476" spans="6:6">
      <c r="F2476" s="2064" t="s">
        <v>8410</v>
      </c>
    </row>
    <row r="2477" spans="6:6">
      <c r="F2477" s="2064" t="s">
        <v>8411</v>
      </c>
    </row>
    <row r="2478" spans="6:6">
      <c r="F2478" s="2064" t="s">
        <v>8412</v>
      </c>
    </row>
    <row r="2479" spans="6:6">
      <c r="F2479" s="2064" t="s">
        <v>8413</v>
      </c>
    </row>
    <row r="2480" spans="6:6">
      <c r="F2480" s="2064" t="s">
        <v>8414</v>
      </c>
    </row>
    <row r="2481" spans="6:6">
      <c r="F2481" s="2064" t="s">
        <v>8415</v>
      </c>
    </row>
    <row r="2482" spans="6:6">
      <c r="F2482" s="2064" t="s">
        <v>8416</v>
      </c>
    </row>
    <row r="2483" spans="6:6">
      <c r="F2483" s="2064" t="s">
        <v>8417</v>
      </c>
    </row>
    <row r="2484" spans="6:6">
      <c r="F2484" s="2064" t="s">
        <v>8418</v>
      </c>
    </row>
    <row r="2485" spans="6:6">
      <c r="F2485" s="2064" t="s">
        <v>8419</v>
      </c>
    </row>
    <row r="2486" spans="6:6">
      <c r="F2486" s="2064" t="s">
        <v>8420</v>
      </c>
    </row>
    <row r="2487" spans="6:6">
      <c r="F2487" s="2064" t="s">
        <v>8421</v>
      </c>
    </row>
    <row r="2488" spans="6:6">
      <c r="F2488" s="2064" t="s">
        <v>8422</v>
      </c>
    </row>
    <row r="2489" spans="6:6">
      <c r="F2489" s="2064" t="s">
        <v>8423</v>
      </c>
    </row>
    <row r="2490" spans="6:6">
      <c r="F2490" s="2064" t="s">
        <v>8424</v>
      </c>
    </row>
    <row r="2491" spans="6:6">
      <c r="F2491" s="2064" t="s">
        <v>8425</v>
      </c>
    </row>
    <row r="2492" spans="6:6">
      <c r="F2492" s="2064" t="s">
        <v>8426</v>
      </c>
    </row>
    <row r="2493" spans="6:6">
      <c r="F2493" s="2064" t="s">
        <v>8427</v>
      </c>
    </row>
    <row r="2494" spans="6:6">
      <c r="F2494" s="2064" t="s">
        <v>8428</v>
      </c>
    </row>
    <row r="2495" spans="6:6">
      <c r="F2495" s="2064" t="s">
        <v>8429</v>
      </c>
    </row>
    <row r="2496" spans="6:6">
      <c r="F2496" s="2064" t="s">
        <v>8430</v>
      </c>
    </row>
    <row r="2497" spans="6:6">
      <c r="F2497" s="2064" t="s">
        <v>8431</v>
      </c>
    </row>
    <row r="2498" spans="6:6">
      <c r="F2498" s="2064" t="s">
        <v>8432</v>
      </c>
    </row>
    <row r="2499" spans="6:6">
      <c r="F2499" s="2064" t="s">
        <v>8433</v>
      </c>
    </row>
    <row r="2500" spans="6:6">
      <c r="F2500" s="2064" t="s">
        <v>8434</v>
      </c>
    </row>
    <row r="2501" spans="6:6">
      <c r="F2501" s="2064" t="s">
        <v>8435</v>
      </c>
    </row>
    <row r="2502" spans="6:6">
      <c r="F2502" s="2064" t="s">
        <v>8436</v>
      </c>
    </row>
    <row r="2503" spans="6:6">
      <c r="F2503" s="2064" t="s">
        <v>8437</v>
      </c>
    </row>
    <row r="2504" spans="6:6">
      <c r="F2504" s="2064" t="s">
        <v>8438</v>
      </c>
    </row>
    <row r="2505" spans="6:6">
      <c r="F2505" s="2064" t="s">
        <v>8439</v>
      </c>
    </row>
    <row r="2506" spans="6:6">
      <c r="F2506" s="2064" t="s">
        <v>8440</v>
      </c>
    </row>
    <row r="2507" spans="6:6">
      <c r="F2507" s="2064" t="s">
        <v>8441</v>
      </c>
    </row>
    <row r="2508" spans="6:6">
      <c r="F2508" s="2064" t="s">
        <v>8442</v>
      </c>
    </row>
    <row r="2509" spans="6:6">
      <c r="F2509" s="2064" t="s">
        <v>8443</v>
      </c>
    </row>
    <row r="2510" spans="6:6">
      <c r="F2510" s="2064" t="s">
        <v>8444</v>
      </c>
    </row>
    <row r="2511" spans="6:6">
      <c r="F2511" s="2064" t="s">
        <v>8445</v>
      </c>
    </row>
    <row r="2512" spans="6:6">
      <c r="F2512" s="2064" t="s">
        <v>8446</v>
      </c>
    </row>
    <row r="2513" spans="6:6">
      <c r="F2513" s="2064" t="s">
        <v>8447</v>
      </c>
    </row>
    <row r="2514" spans="6:6">
      <c r="F2514" s="2064" t="s">
        <v>8448</v>
      </c>
    </row>
    <row r="2515" spans="6:6">
      <c r="F2515" s="2064" t="s">
        <v>8449</v>
      </c>
    </row>
    <row r="2516" spans="6:6">
      <c r="F2516" s="2064" t="s">
        <v>8450</v>
      </c>
    </row>
    <row r="2517" spans="6:6">
      <c r="F2517" s="2064" t="s">
        <v>8451</v>
      </c>
    </row>
    <row r="2518" spans="6:6">
      <c r="F2518" s="2064" t="s">
        <v>8452</v>
      </c>
    </row>
    <row r="2519" spans="6:6">
      <c r="F2519" s="2064" t="s">
        <v>8453</v>
      </c>
    </row>
    <row r="2520" spans="6:6">
      <c r="F2520" s="2064" t="s">
        <v>8454</v>
      </c>
    </row>
    <row r="2521" spans="6:6">
      <c r="F2521" s="2064" t="s">
        <v>8455</v>
      </c>
    </row>
    <row r="2522" spans="6:6">
      <c r="F2522" s="2064" t="s">
        <v>8456</v>
      </c>
    </row>
    <row r="2523" spans="6:6">
      <c r="F2523" s="2064" t="s">
        <v>8457</v>
      </c>
    </row>
    <row r="2524" spans="6:6">
      <c r="F2524" s="2064" t="s">
        <v>8458</v>
      </c>
    </row>
    <row r="2525" spans="6:6">
      <c r="F2525" s="2064" t="s">
        <v>8459</v>
      </c>
    </row>
    <row r="2526" spans="6:6">
      <c r="F2526" s="2064" t="s">
        <v>8460</v>
      </c>
    </row>
    <row r="2527" spans="6:6">
      <c r="F2527" s="2064" t="s">
        <v>8461</v>
      </c>
    </row>
    <row r="2528" spans="6:6">
      <c r="F2528" s="2064" t="s">
        <v>8462</v>
      </c>
    </row>
    <row r="2529" spans="6:6">
      <c r="F2529" s="2064" t="s">
        <v>8463</v>
      </c>
    </row>
    <row r="2530" spans="6:6">
      <c r="F2530" s="2064" t="s">
        <v>8464</v>
      </c>
    </row>
    <row r="2531" spans="6:6">
      <c r="F2531" s="2064" t="s">
        <v>8465</v>
      </c>
    </row>
    <row r="2532" spans="6:6">
      <c r="F2532" s="2064" t="s">
        <v>8466</v>
      </c>
    </row>
    <row r="2533" spans="6:6">
      <c r="F2533" s="2064" t="s">
        <v>8467</v>
      </c>
    </row>
    <row r="2534" spans="6:6">
      <c r="F2534" s="2064" t="s">
        <v>8468</v>
      </c>
    </row>
    <row r="2535" spans="6:6">
      <c r="F2535" s="2064" t="s">
        <v>8469</v>
      </c>
    </row>
    <row r="2536" spans="6:6">
      <c r="F2536" s="2064" t="s">
        <v>8470</v>
      </c>
    </row>
    <row r="2537" spans="6:6">
      <c r="F2537" s="2064" t="s">
        <v>8471</v>
      </c>
    </row>
    <row r="2538" spans="6:6">
      <c r="F2538" s="2064" t="s">
        <v>8472</v>
      </c>
    </row>
    <row r="2539" spans="6:6">
      <c r="F2539" s="2064" t="s">
        <v>8473</v>
      </c>
    </row>
    <row r="2540" spans="6:6">
      <c r="F2540" s="2064" t="s">
        <v>8474</v>
      </c>
    </row>
    <row r="2541" spans="6:6">
      <c r="F2541" s="2064" t="s">
        <v>8475</v>
      </c>
    </row>
    <row r="2542" spans="6:6">
      <c r="F2542" s="2064" t="s">
        <v>8476</v>
      </c>
    </row>
    <row r="2543" spans="6:6">
      <c r="F2543" s="2064" t="s">
        <v>8477</v>
      </c>
    </row>
    <row r="2544" spans="6:6">
      <c r="F2544" s="2064" t="s">
        <v>8478</v>
      </c>
    </row>
    <row r="2545" spans="6:6">
      <c r="F2545" s="2064" t="s">
        <v>8479</v>
      </c>
    </row>
    <row r="2546" spans="6:6">
      <c r="F2546" s="2064" t="s">
        <v>8480</v>
      </c>
    </row>
    <row r="2547" spans="6:6">
      <c r="F2547" s="2064" t="s">
        <v>8481</v>
      </c>
    </row>
    <row r="2548" spans="6:6">
      <c r="F2548" s="2064" t="s">
        <v>8482</v>
      </c>
    </row>
    <row r="2549" spans="6:6">
      <c r="F2549" s="2064" t="s">
        <v>8483</v>
      </c>
    </row>
    <row r="2550" spans="6:6">
      <c r="F2550" s="2064" t="s">
        <v>8484</v>
      </c>
    </row>
    <row r="2551" spans="6:6">
      <c r="F2551" s="2064" t="s">
        <v>8485</v>
      </c>
    </row>
    <row r="2552" spans="6:6">
      <c r="F2552" s="2064" t="s">
        <v>8486</v>
      </c>
    </row>
    <row r="2553" spans="6:6">
      <c r="F2553" s="2064" t="s">
        <v>8487</v>
      </c>
    </row>
    <row r="2554" spans="6:6">
      <c r="F2554" s="2064" t="s">
        <v>8488</v>
      </c>
    </row>
    <row r="2555" spans="6:6">
      <c r="F2555" s="2064" t="s">
        <v>8489</v>
      </c>
    </row>
    <row r="2556" spans="6:6">
      <c r="F2556" s="2064" t="s">
        <v>8490</v>
      </c>
    </row>
    <row r="2557" spans="6:6">
      <c r="F2557" s="2064" t="s">
        <v>8491</v>
      </c>
    </row>
    <row r="2558" spans="6:6">
      <c r="F2558" s="2064" t="s">
        <v>8492</v>
      </c>
    </row>
    <row r="2559" spans="6:6">
      <c r="F2559" s="2064" t="s">
        <v>8493</v>
      </c>
    </row>
    <row r="2560" spans="6:6">
      <c r="F2560" s="2064" t="s">
        <v>8494</v>
      </c>
    </row>
    <row r="2561" spans="6:6">
      <c r="F2561" s="2064" t="s">
        <v>8495</v>
      </c>
    </row>
    <row r="2562" spans="6:6">
      <c r="F2562" s="2064" t="s">
        <v>8496</v>
      </c>
    </row>
    <row r="2563" spans="6:6">
      <c r="F2563" s="2064" t="s">
        <v>8497</v>
      </c>
    </row>
    <row r="2564" spans="6:6">
      <c r="F2564" s="2064" t="s">
        <v>8498</v>
      </c>
    </row>
    <row r="2565" spans="6:6">
      <c r="F2565" s="2064" t="s">
        <v>8499</v>
      </c>
    </row>
    <row r="2566" spans="6:6">
      <c r="F2566" s="2064" t="s">
        <v>8500</v>
      </c>
    </row>
    <row r="2567" spans="6:6">
      <c r="F2567" s="2064" t="s">
        <v>8501</v>
      </c>
    </row>
    <row r="2568" spans="6:6">
      <c r="F2568" s="2064" t="s">
        <v>8502</v>
      </c>
    </row>
    <row r="2569" spans="6:6">
      <c r="F2569" s="2064" t="s">
        <v>8503</v>
      </c>
    </row>
    <row r="2570" spans="6:6">
      <c r="F2570" s="2064" t="s">
        <v>8504</v>
      </c>
    </row>
    <row r="2571" spans="6:6">
      <c r="F2571" s="2064" t="s">
        <v>8505</v>
      </c>
    </row>
    <row r="2572" spans="6:6">
      <c r="F2572" s="2064" t="s">
        <v>8506</v>
      </c>
    </row>
    <row r="2573" spans="6:6">
      <c r="F2573" s="2064" t="s">
        <v>8507</v>
      </c>
    </row>
    <row r="2574" spans="6:6">
      <c r="F2574" s="2064" t="s">
        <v>8508</v>
      </c>
    </row>
    <row r="2575" spans="6:6">
      <c r="F2575" s="2064" t="s">
        <v>8509</v>
      </c>
    </row>
    <row r="2576" spans="6:6">
      <c r="F2576" s="2064" t="s">
        <v>8510</v>
      </c>
    </row>
    <row r="2577" spans="6:6">
      <c r="F2577" s="2064" t="s">
        <v>8511</v>
      </c>
    </row>
    <row r="2578" spans="6:6">
      <c r="F2578" s="2064" t="s">
        <v>8512</v>
      </c>
    </row>
    <row r="2579" spans="6:6">
      <c r="F2579" s="2064" t="s">
        <v>8513</v>
      </c>
    </row>
    <row r="2580" spans="6:6">
      <c r="F2580" s="2064" t="s">
        <v>8514</v>
      </c>
    </row>
    <row r="2581" spans="6:6">
      <c r="F2581" s="2064" t="s">
        <v>8515</v>
      </c>
    </row>
    <row r="2582" spans="6:6">
      <c r="F2582" s="2064" t="s">
        <v>8516</v>
      </c>
    </row>
    <row r="2583" spans="6:6">
      <c r="F2583" s="2064" t="s">
        <v>8517</v>
      </c>
    </row>
    <row r="2584" spans="6:6">
      <c r="F2584" s="2064" t="s">
        <v>8518</v>
      </c>
    </row>
    <row r="2585" spans="6:6">
      <c r="F2585" s="2064" t="s">
        <v>8519</v>
      </c>
    </row>
    <row r="2586" spans="6:6">
      <c r="F2586" s="2064" t="s">
        <v>8520</v>
      </c>
    </row>
    <row r="2587" spans="6:6">
      <c r="F2587" s="2064" t="s">
        <v>8521</v>
      </c>
    </row>
    <row r="2588" spans="6:6">
      <c r="F2588" s="2064" t="s">
        <v>8522</v>
      </c>
    </row>
    <row r="2589" spans="6:6">
      <c r="F2589" s="2064" t="s">
        <v>8523</v>
      </c>
    </row>
    <row r="2590" spans="6:6">
      <c r="F2590" s="2064" t="s">
        <v>8524</v>
      </c>
    </row>
    <row r="2591" spans="6:6">
      <c r="F2591" s="2064" t="s">
        <v>8525</v>
      </c>
    </row>
    <row r="2592" spans="6:6">
      <c r="F2592" s="2064" t="s">
        <v>8526</v>
      </c>
    </row>
    <row r="2593" spans="6:6">
      <c r="F2593" s="2064" t="s">
        <v>8527</v>
      </c>
    </row>
    <row r="2594" spans="6:6">
      <c r="F2594" s="2064" t="s">
        <v>8528</v>
      </c>
    </row>
    <row r="2595" spans="6:6">
      <c r="F2595" s="2064" t="s">
        <v>8529</v>
      </c>
    </row>
    <row r="2596" spans="6:6">
      <c r="F2596" s="2064" t="s">
        <v>8530</v>
      </c>
    </row>
    <row r="2597" spans="6:6">
      <c r="F2597" s="2064" t="s">
        <v>8531</v>
      </c>
    </row>
    <row r="2598" spans="6:6">
      <c r="F2598" s="2064" t="s">
        <v>8532</v>
      </c>
    </row>
    <row r="2599" spans="6:6">
      <c r="F2599" s="2064" t="s">
        <v>8533</v>
      </c>
    </row>
    <row r="2600" spans="6:6">
      <c r="F2600" s="2064" t="s">
        <v>8534</v>
      </c>
    </row>
    <row r="2601" spans="6:6">
      <c r="F2601" s="2064" t="s">
        <v>8535</v>
      </c>
    </row>
    <row r="2602" spans="6:6">
      <c r="F2602" s="2064" t="s">
        <v>8536</v>
      </c>
    </row>
    <row r="2603" spans="6:6">
      <c r="F2603" s="2064" t="s">
        <v>8537</v>
      </c>
    </row>
    <row r="2604" spans="6:6">
      <c r="F2604" s="2064" t="s">
        <v>8538</v>
      </c>
    </row>
    <row r="2605" spans="6:6">
      <c r="F2605" s="2064" t="s">
        <v>8539</v>
      </c>
    </row>
    <row r="2606" spans="6:6">
      <c r="F2606" s="2064" t="s">
        <v>8540</v>
      </c>
    </row>
    <row r="2607" spans="6:6">
      <c r="F2607" s="2064" t="s">
        <v>8541</v>
      </c>
    </row>
    <row r="2608" spans="6:6">
      <c r="F2608" s="2064" t="s">
        <v>8542</v>
      </c>
    </row>
    <row r="2609" spans="6:6">
      <c r="F2609" s="2064" t="s">
        <v>8543</v>
      </c>
    </row>
    <row r="2610" spans="6:6">
      <c r="F2610" s="2064" t="s">
        <v>8544</v>
      </c>
    </row>
    <row r="2611" spans="6:6">
      <c r="F2611" s="2064" t="s">
        <v>8545</v>
      </c>
    </row>
    <row r="2612" spans="6:6">
      <c r="F2612" s="2064" t="s">
        <v>8546</v>
      </c>
    </row>
    <row r="2613" spans="6:6">
      <c r="F2613" s="2064" t="s">
        <v>8547</v>
      </c>
    </row>
    <row r="2614" spans="6:6">
      <c r="F2614" s="2064" t="s">
        <v>8548</v>
      </c>
    </row>
    <row r="2615" spans="6:6">
      <c r="F2615" s="2064" t="s">
        <v>8549</v>
      </c>
    </row>
    <row r="2616" spans="6:6">
      <c r="F2616" s="2064" t="s">
        <v>8550</v>
      </c>
    </row>
    <row r="2617" spans="6:6">
      <c r="F2617" s="2064" t="s">
        <v>8551</v>
      </c>
    </row>
    <row r="2618" spans="6:6">
      <c r="F2618" s="2064" t="s">
        <v>8552</v>
      </c>
    </row>
    <row r="2619" spans="6:6">
      <c r="F2619" s="2064" t="s">
        <v>8553</v>
      </c>
    </row>
    <row r="2620" spans="6:6">
      <c r="F2620" s="2064" t="s">
        <v>8554</v>
      </c>
    </row>
    <row r="2621" spans="6:6">
      <c r="F2621" s="2064" t="s">
        <v>8555</v>
      </c>
    </row>
    <row r="2622" spans="6:6">
      <c r="F2622" s="2064" t="s">
        <v>8556</v>
      </c>
    </row>
    <row r="2623" spans="6:6">
      <c r="F2623" s="2064" t="s">
        <v>8557</v>
      </c>
    </row>
    <row r="2624" spans="6:6">
      <c r="F2624" s="2064" t="s">
        <v>8558</v>
      </c>
    </row>
    <row r="2625" spans="6:6">
      <c r="F2625" s="2064" t="s">
        <v>8559</v>
      </c>
    </row>
    <row r="2626" spans="6:6">
      <c r="F2626" s="2064" t="s">
        <v>8560</v>
      </c>
    </row>
    <row r="2627" spans="6:6">
      <c r="F2627" s="2064" t="s">
        <v>8561</v>
      </c>
    </row>
    <row r="2628" spans="6:6">
      <c r="F2628" s="2064" t="s">
        <v>8562</v>
      </c>
    </row>
    <row r="2629" spans="6:6">
      <c r="F2629" s="2064" t="s">
        <v>8563</v>
      </c>
    </row>
    <row r="2630" spans="6:6">
      <c r="F2630" s="2064" t="s">
        <v>8564</v>
      </c>
    </row>
    <row r="2631" spans="6:6">
      <c r="F2631" s="2064" t="s">
        <v>8565</v>
      </c>
    </row>
    <row r="2632" spans="6:6">
      <c r="F2632" s="2064" t="s">
        <v>8566</v>
      </c>
    </row>
    <row r="2633" spans="6:6">
      <c r="F2633" s="2064" t="s">
        <v>8567</v>
      </c>
    </row>
    <row r="2634" spans="6:6">
      <c r="F2634" s="2064" t="s">
        <v>8568</v>
      </c>
    </row>
    <row r="2635" spans="6:6">
      <c r="F2635" s="2064" t="s">
        <v>8569</v>
      </c>
    </row>
    <row r="2636" spans="6:6">
      <c r="F2636" s="2064" t="s">
        <v>8570</v>
      </c>
    </row>
    <row r="2637" spans="6:6">
      <c r="F2637" s="2064" t="s">
        <v>8571</v>
      </c>
    </row>
    <row r="2638" spans="6:6">
      <c r="F2638" s="2064" t="s">
        <v>8572</v>
      </c>
    </row>
    <row r="2639" spans="6:6">
      <c r="F2639" s="2064" t="s">
        <v>8573</v>
      </c>
    </row>
    <row r="2640" spans="6:6">
      <c r="F2640" s="2064" t="s">
        <v>8574</v>
      </c>
    </row>
    <row r="2641" spans="6:6">
      <c r="F2641" s="2064" t="s">
        <v>8575</v>
      </c>
    </row>
    <row r="2642" spans="6:6">
      <c r="F2642" s="2064" t="s">
        <v>8576</v>
      </c>
    </row>
    <row r="2643" spans="6:6">
      <c r="F2643" s="2064" t="s">
        <v>8577</v>
      </c>
    </row>
    <row r="2644" spans="6:6">
      <c r="F2644" s="2064" t="s">
        <v>8578</v>
      </c>
    </row>
    <row r="2645" spans="6:6">
      <c r="F2645" s="2064" t="s">
        <v>8579</v>
      </c>
    </row>
    <row r="2646" spans="6:6">
      <c r="F2646" s="2064" t="s">
        <v>8580</v>
      </c>
    </row>
    <row r="2647" spans="6:6">
      <c r="F2647" s="2064" t="s">
        <v>8581</v>
      </c>
    </row>
    <row r="2648" spans="6:6">
      <c r="F2648" s="2064" t="s">
        <v>8582</v>
      </c>
    </row>
    <row r="2649" spans="6:6">
      <c r="F2649" s="2064" t="s">
        <v>8583</v>
      </c>
    </row>
    <row r="2650" spans="6:6">
      <c r="F2650" s="2064" t="s">
        <v>8584</v>
      </c>
    </row>
    <row r="2651" spans="6:6">
      <c r="F2651" s="2064" t="s">
        <v>8585</v>
      </c>
    </row>
    <row r="2652" spans="6:6">
      <c r="F2652" s="2064" t="s">
        <v>8586</v>
      </c>
    </row>
    <row r="2653" spans="6:6">
      <c r="F2653" s="2064" t="s">
        <v>8587</v>
      </c>
    </row>
    <row r="2654" spans="6:6">
      <c r="F2654" s="2064" t="s">
        <v>8588</v>
      </c>
    </row>
    <row r="2655" spans="6:6">
      <c r="F2655" s="2064" t="s">
        <v>8589</v>
      </c>
    </row>
    <row r="2656" spans="6:6">
      <c r="F2656" s="2064" t="s">
        <v>8590</v>
      </c>
    </row>
    <row r="2657" spans="6:6">
      <c r="F2657" s="2064" t="s">
        <v>8591</v>
      </c>
    </row>
    <row r="2658" spans="6:6">
      <c r="F2658" s="2064" t="s">
        <v>8592</v>
      </c>
    </row>
    <row r="2659" spans="6:6">
      <c r="F2659" s="2064" t="s">
        <v>8593</v>
      </c>
    </row>
    <row r="2660" spans="6:6">
      <c r="F2660" s="2064" t="s">
        <v>8594</v>
      </c>
    </row>
    <row r="2661" spans="6:6">
      <c r="F2661" s="2064" t="s">
        <v>8595</v>
      </c>
    </row>
    <row r="2662" spans="6:6">
      <c r="F2662" s="2064" t="s">
        <v>8596</v>
      </c>
    </row>
    <row r="2663" spans="6:6">
      <c r="F2663" s="2064" t="s">
        <v>8597</v>
      </c>
    </row>
    <row r="2664" spans="6:6">
      <c r="F2664" s="2064" t="s">
        <v>8598</v>
      </c>
    </row>
    <row r="2665" spans="6:6">
      <c r="F2665" s="2064" t="s">
        <v>8599</v>
      </c>
    </row>
    <row r="2666" spans="6:6">
      <c r="F2666" s="2064" t="s">
        <v>8600</v>
      </c>
    </row>
    <row r="2667" spans="6:6">
      <c r="F2667" s="2064" t="s">
        <v>8601</v>
      </c>
    </row>
    <row r="2668" spans="6:6">
      <c r="F2668" s="2064" t="s">
        <v>8602</v>
      </c>
    </row>
    <row r="2669" spans="6:6">
      <c r="F2669" s="2064" t="s">
        <v>8603</v>
      </c>
    </row>
    <row r="2670" spans="6:6">
      <c r="F2670" s="2064" t="s">
        <v>8604</v>
      </c>
    </row>
    <row r="2671" spans="6:6">
      <c r="F2671" s="2064" t="s">
        <v>8605</v>
      </c>
    </row>
    <row r="2672" spans="6:6">
      <c r="F2672" s="2064" t="s">
        <v>8606</v>
      </c>
    </row>
    <row r="2673" spans="6:6">
      <c r="F2673" s="2064" t="s">
        <v>8607</v>
      </c>
    </row>
    <row r="2674" spans="6:6">
      <c r="F2674" s="2064" t="s">
        <v>8608</v>
      </c>
    </row>
    <row r="2675" spans="6:6">
      <c r="F2675" s="2064" t="s">
        <v>8609</v>
      </c>
    </row>
    <row r="2676" spans="6:6">
      <c r="F2676" s="2064" t="s">
        <v>8610</v>
      </c>
    </row>
    <row r="2677" spans="6:6">
      <c r="F2677" s="2064" t="s">
        <v>8611</v>
      </c>
    </row>
    <row r="2678" spans="6:6">
      <c r="F2678" s="2064" t="s">
        <v>8612</v>
      </c>
    </row>
    <row r="2679" spans="6:6">
      <c r="F2679" s="2064" t="s">
        <v>8613</v>
      </c>
    </row>
    <row r="2680" spans="6:6">
      <c r="F2680" s="2064" t="s">
        <v>8614</v>
      </c>
    </row>
    <row r="2681" spans="6:6">
      <c r="F2681" s="2064" t="s">
        <v>8615</v>
      </c>
    </row>
    <row r="2682" spans="6:6">
      <c r="F2682" s="2064" t="s">
        <v>8616</v>
      </c>
    </row>
    <row r="2683" spans="6:6">
      <c r="F2683" s="2064" t="s">
        <v>8617</v>
      </c>
    </row>
    <row r="2684" spans="6:6">
      <c r="F2684" s="2064" t="s">
        <v>8618</v>
      </c>
    </row>
    <row r="2685" spans="6:6">
      <c r="F2685" s="2064" t="s">
        <v>8619</v>
      </c>
    </row>
    <row r="2686" spans="6:6">
      <c r="F2686" s="2064" t="s">
        <v>8620</v>
      </c>
    </row>
    <row r="2687" spans="6:6">
      <c r="F2687" s="2064" t="s">
        <v>8621</v>
      </c>
    </row>
    <row r="2688" spans="6:6">
      <c r="F2688" s="2064" t="s">
        <v>8622</v>
      </c>
    </row>
    <row r="2689" spans="6:6">
      <c r="F2689" s="2064" t="s">
        <v>8623</v>
      </c>
    </row>
    <row r="2690" spans="6:6">
      <c r="F2690" s="2064" t="s">
        <v>8624</v>
      </c>
    </row>
    <row r="2691" spans="6:6">
      <c r="F2691" s="2064" t="s">
        <v>8625</v>
      </c>
    </row>
    <row r="2692" spans="6:6">
      <c r="F2692" s="2064" t="s">
        <v>8626</v>
      </c>
    </row>
    <row r="2693" spans="6:6">
      <c r="F2693" s="2064" t="s">
        <v>8627</v>
      </c>
    </row>
    <row r="2694" spans="6:6">
      <c r="F2694" s="2064" t="s">
        <v>8628</v>
      </c>
    </row>
    <row r="2695" spans="6:6">
      <c r="F2695" s="2064" t="s">
        <v>8629</v>
      </c>
    </row>
    <row r="2696" spans="6:6">
      <c r="F2696" s="2064" t="s">
        <v>8630</v>
      </c>
    </row>
    <row r="2697" spans="6:6">
      <c r="F2697" s="2064" t="s">
        <v>8631</v>
      </c>
    </row>
    <row r="2698" spans="6:6">
      <c r="F2698" s="2064" t="s">
        <v>8632</v>
      </c>
    </row>
    <row r="2699" spans="6:6">
      <c r="F2699" s="2064" t="s">
        <v>8633</v>
      </c>
    </row>
    <row r="2700" spans="6:6">
      <c r="F2700" s="2064" t="s">
        <v>8634</v>
      </c>
    </row>
    <row r="2701" spans="6:6">
      <c r="F2701" s="2064" t="s">
        <v>8635</v>
      </c>
    </row>
    <row r="2702" spans="6:6">
      <c r="F2702" s="2064" t="s">
        <v>8636</v>
      </c>
    </row>
    <row r="2703" spans="6:6">
      <c r="F2703" s="2064" t="s">
        <v>8637</v>
      </c>
    </row>
    <row r="2704" spans="6:6">
      <c r="F2704" s="2064" t="s">
        <v>8638</v>
      </c>
    </row>
    <row r="2705" spans="6:6">
      <c r="F2705" s="2064" t="s">
        <v>8639</v>
      </c>
    </row>
    <row r="2706" spans="6:6">
      <c r="F2706" s="2064" t="s">
        <v>8640</v>
      </c>
    </row>
    <row r="2707" spans="6:6">
      <c r="F2707" s="2064" t="s">
        <v>8641</v>
      </c>
    </row>
    <row r="2708" spans="6:6">
      <c r="F2708" s="2064" t="s">
        <v>8642</v>
      </c>
    </row>
    <row r="2709" spans="6:6">
      <c r="F2709" s="2064" t="s">
        <v>8643</v>
      </c>
    </row>
    <row r="2710" spans="6:6">
      <c r="F2710" s="2064" t="s">
        <v>8644</v>
      </c>
    </row>
    <row r="2711" spans="6:6">
      <c r="F2711" s="2064" t="s">
        <v>8645</v>
      </c>
    </row>
    <row r="2712" spans="6:6">
      <c r="F2712" s="2064" t="s">
        <v>8646</v>
      </c>
    </row>
    <row r="2713" spans="6:6">
      <c r="F2713" s="2064" t="s">
        <v>8647</v>
      </c>
    </row>
    <row r="2714" spans="6:6">
      <c r="F2714" s="2064" t="s">
        <v>8648</v>
      </c>
    </row>
    <row r="2715" spans="6:6">
      <c r="F2715" s="2064" t="s">
        <v>8649</v>
      </c>
    </row>
    <row r="2716" spans="6:6">
      <c r="F2716" s="2064" t="s">
        <v>8650</v>
      </c>
    </row>
    <row r="2717" spans="6:6">
      <c r="F2717" s="2064" t="s">
        <v>8651</v>
      </c>
    </row>
    <row r="2718" spans="6:6">
      <c r="F2718" s="2064" t="s">
        <v>8652</v>
      </c>
    </row>
    <row r="2719" spans="6:6">
      <c r="F2719" s="2064" t="s">
        <v>8653</v>
      </c>
    </row>
    <row r="2720" spans="6:6">
      <c r="F2720" s="2064" t="s">
        <v>8654</v>
      </c>
    </row>
    <row r="2721" spans="6:6">
      <c r="F2721" s="2064" t="s">
        <v>8655</v>
      </c>
    </row>
    <row r="2722" spans="6:6">
      <c r="F2722" s="2064" t="s">
        <v>8656</v>
      </c>
    </row>
    <row r="2723" spans="6:6">
      <c r="F2723" s="2064" t="s">
        <v>8657</v>
      </c>
    </row>
    <row r="2724" spans="6:6">
      <c r="F2724" s="2064" t="s">
        <v>8658</v>
      </c>
    </row>
    <row r="2725" spans="6:6">
      <c r="F2725" s="2064" t="s">
        <v>8659</v>
      </c>
    </row>
    <row r="2726" spans="6:6">
      <c r="F2726" s="2064" t="s">
        <v>8660</v>
      </c>
    </row>
    <row r="2727" spans="6:6">
      <c r="F2727" s="2064" t="s">
        <v>8661</v>
      </c>
    </row>
    <row r="2728" spans="6:6">
      <c r="F2728" s="2064" t="s">
        <v>8662</v>
      </c>
    </row>
    <row r="2729" spans="6:6">
      <c r="F2729" s="2064" t="s">
        <v>8663</v>
      </c>
    </row>
    <row r="2730" spans="6:6">
      <c r="F2730" s="2064" t="s">
        <v>8664</v>
      </c>
    </row>
    <row r="2731" spans="6:6">
      <c r="F2731" s="2064" t="s">
        <v>8665</v>
      </c>
    </row>
    <row r="2732" spans="6:6">
      <c r="F2732" s="2064" t="s">
        <v>8666</v>
      </c>
    </row>
    <row r="2733" spans="6:6">
      <c r="F2733" s="2064" t="s">
        <v>8667</v>
      </c>
    </row>
    <row r="2734" spans="6:6">
      <c r="F2734" s="2064" t="s">
        <v>8668</v>
      </c>
    </row>
    <row r="2735" spans="6:6">
      <c r="F2735" s="2064" t="s">
        <v>8669</v>
      </c>
    </row>
    <row r="2736" spans="6:6">
      <c r="F2736" s="2064" t="s">
        <v>8670</v>
      </c>
    </row>
    <row r="2737" spans="6:6">
      <c r="F2737" s="2064" t="s">
        <v>8671</v>
      </c>
    </row>
    <row r="2738" spans="6:6">
      <c r="F2738" s="2064" t="s">
        <v>8672</v>
      </c>
    </row>
    <row r="2739" spans="6:6">
      <c r="F2739" s="2064" t="s">
        <v>8673</v>
      </c>
    </row>
    <row r="2740" spans="6:6">
      <c r="F2740" s="2064" t="s">
        <v>8674</v>
      </c>
    </row>
    <row r="2741" spans="6:6">
      <c r="F2741" s="2064" t="s">
        <v>8675</v>
      </c>
    </row>
    <row r="2742" spans="6:6">
      <c r="F2742" s="2064" t="s">
        <v>8676</v>
      </c>
    </row>
    <row r="2743" spans="6:6">
      <c r="F2743" s="2064" t="s">
        <v>8677</v>
      </c>
    </row>
    <row r="2744" spans="6:6">
      <c r="F2744" s="2064" t="s">
        <v>8678</v>
      </c>
    </row>
    <row r="2745" spans="6:6">
      <c r="F2745" s="2064" t="s">
        <v>8679</v>
      </c>
    </row>
    <row r="2746" spans="6:6">
      <c r="F2746" s="2064" t="s">
        <v>8680</v>
      </c>
    </row>
    <row r="2747" spans="6:6">
      <c r="F2747" s="2064" t="s">
        <v>8681</v>
      </c>
    </row>
    <row r="2748" spans="6:6">
      <c r="F2748" s="2064" t="s">
        <v>8682</v>
      </c>
    </row>
    <row r="2749" spans="6:6">
      <c r="F2749" s="2064" t="s">
        <v>8683</v>
      </c>
    </row>
    <row r="2750" spans="6:6">
      <c r="F2750" s="2064" t="s">
        <v>8684</v>
      </c>
    </row>
    <row r="2751" spans="6:6">
      <c r="F2751" s="2064" t="s">
        <v>8685</v>
      </c>
    </row>
    <row r="2752" spans="6:6">
      <c r="F2752" s="2064" t="s">
        <v>8686</v>
      </c>
    </row>
    <row r="2753" spans="6:6">
      <c r="F2753" s="2064" t="s">
        <v>8687</v>
      </c>
    </row>
    <row r="2754" spans="6:6">
      <c r="F2754" s="2064" t="s">
        <v>8688</v>
      </c>
    </row>
    <row r="2755" spans="6:6">
      <c r="F2755" s="2064" t="s">
        <v>8689</v>
      </c>
    </row>
    <row r="2756" spans="6:6">
      <c r="F2756" s="2064" t="s">
        <v>8690</v>
      </c>
    </row>
    <row r="2757" spans="6:6">
      <c r="F2757" s="2064" t="s">
        <v>8691</v>
      </c>
    </row>
    <row r="2758" spans="6:6">
      <c r="F2758" s="2064" t="s">
        <v>8692</v>
      </c>
    </row>
    <row r="2759" spans="6:6">
      <c r="F2759" s="2064" t="s">
        <v>8693</v>
      </c>
    </row>
    <row r="2760" spans="6:6">
      <c r="F2760" s="2064" t="s">
        <v>8694</v>
      </c>
    </row>
    <row r="2761" spans="6:6">
      <c r="F2761" s="2064" t="s">
        <v>8695</v>
      </c>
    </row>
    <row r="2762" spans="6:6">
      <c r="F2762" s="2064" t="s">
        <v>8696</v>
      </c>
    </row>
    <row r="2763" spans="6:6">
      <c r="F2763" s="2064" t="s">
        <v>8697</v>
      </c>
    </row>
    <row r="2764" spans="6:6">
      <c r="F2764" s="2064" t="s">
        <v>8698</v>
      </c>
    </row>
    <row r="2765" spans="6:6">
      <c r="F2765" s="2064" t="s">
        <v>8699</v>
      </c>
    </row>
    <row r="2766" spans="6:6">
      <c r="F2766" s="2064" t="s">
        <v>8700</v>
      </c>
    </row>
    <row r="2767" spans="6:6">
      <c r="F2767" s="2064" t="s">
        <v>8701</v>
      </c>
    </row>
    <row r="2768" spans="6:6">
      <c r="F2768" s="2064" t="s">
        <v>8702</v>
      </c>
    </row>
    <row r="2769" spans="6:6">
      <c r="F2769" s="2064" t="s">
        <v>8703</v>
      </c>
    </row>
    <row r="2770" spans="6:6">
      <c r="F2770" s="2064" t="s">
        <v>8704</v>
      </c>
    </row>
    <row r="2771" spans="6:6">
      <c r="F2771" s="2064" t="s">
        <v>8705</v>
      </c>
    </row>
    <row r="2772" spans="6:6">
      <c r="F2772" s="2064" t="s">
        <v>8706</v>
      </c>
    </row>
    <row r="2773" spans="6:6">
      <c r="F2773" s="2064" t="s">
        <v>8707</v>
      </c>
    </row>
    <row r="2774" spans="6:6">
      <c r="F2774" s="2064" t="s">
        <v>8708</v>
      </c>
    </row>
    <row r="2775" spans="6:6">
      <c r="F2775" s="2064" t="s">
        <v>8709</v>
      </c>
    </row>
    <row r="2776" spans="6:6">
      <c r="F2776" s="2064" t="s">
        <v>8710</v>
      </c>
    </row>
    <row r="2777" spans="6:6">
      <c r="F2777" s="2064" t="s">
        <v>8711</v>
      </c>
    </row>
    <row r="2778" spans="6:6">
      <c r="F2778" s="2064" t="s">
        <v>8712</v>
      </c>
    </row>
    <row r="2779" spans="6:6">
      <c r="F2779" s="2064" t="s">
        <v>8713</v>
      </c>
    </row>
    <row r="2780" spans="6:6">
      <c r="F2780" s="2064" t="s">
        <v>8714</v>
      </c>
    </row>
    <row r="2781" spans="6:6">
      <c r="F2781" s="2064" t="s">
        <v>8715</v>
      </c>
    </row>
    <row r="2782" spans="6:6">
      <c r="F2782" s="2064" t="s">
        <v>8716</v>
      </c>
    </row>
    <row r="2783" spans="6:6">
      <c r="F2783" s="2064" t="s">
        <v>8717</v>
      </c>
    </row>
    <row r="2784" spans="6:6">
      <c r="F2784" s="2064" t="s">
        <v>8718</v>
      </c>
    </row>
    <row r="2785" spans="6:6">
      <c r="F2785" s="2064" t="s">
        <v>8719</v>
      </c>
    </row>
    <row r="2786" spans="6:6">
      <c r="F2786" s="2064" t="s">
        <v>8720</v>
      </c>
    </row>
    <row r="2787" spans="6:6">
      <c r="F2787" s="2064" t="s">
        <v>8721</v>
      </c>
    </row>
    <row r="2788" spans="6:6">
      <c r="F2788" s="2064" t="s">
        <v>8722</v>
      </c>
    </row>
    <row r="2789" spans="6:6">
      <c r="F2789" s="2064" t="s">
        <v>8723</v>
      </c>
    </row>
    <row r="2790" spans="6:6">
      <c r="F2790" s="2064" t="s">
        <v>8724</v>
      </c>
    </row>
    <row r="2791" spans="6:6">
      <c r="F2791" s="2064" t="s">
        <v>8725</v>
      </c>
    </row>
    <row r="2792" spans="6:6">
      <c r="F2792" s="2064" t="s">
        <v>8726</v>
      </c>
    </row>
    <row r="2793" spans="6:6">
      <c r="F2793" s="2064" t="s">
        <v>8727</v>
      </c>
    </row>
    <row r="2794" spans="6:6">
      <c r="F2794" s="2064" t="s">
        <v>8728</v>
      </c>
    </row>
    <row r="2795" spans="6:6">
      <c r="F2795" s="2064" t="s">
        <v>8729</v>
      </c>
    </row>
    <row r="2796" spans="6:6">
      <c r="F2796" s="2064" t="s">
        <v>8730</v>
      </c>
    </row>
    <row r="2797" spans="6:6">
      <c r="F2797" s="2064" t="s">
        <v>8731</v>
      </c>
    </row>
    <row r="2798" spans="6:6">
      <c r="F2798" s="2064" t="s">
        <v>8732</v>
      </c>
    </row>
    <row r="2799" spans="6:6">
      <c r="F2799" s="2064" t="s">
        <v>8733</v>
      </c>
    </row>
    <row r="2800" spans="6:6">
      <c r="F2800" s="2064" t="s">
        <v>8734</v>
      </c>
    </row>
    <row r="2801" spans="6:6">
      <c r="F2801" s="2064" t="s">
        <v>8735</v>
      </c>
    </row>
    <row r="2802" spans="6:6">
      <c r="F2802" s="2064" t="s">
        <v>8736</v>
      </c>
    </row>
    <row r="2803" spans="6:6">
      <c r="F2803" s="2064" t="s">
        <v>8737</v>
      </c>
    </row>
    <row r="2804" spans="6:6">
      <c r="F2804" s="2064" t="s">
        <v>8738</v>
      </c>
    </row>
    <row r="2805" spans="6:6">
      <c r="F2805" s="2064" t="s">
        <v>8739</v>
      </c>
    </row>
    <row r="2806" spans="6:6">
      <c r="F2806" s="2064" t="s">
        <v>8740</v>
      </c>
    </row>
    <row r="2807" spans="6:6">
      <c r="F2807" s="2064" t="s">
        <v>8741</v>
      </c>
    </row>
    <row r="2808" spans="6:6">
      <c r="F2808" s="2064" t="s">
        <v>8742</v>
      </c>
    </row>
    <row r="2809" spans="6:6">
      <c r="F2809" s="2064" t="s">
        <v>8743</v>
      </c>
    </row>
    <row r="2810" spans="6:6">
      <c r="F2810" s="2064" t="s">
        <v>8744</v>
      </c>
    </row>
    <row r="2811" spans="6:6">
      <c r="F2811" s="2064" t="s">
        <v>8745</v>
      </c>
    </row>
    <row r="2812" spans="6:6">
      <c r="F2812" s="2064" t="s">
        <v>8746</v>
      </c>
    </row>
    <row r="2813" spans="6:6">
      <c r="F2813" s="2064" t="s">
        <v>8747</v>
      </c>
    </row>
    <row r="2814" spans="6:6">
      <c r="F2814" s="2064" t="s">
        <v>8748</v>
      </c>
    </row>
    <row r="2815" spans="6:6">
      <c r="F2815" s="2064" t="s">
        <v>8749</v>
      </c>
    </row>
    <row r="2816" spans="6:6">
      <c r="F2816" s="2064" t="s">
        <v>8750</v>
      </c>
    </row>
    <row r="2817" spans="6:6">
      <c r="F2817" s="2064" t="s">
        <v>8751</v>
      </c>
    </row>
    <row r="2818" spans="6:6">
      <c r="F2818" s="2064" t="s">
        <v>8752</v>
      </c>
    </row>
    <row r="2819" spans="6:6">
      <c r="F2819" s="2064" t="s">
        <v>8753</v>
      </c>
    </row>
    <row r="2820" spans="6:6">
      <c r="F2820" s="2064" t="s">
        <v>8754</v>
      </c>
    </row>
    <row r="2821" spans="6:6">
      <c r="F2821" s="2064" t="s">
        <v>8755</v>
      </c>
    </row>
    <row r="2822" spans="6:6">
      <c r="F2822" s="2064" t="s">
        <v>8756</v>
      </c>
    </row>
    <row r="2823" spans="6:6">
      <c r="F2823" s="2064" t="s">
        <v>8757</v>
      </c>
    </row>
    <row r="2824" spans="6:6">
      <c r="F2824" s="2064" t="s">
        <v>8758</v>
      </c>
    </row>
    <row r="2825" spans="6:6">
      <c r="F2825" s="2064" t="s">
        <v>8759</v>
      </c>
    </row>
    <row r="2826" spans="6:6">
      <c r="F2826" s="2064" t="s">
        <v>8760</v>
      </c>
    </row>
    <row r="2827" spans="6:6">
      <c r="F2827" s="2064" t="s">
        <v>8761</v>
      </c>
    </row>
    <row r="2828" spans="6:6">
      <c r="F2828" s="2064" t="s">
        <v>8762</v>
      </c>
    </row>
    <row r="2829" spans="6:6">
      <c r="F2829" s="2064" t="s">
        <v>8763</v>
      </c>
    </row>
    <row r="2830" spans="6:6">
      <c r="F2830" s="2064" t="s">
        <v>8764</v>
      </c>
    </row>
    <row r="2831" spans="6:6">
      <c r="F2831" s="2064" t="s">
        <v>8765</v>
      </c>
    </row>
    <row r="2832" spans="6:6">
      <c r="F2832" s="2064" t="s">
        <v>8766</v>
      </c>
    </row>
    <row r="2833" spans="6:6">
      <c r="F2833" s="2064" t="s">
        <v>8767</v>
      </c>
    </row>
    <row r="2834" spans="6:6">
      <c r="F2834" s="2064" t="s">
        <v>8768</v>
      </c>
    </row>
    <row r="2835" spans="6:6">
      <c r="F2835" s="2064" t="s">
        <v>8769</v>
      </c>
    </row>
    <row r="2836" spans="6:6">
      <c r="F2836" s="2064" t="s">
        <v>8770</v>
      </c>
    </row>
    <row r="2837" spans="6:6">
      <c r="F2837" s="2064" t="s">
        <v>8771</v>
      </c>
    </row>
    <row r="2838" spans="6:6">
      <c r="F2838" s="2064" t="s">
        <v>8772</v>
      </c>
    </row>
    <row r="2839" spans="6:6">
      <c r="F2839" s="2064" t="s">
        <v>8773</v>
      </c>
    </row>
    <row r="2840" spans="6:6">
      <c r="F2840" s="2064" t="s">
        <v>8774</v>
      </c>
    </row>
    <row r="2841" spans="6:6">
      <c r="F2841" s="2064" t="s">
        <v>8775</v>
      </c>
    </row>
    <row r="2842" spans="6:6">
      <c r="F2842" s="2064" t="s">
        <v>8776</v>
      </c>
    </row>
    <row r="2843" spans="6:6">
      <c r="F2843" s="2064" t="s">
        <v>8777</v>
      </c>
    </row>
    <row r="2844" spans="6:6">
      <c r="F2844" s="2064" t="s">
        <v>8778</v>
      </c>
    </row>
    <row r="2845" spans="6:6">
      <c r="F2845" s="2064" t="s">
        <v>8779</v>
      </c>
    </row>
    <row r="2846" spans="6:6">
      <c r="F2846" s="2064" t="s">
        <v>8780</v>
      </c>
    </row>
    <row r="2847" spans="6:6">
      <c r="F2847" s="2064" t="s">
        <v>8781</v>
      </c>
    </row>
    <row r="2848" spans="6:6">
      <c r="F2848" s="2064" t="s">
        <v>8782</v>
      </c>
    </row>
    <row r="2849" spans="6:6">
      <c r="F2849" s="2064" t="s">
        <v>8783</v>
      </c>
    </row>
    <row r="2850" spans="6:6">
      <c r="F2850" s="2064" t="s">
        <v>8784</v>
      </c>
    </row>
    <row r="2851" spans="6:6">
      <c r="F2851" s="2064" t="s">
        <v>8785</v>
      </c>
    </row>
    <row r="2852" spans="6:6">
      <c r="F2852" s="2064" t="s">
        <v>8786</v>
      </c>
    </row>
    <row r="2853" spans="6:6">
      <c r="F2853" s="2064" t="s">
        <v>8787</v>
      </c>
    </row>
    <row r="2854" spans="6:6">
      <c r="F2854" s="2064" t="s">
        <v>8788</v>
      </c>
    </row>
    <row r="2855" spans="6:6">
      <c r="F2855" s="2064" t="s">
        <v>8789</v>
      </c>
    </row>
    <row r="2856" spans="6:6">
      <c r="F2856" s="2064" t="s">
        <v>8790</v>
      </c>
    </row>
    <row r="2857" spans="6:6">
      <c r="F2857" s="2064" t="s">
        <v>8791</v>
      </c>
    </row>
    <row r="2858" spans="6:6">
      <c r="F2858" s="2064" t="s">
        <v>8792</v>
      </c>
    </row>
    <row r="2859" spans="6:6">
      <c r="F2859" s="2064" t="s">
        <v>8793</v>
      </c>
    </row>
    <row r="2860" spans="6:6">
      <c r="F2860" s="2064" t="s">
        <v>8794</v>
      </c>
    </row>
    <row r="2861" spans="6:6">
      <c r="F2861" s="2064" t="s">
        <v>8795</v>
      </c>
    </row>
    <row r="2862" spans="6:6">
      <c r="F2862" s="2064" t="s">
        <v>8796</v>
      </c>
    </row>
    <row r="2863" spans="6:6">
      <c r="F2863" s="2064" t="s">
        <v>8797</v>
      </c>
    </row>
    <row r="2864" spans="6:6">
      <c r="F2864" s="2064" t="s">
        <v>8798</v>
      </c>
    </row>
    <row r="2865" spans="6:6">
      <c r="F2865" s="2064" t="s">
        <v>8799</v>
      </c>
    </row>
    <row r="2866" spans="6:6">
      <c r="F2866" s="2064" t="s">
        <v>8800</v>
      </c>
    </row>
    <row r="2867" spans="6:6">
      <c r="F2867" s="2064" t="s">
        <v>8801</v>
      </c>
    </row>
    <row r="2868" spans="6:6">
      <c r="F2868" s="2064" t="s">
        <v>8802</v>
      </c>
    </row>
    <row r="2869" spans="6:6">
      <c r="F2869" s="2064" t="s">
        <v>8803</v>
      </c>
    </row>
    <row r="2870" spans="6:6">
      <c r="F2870" s="2064" t="s">
        <v>8804</v>
      </c>
    </row>
    <row r="2871" spans="6:6">
      <c r="F2871" s="2064" t="s">
        <v>8805</v>
      </c>
    </row>
    <row r="2872" spans="6:6">
      <c r="F2872" s="2064" t="s">
        <v>8806</v>
      </c>
    </row>
    <row r="2873" spans="6:6">
      <c r="F2873" s="2064" t="s">
        <v>8807</v>
      </c>
    </row>
    <row r="2874" spans="6:6">
      <c r="F2874" s="2064" t="s">
        <v>8808</v>
      </c>
    </row>
    <row r="2875" spans="6:6">
      <c r="F2875" s="2064" t="s">
        <v>8809</v>
      </c>
    </row>
    <row r="2876" spans="6:6">
      <c r="F2876" s="2064" t="s">
        <v>8810</v>
      </c>
    </row>
    <row r="2877" spans="6:6">
      <c r="F2877" s="2064" t="s">
        <v>8811</v>
      </c>
    </row>
    <row r="2878" spans="6:6">
      <c r="F2878" s="2064" t="s">
        <v>8812</v>
      </c>
    </row>
    <row r="2879" spans="6:6">
      <c r="F2879" s="2064" t="s">
        <v>8813</v>
      </c>
    </row>
    <row r="2880" spans="6:6">
      <c r="F2880" s="2064" t="s">
        <v>8814</v>
      </c>
    </row>
    <row r="2881" spans="6:6">
      <c r="F2881" s="2064" t="s">
        <v>8815</v>
      </c>
    </row>
    <row r="2882" spans="6:6">
      <c r="F2882" s="2064" t="s">
        <v>8816</v>
      </c>
    </row>
    <row r="2883" spans="6:6">
      <c r="F2883" s="2064" t="s">
        <v>8817</v>
      </c>
    </row>
    <row r="2884" spans="6:6">
      <c r="F2884" s="2064" t="s">
        <v>8818</v>
      </c>
    </row>
    <row r="2885" spans="6:6">
      <c r="F2885" s="2064" t="s">
        <v>8819</v>
      </c>
    </row>
    <row r="2886" spans="6:6">
      <c r="F2886" s="2064" t="s">
        <v>8820</v>
      </c>
    </row>
    <row r="2887" spans="6:6">
      <c r="F2887" s="2064" t="s">
        <v>8821</v>
      </c>
    </row>
    <row r="2888" spans="6:6">
      <c r="F2888" s="2064" t="s">
        <v>8822</v>
      </c>
    </row>
    <row r="2889" spans="6:6">
      <c r="F2889" s="2064" t="s">
        <v>8823</v>
      </c>
    </row>
    <row r="2890" spans="6:6">
      <c r="F2890" s="2064" t="s">
        <v>8824</v>
      </c>
    </row>
    <row r="2891" spans="6:6">
      <c r="F2891" s="2064" t="s">
        <v>8825</v>
      </c>
    </row>
    <row r="2892" spans="6:6">
      <c r="F2892" s="2064" t="s">
        <v>8826</v>
      </c>
    </row>
    <row r="2893" spans="6:6">
      <c r="F2893" s="2064" t="s">
        <v>8827</v>
      </c>
    </row>
    <row r="2894" spans="6:6">
      <c r="F2894" s="2064" t="s">
        <v>8828</v>
      </c>
    </row>
    <row r="2895" spans="6:6">
      <c r="F2895" s="2064" t="s">
        <v>8829</v>
      </c>
    </row>
    <row r="2896" spans="6:6">
      <c r="F2896" s="2064" t="s">
        <v>8830</v>
      </c>
    </row>
    <row r="2897" spans="6:6">
      <c r="F2897" s="2064" t="s">
        <v>8831</v>
      </c>
    </row>
    <row r="2898" spans="6:6">
      <c r="F2898" s="2064" t="s">
        <v>8832</v>
      </c>
    </row>
    <row r="2899" spans="6:6">
      <c r="F2899" s="2064" t="s">
        <v>8833</v>
      </c>
    </row>
    <row r="2900" spans="6:6">
      <c r="F2900" s="2064" t="s">
        <v>8834</v>
      </c>
    </row>
    <row r="2901" spans="6:6">
      <c r="F2901" s="2064" t="s">
        <v>8835</v>
      </c>
    </row>
    <row r="2902" spans="6:6">
      <c r="F2902" s="2064" t="s">
        <v>8836</v>
      </c>
    </row>
    <row r="2903" spans="6:6">
      <c r="F2903" s="2064" t="s">
        <v>8837</v>
      </c>
    </row>
    <row r="2904" spans="6:6">
      <c r="F2904" s="2064" t="s">
        <v>8838</v>
      </c>
    </row>
    <row r="2905" spans="6:6">
      <c r="F2905" s="2064" t="s">
        <v>8839</v>
      </c>
    </row>
    <row r="2906" spans="6:6">
      <c r="F2906" s="2064" t="s">
        <v>8840</v>
      </c>
    </row>
    <row r="2907" spans="6:6">
      <c r="F2907" s="2064" t="s">
        <v>8841</v>
      </c>
    </row>
    <row r="2908" spans="6:6">
      <c r="F2908" s="2064" t="s">
        <v>8842</v>
      </c>
    </row>
    <row r="2909" spans="6:6">
      <c r="F2909" s="2064" t="s">
        <v>8843</v>
      </c>
    </row>
    <row r="2910" spans="6:6">
      <c r="F2910" s="2064" t="s">
        <v>8844</v>
      </c>
    </row>
    <row r="2911" spans="6:6">
      <c r="F2911" s="2064" t="s">
        <v>8845</v>
      </c>
    </row>
    <row r="2912" spans="6:6">
      <c r="F2912" s="2064" t="s">
        <v>8846</v>
      </c>
    </row>
    <row r="2913" spans="6:6">
      <c r="F2913" s="2064" t="s">
        <v>8847</v>
      </c>
    </row>
    <row r="2914" spans="6:6">
      <c r="F2914" s="2064" t="s">
        <v>8848</v>
      </c>
    </row>
    <row r="2915" spans="6:6">
      <c r="F2915" s="2064" t="s">
        <v>8849</v>
      </c>
    </row>
    <row r="2916" spans="6:6">
      <c r="F2916" s="2064" t="s">
        <v>8850</v>
      </c>
    </row>
    <row r="2917" spans="6:6">
      <c r="F2917" s="2064" t="s">
        <v>8851</v>
      </c>
    </row>
    <row r="2918" spans="6:6">
      <c r="F2918" s="2064" t="s">
        <v>8852</v>
      </c>
    </row>
    <row r="2919" spans="6:6">
      <c r="F2919" s="2064" t="s">
        <v>8853</v>
      </c>
    </row>
    <row r="2920" spans="6:6">
      <c r="F2920" s="2064" t="s">
        <v>8854</v>
      </c>
    </row>
    <row r="2921" spans="6:6">
      <c r="F2921" s="2064" t="s">
        <v>8855</v>
      </c>
    </row>
    <row r="2922" spans="6:6">
      <c r="F2922" s="2064" t="s">
        <v>8856</v>
      </c>
    </row>
    <row r="2923" spans="6:6">
      <c r="F2923" s="2064" t="s">
        <v>8857</v>
      </c>
    </row>
    <row r="2924" spans="6:6">
      <c r="F2924" s="2064" t="s">
        <v>8858</v>
      </c>
    </row>
    <row r="2925" spans="6:6">
      <c r="F2925" s="2064" t="s">
        <v>8859</v>
      </c>
    </row>
    <row r="2926" spans="6:6">
      <c r="F2926" s="2064" t="s">
        <v>8860</v>
      </c>
    </row>
    <row r="2927" spans="6:6">
      <c r="F2927" s="2064" t="s">
        <v>8861</v>
      </c>
    </row>
    <row r="2928" spans="6:6">
      <c r="F2928" s="2064" t="s">
        <v>8862</v>
      </c>
    </row>
    <row r="2929" spans="6:6">
      <c r="F2929" s="2064" t="s">
        <v>8863</v>
      </c>
    </row>
    <row r="2930" spans="6:6">
      <c r="F2930" s="2064" t="s">
        <v>8864</v>
      </c>
    </row>
    <row r="2931" spans="6:6">
      <c r="F2931" s="2064" t="s">
        <v>8865</v>
      </c>
    </row>
    <row r="2932" spans="6:6">
      <c r="F2932" s="2064" t="s">
        <v>8866</v>
      </c>
    </row>
    <row r="2933" spans="6:6">
      <c r="F2933" s="2064" t="s">
        <v>8867</v>
      </c>
    </row>
    <row r="2934" spans="6:6">
      <c r="F2934" s="2064" t="s">
        <v>8868</v>
      </c>
    </row>
    <row r="2935" spans="6:6">
      <c r="F2935" s="2064" t="s">
        <v>8869</v>
      </c>
    </row>
    <row r="2936" spans="6:6">
      <c r="F2936" s="2064" t="s">
        <v>8870</v>
      </c>
    </row>
    <row r="2937" spans="6:6">
      <c r="F2937" s="2064" t="s">
        <v>8871</v>
      </c>
    </row>
    <row r="2938" spans="6:6">
      <c r="F2938" s="2064" t="s">
        <v>8872</v>
      </c>
    </row>
    <row r="2939" spans="6:6">
      <c r="F2939" s="2064" t="s">
        <v>8873</v>
      </c>
    </row>
    <row r="2940" spans="6:6">
      <c r="F2940" s="2064" t="s">
        <v>8874</v>
      </c>
    </row>
    <row r="2941" spans="6:6">
      <c r="F2941" s="2064" t="s">
        <v>8875</v>
      </c>
    </row>
    <row r="2942" spans="6:6">
      <c r="F2942" s="2064" t="s">
        <v>8876</v>
      </c>
    </row>
    <row r="2943" spans="6:6">
      <c r="F2943" s="2064" t="s">
        <v>8877</v>
      </c>
    </row>
    <row r="2944" spans="6:6">
      <c r="F2944" s="2064" t="s">
        <v>8878</v>
      </c>
    </row>
    <row r="2945" spans="6:6">
      <c r="F2945" s="2064" t="s">
        <v>8879</v>
      </c>
    </row>
    <row r="2946" spans="6:6">
      <c r="F2946" s="2064" t="s">
        <v>8880</v>
      </c>
    </row>
    <row r="2947" spans="6:6">
      <c r="F2947" s="2064" t="s">
        <v>8881</v>
      </c>
    </row>
    <row r="2948" spans="6:6">
      <c r="F2948" s="2064" t="s">
        <v>8882</v>
      </c>
    </row>
    <row r="2949" spans="6:6">
      <c r="F2949" s="2064" t="s">
        <v>8883</v>
      </c>
    </row>
    <row r="2950" spans="6:6">
      <c r="F2950" s="2064" t="s">
        <v>8884</v>
      </c>
    </row>
    <row r="2951" spans="6:6">
      <c r="F2951" s="2064" t="s">
        <v>8885</v>
      </c>
    </row>
    <row r="2952" spans="6:6">
      <c r="F2952" s="2064" t="s">
        <v>8886</v>
      </c>
    </row>
    <row r="2953" spans="6:6">
      <c r="F2953" s="2064" t="s">
        <v>8887</v>
      </c>
    </row>
    <row r="2954" spans="6:6">
      <c r="F2954" s="2064" t="s">
        <v>8888</v>
      </c>
    </row>
    <row r="2955" spans="6:6">
      <c r="F2955" s="2064" t="s">
        <v>8889</v>
      </c>
    </row>
    <row r="2956" spans="6:6">
      <c r="F2956" s="2064" t="s">
        <v>8890</v>
      </c>
    </row>
    <row r="2957" spans="6:6">
      <c r="F2957" s="2064" t="s">
        <v>8891</v>
      </c>
    </row>
    <row r="2958" spans="6:6">
      <c r="F2958" s="2064" t="s">
        <v>8892</v>
      </c>
    </row>
    <row r="2959" spans="6:6">
      <c r="F2959" s="2064" t="s">
        <v>8893</v>
      </c>
    </row>
    <row r="2960" spans="6:6">
      <c r="F2960" s="2064" t="s">
        <v>8894</v>
      </c>
    </row>
    <row r="2961" spans="6:6">
      <c r="F2961" s="2064" t="s">
        <v>8895</v>
      </c>
    </row>
    <row r="2962" spans="6:6">
      <c r="F2962" s="2064" t="s">
        <v>8896</v>
      </c>
    </row>
    <row r="2963" spans="6:6">
      <c r="F2963" s="2064" t="s">
        <v>8897</v>
      </c>
    </row>
    <row r="2964" spans="6:6">
      <c r="F2964" s="2064" t="s">
        <v>8898</v>
      </c>
    </row>
    <row r="2965" spans="6:6">
      <c r="F2965" s="2064" t="s">
        <v>8899</v>
      </c>
    </row>
    <row r="2966" spans="6:6">
      <c r="F2966" s="2064" t="s">
        <v>8900</v>
      </c>
    </row>
    <row r="2967" spans="6:6">
      <c r="F2967" s="2064" t="s">
        <v>8901</v>
      </c>
    </row>
    <row r="2968" spans="6:6">
      <c r="F2968" s="2064" t="s">
        <v>8902</v>
      </c>
    </row>
    <row r="2969" spans="6:6">
      <c r="F2969" s="2064" t="s">
        <v>8903</v>
      </c>
    </row>
    <row r="2970" spans="6:6">
      <c r="F2970" s="2064" t="s">
        <v>8904</v>
      </c>
    </row>
    <row r="2971" spans="6:6">
      <c r="F2971" s="2064" t="s">
        <v>8905</v>
      </c>
    </row>
    <row r="2972" spans="6:6">
      <c r="F2972" s="2064" t="s">
        <v>8906</v>
      </c>
    </row>
    <row r="2973" spans="6:6">
      <c r="F2973" s="2064" t="s">
        <v>8907</v>
      </c>
    </row>
    <row r="2974" spans="6:6">
      <c r="F2974" s="2064" t="s">
        <v>8908</v>
      </c>
    </row>
    <row r="2975" spans="6:6">
      <c r="F2975" s="2064" t="s">
        <v>8909</v>
      </c>
    </row>
    <row r="2976" spans="6:6">
      <c r="F2976" s="2064" t="s">
        <v>8910</v>
      </c>
    </row>
    <row r="2977" spans="6:6">
      <c r="F2977" s="2064" t="s">
        <v>8911</v>
      </c>
    </row>
    <row r="2978" spans="6:6">
      <c r="F2978" s="2064" t="s">
        <v>8912</v>
      </c>
    </row>
    <row r="2979" spans="6:6">
      <c r="F2979" s="2064" t="s">
        <v>8913</v>
      </c>
    </row>
    <row r="2980" spans="6:6">
      <c r="F2980" s="2064" t="s">
        <v>8914</v>
      </c>
    </row>
    <row r="2981" spans="6:6">
      <c r="F2981" s="2064" t="s">
        <v>8915</v>
      </c>
    </row>
    <row r="2982" spans="6:6">
      <c r="F2982" s="2064" t="s">
        <v>8916</v>
      </c>
    </row>
    <row r="2983" spans="6:6">
      <c r="F2983" s="2064" t="s">
        <v>8917</v>
      </c>
    </row>
    <row r="2984" spans="6:6">
      <c r="F2984" s="2064" t="s">
        <v>8918</v>
      </c>
    </row>
    <row r="2985" spans="6:6">
      <c r="F2985" s="2064" t="s">
        <v>8919</v>
      </c>
    </row>
    <row r="2986" spans="6:6">
      <c r="F2986" s="2064" t="s">
        <v>8920</v>
      </c>
    </row>
    <row r="2987" spans="6:6">
      <c r="F2987" s="2064" t="s">
        <v>8921</v>
      </c>
    </row>
    <row r="2988" spans="6:6">
      <c r="F2988" s="2064" t="s">
        <v>8922</v>
      </c>
    </row>
    <row r="2989" spans="6:6">
      <c r="F2989" s="2064" t="s">
        <v>8923</v>
      </c>
    </row>
    <row r="2990" spans="6:6">
      <c r="F2990" s="2064" t="s">
        <v>8924</v>
      </c>
    </row>
    <row r="2991" spans="6:6">
      <c r="F2991" s="2064" t="s">
        <v>8925</v>
      </c>
    </row>
    <row r="2992" spans="6:6">
      <c r="F2992" s="2064" t="s">
        <v>8926</v>
      </c>
    </row>
    <row r="2993" spans="6:6">
      <c r="F2993" s="2064" t="s">
        <v>8927</v>
      </c>
    </row>
    <row r="2994" spans="6:6">
      <c r="F2994" s="2064" t="s">
        <v>8928</v>
      </c>
    </row>
    <row r="2995" spans="6:6">
      <c r="F2995" s="2064" t="s">
        <v>8929</v>
      </c>
    </row>
    <row r="2996" spans="6:6">
      <c r="F2996" s="2064" t="s">
        <v>8930</v>
      </c>
    </row>
    <row r="2997" spans="6:6">
      <c r="F2997" s="2064" t="s">
        <v>8931</v>
      </c>
    </row>
    <row r="2998" spans="6:6">
      <c r="F2998" s="2064" t="s">
        <v>8932</v>
      </c>
    </row>
    <row r="2999" spans="6:6">
      <c r="F2999" s="2064" t="s">
        <v>8933</v>
      </c>
    </row>
    <row r="3000" spans="6:6">
      <c r="F3000" s="2064" t="s">
        <v>8934</v>
      </c>
    </row>
    <row r="3001" spans="6:6">
      <c r="F3001" s="2064" t="s">
        <v>8935</v>
      </c>
    </row>
    <row r="3002" spans="6:6">
      <c r="F3002" s="2064" t="s">
        <v>8936</v>
      </c>
    </row>
    <row r="3003" spans="6:6">
      <c r="F3003" s="2064" t="s">
        <v>8937</v>
      </c>
    </row>
    <row r="3004" spans="6:6">
      <c r="F3004" s="2064" t="s">
        <v>8938</v>
      </c>
    </row>
    <row r="3005" spans="6:6">
      <c r="F3005" s="2064" t="s">
        <v>8939</v>
      </c>
    </row>
    <row r="3006" spans="6:6">
      <c r="F3006" s="2064" t="s">
        <v>8940</v>
      </c>
    </row>
    <row r="3007" spans="6:6">
      <c r="F3007" s="2064" t="s">
        <v>8941</v>
      </c>
    </row>
    <row r="3008" spans="6:6">
      <c r="F3008" s="2064" t="s">
        <v>8942</v>
      </c>
    </row>
    <row r="3009" spans="6:6">
      <c r="F3009" s="2064" t="s">
        <v>8943</v>
      </c>
    </row>
    <row r="3010" spans="6:6">
      <c r="F3010" s="2064" t="s">
        <v>8944</v>
      </c>
    </row>
    <row r="3011" spans="6:6">
      <c r="F3011" s="2064" t="s">
        <v>8945</v>
      </c>
    </row>
    <row r="3012" spans="6:6">
      <c r="F3012" s="2064" t="s">
        <v>8946</v>
      </c>
    </row>
    <row r="3013" spans="6:6">
      <c r="F3013" s="2064" t="s">
        <v>8947</v>
      </c>
    </row>
    <row r="3014" spans="6:6">
      <c r="F3014" s="2064" t="s">
        <v>8948</v>
      </c>
    </row>
    <row r="3015" spans="6:6">
      <c r="F3015" s="2064" t="s">
        <v>8949</v>
      </c>
    </row>
    <row r="3016" spans="6:6">
      <c r="F3016" s="2064" t="s">
        <v>8950</v>
      </c>
    </row>
    <row r="3017" spans="6:6">
      <c r="F3017" s="2064" t="s">
        <v>8951</v>
      </c>
    </row>
    <row r="3018" spans="6:6">
      <c r="F3018" s="2064" t="s">
        <v>8952</v>
      </c>
    </row>
    <row r="3019" spans="6:6">
      <c r="F3019" s="2064" t="s">
        <v>8953</v>
      </c>
    </row>
    <row r="3020" spans="6:6">
      <c r="F3020" s="2064" t="s">
        <v>8954</v>
      </c>
    </row>
    <row r="3021" spans="6:6">
      <c r="F3021" s="2064" t="s">
        <v>8955</v>
      </c>
    </row>
    <row r="3022" spans="6:6">
      <c r="F3022" s="2064" t="s">
        <v>8956</v>
      </c>
    </row>
    <row r="3023" spans="6:6">
      <c r="F3023" s="2064" t="s">
        <v>8957</v>
      </c>
    </row>
    <row r="3024" spans="6:6">
      <c r="F3024" s="2064" t="s">
        <v>8958</v>
      </c>
    </row>
    <row r="3025" spans="6:6">
      <c r="F3025" s="2064" t="s">
        <v>8959</v>
      </c>
    </row>
    <row r="3026" spans="6:6">
      <c r="F3026" s="2064" t="s">
        <v>8960</v>
      </c>
    </row>
    <row r="3027" spans="6:6">
      <c r="F3027" s="2064" t="s">
        <v>8961</v>
      </c>
    </row>
    <row r="3028" spans="6:6">
      <c r="F3028" s="2064" t="s">
        <v>8962</v>
      </c>
    </row>
    <row r="3029" spans="6:6">
      <c r="F3029" s="2064" t="s">
        <v>8963</v>
      </c>
    </row>
    <row r="3030" spans="6:6">
      <c r="F3030" s="2064" t="s">
        <v>8964</v>
      </c>
    </row>
    <row r="3031" spans="6:6">
      <c r="F3031" s="2064" t="s">
        <v>8965</v>
      </c>
    </row>
    <row r="3032" spans="6:6">
      <c r="F3032" s="2064" t="s">
        <v>8966</v>
      </c>
    </row>
    <row r="3033" spans="6:6">
      <c r="F3033" s="2064" t="s">
        <v>8967</v>
      </c>
    </row>
    <row r="3034" spans="6:6">
      <c r="F3034" s="2064" t="s">
        <v>8968</v>
      </c>
    </row>
    <row r="3035" spans="6:6">
      <c r="F3035" s="2064" t="s">
        <v>8969</v>
      </c>
    </row>
    <row r="3036" spans="6:6">
      <c r="F3036" s="2064" t="s">
        <v>8970</v>
      </c>
    </row>
    <row r="3037" spans="6:6">
      <c r="F3037" s="2064" t="s">
        <v>8971</v>
      </c>
    </row>
    <row r="3038" spans="6:6">
      <c r="F3038" s="2064" t="s">
        <v>8972</v>
      </c>
    </row>
    <row r="3039" spans="6:6">
      <c r="F3039" s="2064" t="s">
        <v>8973</v>
      </c>
    </row>
    <row r="3040" spans="6:6">
      <c r="F3040" s="2064" t="s">
        <v>8974</v>
      </c>
    </row>
    <row r="3041" spans="6:6">
      <c r="F3041" s="2064" t="s">
        <v>8975</v>
      </c>
    </row>
    <row r="3042" spans="6:6">
      <c r="F3042" s="2064" t="s">
        <v>8976</v>
      </c>
    </row>
    <row r="3043" spans="6:6">
      <c r="F3043" s="2064" t="s">
        <v>8977</v>
      </c>
    </row>
    <row r="3044" spans="6:6">
      <c r="F3044" s="2064" t="s">
        <v>8978</v>
      </c>
    </row>
    <row r="3045" spans="6:6">
      <c r="F3045" s="2064" t="s">
        <v>8979</v>
      </c>
    </row>
    <row r="3046" spans="6:6">
      <c r="F3046" s="2064" t="s">
        <v>8980</v>
      </c>
    </row>
    <row r="3047" spans="6:6">
      <c r="F3047" s="2064" t="s">
        <v>8981</v>
      </c>
    </row>
    <row r="3048" spans="6:6">
      <c r="F3048" s="2064" t="s">
        <v>8982</v>
      </c>
    </row>
    <row r="3049" spans="6:6">
      <c r="F3049" s="2064" t="s">
        <v>8983</v>
      </c>
    </row>
    <row r="3050" spans="6:6">
      <c r="F3050" s="2064" t="s">
        <v>8984</v>
      </c>
    </row>
    <row r="3051" spans="6:6">
      <c r="F3051" s="2064" t="s">
        <v>8985</v>
      </c>
    </row>
    <row r="3052" spans="6:6">
      <c r="F3052" s="2064" t="s">
        <v>8986</v>
      </c>
    </row>
    <row r="3053" spans="6:6">
      <c r="F3053" s="2064" t="s">
        <v>8987</v>
      </c>
    </row>
    <row r="3054" spans="6:6">
      <c r="F3054" s="2064" t="s">
        <v>8988</v>
      </c>
    </row>
    <row r="3055" spans="6:6">
      <c r="F3055" s="2064" t="s">
        <v>8989</v>
      </c>
    </row>
    <row r="3056" spans="6:6">
      <c r="F3056" s="2064" t="s">
        <v>8990</v>
      </c>
    </row>
    <row r="3057" spans="6:6">
      <c r="F3057" s="2064" t="s">
        <v>8991</v>
      </c>
    </row>
    <row r="3058" spans="6:6">
      <c r="F3058" s="2064" t="s">
        <v>8992</v>
      </c>
    </row>
    <row r="3059" spans="6:6">
      <c r="F3059" s="2064" t="s">
        <v>8993</v>
      </c>
    </row>
    <row r="3060" spans="6:6">
      <c r="F3060" s="2064" t="s">
        <v>8994</v>
      </c>
    </row>
    <row r="3061" spans="6:6">
      <c r="F3061" s="2064" t="s">
        <v>8995</v>
      </c>
    </row>
    <row r="3062" spans="6:6">
      <c r="F3062" s="2064" t="s">
        <v>8996</v>
      </c>
    </row>
    <row r="3063" spans="6:6">
      <c r="F3063" s="2064" t="s">
        <v>8997</v>
      </c>
    </row>
    <row r="3064" spans="6:6">
      <c r="F3064" s="2064" t="s">
        <v>8998</v>
      </c>
    </row>
    <row r="3065" spans="6:6">
      <c r="F3065" s="2064" t="s">
        <v>8999</v>
      </c>
    </row>
    <row r="3066" spans="6:6">
      <c r="F3066" s="2064" t="s">
        <v>9000</v>
      </c>
    </row>
    <row r="3067" spans="6:6">
      <c r="F3067" s="2064" t="s">
        <v>9001</v>
      </c>
    </row>
    <row r="3068" spans="6:6">
      <c r="F3068" s="2064" t="s">
        <v>9002</v>
      </c>
    </row>
    <row r="3069" spans="6:6">
      <c r="F3069" s="2064" t="s">
        <v>9003</v>
      </c>
    </row>
    <row r="3070" spans="6:6">
      <c r="F3070" s="2064" t="s">
        <v>9004</v>
      </c>
    </row>
    <row r="3071" spans="6:6">
      <c r="F3071" s="2064" t="s">
        <v>9005</v>
      </c>
    </row>
    <row r="3072" spans="6:6">
      <c r="F3072" s="2064" t="s">
        <v>9006</v>
      </c>
    </row>
    <row r="3073" spans="6:6">
      <c r="F3073" s="2064" t="s">
        <v>9007</v>
      </c>
    </row>
    <row r="3074" spans="6:6">
      <c r="F3074" s="2064" t="s">
        <v>9008</v>
      </c>
    </row>
    <row r="3075" spans="6:6">
      <c r="F3075" s="2064" t="s">
        <v>9009</v>
      </c>
    </row>
    <row r="3076" spans="6:6">
      <c r="F3076" s="2064" t="s">
        <v>9010</v>
      </c>
    </row>
    <row r="3077" spans="6:6">
      <c r="F3077" s="2064" t="s">
        <v>9011</v>
      </c>
    </row>
    <row r="3078" spans="6:6">
      <c r="F3078" s="2064" t="s">
        <v>9012</v>
      </c>
    </row>
    <row r="3079" spans="6:6">
      <c r="F3079" s="2064" t="s">
        <v>9013</v>
      </c>
    </row>
    <row r="3080" spans="6:6">
      <c r="F3080" s="2064" t="s">
        <v>9014</v>
      </c>
    </row>
    <row r="3081" spans="6:6">
      <c r="F3081" s="2064" t="s">
        <v>9015</v>
      </c>
    </row>
    <row r="3082" spans="6:6">
      <c r="F3082" s="2064" t="s">
        <v>9016</v>
      </c>
    </row>
    <row r="3083" spans="6:6">
      <c r="F3083" s="2064" t="s">
        <v>9017</v>
      </c>
    </row>
    <row r="3084" spans="6:6">
      <c r="F3084" s="2064" t="s">
        <v>9018</v>
      </c>
    </row>
    <row r="3085" spans="6:6">
      <c r="F3085" s="2064" t="s">
        <v>9019</v>
      </c>
    </row>
    <row r="3086" spans="6:6">
      <c r="F3086" s="2064" t="s">
        <v>9020</v>
      </c>
    </row>
    <row r="3087" spans="6:6">
      <c r="F3087" s="2064" t="s">
        <v>9021</v>
      </c>
    </row>
    <row r="3088" spans="6:6">
      <c r="F3088" s="2064" t="s">
        <v>9022</v>
      </c>
    </row>
    <row r="3089" spans="6:6">
      <c r="F3089" s="2064" t="s">
        <v>9023</v>
      </c>
    </row>
    <row r="3090" spans="6:6">
      <c r="F3090" s="2064" t="s">
        <v>9024</v>
      </c>
    </row>
    <row r="3091" spans="6:6">
      <c r="F3091" s="2064" t="s">
        <v>9025</v>
      </c>
    </row>
    <row r="3092" spans="6:6">
      <c r="F3092" s="2064" t="s">
        <v>9026</v>
      </c>
    </row>
    <row r="3093" spans="6:6">
      <c r="F3093" s="2064" t="s">
        <v>9027</v>
      </c>
    </row>
    <row r="3094" spans="6:6">
      <c r="F3094" s="2064" t="s">
        <v>9028</v>
      </c>
    </row>
    <row r="3095" spans="6:6">
      <c r="F3095" s="2064" t="s">
        <v>9029</v>
      </c>
    </row>
    <row r="3096" spans="6:6">
      <c r="F3096" s="2064" t="s">
        <v>9030</v>
      </c>
    </row>
    <row r="3097" spans="6:6">
      <c r="F3097" s="2064" t="s">
        <v>9031</v>
      </c>
    </row>
    <row r="3098" spans="6:6">
      <c r="F3098" s="2064" t="s">
        <v>9032</v>
      </c>
    </row>
    <row r="3099" spans="6:6">
      <c r="F3099" s="2064" t="s">
        <v>9033</v>
      </c>
    </row>
    <row r="3100" spans="6:6">
      <c r="F3100" s="2064" t="s">
        <v>9034</v>
      </c>
    </row>
    <row r="3101" spans="6:6">
      <c r="F3101" s="2064" t="s">
        <v>9035</v>
      </c>
    </row>
    <row r="3102" spans="6:6">
      <c r="F3102" s="2064" t="s">
        <v>9036</v>
      </c>
    </row>
    <row r="3103" spans="6:6">
      <c r="F3103" s="2064" t="s">
        <v>9037</v>
      </c>
    </row>
    <row r="3104" spans="6:6">
      <c r="F3104" s="2064" t="s">
        <v>9038</v>
      </c>
    </row>
    <row r="3105" spans="6:6">
      <c r="F3105" s="2064" t="s">
        <v>9039</v>
      </c>
    </row>
    <row r="3106" spans="6:6">
      <c r="F3106" s="2064" t="s">
        <v>9040</v>
      </c>
    </row>
    <row r="3107" spans="6:6">
      <c r="F3107" s="2064" t="s">
        <v>9041</v>
      </c>
    </row>
    <row r="3108" spans="6:6">
      <c r="F3108" s="2064" t="s">
        <v>9042</v>
      </c>
    </row>
    <row r="3109" spans="6:6">
      <c r="F3109" s="2064" t="s">
        <v>9043</v>
      </c>
    </row>
    <row r="3110" spans="6:6">
      <c r="F3110" s="2064" t="s">
        <v>9044</v>
      </c>
    </row>
    <row r="3111" spans="6:6">
      <c r="F3111" s="2064" t="s">
        <v>9045</v>
      </c>
    </row>
    <row r="3112" spans="6:6">
      <c r="F3112" s="2064" t="s">
        <v>9046</v>
      </c>
    </row>
    <row r="3113" spans="6:6">
      <c r="F3113" s="2064" t="s">
        <v>9047</v>
      </c>
    </row>
    <row r="3114" spans="6:6">
      <c r="F3114" s="2064" t="s">
        <v>9048</v>
      </c>
    </row>
    <row r="3115" spans="6:6">
      <c r="F3115" s="2064" t="s">
        <v>9049</v>
      </c>
    </row>
    <row r="3116" spans="6:6">
      <c r="F3116" s="2064" t="s">
        <v>9050</v>
      </c>
    </row>
    <row r="3117" spans="6:6">
      <c r="F3117" s="2064" t="s">
        <v>9051</v>
      </c>
    </row>
    <row r="3118" spans="6:6">
      <c r="F3118" s="2064" t="s">
        <v>9052</v>
      </c>
    </row>
    <row r="3119" spans="6:6">
      <c r="F3119" s="2064" t="s">
        <v>9053</v>
      </c>
    </row>
    <row r="3120" spans="6:6">
      <c r="F3120" s="2064" t="s">
        <v>9054</v>
      </c>
    </row>
    <row r="3121" spans="6:6">
      <c r="F3121" s="2064" t="s">
        <v>9055</v>
      </c>
    </row>
    <row r="3122" spans="6:6">
      <c r="F3122" s="2064" t="s">
        <v>9056</v>
      </c>
    </row>
    <row r="3123" spans="6:6">
      <c r="F3123" s="2064" t="s">
        <v>9057</v>
      </c>
    </row>
    <row r="3124" spans="6:6">
      <c r="F3124" s="2064" t="s">
        <v>9058</v>
      </c>
    </row>
    <row r="3125" spans="6:6">
      <c r="F3125" s="2064" t="s">
        <v>9059</v>
      </c>
    </row>
    <row r="3126" spans="6:6">
      <c r="F3126" s="2064" t="s">
        <v>9060</v>
      </c>
    </row>
    <row r="3127" spans="6:6">
      <c r="F3127" s="2064" t="s">
        <v>9061</v>
      </c>
    </row>
    <row r="3128" spans="6:6">
      <c r="F3128" s="2064" t="s">
        <v>9062</v>
      </c>
    </row>
    <row r="3129" spans="6:6">
      <c r="F3129" s="2064" t="s">
        <v>9063</v>
      </c>
    </row>
    <row r="3130" spans="6:6">
      <c r="F3130" s="2064" t="s">
        <v>9064</v>
      </c>
    </row>
    <row r="3131" spans="6:6">
      <c r="F3131" s="2064" t="s">
        <v>9065</v>
      </c>
    </row>
    <row r="3132" spans="6:6">
      <c r="F3132" s="2064" t="s">
        <v>9066</v>
      </c>
    </row>
    <row r="3133" spans="6:6">
      <c r="F3133" s="2064" t="s">
        <v>9067</v>
      </c>
    </row>
    <row r="3134" spans="6:6">
      <c r="F3134" s="2064" t="s">
        <v>9068</v>
      </c>
    </row>
    <row r="3135" spans="6:6">
      <c r="F3135" s="2064" t="s">
        <v>9069</v>
      </c>
    </row>
    <row r="3136" spans="6:6">
      <c r="F3136" s="2064" t="s">
        <v>9070</v>
      </c>
    </row>
    <row r="3137" spans="6:6">
      <c r="F3137" s="2064" t="s">
        <v>9071</v>
      </c>
    </row>
    <row r="3138" spans="6:6">
      <c r="F3138" s="2064" t="s">
        <v>9072</v>
      </c>
    </row>
    <row r="3139" spans="6:6">
      <c r="F3139" s="2064" t="s">
        <v>9073</v>
      </c>
    </row>
    <row r="3140" spans="6:6">
      <c r="F3140" s="2064" t="s">
        <v>9074</v>
      </c>
    </row>
    <row r="3141" spans="6:6">
      <c r="F3141" s="2064" t="s">
        <v>9075</v>
      </c>
    </row>
    <row r="3142" spans="6:6">
      <c r="F3142" s="2064" t="s">
        <v>9076</v>
      </c>
    </row>
    <row r="3143" spans="6:6">
      <c r="F3143" s="2064" t="s">
        <v>9077</v>
      </c>
    </row>
    <row r="3144" spans="6:6">
      <c r="F3144" s="2064" t="s">
        <v>9078</v>
      </c>
    </row>
    <row r="3145" spans="6:6">
      <c r="F3145" s="2064" t="s">
        <v>9079</v>
      </c>
    </row>
    <row r="3146" spans="6:6">
      <c r="F3146" s="2064" t="s">
        <v>9080</v>
      </c>
    </row>
    <row r="3147" spans="6:6">
      <c r="F3147" s="2064" t="s">
        <v>9081</v>
      </c>
    </row>
    <row r="3148" spans="6:6">
      <c r="F3148" s="2064" t="s">
        <v>9082</v>
      </c>
    </row>
    <row r="3149" spans="6:6">
      <c r="F3149" s="2064" t="s">
        <v>9083</v>
      </c>
    </row>
    <row r="3150" spans="6:6">
      <c r="F3150" s="2064" t="s">
        <v>9084</v>
      </c>
    </row>
    <row r="3151" spans="6:6">
      <c r="F3151" s="2064" t="s">
        <v>9085</v>
      </c>
    </row>
    <row r="3152" spans="6:6">
      <c r="F3152" s="2064" t="s">
        <v>9086</v>
      </c>
    </row>
    <row r="3153" spans="6:6">
      <c r="F3153" s="2064" t="s">
        <v>9087</v>
      </c>
    </row>
    <row r="3154" spans="6:6">
      <c r="F3154" s="2064" t="s">
        <v>9088</v>
      </c>
    </row>
    <row r="3155" spans="6:6">
      <c r="F3155" s="2064" t="s">
        <v>9089</v>
      </c>
    </row>
    <row r="3156" spans="6:6">
      <c r="F3156" s="2064" t="s">
        <v>9090</v>
      </c>
    </row>
    <row r="3157" spans="6:6">
      <c r="F3157" s="2064" t="s">
        <v>9091</v>
      </c>
    </row>
    <row r="3158" spans="6:6">
      <c r="F3158" s="2064" t="s">
        <v>9092</v>
      </c>
    </row>
    <row r="3159" spans="6:6">
      <c r="F3159" s="2064" t="s">
        <v>9093</v>
      </c>
    </row>
    <row r="3160" spans="6:6">
      <c r="F3160" s="2064" t="s">
        <v>9094</v>
      </c>
    </row>
    <row r="3161" spans="6:6">
      <c r="F3161" s="2064" t="s">
        <v>9095</v>
      </c>
    </row>
    <row r="3162" spans="6:6">
      <c r="F3162" s="2064" t="s">
        <v>9096</v>
      </c>
    </row>
    <row r="3163" spans="6:6">
      <c r="F3163" s="2064" t="s">
        <v>9097</v>
      </c>
    </row>
    <row r="3164" spans="6:6">
      <c r="F3164" s="2064" t="s">
        <v>9098</v>
      </c>
    </row>
    <row r="3165" spans="6:6">
      <c r="F3165" s="2064" t="s">
        <v>9099</v>
      </c>
    </row>
    <row r="3166" spans="6:6">
      <c r="F3166" s="2064" t="s">
        <v>9100</v>
      </c>
    </row>
    <row r="3167" spans="6:6">
      <c r="F3167" s="2064" t="s">
        <v>9101</v>
      </c>
    </row>
    <row r="3168" spans="6:6">
      <c r="F3168" s="2064" t="s">
        <v>9102</v>
      </c>
    </row>
    <row r="3169" spans="6:6">
      <c r="F3169" s="2064" t="s">
        <v>9103</v>
      </c>
    </row>
    <row r="3170" spans="6:6">
      <c r="F3170" s="2064" t="s">
        <v>9104</v>
      </c>
    </row>
    <row r="3171" spans="6:6">
      <c r="F3171" s="2064" t="s">
        <v>9105</v>
      </c>
    </row>
    <row r="3172" spans="6:6">
      <c r="F3172" s="2064" t="s">
        <v>9106</v>
      </c>
    </row>
    <row r="3173" spans="6:6">
      <c r="F3173" s="2064" t="s">
        <v>9107</v>
      </c>
    </row>
    <row r="3174" spans="6:6">
      <c r="F3174" s="2064" t="s">
        <v>9108</v>
      </c>
    </row>
    <row r="3175" spans="6:6">
      <c r="F3175" s="2064" t="s">
        <v>9109</v>
      </c>
    </row>
    <row r="3176" spans="6:6">
      <c r="F3176" s="2064" t="s">
        <v>9110</v>
      </c>
    </row>
    <row r="3177" spans="6:6">
      <c r="F3177" s="2064" t="s">
        <v>9111</v>
      </c>
    </row>
    <row r="3178" spans="6:6">
      <c r="F3178" s="2064" t="s">
        <v>9112</v>
      </c>
    </row>
    <row r="3179" spans="6:6">
      <c r="F3179" s="2064" t="s">
        <v>9113</v>
      </c>
    </row>
    <row r="3180" spans="6:6">
      <c r="F3180" s="2064" t="s">
        <v>9114</v>
      </c>
    </row>
    <row r="3181" spans="6:6">
      <c r="F3181" s="2064" t="s">
        <v>9115</v>
      </c>
    </row>
    <row r="3182" spans="6:6">
      <c r="F3182" s="2064" t="s">
        <v>9116</v>
      </c>
    </row>
    <row r="3183" spans="6:6">
      <c r="F3183" s="2064" t="s">
        <v>9117</v>
      </c>
    </row>
    <row r="3184" spans="6:6">
      <c r="F3184" s="2064" t="s">
        <v>9118</v>
      </c>
    </row>
    <row r="3185" spans="6:6">
      <c r="F3185" s="2064" t="s">
        <v>9119</v>
      </c>
    </row>
    <row r="3186" spans="6:6">
      <c r="F3186" s="2064" t="s">
        <v>9120</v>
      </c>
    </row>
    <row r="3187" spans="6:6">
      <c r="F3187" s="2064" t="s">
        <v>9121</v>
      </c>
    </row>
    <row r="3188" spans="6:6">
      <c r="F3188" s="2064" t="s">
        <v>9122</v>
      </c>
    </row>
    <row r="3189" spans="6:6">
      <c r="F3189" s="2064" t="s">
        <v>9123</v>
      </c>
    </row>
    <row r="3190" spans="6:6">
      <c r="F3190" s="2064" t="s">
        <v>9124</v>
      </c>
    </row>
    <row r="3191" spans="6:6">
      <c r="F3191" s="2064" t="s">
        <v>9125</v>
      </c>
    </row>
    <row r="3192" spans="6:6">
      <c r="F3192" s="2064" t="s">
        <v>9126</v>
      </c>
    </row>
    <row r="3193" spans="6:6">
      <c r="F3193" s="2064" t="s">
        <v>9127</v>
      </c>
    </row>
    <row r="3194" spans="6:6">
      <c r="F3194" s="2064" t="s">
        <v>9128</v>
      </c>
    </row>
    <row r="3195" spans="6:6">
      <c r="F3195" s="2064" t="s">
        <v>9129</v>
      </c>
    </row>
    <row r="3196" spans="6:6">
      <c r="F3196" s="2064" t="s">
        <v>9130</v>
      </c>
    </row>
    <row r="3197" spans="6:6">
      <c r="F3197" s="2064" t="s">
        <v>9131</v>
      </c>
    </row>
    <row r="3198" spans="6:6">
      <c r="F3198" s="2064" t="s">
        <v>9132</v>
      </c>
    </row>
    <row r="3199" spans="6:6">
      <c r="F3199" s="2064" t="s">
        <v>9133</v>
      </c>
    </row>
    <row r="3200" spans="6:6">
      <c r="F3200" s="2064" t="s">
        <v>9134</v>
      </c>
    </row>
    <row r="3201" spans="6:6">
      <c r="F3201" s="2064" t="s">
        <v>9135</v>
      </c>
    </row>
    <row r="3202" spans="6:6">
      <c r="F3202" s="2064" t="s">
        <v>9136</v>
      </c>
    </row>
    <row r="3203" spans="6:6">
      <c r="F3203" s="2064" t="s">
        <v>9137</v>
      </c>
    </row>
    <row r="3204" spans="6:6">
      <c r="F3204" s="2064" t="s">
        <v>9138</v>
      </c>
    </row>
    <row r="3205" spans="6:6">
      <c r="F3205" s="2064" t="s">
        <v>9139</v>
      </c>
    </row>
    <row r="3206" spans="6:6">
      <c r="F3206" s="2064" t="s">
        <v>9140</v>
      </c>
    </row>
    <row r="3207" spans="6:6">
      <c r="F3207" s="2064" t="s">
        <v>9141</v>
      </c>
    </row>
    <row r="3208" spans="6:6">
      <c r="F3208" s="2064" t="s">
        <v>9142</v>
      </c>
    </row>
    <row r="3209" spans="6:6">
      <c r="F3209" s="2064" t="s">
        <v>9143</v>
      </c>
    </row>
    <row r="3210" spans="6:6">
      <c r="F3210" s="2064" t="s">
        <v>9144</v>
      </c>
    </row>
    <row r="3211" spans="6:6">
      <c r="F3211" s="2064" t="s">
        <v>9145</v>
      </c>
    </row>
    <row r="3212" spans="6:6">
      <c r="F3212" s="2064" t="s">
        <v>9146</v>
      </c>
    </row>
    <row r="3213" spans="6:6">
      <c r="F3213" s="2064" t="s">
        <v>9147</v>
      </c>
    </row>
    <row r="3214" spans="6:6">
      <c r="F3214" s="2064" t="s">
        <v>9148</v>
      </c>
    </row>
    <row r="3215" spans="6:6">
      <c r="F3215" s="2064" t="s">
        <v>9149</v>
      </c>
    </row>
    <row r="3216" spans="6:6">
      <c r="F3216" s="2064" t="s">
        <v>9150</v>
      </c>
    </row>
  </sheetData>
  <sheetProtection password="C9AE" sheet="1" objects="1" scenarios="1"/>
  <conditionalFormatting sqref="B1">
    <cfRule type="expression" dxfId="3" priority="1" stopIfTrue="1">
      <formula>LEN(TRIM(B1))=0</formula>
    </cfRule>
  </conditionalFormatting>
  <conditionalFormatting sqref="D1">
    <cfRule type="expression" dxfId="2" priority="2" stopIfTrue="1">
      <formula>LEN(TRIM(D1))=0</formula>
    </cfRule>
  </conditionalFormatting>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X688"/>
  <sheetViews>
    <sheetView topLeftCell="A513" workbookViewId="0">
      <selection activeCell="E390" sqref="E390"/>
    </sheetView>
  </sheetViews>
  <sheetFormatPr baseColWidth="10" defaultRowHeight="12.75"/>
  <cols>
    <col min="5" max="5" width="28.42578125" customWidth="1"/>
    <col min="6" max="6" width="27.140625" customWidth="1"/>
    <col min="11" max="11" width="11.42578125" style="2059"/>
  </cols>
  <sheetData>
    <row r="1" spans="1:24" ht="41.25" customHeight="1">
      <c r="A1" s="2048" t="s">
        <v>5583</v>
      </c>
      <c r="G1" s="2047" t="s">
        <v>5584</v>
      </c>
      <c r="H1" s="2590" t="s">
        <v>5585</v>
      </c>
      <c r="I1" s="2590"/>
      <c r="J1" s="2590"/>
      <c r="K1" s="2590"/>
      <c r="L1" s="2590"/>
      <c r="M1" s="2590"/>
      <c r="N1" s="2590"/>
      <c r="O1" s="2590"/>
      <c r="P1" s="2590"/>
    </row>
    <row r="2" spans="1:24">
      <c r="A2" t="s">
        <v>4107</v>
      </c>
    </row>
    <row r="3" spans="1:24">
      <c r="A3" t="s">
        <v>4108</v>
      </c>
      <c r="B3" t="s">
        <v>4109</v>
      </c>
      <c r="C3" t="s">
        <v>4110</v>
      </c>
      <c r="D3" t="s">
        <v>4111</v>
      </c>
      <c r="E3" t="s">
        <v>4112</v>
      </c>
      <c r="F3" t="s">
        <v>4113</v>
      </c>
      <c r="G3" t="s">
        <v>4114</v>
      </c>
      <c r="H3" t="s">
        <v>4115</v>
      </c>
      <c r="I3" t="s">
        <v>4116</v>
      </c>
      <c r="J3" t="s">
        <v>4116</v>
      </c>
      <c r="K3" s="2059" t="s">
        <v>4117</v>
      </c>
      <c r="L3" t="s">
        <v>4118</v>
      </c>
      <c r="M3" t="s">
        <v>4119</v>
      </c>
      <c r="N3" t="s">
        <v>4120</v>
      </c>
      <c r="O3" t="s">
        <v>4121</v>
      </c>
      <c r="P3" t="s">
        <v>4121</v>
      </c>
      <c r="Q3" t="s">
        <v>4122</v>
      </c>
      <c r="R3" t="s">
        <v>4123</v>
      </c>
      <c r="S3" t="s">
        <v>4124</v>
      </c>
      <c r="T3" t="s">
        <v>4125</v>
      </c>
      <c r="U3" t="s">
        <v>4126</v>
      </c>
      <c r="V3" t="s">
        <v>4127</v>
      </c>
      <c r="W3" t="s">
        <v>4128</v>
      </c>
      <c r="X3" t="s">
        <v>4129</v>
      </c>
    </row>
    <row r="4" spans="1:24">
      <c r="I4" t="s">
        <v>1004</v>
      </c>
      <c r="J4" t="s">
        <v>1004</v>
      </c>
      <c r="K4" s="2059" t="s">
        <v>1005</v>
      </c>
      <c r="L4" t="s">
        <v>571</v>
      </c>
      <c r="M4" t="s">
        <v>4130</v>
      </c>
      <c r="N4" t="s">
        <v>4130</v>
      </c>
      <c r="O4" t="s">
        <v>808</v>
      </c>
      <c r="P4" t="s">
        <v>808</v>
      </c>
    </row>
    <row r="5" spans="1:24">
      <c r="I5" t="s">
        <v>4131</v>
      </c>
      <c r="J5" t="s">
        <v>4131</v>
      </c>
      <c r="K5" s="2059" t="s">
        <v>1190</v>
      </c>
      <c r="L5" t="s">
        <v>4132</v>
      </c>
      <c r="M5" t="s">
        <v>4133</v>
      </c>
      <c r="N5" t="s">
        <v>4134</v>
      </c>
      <c r="O5" t="s">
        <v>4135</v>
      </c>
      <c r="P5" t="s">
        <v>4135</v>
      </c>
    </row>
    <row r="6" spans="1:24">
      <c r="I6" t="s">
        <v>4136</v>
      </c>
      <c r="J6" t="s">
        <v>4137</v>
      </c>
      <c r="O6" t="s">
        <v>4138</v>
      </c>
      <c r="P6" t="s">
        <v>4139</v>
      </c>
      <c r="V6" t="s">
        <v>4140</v>
      </c>
    </row>
    <row r="8" spans="1:24" s="2058" customFormat="1">
      <c r="A8" s="2058">
        <v>22</v>
      </c>
      <c r="B8" s="2058">
        <v>22.01</v>
      </c>
      <c r="C8" s="2058" t="s">
        <v>4141</v>
      </c>
      <c r="D8" s="2058" t="s">
        <v>4142</v>
      </c>
      <c r="E8" s="2058" t="s">
        <v>4143</v>
      </c>
      <c r="F8" s="2058" t="s">
        <v>4144</v>
      </c>
      <c r="I8" s="2058" t="s">
        <v>4145</v>
      </c>
      <c r="K8" s="2060">
        <v>0.05</v>
      </c>
      <c r="M8" s="2058">
        <v>0.28999999999999998</v>
      </c>
      <c r="N8" s="2058">
        <v>1030</v>
      </c>
      <c r="O8" s="2058">
        <v>1</v>
      </c>
      <c r="P8" s="2058">
        <v>1</v>
      </c>
      <c r="R8" s="2058" t="s">
        <v>1678</v>
      </c>
      <c r="T8" s="2058" t="s">
        <v>1678</v>
      </c>
    </row>
    <row r="9" spans="1:24" s="2058" customFormat="1">
      <c r="A9" s="2058">
        <v>22</v>
      </c>
      <c r="B9" s="2058">
        <v>22.03</v>
      </c>
      <c r="C9" s="2058" t="s">
        <v>4141</v>
      </c>
      <c r="D9" s="2058" t="s">
        <v>4142</v>
      </c>
      <c r="E9" s="2058" t="s">
        <v>4146</v>
      </c>
      <c r="F9" s="2058" t="s">
        <v>4147</v>
      </c>
      <c r="I9" s="2058" t="s">
        <v>4148</v>
      </c>
      <c r="K9" s="2060">
        <v>0.05</v>
      </c>
      <c r="M9" s="2058">
        <v>0.28999999999999998</v>
      </c>
      <c r="N9" s="2058">
        <v>1030</v>
      </c>
      <c r="O9" s="2058">
        <v>1</v>
      </c>
      <c r="P9" s="2058">
        <v>1</v>
      </c>
      <c r="R9" s="2058" t="s">
        <v>1678</v>
      </c>
      <c r="T9" s="2058" t="s">
        <v>1678</v>
      </c>
      <c r="W9" s="2058" t="s">
        <v>4149</v>
      </c>
      <c r="X9" s="2058" t="s">
        <v>4150</v>
      </c>
    </row>
    <row r="10" spans="1:24">
      <c r="A10">
        <v>22</v>
      </c>
      <c r="B10">
        <v>15050031</v>
      </c>
      <c r="C10" t="s">
        <v>4141</v>
      </c>
      <c r="D10" t="s">
        <v>4142</v>
      </c>
      <c r="E10" t="s">
        <v>4151</v>
      </c>
      <c r="F10" t="s">
        <v>4151</v>
      </c>
      <c r="G10">
        <v>141</v>
      </c>
      <c r="H10" t="s">
        <v>4152</v>
      </c>
      <c r="J10" t="s">
        <v>4153</v>
      </c>
      <c r="K10" s="2059" t="s">
        <v>2416</v>
      </c>
      <c r="L10" t="s">
        <v>4154</v>
      </c>
      <c r="M10" t="s">
        <v>4155</v>
      </c>
      <c r="N10">
        <v>1030</v>
      </c>
      <c r="O10">
        <v>1</v>
      </c>
      <c r="P10">
        <v>1</v>
      </c>
      <c r="U10" t="s">
        <v>1678</v>
      </c>
      <c r="V10">
        <v>42916</v>
      </c>
    </row>
    <row r="11" spans="1:24">
      <c r="A11">
        <v>22</v>
      </c>
      <c r="B11">
        <v>16080006</v>
      </c>
      <c r="C11" t="s">
        <v>4141</v>
      </c>
      <c r="D11" t="s">
        <v>4142</v>
      </c>
      <c r="E11" t="s">
        <v>2024</v>
      </c>
      <c r="F11" t="s">
        <v>3843</v>
      </c>
      <c r="G11">
        <v>2</v>
      </c>
      <c r="H11" t="s">
        <v>4156</v>
      </c>
      <c r="J11">
        <v>100</v>
      </c>
      <c r="K11" s="2059">
        <v>3.4000000000000002E-2</v>
      </c>
      <c r="L11" t="s">
        <v>4157</v>
      </c>
      <c r="M11">
        <v>0.28999999999999998</v>
      </c>
      <c r="N11">
        <v>1030</v>
      </c>
      <c r="O11">
        <v>1</v>
      </c>
      <c r="P11">
        <v>1</v>
      </c>
      <c r="U11" t="s">
        <v>1678</v>
      </c>
      <c r="V11">
        <v>43465</v>
      </c>
    </row>
    <row r="12" spans="1:24">
      <c r="A12">
        <v>22</v>
      </c>
      <c r="B12">
        <v>16080007</v>
      </c>
      <c r="C12" t="s">
        <v>4141</v>
      </c>
      <c r="D12" t="s">
        <v>4142</v>
      </c>
      <c r="E12" t="s">
        <v>2024</v>
      </c>
      <c r="F12" t="s">
        <v>3843</v>
      </c>
      <c r="G12">
        <v>2</v>
      </c>
      <c r="H12" t="s">
        <v>4156</v>
      </c>
      <c r="J12" t="s">
        <v>4158</v>
      </c>
      <c r="K12" s="2059">
        <v>3.4000000000000002E-2</v>
      </c>
      <c r="L12" t="s">
        <v>4159</v>
      </c>
      <c r="M12">
        <v>0.28999999999999998</v>
      </c>
      <c r="N12">
        <v>1030</v>
      </c>
      <c r="O12">
        <v>1</v>
      </c>
      <c r="P12">
        <v>1</v>
      </c>
      <c r="U12" t="s">
        <v>1678</v>
      </c>
      <c r="V12">
        <v>43465</v>
      </c>
    </row>
    <row r="13" spans="1:24">
      <c r="A13">
        <v>22</v>
      </c>
      <c r="B13">
        <v>16080012</v>
      </c>
      <c r="C13" t="s">
        <v>4141</v>
      </c>
      <c r="D13" t="s">
        <v>4142</v>
      </c>
      <c r="E13" t="s">
        <v>50</v>
      </c>
      <c r="F13" t="s">
        <v>3848</v>
      </c>
      <c r="G13">
        <v>2</v>
      </c>
      <c r="H13" t="s">
        <v>4156</v>
      </c>
      <c r="J13">
        <v>90</v>
      </c>
      <c r="K13" s="2059">
        <v>3.5000000000000003E-2</v>
      </c>
      <c r="L13" t="s">
        <v>4160</v>
      </c>
      <c r="M13">
        <v>0.28999999999999998</v>
      </c>
      <c r="N13">
        <v>1030</v>
      </c>
      <c r="O13">
        <v>1</v>
      </c>
      <c r="P13">
        <v>1</v>
      </c>
      <c r="U13" t="s">
        <v>1678</v>
      </c>
      <c r="V13">
        <v>43465</v>
      </c>
    </row>
    <row r="14" spans="1:24">
      <c r="A14">
        <v>22</v>
      </c>
      <c r="B14">
        <v>16080013</v>
      </c>
      <c r="C14" t="s">
        <v>4141</v>
      </c>
      <c r="D14" t="s">
        <v>4142</v>
      </c>
      <c r="E14" t="s">
        <v>2026</v>
      </c>
      <c r="F14" t="s">
        <v>3845</v>
      </c>
      <c r="G14">
        <v>2</v>
      </c>
      <c r="H14" t="s">
        <v>4156</v>
      </c>
      <c r="J14">
        <v>60</v>
      </c>
      <c r="K14" s="2059">
        <v>3.3000000000000002E-2</v>
      </c>
      <c r="L14" t="s">
        <v>4161</v>
      </c>
      <c r="M14">
        <v>0.28999999999999998</v>
      </c>
      <c r="N14">
        <v>1030</v>
      </c>
      <c r="O14">
        <v>1</v>
      </c>
      <c r="P14">
        <v>1</v>
      </c>
      <c r="U14" t="s">
        <v>1678</v>
      </c>
      <c r="V14">
        <v>43465</v>
      </c>
    </row>
    <row r="15" spans="1:24">
      <c r="A15">
        <v>22</v>
      </c>
      <c r="B15">
        <v>16080014</v>
      </c>
      <c r="C15" t="s">
        <v>4141</v>
      </c>
      <c r="D15" t="s">
        <v>4142</v>
      </c>
      <c r="E15" t="s">
        <v>2027</v>
      </c>
      <c r="F15" t="s">
        <v>3846</v>
      </c>
      <c r="G15">
        <v>2</v>
      </c>
      <c r="H15" t="s">
        <v>4156</v>
      </c>
      <c r="J15">
        <v>150</v>
      </c>
      <c r="K15" s="2059">
        <v>0.04</v>
      </c>
      <c r="L15" t="s">
        <v>4161</v>
      </c>
      <c r="M15">
        <v>0.28999999999999998</v>
      </c>
      <c r="N15">
        <v>1030</v>
      </c>
      <c r="O15">
        <v>1</v>
      </c>
      <c r="P15">
        <v>1</v>
      </c>
      <c r="U15" t="s">
        <v>1678</v>
      </c>
      <c r="V15">
        <v>43465</v>
      </c>
    </row>
    <row r="16" spans="1:24">
      <c r="A16">
        <v>22</v>
      </c>
      <c r="B16">
        <v>16080015</v>
      </c>
      <c r="C16" t="s">
        <v>4141</v>
      </c>
      <c r="D16" t="s">
        <v>4142</v>
      </c>
      <c r="E16" t="s">
        <v>4162</v>
      </c>
      <c r="F16" t="s">
        <v>4163</v>
      </c>
      <c r="G16">
        <v>2</v>
      </c>
      <c r="H16" t="s">
        <v>4156</v>
      </c>
      <c r="J16">
        <v>48</v>
      </c>
      <c r="K16" s="2059">
        <v>3.4000000000000002E-2</v>
      </c>
      <c r="L16" t="s">
        <v>4164</v>
      </c>
      <c r="M16">
        <v>0.28999999999999998</v>
      </c>
      <c r="N16">
        <v>1030</v>
      </c>
      <c r="O16">
        <v>1</v>
      </c>
      <c r="P16">
        <v>1</v>
      </c>
      <c r="U16" t="s">
        <v>1678</v>
      </c>
      <c r="V16">
        <v>43465</v>
      </c>
    </row>
    <row r="17" spans="1:24">
      <c r="A17">
        <v>22</v>
      </c>
      <c r="B17">
        <v>16080016</v>
      </c>
      <c r="C17" t="s">
        <v>4141</v>
      </c>
      <c r="D17" t="s">
        <v>4142</v>
      </c>
      <c r="E17" t="s">
        <v>784</v>
      </c>
      <c r="F17" t="s">
        <v>3852</v>
      </c>
      <c r="G17">
        <v>2</v>
      </c>
      <c r="H17" t="s">
        <v>4156</v>
      </c>
      <c r="J17">
        <v>75</v>
      </c>
      <c r="K17" s="2059">
        <v>3.5999999999999997E-2</v>
      </c>
      <c r="L17" t="s">
        <v>4165</v>
      </c>
      <c r="M17">
        <v>0.28999999999999998</v>
      </c>
      <c r="N17">
        <v>1030</v>
      </c>
      <c r="O17">
        <v>1</v>
      </c>
      <c r="P17">
        <v>1</v>
      </c>
      <c r="U17" t="s">
        <v>1678</v>
      </c>
      <c r="V17">
        <v>43465</v>
      </c>
    </row>
    <row r="18" spans="1:24">
      <c r="A18">
        <v>22</v>
      </c>
      <c r="B18">
        <v>16080017</v>
      </c>
      <c r="C18" t="s">
        <v>4141</v>
      </c>
      <c r="D18" t="s">
        <v>4142</v>
      </c>
      <c r="E18" t="s">
        <v>786</v>
      </c>
      <c r="F18" t="s">
        <v>3855</v>
      </c>
      <c r="G18">
        <v>2</v>
      </c>
      <c r="H18" t="s">
        <v>4156</v>
      </c>
      <c r="J18">
        <v>160</v>
      </c>
      <c r="K18" s="2059">
        <v>4.4999999999999998E-2</v>
      </c>
      <c r="L18" t="s">
        <v>4166</v>
      </c>
      <c r="M18">
        <v>0.28999999999999998</v>
      </c>
      <c r="N18">
        <v>1030</v>
      </c>
      <c r="O18">
        <v>1</v>
      </c>
      <c r="P18">
        <v>1</v>
      </c>
      <c r="U18" t="s">
        <v>1678</v>
      </c>
      <c r="V18">
        <v>43465</v>
      </c>
    </row>
    <row r="19" spans="1:24">
      <c r="A19">
        <v>22</v>
      </c>
      <c r="B19">
        <v>16080018</v>
      </c>
      <c r="C19" t="s">
        <v>4141</v>
      </c>
      <c r="D19" t="s">
        <v>4142</v>
      </c>
      <c r="E19" t="s">
        <v>4167</v>
      </c>
      <c r="F19" t="s">
        <v>4168</v>
      </c>
      <c r="G19">
        <v>2</v>
      </c>
      <c r="H19" t="s">
        <v>4156</v>
      </c>
      <c r="J19">
        <v>65</v>
      </c>
      <c r="K19" s="2059">
        <v>3.3000000000000002E-2</v>
      </c>
      <c r="L19" t="s">
        <v>4164</v>
      </c>
      <c r="M19">
        <v>0.28999999999999998</v>
      </c>
      <c r="N19">
        <v>1030</v>
      </c>
      <c r="O19">
        <v>1</v>
      </c>
      <c r="P19">
        <v>1</v>
      </c>
      <c r="U19" t="s">
        <v>1678</v>
      </c>
      <c r="V19">
        <v>43465</v>
      </c>
    </row>
    <row r="20" spans="1:24">
      <c r="A20">
        <v>22</v>
      </c>
      <c r="B20">
        <v>16080019</v>
      </c>
      <c r="C20" t="s">
        <v>4141</v>
      </c>
      <c r="D20" t="s">
        <v>4142</v>
      </c>
      <c r="E20" t="s">
        <v>1049</v>
      </c>
      <c r="F20" t="s">
        <v>3856</v>
      </c>
      <c r="G20">
        <v>2</v>
      </c>
      <c r="H20" t="s">
        <v>4156</v>
      </c>
      <c r="J20">
        <v>90</v>
      </c>
      <c r="K20" s="2059">
        <v>3.5000000000000003E-2</v>
      </c>
      <c r="L20" t="s">
        <v>4160</v>
      </c>
      <c r="M20">
        <v>0.28999999999999998</v>
      </c>
      <c r="N20">
        <v>1030</v>
      </c>
      <c r="O20">
        <v>1</v>
      </c>
      <c r="P20">
        <v>1</v>
      </c>
      <c r="U20" t="s">
        <v>1678</v>
      </c>
      <c r="V20">
        <v>43465</v>
      </c>
    </row>
    <row r="21" spans="1:24">
      <c r="A21">
        <v>22</v>
      </c>
      <c r="B21">
        <v>16080020</v>
      </c>
      <c r="C21" t="s">
        <v>4141</v>
      </c>
      <c r="D21" t="s">
        <v>4142</v>
      </c>
      <c r="E21" t="s">
        <v>787</v>
      </c>
      <c r="F21" t="s">
        <v>3857</v>
      </c>
      <c r="G21">
        <v>2</v>
      </c>
      <c r="H21" t="s">
        <v>4156</v>
      </c>
      <c r="J21">
        <v>120</v>
      </c>
      <c r="K21" s="2059">
        <v>3.7999999999999999E-2</v>
      </c>
      <c r="L21" t="s">
        <v>4169</v>
      </c>
      <c r="M21">
        <v>0.28999999999999998</v>
      </c>
      <c r="N21">
        <v>1030</v>
      </c>
      <c r="O21">
        <v>1</v>
      </c>
      <c r="P21">
        <v>1</v>
      </c>
      <c r="U21" t="s">
        <v>1678</v>
      </c>
      <c r="V21">
        <v>43465</v>
      </c>
    </row>
    <row r="22" spans="1:24">
      <c r="A22">
        <v>22</v>
      </c>
      <c r="B22">
        <v>16080021</v>
      </c>
      <c r="C22" t="s">
        <v>4141</v>
      </c>
      <c r="D22" t="s">
        <v>4142</v>
      </c>
      <c r="E22" t="s">
        <v>4170</v>
      </c>
      <c r="F22" t="s">
        <v>4171</v>
      </c>
      <c r="G22">
        <v>2</v>
      </c>
      <c r="H22" t="s">
        <v>4156</v>
      </c>
      <c r="J22">
        <v>100</v>
      </c>
      <c r="K22" s="2059">
        <v>3.5999999999999997E-2</v>
      </c>
      <c r="L22" t="s">
        <v>4172</v>
      </c>
      <c r="M22">
        <v>0.28999999999999998</v>
      </c>
      <c r="N22">
        <v>1030</v>
      </c>
      <c r="O22">
        <v>1</v>
      </c>
      <c r="P22">
        <v>1</v>
      </c>
      <c r="U22" t="s">
        <v>1678</v>
      </c>
      <c r="V22">
        <v>43465</v>
      </c>
    </row>
    <row r="23" spans="1:24">
      <c r="A23">
        <v>22</v>
      </c>
      <c r="B23">
        <v>15060031</v>
      </c>
      <c r="C23" t="s">
        <v>4141</v>
      </c>
      <c r="D23" t="s">
        <v>4142</v>
      </c>
      <c r="E23" t="s">
        <v>2025</v>
      </c>
      <c r="F23" t="s">
        <v>3844</v>
      </c>
      <c r="G23">
        <v>2</v>
      </c>
      <c r="H23" t="s">
        <v>4156</v>
      </c>
      <c r="J23">
        <v>38</v>
      </c>
      <c r="K23" s="2059">
        <v>3.5000000000000003E-2</v>
      </c>
      <c r="L23" t="s">
        <v>4173</v>
      </c>
      <c r="M23">
        <v>0.28999999999999998</v>
      </c>
      <c r="N23">
        <v>1030</v>
      </c>
      <c r="O23">
        <v>1</v>
      </c>
      <c r="P23">
        <v>1</v>
      </c>
      <c r="U23" t="s">
        <v>1678</v>
      </c>
      <c r="V23">
        <v>42916</v>
      </c>
    </row>
    <row r="24" spans="1:24">
      <c r="A24">
        <v>22</v>
      </c>
      <c r="B24">
        <v>15060032</v>
      </c>
      <c r="C24" t="s">
        <v>4141</v>
      </c>
      <c r="D24" t="s">
        <v>4142</v>
      </c>
      <c r="E24" t="s">
        <v>788</v>
      </c>
      <c r="F24" t="s">
        <v>3858</v>
      </c>
      <c r="G24">
        <v>2</v>
      </c>
      <c r="H24" t="s">
        <v>4156</v>
      </c>
      <c r="J24">
        <v>38</v>
      </c>
      <c r="K24" s="2059">
        <v>3.5000000000000003E-2</v>
      </c>
      <c r="L24" t="s">
        <v>4174</v>
      </c>
      <c r="M24">
        <v>0.28999999999999998</v>
      </c>
      <c r="N24">
        <v>1030</v>
      </c>
      <c r="O24">
        <v>1</v>
      </c>
      <c r="P24">
        <v>1</v>
      </c>
      <c r="U24" t="s">
        <v>1678</v>
      </c>
      <c r="V24">
        <v>42916</v>
      </c>
    </row>
    <row r="25" spans="1:24">
      <c r="A25">
        <v>22</v>
      </c>
      <c r="B25">
        <v>15060033</v>
      </c>
      <c r="C25" t="s">
        <v>4141</v>
      </c>
      <c r="D25" t="s">
        <v>4142</v>
      </c>
      <c r="E25" t="s">
        <v>53</v>
      </c>
      <c r="F25" t="s">
        <v>3853</v>
      </c>
      <c r="G25">
        <v>2</v>
      </c>
      <c r="H25" t="s">
        <v>4156</v>
      </c>
      <c r="J25">
        <v>80</v>
      </c>
      <c r="K25" s="2059">
        <v>3.4000000000000002E-2</v>
      </c>
      <c r="L25" t="s">
        <v>4175</v>
      </c>
      <c r="M25">
        <v>0.28999999999999998</v>
      </c>
      <c r="N25">
        <v>1030</v>
      </c>
      <c r="O25">
        <v>1</v>
      </c>
      <c r="P25">
        <v>1</v>
      </c>
      <c r="U25" t="s">
        <v>1678</v>
      </c>
      <c r="V25">
        <v>42916</v>
      </c>
    </row>
    <row r="26" spans="1:24">
      <c r="A26">
        <v>22</v>
      </c>
      <c r="B26">
        <v>15060034</v>
      </c>
      <c r="C26" t="s">
        <v>4141</v>
      </c>
      <c r="D26" t="s">
        <v>4142</v>
      </c>
      <c r="E26" t="s">
        <v>4176</v>
      </c>
      <c r="F26" t="s">
        <v>4177</v>
      </c>
      <c r="G26">
        <v>2</v>
      </c>
      <c r="H26" t="s">
        <v>4156</v>
      </c>
      <c r="J26">
        <v>80</v>
      </c>
      <c r="K26" s="2059">
        <v>3.4000000000000002E-2</v>
      </c>
      <c r="L26" t="s">
        <v>4178</v>
      </c>
      <c r="M26">
        <v>0.28999999999999998</v>
      </c>
      <c r="N26">
        <v>1030</v>
      </c>
      <c r="O26">
        <v>1</v>
      </c>
      <c r="P26">
        <v>1</v>
      </c>
      <c r="U26" t="s">
        <v>1678</v>
      </c>
      <c r="V26">
        <v>42916</v>
      </c>
    </row>
    <row r="27" spans="1:24">
      <c r="A27">
        <v>22</v>
      </c>
      <c r="B27">
        <v>15060035</v>
      </c>
      <c r="C27" t="s">
        <v>4141</v>
      </c>
      <c r="D27" t="s">
        <v>4142</v>
      </c>
      <c r="E27" t="s">
        <v>2000</v>
      </c>
      <c r="F27" t="s">
        <v>3861</v>
      </c>
      <c r="G27">
        <v>2</v>
      </c>
      <c r="H27" t="s">
        <v>4156</v>
      </c>
      <c r="J27">
        <v>80</v>
      </c>
      <c r="K27" s="2059">
        <v>3.4000000000000002E-2</v>
      </c>
      <c r="L27" t="s">
        <v>4179</v>
      </c>
      <c r="M27">
        <v>0.28999999999999998</v>
      </c>
      <c r="N27">
        <v>1030</v>
      </c>
      <c r="O27">
        <v>1</v>
      </c>
      <c r="P27">
        <v>1</v>
      </c>
      <c r="U27" t="s">
        <v>1678</v>
      </c>
      <c r="V27">
        <v>42916</v>
      </c>
      <c r="W27" t="s">
        <v>4180</v>
      </c>
      <c r="X27" t="s">
        <v>4181</v>
      </c>
    </row>
    <row r="28" spans="1:24">
      <c r="A28">
        <v>22</v>
      </c>
      <c r="B28">
        <v>15060036</v>
      </c>
      <c r="C28" t="s">
        <v>4141</v>
      </c>
      <c r="D28" t="s">
        <v>4142</v>
      </c>
      <c r="E28" t="s">
        <v>4182</v>
      </c>
      <c r="F28" t="s">
        <v>4183</v>
      </c>
      <c r="G28">
        <v>2</v>
      </c>
      <c r="H28" t="s">
        <v>4156</v>
      </c>
      <c r="J28">
        <v>38</v>
      </c>
      <c r="K28" s="2059">
        <v>3.5000000000000003E-2</v>
      </c>
      <c r="L28" t="s">
        <v>4165</v>
      </c>
      <c r="M28">
        <v>0.28999999999999998</v>
      </c>
      <c r="N28">
        <v>1030</v>
      </c>
      <c r="O28">
        <v>1</v>
      </c>
      <c r="P28">
        <v>1</v>
      </c>
      <c r="U28" t="s">
        <v>1678</v>
      </c>
      <c r="V28">
        <v>42916</v>
      </c>
      <c r="W28" t="s">
        <v>4184</v>
      </c>
    </row>
    <row r="29" spans="1:24">
      <c r="A29">
        <v>22</v>
      </c>
      <c r="B29">
        <v>15060037</v>
      </c>
      <c r="C29" t="s">
        <v>4141</v>
      </c>
      <c r="D29" t="s">
        <v>4142</v>
      </c>
      <c r="E29" t="s">
        <v>4185</v>
      </c>
      <c r="F29" t="s">
        <v>4186</v>
      </c>
      <c r="G29">
        <v>2</v>
      </c>
      <c r="H29" t="s">
        <v>4156</v>
      </c>
      <c r="J29">
        <v>80</v>
      </c>
      <c r="K29" s="2059">
        <v>3.5000000000000003E-2</v>
      </c>
      <c r="L29" t="s">
        <v>4160</v>
      </c>
      <c r="M29">
        <v>0.28999999999999998</v>
      </c>
      <c r="N29">
        <v>1030</v>
      </c>
      <c r="O29">
        <v>1</v>
      </c>
      <c r="P29">
        <v>1</v>
      </c>
      <c r="U29" t="s">
        <v>1678</v>
      </c>
      <c r="V29">
        <v>42916</v>
      </c>
    </row>
    <row r="30" spans="1:24">
      <c r="A30">
        <v>22</v>
      </c>
      <c r="B30">
        <v>16020031</v>
      </c>
      <c r="C30" t="s">
        <v>4141</v>
      </c>
      <c r="D30" t="s">
        <v>4142</v>
      </c>
      <c r="E30" t="s">
        <v>4187</v>
      </c>
      <c r="F30" t="s">
        <v>4187</v>
      </c>
      <c r="G30">
        <v>149</v>
      </c>
      <c r="H30" t="s">
        <v>4188</v>
      </c>
      <c r="J30">
        <v>32</v>
      </c>
      <c r="K30" s="2059">
        <v>3.6999999999999998E-2</v>
      </c>
      <c r="L30" t="s">
        <v>4189</v>
      </c>
      <c r="M30">
        <v>0.28999999999999998</v>
      </c>
      <c r="N30">
        <v>1030</v>
      </c>
      <c r="O30">
        <v>1</v>
      </c>
      <c r="P30">
        <v>1</v>
      </c>
      <c r="U30" t="s">
        <v>1678</v>
      </c>
      <c r="V30">
        <v>43281</v>
      </c>
    </row>
    <row r="31" spans="1:24">
      <c r="A31">
        <v>22</v>
      </c>
      <c r="B31">
        <v>16020032</v>
      </c>
      <c r="C31" t="s">
        <v>4141</v>
      </c>
      <c r="D31" t="s">
        <v>4142</v>
      </c>
      <c r="E31" t="s">
        <v>4190</v>
      </c>
      <c r="F31" t="s">
        <v>4190</v>
      </c>
      <c r="G31">
        <v>149</v>
      </c>
      <c r="H31" t="s">
        <v>4188</v>
      </c>
      <c r="J31">
        <v>54</v>
      </c>
      <c r="K31" s="2059">
        <v>3.4000000000000002E-2</v>
      </c>
      <c r="L31" t="s">
        <v>4191</v>
      </c>
      <c r="M31">
        <v>0.28999999999999998</v>
      </c>
      <c r="N31">
        <v>1030</v>
      </c>
      <c r="O31">
        <v>1</v>
      </c>
      <c r="P31">
        <v>1</v>
      </c>
      <c r="U31" t="s">
        <v>1678</v>
      </c>
      <c r="V31">
        <v>43281</v>
      </c>
    </row>
    <row r="32" spans="1:24">
      <c r="A32">
        <v>22</v>
      </c>
      <c r="B32">
        <v>16080171</v>
      </c>
      <c r="C32" t="s">
        <v>4141</v>
      </c>
      <c r="D32" t="s">
        <v>4142</v>
      </c>
      <c r="E32" t="s">
        <v>4192</v>
      </c>
      <c r="F32" t="s">
        <v>4192</v>
      </c>
      <c r="G32">
        <v>134</v>
      </c>
      <c r="H32" t="s">
        <v>4193</v>
      </c>
      <c r="J32" t="s">
        <v>4194</v>
      </c>
      <c r="K32" s="2059">
        <v>3.5000000000000003E-2</v>
      </c>
      <c r="L32" t="s">
        <v>4195</v>
      </c>
      <c r="M32">
        <v>0.28999999999999998</v>
      </c>
      <c r="N32">
        <v>1030</v>
      </c>
      <c r="O32">
        <v>1</v>
      </c>
      <c r="P32">
        <v>1</v>
      </c>
      <c r="U32" t="s">
        <v>1678</v>
      </c>
      <c r="V32">
        <v>43465</v>
      </c>
      <c r="W32" t="s">
        <v>4196</v>
      </c>
      <c r="X32" t="s">
        <v>4197</v>
      </c>
    </row>
    <row r="33" spans="1:24">
      <c r="A33">
        <v>22</v>
      </c>
      <c r="B33">
        <v>16080172</v>
      </c>
      <c r="C33" t="s">
        <v>4141</v>
      </c>
      <c r="D33" t="s">
        <v>4142</v>
      </c>
      <c r="E33" t="s">
        <v>4198</v>
      </c>
      <c r="F33" t="s">
        <v>4198</v>
      </c>
      <c r="G33">
        <v>134</v>
      </c>
      <c r="H33" t="s">
        <v>4193</v>
      </c>
      <c r="J33" t="s">
        <v>4199</v>
      </c>
      <c r="K33" s="2059">
        <v>3.5999999999999997E-2</v>
      </c>
      <c r="L33" t="s">
        <v>4189</v>
      </c>
      <c r="M33">
        <v>0.28999999999999998</v>
      </c>
      <c r="N33">
        <v>1030</v>
      </c>
      <c r="O33">
        <v>1</v>
      </c>
      <c r="P33">
        <v>1</v>
      </c>
      <c r="U33" t="s">
        <v>1678</v>
      </c>
      <c r="V33">
        <v>43465</v>
      </c>
      <c r="W33" t="s">
        <v>4196</v>
      </c>
      <c r="X33" t="s">
        <v>4197</v>
      </c>
    </row>
    <row r="34" spans="1:24">
      <c r="A34">
        <v>22</v>
      </c>
      <c r="B34">
        <v>15040021</v>
      </c>
      <c r="C34" t="s">
        <v>4141</v>
      </c>
      <c r="D34" t="s">
        <v>4142</v>
      </c>
      <c r="E34" t="s">
        <v>4200</v>
      </c>
      <c r="F34" t="s">
        <v>4200</v>
      </c>
      <c r="G34">
        <v>134</v>
      </c>
      <c r="H34" t="s">
        <v>4193</v>
      </c>
      <c r="J34" t="s">
        <v>4201</v>
      </c>
      <c r="K34" s="2059">
        <v>3.9E-2</v>
      </c>
      <c r="L34" t="s">
        <v>4202</v>
      </c>
      <c r="M34">
        <v>0.28999999999999998</v>
      </c>
      <c r="N34">
        <v>1030</v>
      </c>
      <c r="O34">
        <v>1</v>
      </c>
      <c r="P34">
        <v>1</v>
      </c>
      <c r="U34" t="s">
        <v>1678</v>
      </c>
      <c r="V34">
        <v>43100</v>
      </c>
      <c r="W34" t="s">
        <v>4203</v>
      </c>
    </row>
    <row r="35" spans="1:24">
      <c r="A35">
        <v>22</v>
      </c>
      <c r="B35">
        <v>16080161</v>
      </c>
      <c r="C35" t="s">
        <v>4141</v>
      </c>
      <c r="D35" t="s">
        <v>4142</v>
      </c>
      <c r="E35" t="s">
        <v>4192</v>
      </c>
      <c r="F35" t="s">
        <v>4192</v>
      </c>
      <c r="G35">
        <v>143</v>
      </c>
      <c r="H35" t="s">
        <v>4204</v>
      </c>
      <c r="J35" t="s">
        <v>4194</v>
      </c>
      <c r="K35" s="2059">
        <v>3.5000000000000003E-2</v>
      </c>
      <c r="L35" t="s">
        <v>4195</v>
      </c>
      <c r="M35">
        <v>0.28999999999999998</v>
      </c>
      <c r="N35">
        <v>1030</v>
      </c>
      <c r="O35">
        <v>1</v>
      </c>
      <c r="P35">
        <v>1</v>
      </c>
      <c r="U35" t="s">
        <v>1678</v>
      </c>
      <c r="V35">
        <v>43465</v>
      </c>
      <c r="W35" t="s">
        <v>4196</v>
      </c>
      <c r="X35" t="s">
        <v>4197</v>
      </c>
    </row>
    <row r="36" spans="1:24">
      <c r="A36">
        <v>22</v>
      </c>
      <c r="B36">
        <v>16080162</v>
      </c>
      <c r="C36" t="s">
        <v>4141</v>
      </c>
      <c r="D36" t="s">
        <v>4142</v>
      </c>
      <c r="E36" t="s">
        <v>4198</v>
      </c>
      <c r="F36" t="s">
        <v>4198</v>
      </c>
      <c r="G36">
        <v>143</v>
      </c>
      <c r="H36" t="s">
        <v>4204</v>
      </c>
      <c r="J36" t="s">
        <v>4199</v>
      </c>
      <c r="K36" s="2059">
        <v>3.5999999999999997E-2</v>
      </c>
      <c r="L36" t="s">
        <v>4189</v>
      </c>
      <c r="M36">
        <v>0.28999999999999998</v>
      </c>
      <c r="N36">
        <v>1030</v>
      </c>
      <c r="O36">
        <v>1</v>
      </c>
      <c r="P36">
        <v>1</v>
      </c>
      <c r="U36" t="s">
        <v>1678</v>
      </c>
      <c r="V36">
        <v>43465</v>
      </c>
      <c r="W36" t="s">
        <v>4196</v>
      </c>
      <c r="X36" t="s">
        <v>4197</v>
      </c>
    </row>
    <row r="37" spans="1:24">
      <c r="A37">
        <v>22</v>
      </c>
      <c r="B37">
        <v>15100141</v>
      </c>
      <c r="C37" t="s">
        <v>4141</v>
      </c>
      <c r="D37" t="s">
        <v>4142</v>
      </c>
      <c r="E37" t="s">
        <v>4205</v>
      </c>
      <c r="F37" t="s">
        <v>4205</v>
      </c>
      <c r="G37">
        <v>143</v>
      </c>
      <c r="H37" t="s">
        <v>4206</v>
      </c>
      <c r="J37">
        <v>75</v>
      </c>
      <c r="K37" s="2059">
        <v>4.1000000000000002E-2</v>
      </c>
      <c r="L37" t="s">
        <v>4202</v>
      </c>
      <c r="M37">
        <v>0.28999999999999998</v>
      </c>
      <c r="N37">
        <v>1030</v>
      </c>
      <c r="O37">
        <v>1</v>
      </c>
      <c r="P37">
        <v>1</v>
      </c>
      <c r="U37" t="s">
        <v>1678</v>
      </c>
      <c r="V37">
        <v>43100</v>
      </c>
      <c r="W37" t="s">
        <v>4207</v>
      </c>
      <c r="X37" t="s">
        <v>4197</v>
      </c>
    </row>
    <row r="38" spans="1:24">
      <c r="A38">
        <v>22</v>
      </c>
      <c r="B38">
        <v>15100142</v>
      </c>
      <c r="C38" t="s">
        <v>4141</v>
      </c>
      <c r="D38" t="s">
        <v>4142</v>
      </c>
      <c r="E38" t="s">
        <v>4208</v>
      </c>
      <c r="F38" t="s">
        <v>4208</v>
      </c>
      <c r="G38">
        <v>143</v>
      </c>
      <c r="H38" t="s">
        <v>4209</v>
      </c>
      <c r="J38">
        <v>75</v>
      </c>
      <c r="K38" s="2059">
        <v>4.1000000000000002E-2</v>
      </c>
      <c r="L38" t="s">
        <v>4210</v>
      </c>
      <c r="M38">
        <v>0.28999999999999998</v>
      </c>
      <c r="N38">
        <v>1030</v>
      </c>
      <c r="O38">
        <v>1</v>
      </c>
      <c r="P38">
        <v>1</v>
      </c>
      <c r="U38" t="s">
        <v>1678</v>
      </c>
      <c r="V38">
        <v>43100</v>
      </c>
      <c r="W38" t="s">
        <v>4207</v>
      </c>
      <c r="X38" t="s">
        <v>4197</v>
      </c>
    </row>
    <row r="39" spans="1:24">
      <c r="A39">
        <v>22</v>
      </c>
      <c r="B39">
        <v>16070022</v>
      </c>
      <c r="C39" t="s">
        <v>4141</v>
      </c>
      <c r="D39" t="s">
        <v>4142</v>
      </c>
      <c r="E39" t="s">
        <v>4211</v>
      </c>
      <c r="F39" t="s">
        <v>4211</v>
      </c>
      <c r="G39">
        <v>152</v>
      </c>
      <c r="H39" t="s">
        <v>4212</v>
      </c>
      <c r="J39">
        <v>110</v>
      </c>
      <c r="K39" s="2059">
        <v>3.5999999999999997E-2</v>
      </c>
      <c r="L39" t="s">
        <v>4213</v>
      </c>
      <c r="M39">
        <v>0.28999999999999998</v>
      </c>
      <c r="N39">
        <v>1030</v>
      </c>
      <c r="O39">
        <v>1</v>
      </c>
      <c r="P39">
        <v>1</v>
      </c>
      <c r="U39" t="s">
        <v>1678</v>
      </c>
      <c r="V39">
        <v>43465</v>
      </c>
    </row>
    <row r="40" spans="1:24">
      <c r="A40">
        <v>22</v>
      </c>
      <c r="B40">
        <v>16090141</v>
      </c>
      <c r="C40" t="s">
        <v>4141</v>
      </c>
      <c r="D40" t="s">
        <v>4142</v>
      </c>
      <c r="E40" t="s">
        <v>4214</v>
      </c>
      <c r="F40" t="s">
        <v>4214</v>
      </c>
      <c r="G40">
        <v>114</v>
      </c>
      <c r="H40" t="s">
        <v>4215</v>
      </c>
      <c r="J40">
        <v>125</v>
      </c>
      <c r="K40" s="2059">
        <v>3.5999999999999997E-2</v>
      </c>
      <c r="L40" t="s">
        <v>4216</v>
      </c>
      <c r="M40">
        <v>0.28999999999999998</v>
      </c>
      <c r="N40">
        <v>1030</v>
      </c>
      <c r="O40">
        <v>1</v>
      </c>
      <c r="P40">
        <v>1</v>
      </c>
      <c r="U40" t="s">
        <v>1678</v>
      </c>
      <c r="V40">
        <v>43465</v>
      </c>
      <c r="W40" t="s">
        <v>4217</v>
      </c>
      <c r="X40" t="s">
        <v>4218</v>
      </c>
    </row>
    <row r="41" spans="1:24">
      <c r="A41">
        <v>22</v>
      </c>
      <c r="B41">
        <v>16090142</v>
      </c>
      <c r="C41" t="s">
        <v>4141</v>
      </c>
      <c r="D41" t="s">
        <v>4142</v>
      </c>
      <c r="E41" t="s">
        <v>4219</v>
      </c>
      <c r="F41" t="s">
        <v>4219</v>
      </c>
      <c r="G41">
        <v>114</v>
      </c>
      <c r="H41" t="s">
        <v>4215</v>
      </c>
      <c r="J41">
        <v>42</v>
      </c>
      <c r="K41" s="2059">
        <v>3.5999999999999997E-2</v>
      </c>
      <c r="L41" t="s">
        <v>4216</v>
      </c>
      <c r="M41">
        <v>0.28999999999999998</v>
      </c>
      <c r="N41">
        <v>1030</v>
      </c>
      <c r="O41">
        <v>1</v>
      </c>
      <c r="P41">
        <v>1</v>
      </c>
      <c r="U41" t="s">
        <v>1678</v>
      </c>
      <c r="V41">
        <v>43465</v>
      </c>
      <c r="W41" t="s">
        <v>4220</v>
      </c>
      <c r="X41" t="s">
        <v>4221</v>
      </c>
    </row>
    <row r="42" spans="1:24">
      <c r="A42">
        <v>22</v>
      </c>
      <c r="B42">
        <v>16090143</v>
      </c>
      <c r="C42" t="s">
        <v>4141</v>
      </c>
      <c r="D42" t="s">
        <v>4142</v>
      </c>
      <c r="E42" t="s">
        <v>4222</v>
      </c>
      <c r="F42" t="s">
        <v>4222</v>
      </c>
      <c r="G42">
        <v>114</v>
      </c>
      <c r="H42" t="s">
        <v>4215</v>
      </c>
      <c r="J42">
        <v>100</v>
      </c>
      <c r="K42" s="2059">
        <v>3.5999999999999997E-2</v>
      </c>
      <c r="L42" t="s">
        <v>4202</v>
      </c>
      <c r="M42">
        <v>0.28999999999999998</v>
      </c>
      <c r="N42">
        <v>1030</v>
      </c>
      <c r="O42">
        <v>1</v>
      </c>
      <c r="P42">
        <v>1</v>
      </c>
      <c r="U42" t="s">
        <v>1678</v>
      </c>
      <c r="V42">
        <v>43465</v>
      </c>
      <c r="W42" t="s">
        <v>4196</v>
      </c>
      <c r="X42" t="s">
        <v>4223</v>
      </c>
    </row>
    <row r="43" spans="1:24">
      <c r="A43">
        <v>22</v>
      </c>
      <c r="B43">
        <v>16090144</v>
      </c>
      <c r="C43" t="s">
        <v>4141</v>
      </c>
      <c r="D43" t="s">
        <v>4142</v>
      </c>
      <c r="E43" t="s">
        <v>4224</v>
      </c>
      <c r="F43" t="s">
        <v>4224</v>
      </c>
      <c r="G43">
        <v>114</v>
      </c>
      <c r="H43" t="s">
        <v>4215</v>
      </c>
      <c r="J43">
        <v>100</v>
      </c>
      <c r="K43" s="2059">
        <v>3.4000000000000002E-2</v>
      </c>
      <c r="L43" t="s">
        <v>4225</v>
      </c>
      <c r="M43">
        <v>0.28999999999999998</v>
      </c>
      <c r="N43">
        <v>1030</v>
      </c>
      <c r="O43">
        <v>1</v>
      </c>
      <c r="P43">
        <v>1</v>
      </c>
      <c r="U43" t="s">
        <v>1678</v>
      </c>
      <c r="V43">
        <v>43465</v>
      </c>
      <c r="W43" t="s">
        <v>4226</v>
      </c>
      <c r="X43" t="s">
        <v>4227</v>
      </c>
    </row>
    <row r="44" spans="1:24">
      <c r="A44">
        <v>22</v>
      </c>
      <c r="B44">
        <v>16090145</v>
      </c>
      <c r="C44" t="s">
        <v>4141</v>
      </c>
      <c r="D44" t="s">
        <v>4142</v>
      </c>
      <c r="E44" t="s">
        <v>4228</v>
      </c>
      <c r="F44" t="s">
        <v>4228</v>
      </c>
      <c r="G44">
        <v>114</v>
      </c>
      <c r="H44" t="s">
        <v>4215</v>
      </c>
      <c r="J44">
        <v>110</v>
      </c>
      <c r="K44" s="2059">
        <v>3.5000000000000003E-2</v>
      </c>
      <c r="L44" t="s">
        <v>4202</v>
      </c>
      <c r="M44">
        <v>0.28999999999999998</v>
      </c>
      <c r="N44">
        <v>1030</v>
      </c>
      <c r="O44">
        <v>1</v>
      </c>
      <c r="P44">
        <v>1</v>
      </c>
      <c r="U44" t="s">
        <v>1678</v>
      </c>
      <c r="V44">
        <v>43465</v>
      </c>
      <c r="W44" t="s">
        <v>4196</v>
      </c>
      <c r="X44" t="s">
        <v>4223</v>
      </c>
    </row>
    <row r="45" spans="1:24">
      <c r="A45">
        <v>22</v>
      </c>
      <c r="B45">
        <v>16090146</v>
      </c>
      <c r="C45" t="s">
        <v>4141</v>
      </c>
      <c r="D45" t="s">
        <v>4142</v>
      </c>
      <c r="E45" t="s">
        <v>4229</v>
      </c>
      <c r="F45" t="s">
        <v>4229</v>
      </c>
      <c r="G45">
        <v>114</v>
      </c>
      <c r="H45" t="s">
        <v>4215</v>
      </c>
      <c r="J45">
        <v>65</v>
      </c>
      <c r="K45" s="2059">
        <v>3.4000000000000002E-2</v>
      </c>
      <c r="L45" t="s">
        <v>4230</v>
      </c>
      <c r="M45">
        <v>0.28999999999999998</v>
      </c>
      <c r="N45">
        <v>1030</v>
      </c>
      <c r="O45">
        <v>1</v>
      </c>
      <c r="P45">
        <v>1</v>
      </c>
      <c r="U45" t="s">
        <v>1678</v>
      </c>
      <c r="V45">
        <v>43465</v>
      </c>
      <c r="W45" t="s">
        <v>4231</v>
      </c>
      <c r="X45" t="s">
        <v>4232</v>
      </c>
    </row>
    <row r="46" spans="1:24">
      <c r="A46">
        <v>22</v>
      </c>
      <c r="B46">
        <v>16090147</v>
      </c>
      <c r="C46" t="s">
        <v>4141</v>
      </c>
      <c r="D46" t="s">
        <v>4142</v>
      </c>
      <c r="E46" t="s">
        <v>4233</v>
      </c>
      <c r="F46" t="s">
        <v>4233</v>
      </c>
      <c r="G46">
        <v>114</v>
      </c>
      <c r="H46" t="s">
        <v>4215</v>
      </c>
      <c r="J46">
        <v>52</v>
      </c>
      <c r="K46" s="2059">
        <v>3.5000000000000003E-2</v>
      </c>
      <c r="L46" t="s">
        <v>4230</v>
      </c>
      <c r="M46">
        <v>0.28999999999999998</v>
      </c>
      <c r="N46">
        <v>1030</v>
      </c>
      <c r="O46">
        <v>1</v>
      </c>
      <c r="P46">
        <v>1</v>
      </c>
      <c r="U46" t="s">
        <v>1678</v>
      </c>
      <c r="V46">
        <v>43465</v>
      </c>
      <c r="W46" t="s">
        <v>4234</v>
      </c>
      <c r="X46" t="s">
        <v>4235</v>
      </c>
    </row>
    <row r="47" spans="1:24">
      <c r="A47">
        <v>22</v>
      </c>
      <c r="B47">
        <v>16090148</v>
      </c>
      <c r="C47" t="s">
        <v>4141</v>
      </c>
      <c r="D47" t="s">
        <v>4142</v>
      </c>
      <c r="E47" t="s">
        <v>4236</v>
      </c>
      <c r="F47" t="s">
        <v>4236</v>
      </c>
      <c r="G47">
        <v>114</v>
      </c>
      <c r="H47" t="s">
        <v>4215</v>
      </c>
      <c r="J47">
        <v>42</v>
      </c>
      <c r="K47" s="2059">
        <v>3.5999999999999997E-2</v>
      </c>
      <c r="L47" t="s">
        <v>4237</v>
      </c>
      <c r="M47">
        <v>0.28999999999999998</v>
      </c>
      <c r="N47">
        <v>1030</v>
      </c>
      <c r="O47">
        <v>1</v>
      </c>
      <c r="P47">
        <v>1</v>
      </c>
      <c r="U47" t="s">
        <v>1678</v>
      </c>
      <c r="V47">
        <v>43465</v>
      </c>
      <c r="W47" t="s">
        <v>4234</v>
      </c>
      <c r="X47" t="s">
        <v>4235</v>
      </c>
    </row>
    <row r="48" spans="1:24">
      <c r="A48">
        <v>22</v>
      </c>
      <c r="B48">
        <v>16090149</v>
      </c>
      <c r="C48" t="s">
        <v>4141</v>
      </c>
      <c r="D48" t="s">
        <v>4142</v>
      </c>
      <c r="E48" t="s">
        <v>4238</v>
      </c>
      <c r="F48" t="s">
        <v>4238</v>
      </c>
      <c r="G48">
        <v>114</v>
      </c>
      <c r="H48" t="s">
        <v>4215</v>
      </c>
      <c r="J48">
        <v>90</v>
      </c>
      <c r="K48" s="2059">
        <v>3.5000000000000003E-2</v>
      </c>
      <c r="L48" t="s">
        <v>4239</v>
      </c>
      <c r="M48">
        <v>0.28999999999999998</v>
      </c>
      <c r="N48">
        <v>1030</v>
      </c>
      <c r="O48">
        <v>1</v>
      </c>
      <c r="P48">
        <v>1</v>
      </c>
      <c r="U48" t="s">
        <v>1678</v>
      </c>
      <c r="V48">
        <v>43465</v>
      </c>
      <c r="W48" t="s">
        <v>4240</v>
      </c>
      <c r="X48" t="s">
        <v>4241</v>
      </c>
    </row>
    <row r="49" spans="1:24">
      <c r="A49">
        <v>22</v>
      </c>
      <c r="B49">
        <v>16090150</v>
      </c>
      <c r="C49" t="s">
        <v>4141</v>
      </c>
      <c r="D49" t="s">
        <v>4142</v>
      </c>
      <c r="E49" t="s">
        <v>4242</v>
      </c>
      <c r="F49" t="s">
        <v>4242</v>
      </c>
      <c r="G49">
        <v>114</v>
      </c>
      <c r="H49" t="s">
        <v>4215</v>
      </c>
      <c r="J49">
        <v>110</v>
      </c>
      <c r="K49" s="2059">
        <v>3.5000000000000003E-2</v>
      </c>
      <c r="L49" t="s">
        <v>4243</v>
      </c>
      <c r="M49">
        <v>0.28999999999999998</v>
      </c>
      <c r="N49">
        <v>1030</v>
      </c>
      <c r="O49">
        <v>1</v>
      </c>
      <c r="P49">
        <v>1</v>
      </c>
      <c r="U49" t="s">
        <v>1678</v>
      </c>
      <c r="V49">
        <v>43465</v>
      </c>
      <c r="W49" t="s">
        <v>4244</v>
      </c>
      <c r="X49" t="s">
        <v>4245</v>
      </c>
    </row>
    <row r="50" spans="1:24">
      <c r="A50">
        <v>22</v>
      </c>
      <c r="B50">
        <v>16090151</v>
      </c>
      <c r="C50" t="s">
        <v>4141</v>
      </c>
      <c r="D50" t="s">
        <v>4142</v>
      </c>
      <c r="E50" t="s">
        <v>4246</v>
      </c>
      <c r="F50" t="s">
        <v>4246</v>
      </c>
      <c r="G50">
        <v>114</v>
      </c>
      <c r="H50" t="s">
        <v>4215</v>
      </c>
      <c r="J50">
        <v>52</v>
      </c>
      <c r="K50" s="2059">
        <v>3.5000000000000003E-2</v>
      </c>
      <c r="L50" t="s">
        <v>4247</v>
      </c>
      <c r="M50">
        <v>0.28999999999999998</v>
      </c>
      <c r="N50">
        <v>1030</v>
      </c>
      <c r="O50">
        <v>1</v>
      </c>
      <c r="P50">
        <v>1</v>
      </c>
      <c r="U50" t="s">
        <v>1678</v>
      </c>
      <c r="V50">
        <v>43465</v>
      </c>
      <c r="W50" t="s">
        <v>4248</v>
      </c>
    </row>
    <row r="51" spans="1:24">
      <c r="A51">
        <v>22</v>
      </c>
      <c r="B51">
        <v>16090152</v>
      </c>
      <c r="C51" t="s">
        <v>4141</v>
      </c>
      <c r="D51" t="s">
        <v>4142</v>
      </c>
      <c r="E51" t="s">
        <v>4249</v>
      </c>
      <c r="F51" t="s">
        <v>4249</v>
      </c>
      <c r="G51">
        <v>114</v>
      </c>
      <c r="H51" t="s">
        <v>4215</v>
      </c>
      <c r="J51">
        <v>155</v>
      </c>
      <c r="K51" s="2059">
        <v>0.04</v>
      </c>
      <c r="L51" t="s">
        <v>4250</v>
      </c>
      <c r="M51">
        <v>0.28999999999999998</v>
      </c>
      <c r="N51">
        <v>1030</v>
      </c>
      <c r="O51">
        <v>1</v>
      </c>
      <c r="P51">
        <v>1</v>
      </c>
      <c r="U51" t="s">
        <v>1678</v>
      </c>
      <c r="V51">
        <v>43465</v>
      </c>
      <c r="W51" t="s">
        <v>4251</v>
      </c>
      <c r="X51" t="s">
        <v>4252</v>
      </c>
    </row>
    <row r="52" spans="1:24">
      <c r="A52">
        <v>22</v>
      </c>
      <c r="B52">
        <v>16090153</v>
      </c>
      <c r="C52" t="s">
        <v>4141</v>
      </c>
      <c r="D52" t="s">
        <v>4142</v>
      </c>
      <c r="E52" t="s">
        <v>4253</v>
      </c>
      <c r="F52" t="s">
        <v>4253</v>
      </c>
      <c r="G52">
        <v>114</v>
      </c>
      <c r="H52" t="s">
        <v>4215</v>
      </c>
      <c r="J52">
        <v>130</v>
      </c>
      <c r="K52" s="2059">
        <v>3.5000000000000003E-2</v>
      </c>
      <c r="L52">
        <v>14946</v>
      </c>
      <c r="M52">
        <v>0.28999999999999998</v>
      </c>
      <c r="N52">
        <v>1030</v>
      </c>
      <c r="O52">
        <v>1</v>
      </c>
      <c r="P52">
        <v>1</v>
      </c>
      <c r="U52" t="s">
        <v>1678</v>
      </c>
      <c r="V52">
        <v>43465</v>
      </c>
      <c r="W52" t="s">
        <v>4254</v>
      </c>
      <c r="X52" t="s">
        <v>4255</v>
      </c>
    </row>
    <row r="53" spans="1:24">
      <c r="A53">
        <v>22</v>
      </c>
      <c r="B53">
        <v>16090154</v>
      </c>
      <c r="C53" t="s">
        <v>4141</v>
      </c>
      <c r="D53" t="s">
        <v>4142</v>
      </c>
      <c r="E53" t="s">
        <v>4256</v>
      </c>
      <c r="F53" t="s">
        <v>4256</v>
      </c>
      <c r="G53">
        <v>114</v>
      </c>
      <c r="H53" t="s">
        <v>4215</v>
      </c>
      <c r="J53">
        <v>115</v>
      </c>
      <c r="K53" s="2059">
        <v>3.5000000000000003E-2</v>
      </c>
      <c r="L53" t="s">
        <v>4257</v>
      </c>
      <c r="M53">
        <v>0.28999999999999998</v>
      </c>
      <c r="N53">
        <v>1030</v>
      </c>
      <c r="O53">
        <v>1</v>
      </c>
      <c r="P53">
        <v>1</v>
      </c>
      <c r="U53" t="s">
        <v>1678</v>
      </c>
      <c r="V53">
        <v>43465</v>
      </c>
      <c r="W53" t="s">
        <v>4254</v>
      </c>
      <c r="X53" t="s">
        <v>4255</v>
      </c>
    </row>
    <row r="54" spans="1:24">
      <c r="A54">
        <v>22</v>
      </c>
      <c r="B54">
        <v>16090155</v>
      </c>
      <c r="C54" t="s">
        <v>4141</v>
      </c>
      <c r="D54" t="s">
        <v>4142</v>
      </c>
      <c r="E54" t="s">
        <v>4258</v>
      </c>
      <c r="F54" t="s">
        <v>4258</v>
      </c>
      <c r="G54">
        <v>114</v>
      </c>
      <c r="H54" t="s">
        <v>4215</v>
      </c>
      <c r="J54">
        <v>30</v>
      </c>
      <c r="K54" s="2059">
        <v>0.04</v>
      </c>
      <c r="L54" t="s">
        <v>4259</v>
      </c>
      <c r="M54">
        <v>0.28999999999999998</v>
      </c>
      <c r="N54">
        <v>1030</v>
      </c>
      <c r="O54">
        <v>1</v>
      </c>
      <c r="P54">
        <v>1</v>
      </c>
      <c r="U54" t="s">
        <v>1678</v>
      </c>
      <c r="V54">
        <v>43465</v>
      </c>
      <c r="W54" t="s">
        <v>4260</v>
      </c>
      <c r="X54" t="s">
        <v>4261</v>
      </c>
    </row>
    <row r="55" spans="1:24">
      <c r="A55">
        <v>22</v>
      </c>
      <c r="B55">
        <v>16090156</v>
      </c>
      <c r="C55" t="s">
        <v>4141</v>
      </c>
      <c r="D55" t="s">
        <v>4142</v>
      </c>
      <c r="E55" t="s">
        <v>4262</v>
      </c>
      <c r="F55" t="s">
        <v>4262</v>
      </c>
      <c r="G55">
        <v>114</v>
      </c>
      <c r="H55" t="s">
        <v>4215</v>
      </c>
      <c r="J55">
        <v>125</v>
      </c>
      <c r="K55" s="2059">
        <v>3.6999999999999998E-2</v>
      </c>
      <c r="L55" t="s">
        <v>4263</v>
      </c>
      <c r="M55">
        <v>0.28999999999999998</v>
      </c>
      <c r="N55">
        <v>1030</v>
      </c>
      <c r="O55">
        <v>1</v>
      </c>
      <c r="P55">
        <v>1</v>
      </c>
      <c r="U55" t="s">
        <v>1678</v>
      </c>
      <c r="V55">
        <v>43465</v>
      </c>
      <c r="W55" t="s">
        <v>4217</v>
      </c>
      <c r="X55" t="s">
        <v>4218</v>
      </c>
    </row>
    <row r="56" spans="1:24">
      <c r="A56">
        <v>22</v>
      </c>
      <c r="B56">
        <v>16110011</v>
      </c>
      <c r="C56" t="s">
        <v>4141</v>
      </c>
      <c r="D56" t="s">
        <v>4142</v>
      </c>
      <c r="E56" t="s">
        <v>4264</v>
      </c>
      <c r="F56" t="s">
        <v>4264</v>
      </c>
      <c r="G56">
        <v>114</v>
      </c>
      <c r="H56" t="s">
        <v>4215</v>
      </c>
      <c r="J56">
        <v>100</v>
      </c>
      <c r="K56" s="2059">
        <v>3.4000000000000002E-2</v>
      </c>
      <c r="L56" t="s">
        <v>4265</v>
      </c>
      <c r="M56">
        <v>0.28999999999999998</v>
      </c>
      <c r="N56">
        <v>1030</v>
      </c>
      <c r="O56">
        <v>1</v>
      </c>
      <c r="P56">
        <v>1</v>
      </c>
      <c r="U56" t="s">
        <v>1678</v>
      </c>
      <c r="V56">
        <v>43465</v>
      </c>
    </row>
    <row r="57" spans="1:24">
      <c r="A57">
        <v>22</v>
      </c>
      <c r="B57">
        <v>15120011</v>
      </c>
      <c r="C57" t="s">
        <v>4141</v>
      </c>
      <c r="D57" t="s">
        <v>4142</v>
      </c>
      <c r="E57" t="s">
        <v>4266</v>
      </c>
      <c r="F57" t="s">
        <v>4266</v>
      </c>
      <c r="G57">
        <v>114</v>
      </c>
      <c r="H57" t="s">
        <v>4215</v>
      </c>
      <c r="J57" t="s">
        <v>4267</v>
      </c>
      <c r="K57" s="2059">
        <v>0.04</v>
      </c>
      <c r="L57" t="s">
        <v>4265</v>
      </c>
      <c r="M57">
        <v>0.28999999999999998</v>
      </c>
      <c r="N57">
        <v>1030</v>
      </c>
      <c r="O57">
        <v>1</v>
      </c>
      <c r="P57">
        <v>1</v>
      </c>
      <c r="U57" t="s">
        <v>1678</v>
      </c>
      <c r="V57">
        <v>43100</v>
      </c>
      <c r="W57" t="s">
        <v>4217</v>
      </c>
      <c r="X57" t="s">
        <v>4218</v>
      </c>
    </row>
    <row r="58" spans="1:24">
      <c r="A58">
        <v>22</v>
      </c>
      <c r="B58">
        <v>16080121</v>
      </c>
      <c r="C58" t="s">
        <v>4141</v>
      </c>
      <c r="D58" t="s">
        <v>4142</v>
      </c>
      <c r="E58" t="s">
        <v>4268</v>
      </c>
      <c r="F58" t="s">
        <v>4268</v>
      </c>
      <c r="G58">
        <v>95</v>
      </c>
      <c r="H58" t="s">
        <v>4269</v>
      </c>
      <c r="J58" t="s">
        <v>4270</v>
      </c>
      <c r="K58" s="2059">
        <v>3.5000000000000003E-2</v>
      </c>
      <c r="L58" t="s">
        <v>4202</v>
      </c>
      <c r="M58">
        <v>0.28999999999999998</v>
      </c>
      <c r="N58">
        <v>1030</v>
      </c>
      <c r="O58">
        <v>1</v>
      </c>
      <c r="P58">
        <v>1</v>
      </c>
      <c r="U58" t="s">
        <v>1678</v>
      </c>
      <c r="V58">
        <v>43465</v>
      </c>
      <c r="W58" t="s">
        <v>4196</v>
      </c>
      <c r="X58" t="s">
        <v>4197</v>
      </c>
    </row>
    <row r="59" spans="1:24">
      <c r="A59">
        <v>22</v>
      </c>
      <c r="B59">
        <v>16030041</v>
      </c>
      <c r="C59" t="s">
        <v>4141</v>
      </c>
      <c r="D59" t="s">
        <v>4142</v>
      </c>
      <c r="E59" t="s">
        <v>4271</v>
      </c>
      <c r="F59" t="s">
        <v>4271</v>
      </c>
      <c r="G59">
        <v>85</v>
      </c>
      <c r="H59" t="s">
        <v>4272</v>
      </c>
      <c r="J59">
        <v>120</v>
      </c>
      <c r="K59" s="2059">
        <v>3.4000000000000002E-2</v>
      </c>
      <c r="L59" t="s">
        <v>4259</v>
      </c>
      <c r="M59">
        <v>0.28999999999999998</v>
      </c>
      <c r="N59">
        <v>1030</v>
      </c>
      <c r="O59">
        <v>1</v>
      </c>
      <c r="P59">
        <v>1</v>
      </c>
      <c r="U59" t="s">
        <v>1678</v>
      </c>
      <c r="V59">
        <v>43281</v>
      </c>
      <c r="W59" t="s">
        <v>4273</v>
      </c>
      <c r="X59" t="s">
        <v>4197</v>
      </c>
    </row>
    <row r="60" spans="1:24">
      <c r="A60">
        <v>22</v>
      </c>
      <c r="B60">
        <v>16100051</v>
      </c>
      <c r="C60" t="s">
        <v>4141</v>
      </c>
      <c r="D60" t="s">
        <v>4142</v>
      </c>
      <c r="E60" t="s">
        <v>551</v>
      </c>
      <c r="F60" t="s">
        <v>4274</v>
      </c>
      <c r="G60">
        <v>17</v>
      </c>
      <c r="H60" t="s">
        <v>4275</v>
      </c>
      <c r="J60">
        <v>30</v>
      </c>
      <c r="K60" s="2059">
        <v>3.5999999999999997E-2</v>
      </c>
      <c r="L60" t="s">
        <v>4237</v>
      </c>
      <c r="M60">
        <v>0.28999999999999998</v>
      </c>
      <c r="N60">
        <v>1030</v>
      </c>
      <c r="O60">
        <v>1</v>
      </c>
      <c r="P60">
        <v>1</v>
      </c>
      <c r="U60" t="s">
        <v>1678</v>
      </c>
      <c r="V60">
        <v>43465</v>
      </c>
    </row>
    <row r="61" spans="1:24">
      <c r="A61">
        <v>22</v>
      </c>
      <c r="B61">
        <v>16100052</v>
      </c>
      <c r="C61" t="s">
        <v>4141</v>
      </c>
      <c r="D61" t="s">
        <v>4142</v>
      </c>
      <c r="E61" t="s">
        <v>525</v>
      </c>
      <c r="F61" t="s">
        <v>4276</v>
      </c>
      <c r="G61">
        <v>17</v>
      </c>
      <c r="H61" t="s">
        <v>4275</v>
      </c>
      <c r="J61">
        <v>60</v>
      </c>
      <c r="K61" s="2059">
        <v>3.4000000000000002E-2</v>
      </c>
      <c r="L61" t="s">
        <v>4237</v>
      </c>
      <c r="M61">
        <v>0.28999999999999998</v>
      </c>
      <c r="N61">
        <v>1030</v>
      </c>
      <c r="O61">
        <v>1</v>
      </c>
      <c r="P61">
        <v>1</v>
      </c>
      <c r="U61" t="s">
        <v>1678</v>
      </c>
      <c r="V61">
        <v>43465</v>
      </c>
    </row>
    <row r="62" spans="1:24">
      <c r="A62">
        <v>22</v>
      </c>
      <c r="B62">
        <v>16100053</v>
      </c>
      <c r="C62" t="s">
        <v>4141</v>
      </c>
      <c r="D62" t="s">
        <v>4142</v>
      </c>
      <c r="E62" t="s">
        <v>527</v>
      </c>
      <c r="F62" t="s">
        <v>4277</v>
      </c>
      <c r="G62">
        <v>17</v>
      </c>
      <c r="H62" t="s">
        <v>4275</v>
      </c>
      <c r="J62">
        <v>150</v>
      </c>
      <c r="K62" s="2059">
        <v>0.04</v>
      </c>
      <c r="L62" t="s">
        <v>4189</v>
      </c>
      <c r="M62">
        <v>0.28999999999999998</v>
      </c>
      <c r="N62">
        <v>1030</v>
      </c>
      <c r="O62">
        <v>1</v>
      </c>
      <c r="P62">
        <v>1</v>
      </c>
      <c r="U62" t="s">
        <v>1678</v>
      </c>
      <c r="V62">
        <v>43465</v>
      </c>
    </row>
    <row r="63" spans="1:24">
      <c r="A63">
        <v>22</v>
      </c>
      <c r="B63">
        <v>16100054</v>
      </c>
      <c r="C63" t="s">
        <v>4141</v>
      </c>
      <c r="D63" t="s">
        <v>4142</v>
      </c>
      <c r="E63" t="s">
        <v>526</v>
      </c>
      <c r="F63" t="s">
        <v>4278</v>
      </c>
      <c r="G63">
        <v>17</v>
      </c>
      <c r="H63" t="s">
        <v>4275</v>
      </c>
      <c r="J63">
        <v>90</v>
      </c>
      <c r="K63" s="2059">
        <v>3.5000000000000003E-2</v>
      </c>
      <c r="L63" t="s">
        <v>4202</v>
      </c>
      <c r="M63">
        <v>0.28999999999999998</v>
      </c>
      <c r="N63">
        <v>1030</v>
      </c>
      <c r="O63">
        <v>1</v>
      </c>
      <c r="P63">
        <v>1</v>
      </c>
      <c r="U63" t="s">
        <v>1678</v>
      </c>
      <c r="V63">
        <v>43465</v>
      </c>
    </row>
    <row r="64" spans="1:24">
      <c r="A64">
        <v>22</v>
      </c>
      <c r="B64">
        <v>16100055</v>
      </c>
      <c r="C64" t="s">
        <v>4141</v>
      </c>
      <c r="D64" t="s">
        <v>4142</v>
      </c>
      <c r="E64" t="s">
        <v>528</v>
      </c>
      <c r="F64" t="s">
        <v>4279</v>
      </c>
      <c r="G64">
        <v>17</v>
      </c>
      <c r="H64" t="s">
        <v>4275</v>
      </c>
      <c r="J64">
        <v>100</v>
      </c>
      <c r="K64" s="2059">
        <v>3.6999999999999998E-2</v>
      </c>
      <c r="L64" t="s">
        <v>4280</v>
      </c>
      <c r="M64">
        <v>0.28999999999999998</v>
      </c>
      <c r="N64">
        <v>1030</v>
      </c>
      <c r="O64">
        <v>1</v>
      </c>
      <c r="P64">
        <v>1</v>
      </c>
      <c r="U64" t="s">
        <v>1678</v>
      </c>
      <c r="V64">
        <v>43465</v>
      </c>
    </row>
    <row r="65" spans="1:24">
      <c r="A65">
        <v>22</v>
      </c>
      <c r="B65">
        <v>16100056</v>
      </c>
      <c r="C65" t="s">
        <v>4141</v>
      </c>
      <c r="D65" t="s">
        <v>4142</v>
      </c>
      <c r="E65" t="s">
        <v>4281</v>
      </c>
      <c r="F65" t="s">
        <v>4282</v>
      </c>
      <c r="G65">
        <v>17</v>
      </c>
      <c r="H65" t="s">
        <v>4275</v>
      </c>
      <c r="J65">
        <v>90</v>
      </c>
      <c r="K65" s="2059">
        <v>3.5999999999999997E-2</v>
      </c>
      <c r="L65" t="s">
        <v>4169</v>
      </c>
      <c r="M65">
        <v>0.28999999999999998</v>
      </c>
      <c r="N65">
        <v>1030</v>
      </c>
      <c r="O65">
        <v>1</v>
      </c>
      <c r="P65">
        <v>1</v>
      </c>
      <c r="U65" t="s">
        <v>1678</v>
      </c>
      <c r="V65">
        <v>43465</v>
      </c>
    </row>
    <row r="66" spans="1:24">
      <c r="A66">
        <v>22</v>
      </c>
      <c r="B66">
        <v>16100057</v>
      </c>
      <c r="C66" t="s">
        <v>4141</v>
      </c>
      <c r="D66" t="s">
        <v>4142</v>
      </c>
      <c r="E66" t="s">
        <v>4283</v>
      </c>
      <c r="F66" t="s">
        <v>4283</v>
      </c>
      <c r="G66">
        <v>17</v>
      </c>
      <c r="H66" t="s">
        <v>4275</v>
      </c>
      <c r="J66">
        <v>90</v>
      </c>
      <c r="K66" s="2059">
        <v>4.1000000000000002E-2</v>
      </c>
      <c r="L66" t="s">
        <v>4169</v>
      </c>
      <c r="M66">
        <v>0.28999999999999998</v>
      </c>
      <c r="N66">
        <v>1030</v>
      </c>
      <c r="O66">
        <v>1</v>
      </c>
      <c r="P66">
        <v>1</v>
      </c>
      <c r="U66" t="s">
        <v>1678</v>
      </c>
      <c r="V66">
        <v>43465</v>
      </c>
    </row>
    <row r="67" spans="1:24">
      <c r="A67">
        <v>22</v>
      </c>
      <c r="B67">
        <v>16100058</v>
      </c>
      <c r="C67" t="s">
        <v>4141</v>
      </c>
      <c r="D67" t="s">
        <v>4142</v>
      </c>
      <c r="E67" t="s">
        <v>4284</v>
      </c>
      <c r="F67" t="s">
        <v>4285</v>
      </c>
      <c r="G67">
        <v>17</v>
      </c>
      <c r="H67" t="s">
        <v>4275</v>
      </c>
      <c r="J67">
        <v>30</v>
      </c>
      <c r="K67" s="2059">
        <v>3.9E-2</v>
      </c>
      <c r="L67" t="s">
        <v>4237</v>
      </c>
      <c r="M67">
        <v>0.28999999999999998</v>
      </c>
      <c r="N67">
        <v>1030</v>
      </c>
      <c r="O67">
        <v>1</v>
      </c>
      <c r="P67">
        <v>1</v>
      </c>
      <c r="U67" t="s">
        <v>1678</v>
      </c>
      <c r="V67">
        <v>43465</v>
      </c>
    </row>
    <row r="68" spans="1:24">
      <c r="A68">
        <v>22</v>
      </c>
      <c r="B68">
        <v>15100181</v>
      </c>
      <c r="C68" t="s">
        <v>4141</v>
      </c>
      <c r="D68" t="s">
        <v>4142</v>
      </c>
      <c r="E68" t="s">
        <v>4286</v>
      </c>
      <c r="F68" t="s">
        <v>4287</v>
      </c>
      <c r="G68">
        <v>17</v>
      </c>
      <c r="H68" t="s">
        <v>4275</v>
      </c>
      <c r="J68">
        <v>120</v>
      </c>
      <c r="K68" s="2059">
        <v>3.4000000000000002E-2</v>
      </c>
      <c r="L68" t="s">
        <v>4169</v>
      </c>
      <c r="M68">
        <v>0.28999999999999998</v>
      </c>
      <c r="N68">
        <v>1030</v>
      </c>
      <c r="O68">
        <v>1</v>
      </c>
      <c r="P68">
        <v>1</v>
      </c>
      <c r="U68" t="s">
        <v>1678</v>
      </c>
      <c r="V68">
        <v>43100</v>
      </c>
    </row>
    <row r="69" spans="1:24">
      <c r="A69">
        <v>22</v>
      </c>
      <c r="B69">
        <v>15100182</v>
      </c>
      <c r="C69" t="s">
        <v>4141</v>
      </c>
      <c r="D69" t="s">
        <v>4142</v>
      </c>
      <c r="E69" t="s">
        <v>4288</v>
      </c>
      <c r="F69" t="s">
        <v>4288</v>
      </c>
      <c r="G69">
        <v>17</v>
      </c>
      <c r="H69" t="s">
        <v>4275</v>
      </c>
      <c r="J69">
        <v>120</v>
      </c>
      <c r="K69" s="2059">
        <v>3.4000000000000002E-2</v>
      </c>
      <c r="L69" t="s">
        <v>4169</v>
      </c>
      <c r="M69">
        <v>0.28999999999999998</v>
      </c>
      <c r="N69">
        <v>1030</v>
      </c>
      <c r="O69">
        <v>1</v>
      </c>
      <c r="P69">
        <v>1</v>
      </c>
      <c r="U69" t="s">
        <v>1678</v>
      </c>
      <c r="V69">
        <v>43100</v>
      </c>
    </row>
    <row r="70" spans="1:24">
      <c r="A70">
        <v>22</v>
      </c>
      <c r="B70">
        <v>16070021</v>
      </c>
      <c r="C70" t="s">
        <v>4289</v>
      </c>
      <c r="D70" t="s">
        <v>4290</v>
      </c>
      <c r="E70" t="s">
        <v>4291</v>
      </c>
      <c r="F70" t="s">
        <v>4291</v>
      </c>
      <c r="G70">
        <v>152</v>
      </c>
      <c r="H70" t="s">
        <v>4212</v>
      </c>
      <c r="J70" t="s">
        <v>4292</v>
      </c>
      <c r="K70" s="2059">
        <v>3.9E-2</v>
      </c>
      <c r="L70" t="s">
        <v>4293</v>
      </c>
      <c r="U70" t="s">
        <v>1678</v>
      </c>
      <c r="V70">
        <v>43465</v>
      </c>
    </row>
    <row r="71" spans="1:24">
      <c r="A71">
        <v>22</v>
      </c>
      <c r="B71">
        <v>16090157</v>
      </c>
      <c r="C71" t="s">
        <v>4289</v>
      </c>
      <c r="D71" t="s">
        <v>4290</v>
      </c>
      <c r="E71" t="s">
        <v>4294</v>
      </c>
      <c r="F71" t="s">
        <v>4294</v>
      </c>
      <c r="G71">
        <v>114</v>
      </c>
      <c r="H71" t="s">
        <v>4215</v>
      </c>
      <c r="J71" t="s">
        <v>4295</v>
      </c>
      <c r="K71" s="2059">
        <v>3.7999999999999999E-2</v>
      </c>
      <c r="L71" t="s">
        <v>4293</v>
      </c>
      <c r="U71" t="s">
        <v>1678</v>
      </c>
      <c r="V71">
        <v>43465</v>
      </c>
      <c r="W71" t="s">
        <v>4296</v>
      </c>
      <c r="X71" t="s">
        <v>4297</v>
      </c>
    </row>
    <row r="72" spans="1:24">
      <c r="A72">
        <v>22</v>
      </c>
      <c r="B72">
        <v>16050011</v>
      </c>
      <c r="C72" t="s">
        <v>4289</v>
      </c>
      <c r="D72" t="s">
        <v>4290</v>
      </c>
      <c r="E72" t="s">
        <v>4298</v>
      </c>
      <c r="F72" t="s">
        <v>4298</v>
      </c>
      <c r="G72">
        <v>87</v>
      </c>
      <c r="H72" t="s">
        <v>4299</v>
      </c>
      <c r="J72" t="s">
        <v>4300</v>
      </c>
      <c r="K72" s="2059">
        <v>0.04</v>
      </c>
      <c r="L72" t="s">
        <v>4178</v>
      </c>
      <c r="U72" t="s">
        <v>1678</v>
      </c>
      <c r="V72">
        <v>43281</v>
      </c>
      <c r="W72" t="s">
        <v>4301</v>
      </c>
    </row>
    <row r="73" spans="1:24">
      <c r="A73">
        <v>22</v>
      </c>
      <c r="B73">
        <v>16080131</v>
      </c>
      <c r="C73" t="s">
        <v>4289</v>
      </c>
      <c r="D73" t="s">
        <v>4290</v>
      </c>
      <c r="E73" t="s">
        <v>4302</v>
      </c>
      <c r="F73" t="s">
        <v>4302</v>
      </c>
      <c r="G73">
        <v>153</v>
      </c>
      <c r="H73" t="s">
        <v>4303</v>
      </c>
      <c r="J73" t="s">
        <v>4304</v>
      </c>
      <c r="K73" s="2059">
        <v>3.9E-2</v>
      </c>
      <c r="L73" t="s">
        <v>4178</v>
      </c>
      <c r="U73" t="s">
        <v>1678</v>
      </c>
      <c r="V73">
        <v>43465</v>
      </c>
      <c r="W73" t="s">
        <v>4305</v>
      </c>
    </row>
    <row r="74" spans="1:24" s="2058" customFormat="1">
      <c r="A74" s="2058">
        <v>23</v>
      </c>
      <c r="B74" s="2058">
        <v>23.01</v>
      </c>
      <c r="C74" s="2058" t="s">
        <v>4306</v>
      </c>
      <c r="D74" s="2058" t="s">
        <v>4307</v>
      </c>
      <c r="E74" s="2058" t="s">
        <v>4308</v>
      </c>
      <c r="F74" s="2058" t="s">
        <v>4309</v>
      </c>
      <c r="I74" s="2058" t="s">
        <v>4310</v>
      </c>
      <c r="K74" s="2060">
        <v>0.05</v>
      </c>
      <c r="M74" s="2058">
        <v>0.28611111111111109</v>
      </c>
      <c r="N74" s="2058">
        <v>1030</v>
      </c>
      <c r="O74" s="2058">
        <v>1</v>
      </c>
      <c r="P74" s="2058">
        <v>1</v>
      </c>
      <c r="R74" s="2058" t="s">
        <v>1678</v>
      </c>
      <c r="T74" s="2058" t="s">
        <v>1678</v>
      </c>
    </row>
    <row r="75" spans="1:24" s="2058" customFormat="1">
      <c r="A75" s="2058">
        <v>23</v>
      </c>
      <c r="B75" s="2058">
        <v>23.03</v>
      </c>
      <c r="C75" s="2058" t="s">
        <v>4306</v>
      </c>
      <c r="D75" s="2058" t="s">
        <v>4307</v>
      </c>
      <c r="E75" s="2058" t="s">
        <v>4311</v>
      </c>
      <c r="F75" s="2058" t="s">
        <v>4312</v>
      </c>
      <c r="I75" s="2058" t="s">
        <v>4148</v>
      </c>
      <c r="K75" s="2060">
        <v>0.05</v>
      </c>
      <c r="O75" s="2058">
        <v>1</v>
      </c>
      <c r="P75" s="2058">
        <v>1</v>
      </c>
      <c r="T75" s="2058" t="s">
        <v>1678</v>
      </c>
      <c r="W75" s="2058" t="s">
        <v>4149</v>
      </c>
      <c r="X75" s="2058" t="s">
        <v>4150</v>
      </c>
    </row>
    <row r="76" spans="1:24">
      <c r="A76">
        <v>23</v>
      </c>
      <c r="B76">
        <v>15110011</v>
      </c>
      <c r="C76" t="s">
        <v>4306</v>
      </c>
      <c r="D76" t="s">
        <v>4307</v>
      </c>
      <c r="E76" t="s">
        <v>4313</v>
      </c>
      <c r="F76" t="s">
        <v>4313</v>
      </c>
      <c r="G76">
        <v>54</v>
      </c>
      <c r="H76" t="s">
        <v>4215</v>
      </c>
      <c r="J76">
        <v>13</v>
      </c>
      <c r="K76" s="2059">
        <v>3.9E-2</v>
      </c>
      <c r="L76" t="s">
        <v>4314</v>
      </c>
      <c r="M76">
        <v>0.28999999999999998</v>
      </c>
      <c r="N76">
        <v>1030</v>
      </c>
      <c r="O76">
        <v>1</v>
      </c>
      <c r="P76">
        <v>1</v>
      </c>
      <c r="U76" t="s">
        <v>1678</v>
      </c>
      <c r="V76">
        <v>43100</v>
      </c>
      <c r="W76" t="s">
        <v>4315</v>
      </c>
    </row>
    <row r="77" spans="1:24">
      <c r="A77">
        <v>23</v>
      </c>
      <c r="B77">
        <v>15110012</v>
      </c>
      <c r="C77" t="s">
        <v>4306</v>
      </c>
      <c r="D77" t="s">
        <v>4307</v>
      </c>
      <c r="E77" t="s">
        <v>4316</v>
      </c>
      <c r="F77" t="s">
        <v>4316</v>
      </c>
      <c r="G77">
        <v>54</v>
      </c>
      <c r="H77" t="s">
        <v>4215</v>
      </c>
      <c r="J77" t="s">
        <v>4317</v>
      </c>
      <c r="K77" s="2059">
        <v>3.6999999999999998E-2</v>
      </c>
      <c r="L77" t="s">
        <v>4202</v>
      </c>
      <c r="M77">
        <v>0.28999999999999998</v>
      </c>
      <c r="N77">
        <v>1030</v>
      </c>
      <c r="O77">
        <v>1</v>
      </c>
      <c r="P77">
        <v>1</v>
      </c>
      <c r="U77" t="s">
        <v>1678</v>
      </c>
      <c r="V77">
        <v>43100</v>
      </c>
      <c r="W77" t="s">
        <v>4315</v>
      </c>
    </row>
    <row r="78" spans="1:24">
      <c r="A78">
        <v>23</v>
      </c>
      <c r="B78">
        <v>15110013</v>
      </c>
      <c r="C78" t="s">
        <v>4306</v>
      </c>
      <c r="D78" t="s">
        <v>4307</v>
      </c>
      <c r="E78" t="s">
        <v>4318</v>
      </c>
      <c r="F78" t="s">
        <v>4318</v>
      </c>
      <c r="G78">
        <v>54</v>
      </c>
      <c r="H78" t="s">
        <v>4215</v>
      </c>
      <c r="J78" t="s">
        <v>4317</v>
      </c>
      <c r="K78" s="2059">
        <v>3.6999999999999998E-2</v>
      </c>
      <c r="L78" t="s">
        <v>4202</v>
      </c>
      <c r="M78">
        <v>0.28999999999999998</v>
      </c>
      <c r="N78">
        <v>1030</v>
      </c>
      <c r="O78">
        <v>1</v>
      </c>
      <c r="P78">
        <v>1</v>
      </c>
      <c r="U78" t="s">
        <v>1678</v>
      </c>
      <c r="V78">
        <v>43100</v>
      </c>
      <c r="W78" t="s">
        <v>4315</v>
      </c>
    </row>
    <row r="79" spans="1:24">
      <c r="A79">
        <v>23</v>
      </c>
      <c r="B79">
        <v>15110014</v>
      </c>
      <c r="C79" t="s">
        <v>4306</v>
      </c>
      <c r="D79" t="s">
        <v>4307</v>
      </c>
      <c r="E79" t="s">
        <v>4319</v>
      </c>
      <c r="F79" t="s">
        <v>4319</v>
      </c>
      <c r="G79">
        <v>54</v>
      </c>
      <c r="H79" t="s">
        <v>4215</v>
      </c>
      <c r="J79" t="s">
        <v>4320</v>
      </c>
      <c r="K79" s="2059">
        <v>3.4000000000000002E-2</v>
      </c>
      <c r="L79" t="s">
        <v>4321</v>
      </c>
      <c r="M79">
        <v>0.28999999999999998</v>
      </c>
      <c r="N79">
        <v>1030</v>
      </c>
      <c r="O79">
        <v>1</v>
      </c>
      <c r="P79">
        <v>1</v>
      </c>
      <c r="U79" t="s">
        <v>1678</v>
      </c>
      <c r="V79">
        <v>43100</v>
      </c>
      <c r="W79" t="s">
        <v>4315</v>
      </c>
    </row>
    <row r="80" spans="1:24">
      <c r="A80">
        <v>23</v>
      </c>
      <c r="B80">
        <v>15110015</v>
      </c>
      <c r="C80" t="s">
        <v>4306</v>
      </c>
      <c r="D80" t="s">
        <v>4307</v>
      </c>
      <c r="E80" t="s">
        <v>4322</v>
      </c>
      <c r="F80" t="s">
        <v>4322</v>
      </c>
      <c r="G80">
        <v>54</v>
      </c>
      <c r="H80" t="s">
        <v>4215</v>
      </c>
      <c r="J80" t="s">
        <v>4320</v>
      </c>
      <c r="K80" s="2059">
        <v>3.4000000000000002E-2</v>
      </c>
      <c r="L80" t="s">
        <v>4321</v>
      </c>
      <c r="M80">
        <v>0.28999999999999998</v>
      </c>
      <c r="N80">
        <v>1030</v>
      </c>
      <c r="O80">
        <v>1</v>
      </c>
      <c r="P80">
        <v>1</v>
      </c>
      <c r="U80" t="s">
        <v>1678</v>
      </c>
      <c r="V80">
        <v>43100</v>
      </c>
      <c r="W80" t="s">
        <v>4315</v>
      </c>
    </row>
    <row r="81" spans="1:24">
      <c r="A81">
        <v>23</v>
      </c>
      <c r="B81">
        <v>15110016</v>
      </c>
      <c r="C81" t="s">
        <v>4306</v>
      </c>
      <c r="D81" t="s">
        <v>4307</v>
      </c>
      <c r="E81" t="s">
        <v>4323</v>
      </c>
      <c r="F81" t="s">
        <v>4323</v>
      </c>
      <c r="G81">
        <v>54</v>
      </c>
      <c r="H81" t="s">
        <v>4215</v>
      </c>
      <c r="J81" t="s">
        <v>4320</v>
      </c>
      <c r="K81" s="2059">
        <v>3.4000000000000002E-2</v>
      </c>
      <c r="L81" t="s">
        <v>4321</v>
      </c>
      <c r="M81">
        <v>0.28999999999999998</v>
      </c>
      <c r="N81">
        <v>1030</v>
      </c>
      <c r="O81">
        <v>1</v>
      </c>
      <c r="P81">
        <v>1</v>
      </c>
      <c r="U81" t="s">
        <v>1678</v>
      </c>
      <c r="V81">
        <v>43100</v>
      </c>
      <c r="W81" t="s">
        <v>4315</v>
      </c>
    </row>
    <row r="82" spans="1:24">
      <c r="A82">
        <v>23</v>
      </c>
      <c r="B82">
        <v>15110017</v>
      </c>
      <c r="C82" t="s">
        <v>4306</v>
      </c>
      <c r="D82" t="s">
        <v>4307</v>
      </c>
      <c r="E82" t="s">
        <v>4324</v>
      </c>
      <c r="F82" t="s">
        <v>4324</v>
      </c>
      <c r="G82">
        <v>54</v>
      </c>
      <c r="H82" t="s">
        <v>4215</v>
      </c>
      <c r="J82" t="s">
        <v>4325</v>
      </c>
      <c r="K82" s="2059">
        <v>3.2000000000000001E-2</v>
      </c>
      <c r="L82" t="s">
        <v>4326</v>
      </c>
      <c r="M82">
        <v>0.28999999999999998</v>
      </c>
      <c r="N82">
        <v>1030</v>
      </c>
      <c r="O82">
        <v>1</v>
      </c>
      <c r="P82">
        <v>1</v>
      </c>
      <c r="U82" t="s">
        <v>1678</v>
      </c>
      <c r="V82">
        <v>43100</v>
      </c>
      <c r="W82" t="s">
        <v>4315</v>
      </c>
    </row>
    <row r="83" spans="1:24">
      <c r="A83">
        <v>23</v>
      </c>
      <c r="B83">
        <v>15110018</v>
      </c>
      <c r="C83" t="s">
        <v>4306</v>
      </c>
      <c r="D83" t="s">
        <v>4307</v>
      </c>
      <c r="E83" t="s">
        <v>4327</v>
      </c>
      <c r="F83" t="s">
        <v>4327</v>
      </c>
      <c r="G83">
        <v>54</v>
      </c>
      <c r="H83" t="s">
        <v>4215</v>
      </c>
      <c r="J83" t="s">
        <v>4325</v>
      </c>
      <c r="K83" s="2059">
        <v>3.2000000000000001E-2</v>
      </c>
      <c r="L83" t="s">
        <v>4328</v>
      </c>
      <c r="M83">
        <v>0.28999999999999998</v>
      </c>
      <c r="N83">
        <v>1030</v>
      </c>
      <c r="O83">
        <v>1</v>
      </c>
      <c r="P83">
        <v>1</v>
      </c>
      <c r="U83" t="s">
        <v>1678</v>
      </c>
      <c r="V83">
        <v>43100</v>
      </c>
      <c r="W83" t="s">
        <v>4315</v>
      </c>
    </row>
    <row r="84" spans="1:24">
      <c r="A84">
        <v>23</v>
      </c>
      <c r="B84">
        <v>16090234</v>
      </c>
      <c r="C84" t="s">
        <v>4306</v>
      </c>
      <c r="D84" t="s">
        <v>4307</v>
      </c>
      <c r="E84" t="s">
        <v>4329</v>
      </c>
      <c r="F84" t="s">
        <v>4329</v>
      </c>
      <c r="G84">
        <v>54</v>
      </c>
      <c r="H84" t="s">
        <v>4215</v>
      </c>
      <c r="J84">
        <v>32</v>
      </c>
      <c r="K84" s="2059">
        <v>3.2000000000000001E-2</v>
      </c>
      <c r="L84" t="s">
        <v>4330</v>
      </c>
      <c r="M84">
        <v>0.28999999999999998</v>
      </c>
      <c r="N84">
        <v>1030</v>
      </c>
      <c r="O84">
        <v>1</v>
      </c>
      <c r="P84">
        <v>1</v>
      </c>
      <c r="U84" t="s">
        <v>1678</v>
      </c>
      <c r="V84">
        <v>43465</v>
      </c>
      <c r="W84" t="s">
        <v>4331</v>
      </c>
      <c r="X84" t="s">
        <v>4332</v>
      </c>
    </row>
    <row r="85" spans="1:24">
      <c r="A85">
        <v>23</v>
      </c>
      <c r="B85">
        <v>16090235</v>
      </c>
      <c r="C85" t="s">
        <v>4306</v>
      </c>
      <c r="D85" t="s">
        <v>4307</v>
      </c>
      <c r="E85" t="s">
        <v>4333</v>
      </c>
      <c r="F85" t="s">
        <v>4333</v>
      </c>
      <c r="G85">
        <v>54</v>
      </c>
      <c r="H85" t="s">
        <v>4215</v>
      </c>
      <c r="J85">
        <v>20</v>
      </c>
      <c r="K85" s="2059">
        <v>3.5000000000000003E-2</v>
      </c>
      <c r="L85" t="s">
        <v>4334</v>
      </c>
      <c r="M85">
        <v>0.28999999999999998</v>
      </c>
      <c r="N85">
        <v>1030</v>
      </c>
      <c r="O85">
        <v>1</v>
      </c>
      <c r="P85">
        <v>1</v>
      </c>
      <c r="U85" t="s">
        <v>1678</v>
      </c>
      <c r="V85">
        <v>43465</v>
      </c>
      <c r="W85" t="s">
        <v>4335</v>
      </c>
      <c r="X85" t="s">
        <v>4336</v>
      </c>
    </row>
    <row r="86" spans="1:24">
      <c r="A86">
        <v>23</v>
      </c>
      <c r="B86">
        <v>16090236</v>
      </c>
      <c r="C86" t="s">
        <v>4306</v>
      </c>
      <c r="D86" t="s">
        <v>4307</v>
      </c>
      <c r="E86" t="s">
        <v>4337</v>
      </c>
      <c r="F86" t="s">
        <v>4337</v>
      </c>
      <c r="G86">
        <v>54</v>
      </c>
      <c r="H86" t="s">
        <v>4215</v>
      </c>
      <c r="J86">
        <v>32</v>
      </c>
      <c r="K86" s="2059">
        <v>3.2000000000000001E-2</v>
      </c>
      <c r="L86" t="s">
        <v>4334</v>
      </c>
      <c r="M86">
        <v>0.28999999999999998</v>
      </c>
      <c r="N86">
        <v>1030</v>
      </c>
      <c r="O86">
        <v>1</v>
      </c>
      <c r="P86">
        <v>1</v>
      </c>
      <c r="U86" t="s">
        <v>1678</v>
      </c>
      <c r="V86">
        <v>43465</v>
      </c>
      <c r="W86" t="s">
        <v>4338</v>
      </c>
      <c r="X86" t="s">
        <v>4339</v>
      </c>
    </row>
    <row r="87" spans="1:24">
      <c r="A87">
        <v>23</v>
      </c>
      <c r="B87">
        <v>16090237</v>
      </c>
      <c r="C87" t="s">
        <v>4306</v>
      </c>
      <c r="D87" t="s">
        <v>4307</v>
      </c>
      <c r="E87" t="s">
        <v>4340</v>
      </c>
      <c r="F87" t="s">
        <v>4340</v>
      </c>
      <c r="G87">
        <v>54</v>
      </c>
      <c r="H87" t="s">
        <v>4215</v>
      </c>
      <c r="J87">
        <v>32</v>
      </c>
      <c r="K87" s="2059">
        <v>3.2000000000000001E-2</v>
      </c>
      <c r="L87" t="s">
        <v>4330</v>
      </c>
      <c r="M87">
        <v>0.28999999999999998</v>
      </c>
      <c r="N87">
        <v>1030</v>
      </c>
      <c r="O87">
        <v>1</v>
      </c>
      <c r="P87">
        <v>1</v>
      </c>
      <c r="U87" t="s">
        <v>1678</v>
      </c>
      <c r="V87">
        <v>43465</v>
      </c>
      <c r="W87" t="s">
        <v>4341</v>
      </c>
      <c r="X87" t="s">
        <v>4342</v>
      </c>
    </row>
    <row r="88" spans="1:24">
      <c r="A88">
        <v>23</v>
      </c>
      <c r="B88">
        <v>16090238</v>
      </c>
      <c r="C88" t="s">
        <v>4306</v>
      </c>
      <c r="D88" t="s">
        <v>4307</v>
      </c>
      <c r="E88" t="s">
        <v>4343</v>
      </c>
      <c r="F88" t="s">
        <v>4343</v>
      </c>
      <c r="G88">
        <v>54</v>
      </c>
      <c r="H88" t="s">
        <v>4215</v>
      </c>
      <c r="J88">
        <v>25</v>
      </c>
      <c r="K88" s="2059">
        <v>3.4000000000000002E-2</v>
      </c>
      <c r="L88" t="s">
        <v>4330</v>
      </c>
      <c r="M88">
        <v>0.28999999999999998</v>
      </c>
      <c r="N88">
        <v>1030</v>
      </c>
      <c r="O88">
        <v>1</v>
      </c>
      <c r="P88">
        <v>1</v>
      </c>
      <c r="U88" t="s">
        <v>1678</v>
      </c>
      <c r="V88">
        <v>43465</v>
      </c>
      <c r="W88" t="s">
        <v>4344</v>
      </c>
      <c r="X88" t="s">
        <v>4345</v>
      </c>
    </row>
    <row r="89" spans="1:24">
      <c r="A89">
        <v>23</v>
      </c>
      <c r="B89">
        <v>16090239</v>
      </c>
      <c r="C89" t="s">
        <v>4306</v>
      </c>
      <c r="D89" t="s">
        <v>4307</v>
      </c>
      <c r="E89" t="s">
        <v>4346</v>
      </c>
      <c r="F89" t="s">
        <v>4346</v>
      </c>
      <c r="G89">
        <v>54</v>
      </c>
      <c r="H89" t="s">
        <v>4215</v>
      </c>
      <c r="J89">
        <v>20</v>
      </c>
      <c r="K89" s="2059">
        <v>3.5000000000000003E-2</v>
      </c>
      <c r="L89" t="s">
        <v>4334</v>
      </c>
      <c r="M89">
        <v>0.28999999999999998</v>
      </c>
      <c r="N89">
        <v>1030</v>
      </c>
      <c r="O89">
        <v>1</v>
      </c>
      <c r="P89">
        <v>1</v>
      </c>
      <c r="U89" t="s">
        <v>1678</v>
      </c>
      <c r="V89">
        <v>43465</v>
      </c>
      <c r="W89" t="s">
        <v>4338</v>
      </c>
      <c r="X89" t="s">
        <v>4339</v>
      </c>
    </row>
    <row r="90" spans="1:24">
      <c r="A90">
        <v>23</v>
      </c>
      <c r="B90">
        <v>16090240</v>
      </c>
      <c r="C90" t="s">
        <v>4306</v>
      </c>
      <c r="D90" t="s">
        <v>4307</v>
      </c>
      <c r="E90" t="s">
        <v>4347</v>
      </c>
      <c r="F90" t="s">
        <v>4347</v>
      </c>
      <c r="G90">
        <v>54</v>
      </c>
      <c r="H90" t="s">
        <v>4215</v>
      </c>
      <c r="J90">
        <v>15</v>
      </c>
      <c r="K90" s="2059">
        <v>3.6999999999999998E-2</v>
      </c>
      <c r="L90" t="s">
        <v>4334</v>
      </c>
      <c r="M90">
        <v>0.28999999999999998</v>
      </c>
      <c r="N90">
        <v>1030</v>
      </c>
      <c r="O90">
        <v>1</v>
      </c>
      <c r="P90">
        <v>1</v>
      </c>
      <c r="U90" t="s">
        <v>1678</v>
      </c>
      <c r="V90">
        <v>43465</v>
      </c>
      <c r="W90" t="s">
        <v>4335</v>
      </c>
      <c r="X90" t="s">
        <v>4336</v>
      </c>
    </row>
    <row r="91" spans="1:24">
      <c r="A91">
        <v>23</v>
      </c>
      <c r="B91">
        <v>15030013</v>
      </c>
      <c r="C91" t="s">
        <v>4306</v>
      </c>
      <c r="D91" t="s">
        <v>4307</v>
      </c>
      <c r="E91" t="s">
        <v>4348</v>
      </c>
      <c r="F91" t="s">
        <v>4348</v>
      </c>
      <c r="G91">
        <v>11</v>
      </c>
      <c r="H91" t="s">
        <v>4349</v>
      </c>
      <c r="J91" t="s">
        <v>4350</v>
      </c>
      <c r="K91" s="2059">
        <v>0.03</v>
      </c>
      <c r="L91" t="s">
        <v>4237</v>
      </c>
      <c r="M91">
        <v>0.28999999999999998</v>
      </c>
      <c r="N91">
        <v>1030</v>
      </c>
      <c r="O91">
        <v>1</v>
      </c>
      <c r="P91">
        <v>1</v>
      </c>
      <c r="U91" t="s">
        <v>1678</v>
      </c>
      <c r="V91">
        <v>42916</v>
      </c>
    </row>
    <row r="92" spans="1:24">
      <c r="A92">
        <v>23</v>
      </c>
      <c r="B92">
        <v>15030014</v>
      </c>
      <c r="C92" t="s">
        <v>4306</v>
      </c>
      <c r="D92" t="s">
        <v>4307</v>
      </c>
      <c r="E92" t="s">
        <v>4351</v>
      </c>
      <c r="F92" t="s">
        <v>4351</v>
      </c>
      <c r="G92">
        <v>11</v>
      </c>
      <c r="H92" t="s">
        <v>4349</v>
      </c>
      <c r="J92">
        <v>25</v>
      </c>
      <c r="K92" s="2059">
        <v>3.3000000000000002E-2</v>
      </c>
      <c r="L92" t="s">
        <v>4352</v>
      </c>
      <c r="M92">
        <v>0.28999999999999998</v>
      </c>
      <c r="N92">
        <v>1030</v>
      </c>
      <c r="O92">
        <v>1</v>
      </c>
      <c r="P92">
        <v>1</v>
      </c>
      <c r="U92" t="s">
        <v>1678</v>
      </c>
      <c r="V92">
        <v>42916</v>
      </c>
    </row>
    <row r="93" spans="1:24">
      <c r="A93">
        <v>23</v>
      </c>
      <c r="B93">
        <v>15030015</v>
      </c>
      <c r="C93" t="s">
        <v>4306</v>
      </c>
      <c r="D93" t="s">
        <v>4307</v>
      </c>
      <c r="E93" t="s">
        <v>4353</v>
      </c>
      <c r="F93" t="s">
        <v>4353</v>
      </c>
      <c r="G93">
        <v>11</v>
      </c>
      <c r="H93" t="s">
        <v>4349</v>
      </c>
      <c r="J93">
        <v>100</v>
      </c>
      <c r="K93" s="2059">
        <v>3.7999999999999999E-2</v>
      </c>
      <c r="L93" t="s">
        <v>4189</v>
      </c>
      <c r="M93">
        <v>0.28999999999999998</v>
      </c>
      <c r="N93">
        <v>1030</v>
      </c>
      <c r="O93">
        <v>1</v>
      </c>
      <c r="P93">
        <v>1</v>
      </c>
      <c r="U93" t="s">
        <v>1678</v>
      </c>
      <c r="V93">
        <v>42916</v>
      </c>
    </row>
    <row r="94" spans="1:24">
      <c r="A94">
        <v>23</v>
      </c>
      <c r="B94">
        <v>15030016</v>
      </c>
      <c r="C94" t="s">
        <v>4306</v>
      </c>
      <c r="D94" t="s">
        <v>4307</v>
      </c>
      <c r="E94" t="s">
        <v>4354</v>
      </c>
      <c r="F94" t="s">
        <v>4354</v>
      </c>
      <c r="G94">
        <v>11</v>
      </c>
      <c r="H94" t="s">
        <v>4349</v>
      </c>
      <c r="J94" t="s">
        <v>4355</v>
      </c>
      <c r="K94" s="2059">
        <v>3.2000000000000001E-2</v>
      </c>
      <c r="L94" t="s">
        <v>4356</v>
      </c>
      <c r="M94">
        <v>0.28999999999999998</v>
      </c>
      <c r="N94">
        <v>1030</v>
      </c>
      <c r="O94">
        <v>1</v>
      </c>
      <c r="P94">
        <v>1</v>
      </c>
      <c r="U94" t="s">
        <v>1678</v>
      </c>
      <c r="V94">
        <v>42916</v>
      </c>
      <c r="W94" t="s">
        <v>4357</v>
      </c>
      <c r="X94" t="s">
        <v>4358</v>
      </c>
    </row>
    <row r="95" spans="1:24">
      <c r="A95">
        <v>23</v>
      </c>
      <c r="B95">
        <v>16050100</v>
      </c>
      <c r="C95" t="s">
        <v>4306</v>
      </c>
      <c r="D95" t="s">
        <v>4307</v>
      </c>
      <c r="E95" t="s">
        <v>4359</v>
      </c>
      <c r="F95" t="s">
        <v>4360</v>
      </c>
      <c r="G95">
        <v>11</v>
      </c>
      <c r="H95" t="s">
        <v>4349</v>
      </c>
      <c r="J95" t="s">
        <v>4361</v>
      </c>
      <c r="K95" s="2059">
        <v>3.4000000000000002E-2</v>
      </c>
      <c r="L95" t="s">
        <v>4362</v>
      </c>
      <c r="M95">
        <v>0.28999999999999998</v>
      </c>
      <c r="N95">
        <v>1030</v>
      </c>
      <c r="O95">
        <v>1</v>
      </c>
      <c r="P95">
        <v>1</v>
      </c>
      <c r="U95" t="s">
        <v>1678</v>
      </c>
      <c r="V95">
        <v>42916</v>
      </c>
    </row>
    <row r="96" spans="1:24">
      <c r="A96">
        <v>23</v>
      </c>
      <c r="B96">
        <v>15030018</v>
      </c>
      <c r="C96" t="s">
        <v>4306</v>
      </c>
      <c r="D96" t="s">
        <v>4307</v>
      </c>
      <c r="E96" t="s">
        <v>4363</v>
      </c>
      <c r="F96" t="s">
        <v>4363</v>
      </c>
      <c r="G96">
        <v>11</v>
      </c>
      <c r="H96" t="s">
        <v>4349</v>
      </c>
      <c r="J96" t="s">
        <v>4364</v>
      </c>
      <c r="K96" s="2059">
        <v>3.4000000000000002E-2</v>
      </c>
      <c r="L96" t="s">
        <v>4321</v>
      </c>
      <c r="M96">
        <v>0.28999999999999998</v>
      </c>
      <c r="N96">
        <v>1030</v>
      </c>
      <c r="O96">
        <v>1</v>
      </c>
      <c r="P96">
        <v>1</v>
      </c>
      <c r="U96" t="s">
        <v>1678</v>
      </c>
      <c r="V96">
        <v>42916</v>
      </c>
    </row>
    <row r="97" spans="1:24">
      <c r="A97">
        <v>23</v>
      </c>
      <c r="B97">
        <v>15030019</v>
      </c>
      <c r="C97" t="s">
        <v>4306</v>
      </c>
      <c r="D97" t="s">
        <v>4307</v>
      </c>
      <c r="E97" t="s">
        <v>4365</v>
      </c>
      <c r="F97" t="s">
        <v>4365</v>
      </c>
      <c r="G97">
        <v>11</v>
      </c>
      <c r="H97" t="s">
        <v>4349</v>
      </c>
      <c r="J97" t="s">
        <v>4364</v>
      </c>
      <c r="K97" s="2059">
        <v>3.5000000000000003E-2</v>
      </c>
      <c r="L97" t="s">
        <v>4321</v>
      </c>
      <c r="M97">
        <v>0.28999999999999998</v>
      </c>
      <c r="N97">
        <v>1030</v>
      </c>
      <c r="O97">
        <v>1</v>
      </c>
      <c r="P97">
        <v>1</v>
      </c>
      <c r="U97" t="s">
        <v>1678</v>
      </c>
      <c r="V97">
        <v>42916</v>
      </c>
    </row>
    <row r="98" spans="1:24">
      <c r="A98">
        <v>23</v>
      </c>
      <c r="B98">
        <v>15110111</v>
      </c>
      <c r="C98" t="s">
        <v>4306</v>
      </c>
      <c r="D98" t="s">
        <v>4307</v>
      </c>
      <c r="E98" t="s">
        <v>4366</v>
      </c>
      <c r="F98" t="s">
        <v>4366</v>
      </c>
      <c r="G98">
        <v>11</v>
      </c>
      <c r="H98" t="s">
        <v>4349</v>
      </c>
      <c r="J98">
        <v>80</v>
      </c>
      <c r="K98" s="2059">
        <v>3.1E-2</v>
      </c>
      <c r="L98" t="s">
        <v>4367</v>
      </c>
      <c r="M98">
        <v>0.28999999999999998</v>
      </c>
      <c r="N98">
        <v>1030</v>
      </c>
      <c r="O98">
        <v>1</v>
      </c>
      <c r="P98">
        <v>1</v>
      </c>
      <c r="U98" t="s">
        <v>1678</v>
      </c>
      <c r="V98">
        <v>43100</v>
      </c>
      <c r="W98" t="s">
        <v>4357</v>
      </c>
      <c r="X98" t="s">
        <v>4358</v>
      </c>
    </row>
    <row r="99" spans="1:24">
      <c r="A99">
        <v>23</v>
      </c>
      <c r="B99">
        <v>16050091</v>
      </c>
      <c r="C99" t="s">
        <v>4306</v>
      </c>
      <c r="D99" t="s">
        <v>4307</v>
      </c>
      <c r="E99" t="s">
        <v>4368</v>
      </c>
      <c r="F99" t="s">
        <v>4368</v>
      </c>
      <c r="G99">
        <v>11</v>
      </c>
      <c r="H99" t="s">
        <v>4349</v>
      </c>
      <c r="J99" t="s">
        <v>4369</v>
      </c>
      <c r="K99" s="2059">
        <v>3.1E-2</v>
      </c>
      <c r="L99" t="s">
        <v>4250</v>
      </c>
      <c r="M99">
        <v>0.28999999999999998</v>
      </c>
      <c r="N99">
        <v>1030</v>
      </c>
      <c r="O99">
        <v>1</v>
      </c>
      <c r="P99">
        <v>1</v>
      </c>
      <c r="U99" t="s">
        <v>1678</v>
      </c>
      <c r="V99">
        <v>43281</v>
      </c>
      <c r="W99" t="s">
        <v>4370</v>
      </c>
      <c r="X99" t="s">
        <v>4371</v>
      </c>
    </row>
    <row r="100" spans="1:24">
      <c r="A100">
        <v>23</v>
      </c>
      <c r="B100">
        <v>16050092</v>
      </c>
      <c r="C100" t="s">
        <v>4306</v>
      </c>
      <c r="D100" t="s">
        <v>4307</v>
      </c>
      <c r="E100" t="s">
        <v>4372</v>
      </c>
      <c r="F100" t="s">
        <v>4372</v>
      </c>
      <c r="G100">
        <v>11</v>
      </c>
      <c r="H100" t="s">
        <v>4349</v>
      </c>
      <c r="J100">
        <v>38</v>
      </c>
      <c r="K100" s="2059">
        <v>3.2000000000000001E-2</v>
      </c>
      <c r="L100" t="s">
        <v>4373</v>
      </c>
      <c r="M100">
        <v>0.28999999999999998</v>
      </c>
      <c r="N100">
        <v>1030</v>
      </c>
      <c r="O100">
        <v>1</v>
      </c>
      <c r="P100">
        <v>1</v>
      </c>
      <c r="U100" t="s">
        <v>1678</v>
      </c>
      <c r="V100">
        <v>43281</v>
      </c>
      <c r="W100" t="s">
        <v>4374</v>
      </c>
      <c r="X100" t="s">
        <v>4375</v>
      </c>
    </row>
    <row r="101" spans="1:24">
      <c r="A101">
        <v>23</v>
      </c>
      <c r="B101">
        <v>16050093</v>
      </c>
      <c r="C101" t="s">
        <v>4306</v>
      </c>
      <c r="D101" t="s">
        <v>4307</v>
      </c>
      <c r="E101" t="s">
        <v>4376</v>
      </c>
      <c r="F101" t="s">
        <v>4376</v>
      </c>
      <c r="G101">
        <v>11</v>
      </c>
      <c r="H101" t="s">
        <v>4349</v>
      </c>
      <c r="J101">
        <v>30</v>
      </c>
      <c r="K101" s="2059">
        <v>3.2000000000000001E-2</v>
      </c>
      <c r="L101" t="s">
        <v>4243</v>
      </c>
      <c r="M101">
        <v>0.28999999999999998</v>
      </c>
      <c r="N101">
        <v>1030</v>
      </c>
      <c r="O101">
        <v>1</v>
      </c>
      <c r="P101">
        <v>1</v>
      </c>
      <c r="U101" t="s">
        <v>1678</v>
      </c>
      <c r="V101">
        <v>43281</v>
      </c>
      <c r="W101" t="s">
        <v>4377</v>
      </c>
      <c r="X101" t="s">
        <v>4378</v>
      </c>
    </row>
    <row r="102" spans="1:24">
      <c r="A102">
        <v>23</v>
      </c>
      <c r="B102">
        <v>16050094</v>
      </c>
      <c r="C102" t="s">
        <v>4306</v>
      </c>
      <c r="D102" t="s">
        <v>4307</v>
      </c>
      <c r="E102" t="s">
        <v>4379</v>
      </c>
      <c r="F102" t="s">
        <v>4379</v>
      </c>
      <c r="G102">
        <v>11</v>
      </c>
      <c r="H102" t="s">
        <v>4349</v>
      </c>
      <c r="J102">
        <v>38</v>
      </c>
      <c r="K102" s="2059">
        <v>3.2000000000000001E-2</v>
      </c>
      <c r="L102" t="s">
        <v>4380</v>
      </c>
      <c r="M102">
        <v>0.28999999999999998</v>
      </c>
      <c r="N102">
        <v>1030</v>
      </c>
      <c r="O102">
        <v>1</v>
      </c>
      <c r="P102">
        <v>1</v>
      </c>
      <c r="U102" t="s">
        <v>1678</v>
      </c>
      <c r="V102">
        <v>43281</v>
      </c>
      <c r="W102" t="s">
        <v>4381</v>
      </c>
      <c r="X102" t="s">
        <v>4382</v>
      </c>
    </row>
    <row r="103" spans="1:24">
      <c r="A103">
        <v>23</v>
      </c>
      <c r="B103">
        <v>16050095</v>
      </c>
      <c r="C103" t="s">
        <v>4306</v>
      </c>
      <c r="D103" t="s">
        <v>4307</v>
      </c>
      <c r="E103" t="s">
        <v>4383</v>
      </c>
      <c r="F103" t="s">
        <v>4383</v>
      </c>
      <c r="G103">
        <v>11</v>
      </c>
      <c r="H103" t="s">
        <v>4349</v>
      </c>
      <c r="J103" t="s">
        <v>4384</v>
      </c>
      <c r="K103" s="2059">
        <v>3.2000000000000001E-2</v>
      </c>
      <c r="L103" t="s">
        <v>4385</v>
      </c>
      <c r="M103">
        <v>0.28999999999999998</v>
      </c>
      <c r="N103">
        <v>1030</v>
      </c>
      <c r="O103">
        <v>1</v>
      </c>
      <c r="P103">
        <v>1</v>
      </c>
      <c r="U103" t="s">
        <v>1678</v>
      </c>
      <c r="V103">
        <v>43281</v>
      </c>
      <c r="W103" t="s">
        <v>4381</v>
      </c>
      <c r="X103" t="s">
        <v>4382</v>
      </c>
    </row>
    <row r="104" spans="1:24">
      <c r="A104">
        <v>23</v>
      </c>
      <c r="B104">
        <v>16050096</v>
      </c>
      <c r="C104" t="s">
        <v>4306</v>
      </c>
      <c r="D104" t="s">
        <v>4307</v>
      </c>
      <c r="E104" t="s">
        <v>4386</v>
      </c>
      <c r="F104" t="s">
        <v>4386</v>
      </c>
      <c r="G104">
        <v>11</v>
      </c>
      <c r="H104" t="s">
        <v>4349</v>
      </c>
      <c r="J104">
        <v>30</v>
      </c>
      <c r="K104" s="2059">
        <v>3.2000000000000001E-2</v>
      </c>
      <c r="L104" t="s">
        <v>4243</v>
      </c>
      <c r="M104">
        <v>0.28999999999999998</v>
      </c>
      <c r="N104">
        <v>1030</v>
      </c>
      <c r="O104">
        <v>1</v>
      </c>
      <c r="P104">
        <v>1</v>
      </c>
      <c r="U104" t="s">
        <v>1678</v>
      </c>
      <c r="V104">
        <v>43281</v>
      </c>
      <c r="W104" t="s">
        <v>4387</v>
      </c>
      <c r="X104" t="s">
        <v>4388</v>
      </c>
    </row>
    <row r="105" spans="1:24">
      <c r="A105">
        <v>23</v>
      </c>
      <c r="B105">
        <v>16050097</v>
      </c>
      <c r="C105" t="s">
        <v>4306</v>
      </c>
      <c r="D105" t="s">
        <v>4307</v>
      </c>
      <c r="E105" t="s">
        <v>4389</v>
      </c>
      <c r="F105" t="s">
        <v>4389</v>
      </c>
      <c r="G105">
        <v>11</v>
      </c>
      <c r="H105" t="s">
        <v>4349</v>
      </c>
      <c r="J105">
        <v>25</v>
      </c>
      <c r="K105" s="2059">
        <v>3.5000000000000003E-2</v>
      </c>
      <c r="L105" t="s">
        <v>4390</v>
      </c>
      <c r="M105">
        <v>0.28999999999999998</v>
      </c>
      <c r="N105">
        <v>1030</v>
      </c>
      <c r="O105">
        <v>1</v>
      </c>
      <c r="P105">
        <v>1</v>
      </c>
      <c r="U105" t="s">
        <v>1678</v>
      </c>
      <c r="V105">
        <v>43281</v>
      </c>
      <c r="W105" t="s">
        <v>4374</v>
      </c>
      <c r="X105" t="s">
        <v>4375</v>
      </c>
    </row>
    <row r="106" spans="1:24">
      <c r="A106">
        <v>23</v>
      </c>
      <c r="B106">
        <v>16050098</v>
      </c>
      <c r="C106" t="s">
        <v>4306</v>
      </c>
      <c r="D106" t="s">
        <v>4307</v>
      </c>
      <c r="E106" t="s">
        <v>4391</v>
      </c>
      <c r="F106" t="s">
        <v>4391</v>
      </c>
      <c r="G106">
        <v>11</v>
      </c>
      <c r="H106" t="s">
        <v>4349</v>
      </c>
      <c r="J106">
        <v>70</v>
      </c>
      <c r="K106" s="2059">
        <v>3.5000000000000003E-2</v>
      </c>
      <c r="L106" t="s">
        <v>4265</v>
      </c>
      <c r="M106">
        <v>0.28999999999999998</v>
      </c>
      <c r="N106">
        <v>1030</v>
      </c>
      <c r="O106">
        <v>1</v>
      </c>
      <c r="P106">
        <v>1</v>
      </c>
      <c r="U106" t="s">
        <v>1678</v>
      </c>
      <c r="V106">
        <v>43281</v>
      </c>
      <c r="W106" t="s">
        <v>4392</v>
      </c>
      <c r="X106" t="s">
        <v>4393</v>
      </c>
    </row>
    <row r="107" spans="1:24">
      <c r="A107">
        <v>23</v>
      </c>
      <c r="B107">
        <v>16050099</v>
      </c>
      <c r="C107" t="s">
        <v>4306</v>
      </c>
      <c r="D107" t="s">
        <v>4307</v>
      </c>
      <c r="E107" t="s">
        <v>4394</v>
      </c>
      <c r="F107" t="s">
        <v>4394</v>
      </c>
      <c r="G107">
        <v>11</v>
      </c>
      <c r="H107" t="s">
        <v>4349</v>
      </c>
      <c r="J107">
        <v>14</v>
      </c>
      <c r="K107" s="2059">
        <v>3.7999999999999999E-2</v>
      </c>
      <c r="L107" t="s">
        <v>4243</v>
      </c>
      <c r="M107">
        <v>0.28999999999999998</v>
      </c>
      <c r="N107">
        <v>1030</v>
      </c>
      <c r="O107">
        <v>1</v>
      </c>
      <c r="P107">
        <v>1</v>
      </c>
      <c r="U107" t="s">
        <v>1678</v>
      </c>
      <c r="V107">
        <v>43281</v>
      </c>
      <c r="W107" t="s">
        <v>4395</v>
      </c>
      <c r="X107" t="s">
        <v>4396</v>
      </c>
    </row>
    <row r="108" spans="1:24">
      <c r="A108">
        <v>23</v>
      </c>
      <c r="B108">
        <v>16080061</v>
      </c>
      <c r="C108" t="s">
        <v>4306</v>
      </c>
      <c r="D108" t="s">
        <v>4307</v>
      </c>
      <c r="E108" t="s">
        <v>4397</v>
      </c>
      <c r="F108" t="s">
        <v>4397</v>
      </c>
      <c r="G108">
        <v>4</v>
      </c>
      <c r="H108" t="s">
        <v>4398</v>
      </c>
      <c r="J108">
        <v>49</v>
      </c>
      <c r="K108" s="2059">
        <v>3.1E-2</v>
      </c>
      <c r="L108" t="s">
        <v>4250</v>
      </c>
      <c r="M108">
        <v>0.28999999999999998</v>
      </c>
      <c r="N108">
        <v>1030</v>
      </c>
      <c r="O108">
        <v>1</v>
      </c>
      <c r="P108">
        <v>1</v>
      </c>
      <c r="U108" t="s">
        <v>1678</v>
      </c>
      <c r="V108">
        <v>43465</v>
      </c>
      <c r="W108" t="s">
        <v>4399</v>
      </c>
      <c r="X108" t="s">
        <v>4400</v>
      </c>
    </row>
    <row r="109" spans="1:24">
      <c r="A109">
        <v>23</v>
      </c>
      <c r="B109">
        <v>16080062</v>
      </c>
      <c r="C109" t="s">
        <v>4306</v>
      </c>
      <c r="D109" t="s">
        <v>4307</v>
      </c>
      <c r="E109" t="s">
        <v>4401</v>
      </c>
      <c r="F109" t="s">
        <v>4401</v>
      </c>
      <c r="G109">
        <v>4</v>
      </c>
      <c r="H109" t="s">
        <v>4398</v>
      </c>
      <c r="J109">
        <v>49</v>
      </c>
      <c r="K109" s="2059">
        <v>3.1E-2</v>
      </c>
      <c r="L109" t="s">
        <v>4250</v>
      </c>
      <c r="M109">
        <v>0.28999999999999998</v>
      </c>
      <c r="N109">
        <v>1030</v>
      </c>
      <c r="O109">
        <v>1</v>
      </c>
      <c r="P109">
        <v>1</v>
      </c>
      <c r="U109" t="s">
        <v>1678</v>
      </c>
      <c r="V109">
        <v>43465</v>
      </c>
      <c r="W109" t="s">
        <v>4399</v>
      </c>
      <c r="X109" t="s">
        <v>4400</v>
      </c>
    </row>
    <row r="110" spans="1:24">
      <c r="A110">
        <v>23</v>
      </c>
      <c r="B110">
        <v>16080063</v>
      </c>
      <c r="C110" t="s">
        <v>4306</v>
      </c>
      <c r="D110" t="s">
        <v>4307</v>
      </c>
      <c r="E110" t="s">
        <v>4402</v>
      </c>
      <c r="F110" t="s">
        <v>4402</v>
      </c>
      <c r="G110">
        <v>4</v>
      </c>
      <c r="H110" t="s">
        <v>4398</v>
      </c>
      <c r="J110">
        <v>49</v>
      </c>
      <c r="K110" s="2059">
        <v>3.1E-2</v>
      </c>
      <c r="L110" t="s">
        <v>4403</v>
      </c>
      <c r="M110">
        <v>0.28999999999999998</v>
      </c>
      <c r="N110">
        <v>1030</v>
      </c>
      <c r="O110">
        <v>1</v>
      </c>
      <c r="P110">
        <v>1</v>
      </c>
      <c r="U110" t="s">
        <v>1678</v>
      </c>
      <c r="V110">
        <v>43465</v>
      </c>
      <c r="W110" t="s">
        <v>4404</v>
      </c>
      <c r="X110" t="s">
        <v>4405</v>
      </c>
    </row>
    <row r="111" spans="1:24">
      <c r="A111">
        <v>23</v>
      </c>
      <c r="B111">
        <v>16080064</v>
      </c>
      <c r="C111" t="s">
        <v>4306</v>
      </c>
      <c r="D111" t="s">
        <v>4307</v>
      </c>
      <c r="E111" t="s">
        <v>4406</v>
      </c>
      <c r="F111" t="s">
        <v>4406</v>
      </c>
      <c r="G111">
        <v>4</v>
      </c>
      <c r="H111" t="s">
        <v>4398</v>
      </c>
      <c r="J111">
        <v>35</v>
      </c>
      <c r="K111" s="2059">
        <v>3.2000000000000001E-2</v>
      </c>
      <c r="L111" t="s">
        <v>4380</v>
      </c>
      <c r="M111">
        <v>0.28999999999999998</v>
      </c>
      <c r="N111">
        <v>1030</v>
      </c>
      <c r="O111">
        <v>1</v>
      </c>
      <c r="P111">
        <v>1</v>
      </c>
      <c r="U111" t="s">
        <v>1678</v>
      </c>
      <c r="V111">
        <v>43465</v>
      </c>
      <c r="W111" t="s">
        <v>4399</v>
      </c>
      <c r="X111" t="s">
        <v>4400</v>
      </c>
    </row>
    <row r="112" spans="1:24">
      <c r="A112">
        <v>23</v>
      </c>
      <c r="B112">
        <v>16080065</v>
      </c>
      <c r="C112" t="s">
        <v>4306</v>
      </c>
      <c r="D112" t="s">
        <v>4307</v>
      </c>
      <c r="E112" t="s">
        <v>4407</v>
      </c>
      <c r="F112" t="s">
        <v>4407</v>
      </c>
      <c r="G112">
        <v>4</v>
      </c>
      <c r="H112" t="s">
        <v>4398</v>
      </c>
      <c r="J112">
        <v>20</v>
      </c>
      <c r="K112" s="2059">
        <v>3.5000000000000003E-2</v>
      </c>
      <c r="L112" t="s">
        <v>4280</v>
      </c>
      <c r="M112">
        <v>0.28999999999999998</v>
      </c>
      <c r="N112">
        <v>1030</v>
      </c>
      <c r="O112">
        <v>1</v>
      </c>
      <c r="P112">
        <v>1</v>
      </c>
      <c r="U112" t="s">
        <v>1678</v>
      </c>
      <c r="V112">
        <v>43465</v>
      </c>
      <c r="W112" t="s">
        <v>4408</v>
      </c>
      <c r="X112" t="s">
        <v>4409</v>
      </c>
    </row>
    <row r="113" spans="1:24">
      <c r="A113">
        <v>23</v>
      </c>
      <c r="B113">
        <v>16080066</v>
      </c>
      <c r="C113" t="s">
        <v>4306</v>
      </c>
      <c r="D113" t="s">
        <v>4307</v>
      </c>
      <c r="E113" t="s">
        <v>4410</v>
      </c>
      <c r="F113" t="s">
        <v>4410</v>
      </c>
      <c r="G113">
        <v>4</v>
      </c>
      <c r="H113" t="s">
        <v>4398</v>
      </c>
      <c r="J113">
        <v>20</v>
      </c>
      <c r="K113" s="2059">
        <v>3.5000000000000003E-2</v>
      </c>
      <c r="L113" t="s">
        <v>4380</v>
      </c>
      <c r="M113">
        <v>0.28999999999999998</v>
      </c>
      <c r="N113">
        <v>1030</v>
      </c>
      <c r="O113">
        <v>1</v>
      </c>
      <c r="P113">
        <v>1</v>
      </c>
      <c r="U113" t="s">
        <v>1678</v>
      </c>
      <c r="V113">
        <v>43465</v>
      </c>
      <c r="W113" t="s">
        <v>4411</v>
      </c>
      <c r="X113" t="s">
        <v>4412</v>
      </c>
    </row>
    <row r="114" spans="1:24">
      <c r="A114">
        <v>23</v>
      </c>
      <c r="B114">
        <v>16080067</v>
      </c>
      <c r="C114" t="s">
        <v>4306</v>
      </c>
      <c r="D114" t="s">
        <v>4307</v>
      </c>
      <c r="E114" t="s">
        <v>4413</v>
      </c>
      <c r="F114" t="s">
        <v>4413</v>
      </c>
      <c r="G114">
        <v>4</v>
      </c>
      <c r="H114" t="s">
        <v>4398</v>
      </c>
      <c r="J114">
        <v>20</v>
      </c>
      <c r="K114" s="2059">
        <v>3.5000000000000003E-2</v>
      </c>
      <c r="L114" t="s">
        <v>4414</v>
      </c>
      <c r="M114">
        <v>0.28999999999999998</v>
      </c>
      <c r="N114">
        <v>1030</v>
      </c>
      <c r="O114">
        <v>1</v>
      </c>
      <c r="P114">
        <v>1</v>
      </c>
      <c r="U114" t="s">
        <v>1678</v>
      </c>
      <c r="V114">
        <v>43465</v>
      </c>
      <c r="W114" t="s">
        <v>4411</v>
      </c>
      <c r="X114" t="s">
        <v>4412</v>
      </c>
    </row>
    <row r="115" spans="1:24">
      <c r="A115">
        <v>23</v>
      </c>
      <c r="B115">
        <v>16080068</v>
      </c>
      <c r="C115" t="s">
        <v>4306</v>
      </c>
      <c r="D115" t="s">
        <v>4307</v>
      </c>
      <c r="E115" t="s">
        <v>4415</v>
      </c>
      <c r="F115" t="s">
        <v>4415</v>
      </c>
      <c r="G115">
        <v>4</v>
      </c>
      <c r="H115" t="s">
        <v>4398</v>
      </c>
      <c r="J115">
        <v>20</v>
      </c>
      <c r="K115" s="2059">
        <v>3.5000000000000003E-2</v>
      </c>
      <c r="L115" t="s">
        <v>4416</v>
      </c>
      <c r="M115">
        <v>0.28999999999999998</v>
      </c>
      <c r="N115">
        <v>1030</v>
      </c>
      <c r="O115">
        <v>1</v>
      </c>
      <c r="P115">
        <v>1</v>
      </c>
      <c r="U115" t="s">
        <v>1678</v>
      </c>
      <c r="V115">
        <v>43465</v>
      </c>
      <c r="W115" t="s">
        <v>4417</v>
      </c>
      <c r="X115" t="s">
        <v>4418</v>
      </c>
    </row>
    <row r="116" spans="1:24">
      <c r="A116">
        <v>23</v>
      </c>
      <c r="B116">
        <v>16080069</v>
      </c>
      <c r="C116" t="s">
        <v>4306</v>
      </c>
      <c r="D116" t="s">
        <v>4307</v>
      </c>
      <c r="E116" t="s">
        <v>4419</v>
      </c>
      <c r="F116" t="s">
        <v>4419</v>
      </c>
      <c r="G116">
        <v>4</v>
      </c>
      <c r="H116" t="s">
        <v>4398</v>
      </c>
      <c r="J116">
        <v>20</v>
      </c>
      <c r="K116" s="2059">
        <v>3.5000000000000003E-2</v>
      </c>
      <c r="L116" t="s">
        <v>4416</v>
      </c>
      <c r="M116">
        <v>0.28999999999999998</v>
      </c>
      <c r="N116">
        <v>1030</v>
      </c>
      <c r="O116">
        <v>1</v>
      </c>
      <c r="P116">
        <v>1</v>
      </c>
      <c r="U116" t="s">
        <v>1678</v>
      </c>
      <c r="V116">
        <v>43465</v>
      </c>
      <c r="W116" t="s">
        <v>4411</v>
      </c>
      <c r="X116" t="s">
        <v>4412</v>
      </c>
    </row>
    <row r="117" spans="1:24">
      <c r="A117">
        <v>23</v>
      </c>
      <c r="B117">
        <v>16080070</v>
      </c>
      <c r="C117" t="s">
        <v>4306</v>
      </c>
      <c r="D117" t="s">
        <v>4307</v>
      </c>
      <c r="E117" t="s">
        <v>4420</v>
      </c>
      <c r="F117" t="s">
        <v>4420</v>
      </c>
      <c r="G117">
        <v>4</v>
      </c>
      <c r="H117" t="s">
        <v>4398</v>
      </c>
      <c r="J117">
        <v>20</v>
      </c>
      <c r="K117" s="2059">
        <v>3.5000000000000003E-2</v>
      </c>
      <c r="L117" t="s">
        <v>4421</v>
      </c>
      <c r="M117">
        <v>0.28999999999999998</v>
      </c>
      <c r="N117">
        <v>1030</v>
      </c>
      <c r="O117">
        <v>1</v>
      </c>
      <c r="P117">
        <v>1</v>
      </c>
      <c r="U117" t="s">
        <v>1678</v>
      </c>
      <c r="V117">
        <v>43465</v>
      </c>
      <c r="W117" t="s">
        <v>4408</v>
      </c>
      <c r="X117" t="s">
        <v>4409</v>
      </c>
    </row>
    <row r="118" spans="1:24">
      <c r="A118">
        <v>23</v>
      </c>
      <c r="B118">
        <v>16080071</v>
      </c>
      <c r="C118" t="s">
        <v>4306</v>
      </c>
      <c r="D118" t="s">
        <v>4307</v>
      </c>
      <c r="E118" t="s">
        <v>4422</v>
      </c>
      <c r="F118" t="s">
        <v>4422</v>
      </c>
      <c r="G118">
        <v>4</v>
      </c>
      <c r="H118" t="s">
        <v>4398</v>
      </c>
      <c r="J118">
        <v>20</v>
      </c>
      <c r="K118" s="2059">
        <v>3.5000000000000003E-2</v>
      </c>
      <c r="L118" t="s">
        <v>4362</v>
      </c>
      <c r="M118">
        <v>0.28999999999999998</v>
      </c>
      <c r="N118">
        <v>1030</v>
      </c>
      <c r="O118">
        <v>1</v>
      </c>
      <c r="P118">
        <v>1</v>
      </c>
      <c r="U118" t="s">
        <v>1678</v>
      </c>
      <c r="V118">
        <v>43465</v>
      </c>
      <c r="W118" t="s">
        <v>4408</v>
      </c>
      <c r="X118" t="s">
        <v>4409</v>
      </c>
    </row>
    <row r="119" spans="1:24">
      <c r="A119">
        <v>23</v>
      </c>
      <c r="B119">
        <v>16080072</v>
      </c>
      <c r="C119" t="s">
        <v>4306</v>
      </c>
      <c r="D119" t="s">
        <v>4307</v>
      </c>
      <c r="E119" t="s">
        <v>4423</v>
      </c>
      <c r="F119" t="s">
        <v>4423</v>
      </c>
      <c r="G119">
        <v>4</v>
      </c>
      <c r="H119" t="s">
        <v>4398</v>
      </c>
      <c r="J119">
        <v>20</v>
      </c>
      <c r="K119" s="2059">
        <v>3.5000000000000003E-2</v>
      </c>
      <c r="L119" t="s">
        <v>4230</v>
      </c>
      <c r="M119">
        <v>0.28999999999999998</v>
      </c>
      <c r="N119">
        <v>1030</v>
      </c>
      <c r="O119">
        <v>1</v>
      </c>
      <c r="P119">
        <v>1</v>
      </c>
      <c r="U119" t="s">
        <v>1678</v>
      </c>
      <c r="V119">
        <v>43465</v>
      </c>
      <c r="W119" t="s">
        <v>4408</v>
      </c>
      <c r="X119" t="s">
        <v>4409</v>
      </c>
    </row>
    <row r="120" spans="1:24">
      <c r="A120">
        <v>23</v>
      </c>
      <c r="B120">
        <v>16080073</v>
      </c>
      <c r="C120" t="s">
        <v>4306</v>
      </c>
      <c r="D120" t="s">
        <v>4307</v>
      </c>
      <c r="E120" t="s">
        <v>4424</v>
      </c>
      <c r="F120" t="s">
        <v>4424</v>
      </c>
      <c r="G120">
        <v>4</v>
      </c>
      <c r="H120" t="s">
        <v>4398</v>
      </c>
      <c r="J120">
        <v>80</v>
      </c>
      <c r="K120" s="2059">
        <v>3.5000000000000003E-2</v>
      </c>
      <c r="L120" t="s">
        <v>4425</v>
      </c>
      <c r="M120">
        <v>0.28999999999999998</v>
      </c>
      <c r="N120">
        <v>1030</v>
      </c>
      <c r="O120">
        <v>1</v>
      </c>
      <c r="P120">
        <v>1</v>
      </c>
      <c r="U120" t="s">
        <v>1678</v>
      </c>
      <c r="V120">
        <v>43465</v>
      </c>
      <c r="W120" t="s">
        <v>4426</v>
      </c>
      <c r="X120" t="s">
        <v>4427</v>
      </c>
    </row>
    <row r="121" spans="1:24">
      <c r="A121">
        <v>23</v>
      </c>
      <c r="B121">
        <v>16080074</v>
      </c>
      <c r="C121" t="s">
        <v>4306</v>
      </c>
      <c r="D121" t="s">
        <v>4307</v>
      </c>
      <c r="E121" t="s">
        <v>4428</v>
      </c>
      <c r="F121" t="s">
        <v>4428</v>
      </c>
      <c r="G121">
        <v>4</v>
      </c>
      <c r="H121" t="s">
        <v>4398</v>
      </c>
      <c r="J121">
        <v>80</v>
      </c>
      <c r="K121" s="2059">
        <v>3.5000000000000003E-2</v>
      </c>
      <c r="L121" t="s">
        <v>4429</v>
      </c>
      <c r="M121">
        <v>0.28999999999999998</v>
      </c>
      <c r="N121">
        <v>1030</v>
      </c>
      <c r="O121">
        <v>1</v>
      </c>
      <c r="P121">
        <v>1</v>
      </c>
      <c r="U121" t="s">
        <v>1678</v>
      </c>
      <c r="V121">
        <v>43465</v>
      </c>
      <c r="W121" t="s">
        <v>4426</v>
      </c>
      <c r="X121" t="s">
        <v>4427</v>
      </c>
    </row>
    <row r="122" spans="1:24">
      <c r="A122">
        <v>23</v>
      </c>
      <c r="B122">
        <v>16080075</v>
      </c>
      <c r="C122" t="s">
        <v>4306</v>
      </c>
      <c r="D122" t="s">
        <v>4307</v>
      </c>
      <c r="E122" t="s">
        <v>4430</v>
      </c>
      <c r="F122" t="s">
        <v>4430</v>
      </c>
      <c r="G122">
        <v>4</v>
      </c>
      <c r="H122" t="s">
        <v>4398</v>
      </c>
      <c r="J122">
        <v>85</v>
      </c>
      <c r="K122" s="2059">
        <v>3.5000000000000003E-2</v>
      </c>
      <c r="L122">
        <v>43</v>
      </c>
      <c r="M122">
        <v>0.28999999999999998</v>
      </c>
      <c r="N122">
        <v>1030</v>
      </c>
      <c r="O122">
        <v>1</v>
      </c>
      <c r="P122">
        <v>1</v>
      </c>
      <c r="U122" t="s">
        <v>1678</v>
      </c>
      <c r="V122">
        <v>43465</v>
      </c>
      <c r="W122" t="s">
        <v>4426</v>
      </c>
      <c r="X122" t="s">
        <v>4427</v>
      </c>
    </row>
    <row r="123" spans="1:24">
      <c r="A123">
        <v>23</v>
      </c>
      <c r="B123">
        <v>16080076</v>
      </c>
      <c r="C123" t="s">
        <v>4306</v>
      </c>
      <c r="D123" t="s">
        <v>4307</v>
      </c>
      <c r="E123" t="s">
        <v>4431</v>
      </c>
      <c r="F123" t="s">
        <v>4431</v>
      </c>
      <c r="G123">
        <v>4</v>
      </c>
      <c r="H123" t="s">
        <v>4398</v>
      </c>
      <c r="J123">
        <v>67</v>
      </c>
      <c r="K123" s="2059">
        <v>3.5000000000000003E-2</v>
      </c>
      <c r="L123" t="s">
        <v>4202</v>
      </c>
      <c r="M123">
        <v>0.28999999999999998</v>
      </c>
      <c r="N123">
        <v>1030</v>
      </c>
      <c r="O123">
        <v>1</v>
      </c>
      <c r="P123">
        <v>1</v>
      </c>
      <c r="U123" t="s">
        <v>1678</v>
      </c>
      <c r="V123">
        <v>43465</v>
      </c>
      <c r="W123" t="s">
        <v>4432</v>
      </c>
      <c r="X123" t="s">
        <v>4433</v>
      </c>
    </row>
    <row r="124" spans="1:24">
      <c r="A124">
        <v>23</v>
      </c>
      <c r="B124">
        <v>16080077</v>
      </c>
      <c r="C124" t="s">
        <v>4306</v>
      </c>
      <c r="D124" t="s">
        <v>4307</v>
      </c>
      <c r="E124" t="s">
        <v>4434</v>
      </c>
      <c r="F124" t="s">
        <v>4434</v>
      </c>
      <c r="G124">
        <v>4</v>
      </c>
      <c r="H124" t="s">
        <v>4398</v>
      </c>
      <c r="J124">
        <v>80</v>
      </c>
      <c r="K124" s="2059">
        <v>3.5000000000000003E-2</v>
      </c>
      <c r="L124" t="s">
        <v>4435</v>
      </c>
      <c r="M124">
        <v>0.28999999999999998</v>
      </c>
      <c r="N124">
        <v>1030</v>
      </c>
      <c r="O124">
        <v>1</v>
      </c>
      <c r="P124">
        <v>1</v>
      </c>
      <c r="U124" t="s">
        <v>1678</v>
      </c>
      <c r="V124">
        <v>43465</v>
      </c>
      <c r="W124" t="s">
        <v>4432</v>
      </c>
      <c r="X124" t="s">
        <v>4433</v>
      </c>
    </row>
    <row r="125" spans="1:24">
      <c r="A125">
        <v>23</v>
      </c>
      <c r="B125">
        <v>16080078</v>
      </c>
      <c r="C125" t="s">
        <v>4306</v>
      </c>
      <c r="D125" t="s">
        <v>4307</v>
      </c>
      <c r="E125" t="s">
        <v>4436</v>
      </c>
      <c r="F125" t="s">
        <v>4436</v>
      </c>
      <c r="G125">
        <v>4</v>
      </c>
      <c r="H125" t="s">
        <v>4398</v>
      </c>
      <c r="J125">
        <v>80</v>
      </c>
      <c r="K125" s="2059">
        <v>3.5000000000000003E-2</v>
      </c>
      <c r="L125" t="s">
        <v>4154</v>
      </c>
      <c r="M125">
        <v>0.28999999999999998</v>
      </c>
      <c r="N125">
        <v>1030</v>
      </c>
      <c r="O125">
        <v>1</v>
      </c>
      <c r="P125">
        <v>1</v>
      </c>
      <c r="U125" t="s">
        <v>1678</v>
      </c>
      <c r="V125">
        <v>43465</v>
      </c>
      <c r="W125" t="s">
        <v>4432</v>
      </c>
      <c r="X125" t="s">
        <v>4433</v>
      </c>
    </row>
    <row r="126" spans="1:24">
      <c r="A126">
        <v>23</v>
      </c>
      <c r="B126">
        <v>16080079</v>
      </c>
      <c r="C126" t="s">
        <v>4306</v>
      </c>
      <c r="D126" t="s">
        <v>4307</v>
      </c>
      <c r="E126" t="s">
        <v>4437</v>
      </c>
      <c r="F126" t="s">
        <v>4437</v>
      </c>
      <c r="G126">
        <v>4</v>
      </c>
      <c r="H126" t="s">
        <v>4398</v>
      </c>
      <c r="J126">
        <v>15</v>
      </c>
      <c r="K126" s="2059">
        <v>3.9E-2</v>
      </c>
      <c r="L126" t="s">
        <v>4416</v>
      </c>
      <c r="M126">
        <v>0.28999999999999998</v>
      </c>
      <c r="N126">
        <v>1030</v>
      </c>
      <c r="O126">
        <v>1</v>
      </c>
      <c r="P126">
        <v>1</v>
      </c>
      <c r="U126" t="s">
        <v>1678</v>
      </c>
      <c r="V126">
        <v>43465</v>
      </c>
      <c r="W126" t="s">
        <v>4438</v>
      </c>
      <c r="X126" t="s">
        <v>4439</v>
      </c>
    </row>
    <row r="127" spans="1:24">
      <c r="A127">
        <v>23</v>
      </c>
      <c r="B127">
        <v>16080080</v>
      </c>
      <c r="C127" t="s">
        <v>4306</v>
      </c>
      <c r="D127" t="s">
        <v>4307</v>
      </c>
      <c r="E127" t="s">
        <v>4440</v>
      </c>
      <c r="F127" t="s">
        <v>4440</v>
      </c>
      <c r="G127">
        <v>4</v>
      </c>
      <c r="H127" t="s">
        <v>4398</v>
      </c>
      <c r="J127">
        <v>15</v>
      </c>
      <c r="K127" s="2059">
        <v>3.9E-2</v>
      </c>
      <c r="L127" t="s">
        <v>4416</v>
      </c>
      <c r="M127">
        <v>0.28999999999999998</v>
      </c>
      <c r="N127">
        <v>1030</v>
      </c>
      <c r="O127">
        <v>1</v>
      </c>
      <c r="P127">
        <v>1</v>
      </c>
      <c r="U127" t="s">
        <v>1678</v>
      </c>
      <c r="V127">
        <v>43465</v>
      </c>
      <c r="W127" t="s">
        <v>4438</v>
      </c>
      <c r="X127" t="s">
        <v>4439</v>
      </c>
    </row>
    <row r="128" spans="1:24">
      <c r="A128">
        <v>23</v>
      </c>
      <c r="B128">
        <v>16080081</v>
      </c>
      <c r="C128" t="s">
        <v>4306</v>
      </c>
      <c r="D128" t="s">
        <v>4307</v>
      </c>
      <c r="E128" t="s">
        <v>4430</v>
      </c>
      <c r="F128" t="s">
        <v>4430</v>
      </c>
      <c r="G128">
        <v>4</v>
      </c>
      <c r="H128" t="s">
        <v>4398</v>
      </c>
      <c r="J128">
        <v>80</v>
      </c>
      <c r="K128" s="2059">
        <v>3.3000000000000002E-2</v>
      </c>
      <c r="L128" t="s">
        <v>4441</v>
      </c>
      <c r="M128">
        <v>0.28999999999999998</v>
      </c>
      <c r="N128">
        <v>1030</v>
      </c>
      <c r="O128">
        <v>1</v>
      </c>
      <c r="P128">
        <v>1</v>
      </c>
      <c r="U128" t="s">
        <v>1678</v>
      </c>
      <c r="V128">
        <v>43465</v>
      </c>
      <c r="W128" t="s">
        <v>4426</v>
      </c>
      <c r="X128" t="s">
        <v>4427</v>
      </c>
    </row>
    <row r="129" spans="1:24">
      <c r="A129">
        <v>23</v>
      </c>
      <c r="B129">
        <v>14100293</v>
      </c>
      <c r="C129" t="s">
        <v>4306</v>
      </c>
      <c r="D129" t="s">
        <v>4307</v>
      </c>
      <c r="E129" t="s">
        <v>4442</v>
      </c>
      <c r="F129" t="s">
        <v>4442</v>
      </c>
      <c r="G129">
        <v>4</v>
      </c>
      <c r="H129" t="s">
        <v>4398</v>
      </c>
      <c r="J129">
        <v>26</v>
      </c>
      <c r="K129" s="2059">
        <v>3.4000000000000002E-2</v>
      </c>
      <c r="L129" t="s">
        <v>4230</v>
      </c>
      <c r="M129">
        <v>0.28999999999999998</v>
      </c>
      <c r="N129">
        <v>1030</v>
      </c>
      <c r="O129">
        <v>1</v>
      </c>
      <c r="P129">
        <v>1</v>
      </c>
      <c r="U129" t="s">
        <v>1678</v>
      </c>
      <c r="V129">
        <v>42916</v>
      </c>
      <c r="W129" t="s">
        <v>4443</v>
      </c>
      <c r="X129" t="s">
        <v>4444</v>
      </c>
    </row>
    <row r="130" spans="1:24">
      <c r="A130">
        <v>23</v>
      </c>
      <c r="B130">
        <v>14100294</v>
      </c>
      <c r="C130" t="s">
        <v>4306</v>
      </c>
      <c r="D130" t="s">
        <v>4307</v>
      </c>
      <c r="E130" t="s">
        <v>4445</v>
      </c>
      <c r="F130" t="s">
        <v>4445</v>
      </c>
      <c r="G130">
        <v>4</v>
      </c>
      <c r="H130" t="s">
        <v>4398</v>
      </c>
      <c r="J130">
        <v>26</v>
      </c>
      <c r="K130" s="2059">
        <v>3.4000000000000002E-2</v>
      </c>
      <c r="L130" t="s">
        <v>4263</v>
      </c>
      <c r="M130">
        <v>0.28999999999999998</v>
      </c>
      <c r="N130">
        <v>1030</v>
      </c>
      <c r="O130">
        <v>1</v>
      </c>
      <c r="P130">
        <v>1</v>
      </c>
      <c r="U130" t="s">
        <v>1678</v>
      </c>
      <c r="V130">
        <v>42916</v>
      </c>
      <c r="W130" t="s">
        <v>4443</v>
      </c>
      <c r="X130" t="s">
        <v>4444</v>
      </c>
    </row>
    <row r="131" spans="1:24">
      <c r="A131">
        <v>23</v>
      </c>
      <c r="B131">
        <v>14100295</v>
      </c>
      <c r="C131" t="s">
        <v>4306</v>
      </c>
      <c r="D131" t="s">
        <v>4307</v>
      </c>
      <c r="E131" t="s">
        <v>4446</v>
      </c>
      <c r="F131" t="s">
        <v>4446</v>
      </c>
      <c r="G131">
        <v>4</v>
      </c>
      <c r="H131" t="s">
        <v>4398</v>
      </c>
      <c r="J131">
        <v>20</v>
      </c>
      <c r="K131" s="2059">
        <v>3.5999999999999997E-2</v>
      </c>
      <c r="L131" t="s">
        <v>4230</v>
      </c>
      <c r="M131">
        <v>0.28999999999999998</v>
      </c>
      <c r="N131">
        <v>1030</v>
      </c>
      <c r="O131">
        <v>1</v>
      </c>
      <c r="P131">
        <v>1</v>
      </c>
      <c r="U131" t="s">
        <v>1678</v>
      </c>
      <c r="V131">
        <v>42916</v>
      </c>
      <c r="W131" t="s">
        <v>4447</v>
      </c>
      <c r="X131" t="s">
        <v>4448</v>
      </c>
    </row>
    <row r="132" spans="1:24">
      <c r="A132">
        <v>23</v>
      </c>
      <c r="B132">
        <v>14100296</v>
      </c>
      <c r="C132" t="s">
        <v>4306</v>
      </c>
      <c r="D132" t="s">
        <v>4307</v>
      </c>
      <c r="E132" t="s">
        <v>4449</v>
      </c>
      <c r="F132" t="s">
        <v>4449</v>
      </c>
      <c r="G132">
        <v>4</v>
      </c>
      <c r="H132" t="s">
        <v>4398</v>
      </c>
      <c r="J132">
        <v>20</v>
      </c>
      <c r="K132" s="2059">
        <v>3.5999999999999997E-2</v>
      </c>
      <c r="L132" t="s">
        <v>4230</v>
      </c>
      <c r="M132">
        <v>0.28999999999999998</v>
      </c>
      <c r="N132">
        <v>1030</v>
      </c>
      <c r="O132">
        <v>1</v>
      </c>
      <c r="P132">
        <v>1</v>
      </c>
      <c r="U132" t="s">
        <v>1678</v>
      </c>
      <c r="V132">
        <v>42916</v>
      </c>
      <c r="W132" t="s">
        <v>4447</v>
      </c>
      <c r="X132" t="s">
        <v>4448</v>
      </c>
    </row>
    <row r="133" spans="1:24">
      <c r="A133">
        <v>23</v>
      </c>
      <c r="B133">
        <v>14100297</v>
      </c>
      <c r="C133" t="s">
        <v>4306</v>
      </c>
      <c r="D133" t="s">
        <v>4307</v>
      </c>
      <c r="E133" t="s">
        <v>4450</v>
      </c>
      <c r="F133" t="s">
        <v>4450</v>
      </c>
      <c r="G133">
        <v>4</v>
      </c>
      <c r="H133" t="s">
        <v>4398</v>
      </c>
      <c r="J133">
        <v>16</v>
      </c>
      <c r="K133" s="2059">
        <v>3.9E-2</v>
      </c>
      <c r="L133" t="s">
        <v>4230</v>
      </c>
      <c r="M133">
        <v>0.28999999999999998</v>
      </c>
      <c r="N133">
        <v>1030</v>
      </c>
      <c r="O133">
        <v>1</v>
      </c>
      <c r="P133">
        <v>1</v>
      </c>
      <c r="U133" t="s">
        <v>1678</v>
      </c>
      <c r="V133">
        <v>42916</v>
      </c>
      <c r="W133" t="s">
        <v>4451</v>
      </c>
      <c r="X133" t="s">
        <v>4452</v>
      </c>
    </row>
    <row r="134" spans="1:24">
      <c r="A134">
        <v>23</v>
      </c>
      <c r="B134">
        <v>14100298</v>
      </c>
      <c r="C134" t="s">
        <v>4306</v>
      </c>
      <c r="D134" t="s">
        <v>4307</v>
      </c>
      <c r="E134" t="s">
        <v>4453</v>
      </c>
      <c r="F134" t="s">
        <v>4453</v>
      </c>
      <c r="G134">
        <v>4</v>
      </c>
      <c r="H134" t="s">
        <v>4398</v>
      </c>
      <c r="J134">
        <v>16</v>
      </c>
      <c r="K134" s="2059">
        <v>3.9E-2</v>
      </c>
      <c r="L134" t="s">
        <v>4230</v>
      </c>
      <c r="M134">
        <v>0.28999999999999998</v>
      </c>
      <c r="N134">
        <v>1030</v>
      </c>
      <c r="O134">
        <v>1</v>
      </c>
      <c r="P134">
        <v>1</v>
      </c>
      <c r="U134" t="s">
        <v>1678</v>
      </c>
      <c r="V134">
        <v>42916</v>
      </c>
      <c r="W134" t="s">
        <v>4451</v>
      </c>
      <c r="X134" t="s">
        <v>4452</v>
      </c>
    </row>
    <row r="135" spans="1:24">
      <c r="A135">
        <v>23</v>
      </c>
      <c r="B135">
        <v>15100071</v>
      </c>
      <c r="C135" t="s">
        <v>4306</v>
      </c>
      <c r="D135" t="s">
        <v>4307</v>
      </c>
      <c r="E135" t="s">
        <v>4454</v>
      </c>
      <c r="F135" t="s">
        <v>4454</v>
      </c>
      <c r="G135">
        <v>4</v>
      </c>
      <c r="H135" t="s">
        <v>4398</v>
      </c>
      <c r="J135">
        <v>29</v>
      </c>
      <c r="K135" s="2059">
        <v>3.2000000000000001E-2</v>
      </c>
      <c r="L135" t="s">
        <v>4380</v>
      </c>
      <c r="M135">
        <v>0.28999999999999998</v>
      </c>
      <c r="N135">
        <v>1030</v>
      </c>
      <c r="O135">
        <v>1</v>
      </c>
      <c r="P135">
        <v>1</v>
      </c>
      <c r="U135" t="s">
        <v>1678</v>
      </c>
      <c r="V135">
        <v>43100</v>
      </c>
      <c r="W135" t="s">
        <v>4411</v>
      </c>
      <c r="X135" t="s">
        <v>4412</v>
      </c>
    </row>
    <row r="136" spans="1:24">
      <c r="A136">
        <v>23</v>
      </c>
      <c r="B136">
        <v>15100072</v>
      </c>
      <c r="C136" t="s">
        <v>4306</v>
      </c>
      <c r="D136" t="s">
        <v>4307</v>
      </c>
      <c r="E136" t="s">
        <v>4455</v>
      </c>
      <c r="F136" t="s">
        <v>4455</v>
      </c>
      <c r="G136">
        <v>4</v>
      </c>
      <c r="H136" t="s">
        <v>4398</v>
      </c>
      <c r="J136">
        <v>29</v>
      </c>
      <c r="K136" s="2059">
        <v>3.2000000000000001E-2</v>
      </c>
      <c r="L136" t="s">
        <v>4380</v>
      </c>
      <c r="M136">
        <v>0.28999999999999998</v>
      </c>
      <c r="N136">
        <v>1030</v>
      </c>
      <c r="O136">
        <v>1</v>
      </c>
      <c r="P136">
        <v>1</v>
      </c>
      <c r="U136" t="s">
        <v>1678</v>
      </c>
      <c r="V136">
        <v>43100</v>
      </c>
      <c r="W136" t="s">
        <v>4411</v>
      </c>
      <c r="X136" t="s">
        <v>4412</v>
      </c>
    </row>
    <row r="137" spans="1:24">
      <c r="A137">
        <v>23</v>
      </c>
      <c r="B137">
        <v>15100073</v>
      </c>
      <c r="C137" t="s">
        <v>4306</v>
      </c>
      <c r="D137" t="s">
        <v>4307</v>
      </c>
      <c r="E137" t="s">
        <v>4456</v>
      </c>
      <c r="F137" t="s">
        <v>4457</v>
      </c>
      <c r="G137">
        <v>4</v>
      </c>
      <c r="H137" t="s">
        <v>4398</v>
      </c>
      <c r="J137">
        <v>29</v>
      </c>
      <c r="K137" s="2059">
        <v>3.2000000000000001E-2</v>
      </c>
      <c r="L137" t="s">
        <v>4362</v>
      </c>
      <c r="M137">
        <v>0.28999999999999998</v>
      </c>
      <c r="N137">
        <v>1030</v>
      </c>
      <c r="O137">
        <v>1</v>
      </c>
      <c r="P137">
        <v>1</v>
      </c>
      <c r="U137" t="s">
        <v>1678</v>
      </c>
      <c r="V137">
        <v>43100</v>
      </c>
      <c r="W137" t="s">
        <v>4411</v>
      </c>
      <c r="X137" t="s">
        <v>4412</v>
      </c>
    </row>
    <row r="138" spans="1:24">
      <c r="A138">
        <v>23</v>
      </c>
      <c r="B138">
        <v>15100074</v>
      </c>
      <c r="C138" t="s">
        <v>4306</v>
      </c>
      <c r="D138" t="s">
        <v>4307</v>
      </c>
      <c r="E138" t="s">
        <v>4458</v>
      </c>
      <c r="F138" t="s">
        <v>4458</v>
      </c>
      <c r="G138">
        <v>4</v>
      </c>
      <c r="H138" t="s">
        <v>4398</v>
      </c>
      <c r="J138">
        <v>29</v>
      </c>
      <c r="K138" s="2059">
        <v>3.2000000000000001E-2</v>
      </c>
      <c r="L138" t="s">
        <v>4362</v>
      </c>
      <c r="M138">
        <v>0.28999999999999998</v>
      </c>
      <c r="N138">
        <v>1030</v>
      </c>
      <c r="O138">
        <v>1</v>
      </c>
      <c r="P138">
        <v>1</v>
      </c>
      <c r="U138" t="s">
        <v>1678</v>
      </c>
      <c r="V138">
        <v>43100</v>
      </c>
      <c r="W138" t="s">
        <v>4459</v>
      </c>
      <c r="X138" t="s">
        <v>4460</v>
      </c>
    </row>
    <row r="139" spans="1:24">
      <c r="A139">
        <v>23</v>
      </c>
      <c r="B139">
        <v>15100075</v>
      </c>
      <c r="C139" t="s">
        <v>4306</v>
      </c>
      <c r="D139" t="s">
        <v>4307</v>
      </c>
      <c r="E139" t="s">
        <v>4461</v>
      </c>
      <c r="F139" t="s">
        <v>4461</v>
      </c>
      <c r="G139">
        <v>4</v>
      </c>
      <c r="H139" t="s">
        <v>4398</v>
      </c>
      <c r="J139">
        <v>29</v>
      </c>
      <c r="K139" s="2059">
        <v>3.2000000000000001E-2</v>
      </c>
      <c r="L139" t="s">
        <v>4462</v>
      </c>
      <c r="M139">
        <v>0.28999999999999998</v>
      </c>
      <c r="N139">
        <v>1030</v>
      </c>
      <c r="O139">
        <v>1</v>
      </c>
      <c r="P139">
        <v>1</v>
      </c>
      <c r="U139" t="s">
        <v>1678</v>
      </c>
      <c r="V139">
        <v>43100</v>
      </c>
      <c r="W139" t="s">
        <v>4459</v>
      </c>
      <c r="X139" t="s">
        <v>4460</v>
      </c>
    </row>
    <row r="140" spans="1:24">
      <c r="A140">
        <v>23</v>
      </c>
      <c r="B140">
        <v>15100076</v>
      </c>
      <c r="C140" t="s">
        <v>4306</v>
      </c>
      <c r="D140" t="s">
        <v>4307</v>
      </c>
      <c r="E140" t="s">
        <v>4463</v>
      </c>
      <c r="F140" t="s">
        <v>4463</v>
      </c>
      <c r="G140">
        <v>4</v>
      </c>
      <c r="H140" t="s">
        <v>4398</v>
      </c>
      <c r="J140">
        <v>29</v>
      </c>
      <c r="K140" s="2059">
        <v>3.2000000000000001E-2</v>
      </c>
      <c r="L140" t="s">
        <v>4464</v>
      </c>
      <c r="M140">
        <v>0.28999999999999998</v>
      </c>
      <c r="N140">
        <v>1030</v>
      </c>
      <c r="O140">
        <v>1</v>
      </c>
      <c r="P140">
        <v>1</v>
      </c>
      <c r="U140" t="s">
        <v>1678</v>
      </c>
      <c r="V140">
        <v>43100</v>
      </c>
      <c r="W140" t="s">
        <v>4465</v>
      </c>
      <c r="X140" t="s">
        <v>4466</v>
      </c>
    </row>
    <row r="141" spans="1:24">
      <c r="A141">
        <v>23</v>
      </c>
      <c r="B141">
        <v>15100079</v>
      </c>
      <c r="C141" t="s">
        <v>4306</v>
      </c>
      <c r="D141" t="s">
        <v>4307</v>
      </c>
      <c r="E141" t="s">
        <v>4467</v>
      </c>
      <c r="F141" t="s">
        <v>4467</v>
      </c>
      <c r="G141">
        <v>4</v>
      </c>
      <c r="H141" t="s">
        <v>4398</v>
      </c>
      <c r="J141">
        <v>80</v>
      </c>
      <c r="K141" s="2059">
        <v>3.2000000000000001E-2</v>
      </c>
      <c r="L141" t="s">
        <v>4468</v>
      </c>
      <c r="M141">
        <v>0.28999999999999998</v>
      </c>
      <c r="N141">
        <v>1030</v>
      </c>
      <c r="O141">
        <v>1</v>
      </c>
      <c r="P141">
        <v>1</v>
      </c>
      <c r="U141" t="s">
        <v>1678</v>
      </c>
      <c r="V141">
        <v>43100</v>
      </c>
    </row>
    <row r="142" spans="1:24">
      <c r="A142">
        <v>23</v>
      </c>
      <c r="B142">
        <v>15100080</v>
      </c>
      <c r="C142" t="s">
        <v>4306</v>
      </c>
      <c r="D142" t="s">
        <v>4307</v>
      </c>
      <c r="E142" t="s">
        <v>4469</v>
      </c>
      <c r="F142" t="s">
        <v>4469</v>
      </c>
      <c r="G142">
        <v>4</v>
      </c>
      <c r="H142" t="s">
        <v>4398</v>
      </c>
      <c r="J142">
        <v>80</v>
      </c>
      <c r="K142" s="2059">
        <v>3.2000000000000001E-2</v>
      </c>
      <c r="L142" t="s">
        <v>4470</v>
      </c>
      <c r="M142">
        <v>0.28999999999999998</v>
      </c>
      <c r="N142">
        <v>1030</v>
      </c>
      <c r="O142">
        <v>1</v>
      </c>
      <c r="P142">
        <v>1</v>
      </c>
      <c r="U142" t="s">
        <v>1678</v>
      </c>
      <c r="V142">
        <v>43100</v>
      </c>
      <c r="W142" t="s">
        <v>4357</v>
      </c>
      <c r="X142" t="s">
        <v>4471</v>
      </c>
    </row>
    <row r="143" spans="1:24">
      <c r="A143">
        <v>23</v>
      </c>
      <c r="B143">
        <v>15100081</v>
      </c>
      <c r="C143" t="s">
        <v>4306</v>
      </c>
      <c r="D143" t="s">
        <v>4307</v>
      </c>
      <c r="E143" t="s">
        <v>4472</v>
      </c>
      <c r="F143" t="s">
        <v>4472</v>
      </c>
      <c r="G143">
        <v>4</v>
      </c>
      <c r="H143" t="s">
        <v>4398</v>
      </c>
      <c r="J143">
        <v>80</v>
      </c>
      <c r="K143" s="2059">
        <v>3.2000000000000001E-2</v>
      </c>
      <c r="L143" t="s">
        <v>4473</v>
      </c>
      <c r="M143">
        <v>0.28999999999999998</v>
      </c>
      <c r="N143">
        <v>1030</v>
      </c>
      <c r="O143">
        <v>1</v>
      </c>
      <c r="P143">
        <v>1</v>
      </c>
      <c r="U143" t="s">
        <v>1678</v>
      </c>
      <c r="V143">
        <v>43100</v>
      </c>
    </row>
    <row r="144" spans="1:24">
      <c r="A144">
        <v>23</v>
      </c>
      <c r="B144">
        <v>15100082</v>
      </c>
      <c r="C144" t="s">
        <v>4306</v>
      </c>
      <c r="D144" t="s">
        <v>4307</v>
      </c>
      <c r="E144" t="s">
        <v>4474</v>
      </c>
      <c r="F144" t="s">
        <v>4474</v>
      </c>
      <c r="G144">
        <v>4</v>
      </c>
      <c r="H144" t="s">
        <v>4398</v>
      </c>
      <c r="J144">
        <v>60</v>
      </c>
      <c r="K144" s="2059">
        <v>3.2000000000000001E-2</v>
      </c>
      <c r="L144" t="s">
        <v>4475</v>
      </c>
      <c r="M144">
        <v>0.28999999999999998</v>
      </c>
      <c r="N144">
        <v>1030</v>
      </c>
      <c r="O144">
        <v>1</v>
      </c>
      <c r="P144">
        <v>1</v>
      </c>
      <c r="U144" t="s">
        <v>1678</v>
      </c>
      <c r="V144">
        <v>43100</v>
      </c>
      <c r="W144" t="s">
        <v>4399</v>
      </c>
      <c r="X144" t="s">
        <v>4400</v>
      </c>
    </row>
    <row r="145" spans="1:24">
      <c r="A145">
        <v>23</v>
      </c>
      <c r="B145">
        <v>15100077</v>
      </c>
      <c r="C145" t="s">
        <v>4306</v>
      </c>
      <c r="D145" t="s">
        <v>4307</v>
      </c>
      <c r="E145" t="s">
        <v>4476</v>
      </c>
      <c r="F145" t="s">
        <v>4476</v>
      </c>
      <c r="G145">
        <v>4</v>
      </c>
      <c r="H145" t="s">
        <v>4398</v>
      </c>
      <c r="J145">
        <v>29</v>
      </c>
      <c r="K145" s="2059">
        <v>3.2000000000000001E-2</v>
      </c>
      <c r="L145" t="s">
        <v>4462</v>
      </c>
      <c r="M145">
        <v>0.28999999999999998</v>
      </c>
      <c r="N145">
        <v>1030</v>
      </c>
      <c r="O145">
        <v>1</v>
      </c>
      <c r="P145">
        <v>1</v>
      </c>
      <c r="U145" t="s">
        <v>1678</v>
      </c>
      <c r="V145">
        <v>43100</v>
      </c>
      <c r="W145" t="s">
        <v>4465</v>
      </c>
      <c r="X145" t="s">
        <v>4466</v>
      </c>
    </row>
    <row r="146" spans="1:24">
      <c r="A146">
        <v>23</v>
      </c>
      <c r="B146">
        <v>16110021</v>
      </c>
      <c r="C146" t="s">
        <v>4306</v>
      </c>
      <c r="D146" t="s">
        <v>4307</v>
      </c>
      <c r="E146" t="s">
        <v>4477</v>
      </c>
      <c r="F146" t="s">
        <v>4477</v>
      </c>
      <c r="G146">
        <v>4</v>
      </c>
      <c r="H146" t="s">
        <v>4398</v>
      </c>
      <c r="J146">
        <v>29</v>
      </c>
      <c r="K146" s="2059">
        <v>3.2000000000000001E-2</v>
      </c>
      <c r="L146" t="s">
        <v>4462</v>
      </c>
      <c r="M146">
        <v>0.28999999999999998</v>
      </c>
      <c r="N146">
        <v>1030</v>
      </c>
      <c r="O146">
        <v>1</v>
      </c>
      <c r="P146">
        <v>1</v>
      </c>
      <c r="U146" t="s">
        <v>1678</v>
      </c>
      <c r="V146">
        <v>43100</v>
      </c>
      <c r="W146" t="s">
        <v>4465</v>
      </c>
      <c r="X146" t="s">
        <v>4466</v>
      </c>
    </row>
    <row r="147" spans="1:24">
      <c r="A147">
        <v>23</v>
      </c>
      <c r="B147">
        <v>15100078</v>
      </c>
      <c r="C147" t="s">
        <v>4306</v>
      </c>
      <c r="D147" t="s">
        <v>4307</v>
      </c>
      <c r="E147" t="s">
        <v>4478</v>
      </c>
      <c r="F147" t="s">
        <v>4478</v>
      </c>
      <c r="G147">
        <v>4</v>
      </c>
      <c r="H147" t="s">
        <v>4398</v>
      </c>
      <c r="J147">
        <v>29</v>
      </c>
      <c r="K147" s="2059">
        <v>3.2000000000000001E-2</v>
      </c>
      <c r="L147" t="s">
        <v>4462</v>
      </c>
      <c r="M147">
        <v>0.28999999999999998</v>
      </c>
      <c r="N147">
        <v>1030</v>
      </c>
      <c r="O147">
        <v>1</v>
      </c>
      <c r="P147">
        <v>1</v>
      </c>
      <c r="U147" t="s">
        <v>1678</v>
      </c>
      <c r="V147">
        <v>43100</v>
      </c>
      <c r="W147" t="s">
        <v>4465</v>
      </c>
      <c r="X147" t="s">
        <v>4466</v>
      </c>
    </row>
    <row r="148" spans="1:24">
      <c r="A148">
        <v>23</v>
      </c>
      <c r="B148">
        <v>16030011</v>
      </c>
      <c r="C148" t="s">
        <v>4306</v>
      </c>
      <c r="D148" t="s">
        <v>4307</v>
      </c>
      <c r="E148" t="s">
        <v>4479</v>
      </c>
      <c r="F148" t="s">
        <v>4479</v>
      </c>
      <c r="G148">
        <v>4</v>
      </c>
      <c r="H148" t="s">
        <v>4398</v>
      </c>
      <c r="J148">
        <v>38</v>
      </c>
      <c r="K148" s="2059">
        <v>0.03</v>
      </c>
      <c r="L148" t="s">
        <v>4480</v>
      </c>
      <c r="M148">
        <v>0.28999999999999998</v>
      </c>
      <c r="N148">
        <v>1030</v>
      </c>
      <c r="O148">
        <v>1</v>
      </c>
      <c r="P148">
        <v>1</v>
      </c>
      <c r="U148" t="s">
        <v>1678</v>
      </c>
      <c r="V148">
        <v>43100</v>
      </c>
      <c r="W148" t="s">
        <v>4399</v>
      </c>
      <c r="X148" t="s">
        <v>4400</v>
      </c>
    </row>
    <row r="149" spans="1:24">
      <c r="A149">
        <v>23</v>
      </c>
      <c r="B149">
        <v>16040011</v>
      </c>
      <c r="C149" t="s">
        <v>4306</v>
      </c>
      <c r="D149" t="s">
        <v>4307</v>
      </c>
      <c r="E149" t="s">
        <v>4481</v>
      </c>
      <c r="F149" t="s">
        <v>4481</v>
      </c>
      <c r="G149">
        <v>4</v>
      </c>
      <c r="H149" t="s">
        <v>4398</v>
      </c>
      <c r="J149">
        <v>80</v>
      </c>
      <c r="K149" s="2059">
        <v>3.5000000000000003E-2</v>
      </c>
      <c r="L149" t="s">
        <v>4482</v>
      </c>
      <c r="M149">
        <v>0.28999999999999998</v>
      </c>
      <c r="N149">
        <v>1030</v>
      </c>
      <c r="O149">
        <v>1</v>
      </c>
      <c r="P149">
        <v>1</v>
      </c>
      <c r="U149" t="s">
        <v>1678</v>
      </c>
      <c r="V149">
        <v>43281</v>
      </c>
      <c r="W149" t="s">
        <v>4483</v>
      </c>
      <c r="X149" t="s">
        <v>4484</v>
      </c>
    </row>
    <row r="150" spans="1:24">
      <c r="A150">
        <v>23</v>
      </c>
      <c r="B150">
        <v>16030042</v>
      </c>
      <c r="C150" t="s">
        <v>4306</v>
      </c>
      <c r="D150" t="s">
        <v>4307</v>
      </c>
      <c r="E150" t="s">
        <v>4485</v>
      </c>
      <c r="F150" t="s">
        <v>4485</v>
      </c>
      <c r="G150">
        <v>85</v>
      </c>
      <c r="H150" t="s">
        <v>4272</v>
      </c>
      <c r="J150">
        <v>14</v>
      </c>
      <c r="K150" s="2059">
        <v>3.9E-2</v>
      </c>
      <c r="L150" t="s">
        <v>4380</v>
      </c>
      <c r="M150">
        <v>0.28999999999999998</v>
      </c>
      <c r="N150">
        <v>1030</v>
      </c>
      <c r="O150">
        <v>1</v>
      </c>
      <c r="P150">
        <v>1</v>
      </c>
      <c r="U150" t="s">
        <v>1678</v>
      </c>
      <c r="V150">
        <v>43281</v>
      </c>
    </row>
    <row r="151" spans="1:24">
      <c r="A151">
        <v>23</v>
      </c>
      <c r="B151">
        <v>16030043</v>
      </c>
      <c r="C151" t="s">
        <v>4306</v>
      </c>
      <c r="D151" t="s">
        <v>4307</v>
      </c>
      <c r="E151" t="s">
        <v>4486</v>
      </c>
      <c r="F151" t="s">
        <v>4486</v>
      </c>
      <c r="G151">
        <v>85</v>
      </c>
      <c r="H151" t="s">
        <v>4272</v>
      </c>
      <c r="J151">
        <v>16</v>
      </c>
      <c r="K151" s="2059">
        <v>3.9E-2</v>
      </c>
      <c r="L151" t="s">
        <v>4462</v>
      </c>
      <c r="M151">
        <v>0.28999999999999998</v>
      </c>
      <c r="N151">
        <v>1030</v>
      </c>
      <c r="O151">
        <v>1</v>
      </c>
      <c r="P151">
        <v>1</v>
      </c>
      <c r="U151" t="s">
        <v>1678</v>
      </c>
      <c r="V151">
        <v>43281</v>
      </c>
    </row>
    <row r="152" spans="1:24">
      <c r="A152">
        <v>23</v>
      </c>
      <c r="B152">
        <v>16030044</v>
      </c>
      <c r="C152" t="s">
        <v>4306</v>
      </c>
      <c r="D152" t="s">
        <v>4307</v>
      </c>
      <c r="E152" t="s">
        <v>4487</v>
      </c>
      <c r="F152" t="s">
        <v>4487</v>
      </c>
      <c r="G152">
        <v>85</v>
      </c>
      <c r="H152" t="s">
        <v>4272</v>
      </c>
      <c r="J152">
        <v>24</v>
      </c>
      <c r="K152" s="2059">
        <v>3.4000000000000002E-2</v>
      </c>
      <c r="L152" t="s">
        <v>4462</v>
      </c>
      <c r="M152">
        <v>0.28999999999999998</v>
      </c>
      <c r="N152">
        <v>1030</v>
      </c>
      <c r="O152">
        <v>1</v>
      </c>
      <c r="P152">
        <v>1</v>
      </c>
      <c r="U152" t="s">
        <v>1678</v>
      </c>
      <c r="V152">
        <v>43281</v>
      </c>
    </row>
    <row r="153" spans="1:24">
      <c r="A153">
        <v>23</v>
      </c>
      <c r="B153">
        <v>16080141</v>
      </c>
      <c r="C153" t="s">
        <v>4306</v>
      </c>
      <c r="D153" t="s">
        <v>4307</v>
      </c>
      <c r="E153" t="s">
        <v>4488</v>
      </c>
      <c r="F153" t="s">
        <v>4488</v>
      </c>
      <c r="G153">
        <v>85</v>
      </c>
      <c r="H153" t="s">
        <v>4272</v>
      </c>
      <c r="J153">
        <v>30</v>
      </c>
      <c r="K153" s="2059">
        <v>3.2000000000000001E-2</v>
      </c>
      <c r="L153" t="s">
        <v>4259</v>
      </c>
      <c r="M153">
        <v>0.28999999999999998</v>
      </c>
      <c r="N153">
        <v>1030</v>
      </c>
      <c r="O153">
        <v>1</v>
      </c>
      <c r="P153">
        <v>1</v>
      </c>
      <c r="U153" t="s">
        <v>1678</v>
      </c>
      <c r="V153">
        <v>43465</v>
      </c>
      <c r="W153" t="s">
        <v>4489</v>
      </c>
    </row>
    <row r="154" spans="1:24">
      <c r="A154">
        <v>23</v>
      </c>
      <c r="B154">
        <v>16080142</v>
      </c>
      <c r="C154" t="s">
        <v>4306</v>
      </c>
      <c r="D154" t="s">
        <v>4307</v>
      </c>
      <c r="E154" t="s">
        <v>4490</v>
      </c>
      <c r="F154" t="s">
        <v>4490</v>
      </c>
      <c r="G154">
        <v>85</v>
      </c>
      <c r="H154" t="s">
        <v>4272</v>
      </c>
      <c r="J154">
        <v>30</v>
      </c>
      <c r="K154" s="2059">
        <v>3.2000000000000001E-2</v>
      </c>
      <c r="L154" t="s">
        <v>4259</v>
      </c>
      <c r="M154">
        <v>0.28999999999999998</v>
      </c>
      <c r="N154">
        <v>1030</v>
      </c>
      <c r="O154">
        <v>1</v>
      </c>
      <c r="P154">
        <v>1</v>
      </c>
      <c r="U154" t="s">
        <v>1678</v>
      </c>
      <c r="V154">
        <v>43465</v>
      </c>
      <c r="W154" t="s">
        <v>4491</v>
      </c>
    </row>
    <row r="155" spans="1:24">
      <c r="A155">
        <v>23</v>
      </c>
      <c r="B155">
        <v>15080031</v>
      </c>
      <c r="C155" t="s">
        <v>4306</v>
      </c>
      <c r="D155" t="s">
        <v>4307</v>
      </c>
      <c r="E155" t="s">
        <v>4492</v>
      </c>
      <c r="F155" t="s">
        <v>4492</v>
      </c>
      <c r="G155">
        <v>85</v>
      </c>
      <c r="H155" t="s">
        <v>4272</v>
      </c>
      <c r="J155">
        <v>30</v>
      </c>
      <c r="K155" s="2059">
        <v>3.2000000000000001E-2</v>
      </c>
      <c r="L155" t="s">
        <v>4259</v>
      </c>
      <c r="M155">
        <v>0.28999999999999998</v>
      </c>
      <c r="N155">
        <v>1030</v>
      </c>
      <c r="O155">
        <v>1</v>
      </c>
      <c r="P155">
        <v>1</v>
      </c>
      <c r="U155" t="s">
        <v>1678</v>
      </c>
      <c r="V155">
        <v>43100</v>
      </c>
      <c r="W155" t="s">
        <v>4493</v>
      </c>
    </row>
    <row r="156" spans="1:24">
      <c r="A156">
        <v>23</v>
      </c>
      <c r="B156">
        <v>15080032</v>
      </c>
      <c r="C156" t="s">
        <v>4306</v>
      </c>
      <c r="D156" t="s">
        <v>4307</v>
      </c>
      <c r="E156" t="s">
        <v>4494</v>
      </c>
      <c r="F156" t="s">
        <v>4494</v>
      </c>
      <c r="G156">
        <v>85</v>
      </c>
      <c r="H156" t="s">
        <v>4272</v>
      </c>
      <c r="J156">
        <v>20</v>
      </c>
      <c r="K156" s="2059">
        <v>3.5000000000000003E-2</v>
      </c>
      <c r="L156" t="s">
        <v>4462</v>
      </c>
      <c r="M156">
        <v>0.28999999999999998</v>
      </c>
      <c r="N156">
        <v>1030</v>
      </c>
      <c r="O156">
        <v>1</v>
      </c>
      <c r="P156">
        <v>1</v>
      </c>
      <c r="U156" t="s">
        <v>1678</v>
      </c>
      <c r="V156">
        <v>43100</v>
      </c>
      <c r="W156" t="s">
        <v>4495</v>
      </c>
      <c r="X156" t="s">
        <v>4496</v>
      </c>
    </row>
    <row r="157" spans="1:24">
      <c r="A157">
        <v>23</v>
      </c>
      <c r="B157">
        <v>15080033</v>
      </c>
      <c r="C157" t="s">
        <v>4306</v>
      </c>
      <c r="D157" t="s">
        <v>4307</v>
      </c>
      <c r="E157" t="s">
        <v>4497</v>
      </c>
      <c r="F157" t="s">
        <v>4497</v>
      </c>
      <c r="G157">
        <v>85</v>
      </c>
      <c r="H157" t="s">
        <v>4272</v>
      </c>
      <c r="J157">
        <v>14</v>
      </c>
      <c r="K157" s="2059">
        <v>3.9E-2</v>
      </c>
      <c r="L157" t="s">
        <v>4498</v>
      </c>
      <c r="M157">
        <v>0.28999999999999998</v>
      </c>
      <c r="N157">
        <v>1030</v>
      </c>
      <c r="O157">
        <v>1</v>
      </c>
      <c r="P157">
        <v>1</v>
      </c>
      <c r="U157" t="s">
        <v>1678</v>
      </c>
      <c r="V157">
        <v>43100</v>
      </c>
      <c r="W157" t="s">
        <v>4495</v>
      </c>
      <c r="X157" t="s">
        <v>4496</v>
      </c>
    </row>
    <row r="158" spans="1:24">
      <c r="A158">
        <v>23</v>
      </c>
      <c r="B158">
        <v>15080034</v>
      </c>
      <c r="C158" t="s">
        <v>4306</v>
      </c>
      <c r="D158" t="s">
        <v>4307</v>
      </c>
      <c r="E158" t="s">
        <v>4499</v>
      </c>
      <c r="F158" t="s">
        <v>4499</v>
      </c>
      <c r="G158">
        <v>85</v>
      </c>
      <c r="H158" t="s">
        <v>4272</v>
      </c>
      <c r="J158">
        <v>20</v>
      </c>
      <c r="K158" s="2059">
        <v>3.5000000000000003E-2</v>
      </c>
      <c r="L158" t="s">
        <v>4464</v>
      </c>
      <c r="M158">
        <v>0.28999999999999998</v>
      </c>
      <c r="N158">
        <v>1030</v>
      </c>
      <c r="O158">
        <v>1</v>
      </c>
      <c r="P158">
        <v>1</v>
      </c>
      <c r="U158" t="s">
        <v>1678</v>
      </c>
      <c r="V158">
        <v>43100</v>
      </c>
      <c r="W158" t="s">
        <v>4500</v>
      </c>
    </row>
    <row r="159" spans="1:24">
      <c r="A159">
        <v>23</v>
      </c>
      <c r="B159">
        <v>15080035</v>
      </c>
      <c r="C159" t="s">
        <v>4306</v>
      </c>
      <c r="D159" t="s">
        <v>4307</v>
      </c>
      <c r="E159" t="s">
        <v>4501</v>
      </c>
      <c r="F159" t="s">
        <v>4501</v>
      </c>
      <c r="G159">
        <v>85</v>
      </c>
      <c r="H159" t="s">
        <v>4272</v>
      </c>
      <c r="J159">
        <v>14</v>
      </c>
      <c r="K159" s="2059">
        <v>3.9E-2</v>
      </c>
      <c r="L159" t="s">
        <v>4464</v>
      </c>
      <c r="M159">
        <v>0.28999999999999998</v>
      </c>
      <c r="N159">
        <v>1030</v>
      </c>
      <c r="O159">
        <v>1</v>
      </c>
      <c r="P159">
        <v>1</v>
      </c>
      <c r="U159" t="s">
        <v>1678</v>
      </c>
      <c r="V159">
        <v>43100</v>
      </c>
      <c r="W159" t="s">
        <v>4500</v>
      </c>
    </row>
    <row r="160" spans="1:24">
      <c r="A160">
        <v>23</v>
      </c>
      <c r="B160">
        <v>15080036</v>
      </c>
      <c r="C160" t="s">
        <v>4306</v>
      </c>
      <c r="D160" t="s">
        <v>4307</v>
      </c>
      <c r="E160" t="s">
        <v>4502</v>
      </c>
      <c r="F160" t="s">
        <v>4502</v>
      </c>
      <c r="G160">
        <v>85</v>
      </c>
      <c r="H160" t="s">
        <v>4272</v>
      </c>
      <c r="J160" t="s">
        <v>4503</v>
      </c>
      <c r="K160" s="2059">
        <v>3.2000000000000001E-2</v>
      </c>
      <c r="L160" t="s">
        <v>4280</v>
      </c>
      <c r="M160">
        <v>0.28999999999999998</v>
      </c>
      <c r="N160">
        <v>1030</v>
      </c>
      <c r="O160">
        <v>1</v>
      </c>
      <c r="P160">
        <v>1</v>
      </c>
      <c r="U160" t="s">
        <v>1678</v>
      </c>
      <c r="V160">
        <v>43100</v>
      </c>
      <c r="W160" t="s">
        <v>4504</v>
      </c>
      <c r="X160" t="s">
        <v>4358</v>
      </c>
    </row>
    <row r="161" spans="1:24">
      <c r="A161">
        <v>23</v>
      </c>
      <c r="B161">
        <v>16080051</v>
      </c>
      <c r="C161" t="s">
        <v>4306</v>
      </c>
      <c r="D161" t="s">
        <v>4307</v>
      </c>
      <c r="E161" t="s">
        <v>4505</v>
      </c>
      <c r="F161" t="s">
        <v>4505</v>
      </c>
      <c r="G161">
        <v>52</v>
      </c>
      <c r="H161" t="s">
        <v>4506</v>
      </c>
      <c r="J161" t="s">
        <v>4507</v>
      </c>
      <c r="K161" s="2059">
        <v>3.7999999999999999E-2</v>
      </c>
      <c r="L161" t="s">
        <v>4380</v>
      </c>
      <c r="M161">
        <v>0.28999999999999998</v>
      </c>
      <c r="N161">
        <v>1030</v>
      </c>
      <c r="O161">
        <v>1</v>
      </c>
      <c r="P161">
        <v>1</v>
      </c>
      <c r="U161" t="s">
        <v>1678</v>
      </c>
      <c r="V161">
        <v>43465</v>
      </c>
    </row>
    <row r="162" spans="1:24">
      <c r="A162">
        <v>23</v>
      </c>
      <c r="B162">
        <v>16080052</v>
      </c>
      <c r="C162" t="s">
        <v>4306</v>
      </c>
      <c r="D162" t="s">
        <v>4307</v>
      </c>
      <c r="E162" t="s">
        <v>4508</v>
      </c>
      <c r="F162" t="s">
        <v>4508</v>
      </c>
      <c r="G162">
        <v>52</v>
      </c>
      <c r="H162" t="s">
        <v>4506</v>
      </c>
      <c r="J162" t="s">
        <v>4509</v>
      </c>
      <c r="K162" s="2059">
        <v>3.1E-2</v>
      </c>
      <c r="L162" t="s">
        <v>4330</v>
      </c>
      <c r="M162">
        <v>0.28999999999999998</v>
      </c>
      <c r="N162">
        <v>1030</v>
      </c>
      <c r="O162">
        <v>1</v>
      </c>
      <c r="P162">
        <v>1</v>
      </c>
      <c r="U162" t="s">
        <v>1678</v>
      </c>
      <c r="V162">
        <v>43465</v>
      </c>
    </row>
    <row r="163" spans="1:24">
      <c r="A163">
        <v>23</v>
      </c>
      <c r="B163">
        <v>16080053</v>
      </c>
      <c r="C163" t="s">
        <v>4306</v>
      </c>
      <c r="D163" t="s">
        <v>4307</v>
      </c>
      <c r="E163" t="s">
        <v>4510</v>
      </c>
      <c r="F163" t="s">
        <v>4510</v>
      </c>
      <c r="G163">
        <v>52</v>
      </c>
      <c r="H163" t="s">
        <v>4506</v>
      </c>
      <c r="J163" t="s">
        <v>4509</v>
      </c>
      <c r="K163" s="2059">
        <v>3.1E-2</v>
      </c>
      <c r="L163" t="s">
        <v>4330</v>
      </c>
      <c r="M163">
        <v>0.28999999999999998</v>
      </c>
      <c r="N163">
        <v>1030</v>
      </c>
      <c r="O163">
        <v>1</v>
      </c>
      <c r="P163">
        <v>1</v>
      </c>
      <c r="U163" t="s">
        <v>1678</v>
      </c>
      <c r="V163">
        <v>43465</v>
      </c>
    </row>
    <row r="164" spans="1:24">
      <c r="A164">
        <v>23</v>
      </c>
      <c r="B164">
        <v>16080054</v>
      </c>
      <c r="C164" t="s">
        <v>4306</v>
      </c>
      <c r="D164" t="s">
        <v>4307</v>
      </c>
      <c r="E164" t="s">
        <v>4511</v>
      </c>
      <c r="F164" t="s">
        <v>4511</v>
      </c>
      <c r="G164">
        <v>52</v>
      </c>
      <c r="H164" t="s">
        <v>4506</v>
      </c>
      <c r="J164" t="s">
        <v>4509</v>
      </c>
      <c r="K164" s="2059">
        <v>3.1E-2</v>
      </c>
      <c r="L164" t="s">
        <v>4330</v>
      </c>
      <c r="M164">
        <v>0.28999999999999998</v>
      </c>
      <c r="N164">
        <v>1030</v>
      </c>
      <c r="O164">
        <v>1</v>
      </c>
      <c r="P164">
        <v>1</v>
      </c>
      <c r="U164" t="s">
        <v>1678</v>
      </c>
      <c r="V164">
        <v>43465</v>
      </c>
    </row>
    <row r="165" spans="1:24">
      <c r="A165">
        <v>23</v>
      </c>
      <c r="B165">
        <v>15060192</v>
      </c>
      <c r="C165" t="s">
        <v>4306</v>
      </c>
      <c r="D165" t="s">
        <v>4307</v>
      </c>
      <c r="E165" t="s">
        <v>4512</v>
      </c>
      <c r="F165" t="s">
        <v>4512</v>
      </c>
      <c r="G165">
        <v>52</v>
      </c>
      <c r="H165" t="s">
        <v>4506</v>
      </c>
      <c r="J165" t="s">
        <v>4473</v>
      </c>
      <c r="K165" s="2059">
        <v>3.3000000000000002E-2</v>
      </c>
      <c r="L165" t="s">
        <v>4513</v>
      </c>
      <c r="M165">
        <v>0.28999999999999998</v>
      </c>
      <c r="N165">
        <v>1030</v>
      </c>
      <c r="O165">
        <v>1</v>
      </c>
      <c r="P165">
        <v>1</v>
      </c>
      <c r="U165" t="s">
        <v>1678</v>
      </c>
      <c r="V165">
        <v>43100</v>
      </c>
    </row>
    <row r="166" spans="1:24">
      <c r="A166">
        <v>23</v>
      </c>
      <c r="B166">
        <v>15110193</v>
      </c>
      <c r="C166" t="s">
        <v>4306</v>
      </c>
      <c r="D166" t="s">
        <v>4307</v>
      </c>
      <c r="E166" t="s">
        <v>4514</v>
      </c>
      <c r="F166" t="s">
        <v>4514</v>
      </c>
      <c r="G166">
        <v>52</v>
      </c>
      <c r="H166" t="s">
        <v>4506</v>
      </c>
      <c r="J166" t="s">
        <v>4515</v>
      </c>
      <c r="K166" s="2059">
        <v>3.4000000000000002E-2</v>
      </c>
      <c r="L166" t="s">
        <v>4373</v>
      </c>
      <c r="M166">
        <v>0.28999999999999998</v>
      </c>
      <c r="N166">
        <v>1030</v>
      </c>
      <c r="O166">
        <v>1</v>
      </c>
      <c r="P166">
        <v>1</v>
      </c>
      <c r="U166" t="s">
        <v>1678</v>
      </c>
      <c r="V166">
        <v>43100</v>
      </c>
    </row>
    <row r="167" spans="1:24">
      <c r="A167">
        <v>23</v>
      </c>
      <c r="B167">
        <v>15110194</v>
      </c>
      <c r="C167" t="s">
        <v>4306</v>
      </c>
      <c r="D167" t="s">
        <v>4307</v>
      </c>
      <c r="E167" t="s">
        <v>4516</v>
      </c>
      <c r="F167" t="s">
        <v>4516</v>
      </c>
      <c r="G167">
        <v>52</v>
      </c>
      <c r="H167" t="s">
        <v>4506</v>
      </c>
      <c r="J167" t="s">
        <v>4507</v>
      </c>
      <c r="K167" s="2059">
        <v>3.9E-2</v>
      </c>
      <c r="L167" t="s">
        <v>4380</v>
      </c>
      <c r="M167">
        <v>0.28999999999999998</v>
      </c>
      <c r="N167">
        <v>1030</v>
      </c>
      <c r="O167">
        <v>1</v>
      </c>
      <c r="P167">
        <v>1</v>
      </c>
      <c r="U167" t="s">
        <v>1678</v>
      </c>
      <c r="V167">
        <v>43100</v>
      </c>
    </row>
    <row r="168" spans="1:24">
      <c r="A168">
        <v>23</v>
      </c>
      <c r="B168">
        <v>16080055</v>
      </c>
      <c r="C168" t="s">
        <v>4306</v>
      </c>
      <c r="D168" t="s">
        <v>4307</v>
      </c>
      <c r="E168" t="s">
        <v>4517</v>
      </c>
      <c r="F168" t="s">
        <v>4517</v>
      </c>
      <c r="G168">
        <v>52</v>
      </c>
      <c r="H168" t="s">
        <v>4506</v>
      </c>
      <c r="J168" t="s">
        <v>4518</v>
      </c>
      <c r="K168" s="2059">
        <v>3.1E-2</v>
      </c>
      <c r="L168" t="s">
        <v>4330</v>
      </c>
      <c r="M168">
        <v>0.28999999999999998</v>
      </c>
      <c r="N168">
        <v>1030</v>
      </c>
      <c r="O168">
        <v>1</v>
      </c>
      <c r="P168">
        <v>1</v>
      </c>
      <c r="U168" t="s">
        <v>1678</v>
      </c>
      <c r="V168">
        <v>43465</v>
      </c>
    </row>
    <row r="169" spans="1:24">
      <c r="A169">
        <v>23</v>
      </c>
      <c r="B169">
        <v>15110196</v>
      </c>
      <c r="C169" t="s">
        <v>4306</v>
      </c>
      <c r="D169" t="s">
        <v>4307</v>
      </c>
      <c r="E169" t="s">
        <v>4519</v>
      </c>
      <c r="F169" t="s">
        <v>4519</v>
      </c>
      <c r="G169">
        <v>52</v>
      </c>
      <c r="H169" t="s">
        <v>4506</v>
      </c>
      <c r="J169" t="s">
        <v>4515</v>
      </c>
      <c r="K169" s="2059">
        <v>3.4000000000000002E-2</v>
      </c>
      <c r="L169" t="s">
        <v>4330</v>
      </c>
      <c r="M169">
        <v>0.28999999999999998</v>
      </c>
      <c r="N169">
        <v>1030</v>
      </c>
      <c r="O169">
        <v>1</v>
      </c>
      <c r="P169">
        <v>1</v>
      </c>
      <c r="U169" t="s">
        <v>1678</v>
      </c>
      <c r="V169">
        <v>43100</v>
      </c>
    </row>
    <row r="170" spans="1:24">
      <c r="A170">
        <v>23</v>
      </c>
      <c r="B170">
        <v>15110197</v>
      </c>
      <c r="C170" t="s">
        <v>4306</v>
      </c>
      <c r="D170" t="s">
        <v>4307</v>
      </c>
      <c r="E170" t="s">
        <v>4520</v>
      </c>
      <c r="F170" t="s">
        <v>4520</v>
      </c>
      <c r="G170">
        <v>52</v>
      </c>
      <c r="H170" t="s">
        <v>4506</v>
      </c>
      <c r="J170" t="s">
        <v>4507</v>
      </c>
      <c r="K170" s="2059">
        <v>3.9E-2</v>
      </c>
      <c r="L170" t="s">
        <v>4462</v>
      </c>
      <c r="M170">
        <v>0.28999999999999998</v>
      </c>
      <c r="N170">
        <v>1030</v>
      </c>
      <c r="O170">
        <v>1</v>
      </c>
      <c r="P170">
        <v>1</v>
      </c>
      <c r="U170" t="s">
        <v>1678</v>
      </c>
      <c r="V170">
        <v>43100</v>
      </c>
    </row>
    <row r="171" spans="1:24">
      <c r="A171">
        <v>23</v>
      </c>
      <c r="C171" t="s">
        <v>4521</v>
      </c>
      <c r="D171" t="s">
        <v>4522</v>
      </c>
    </row>
    <row r="172" spans="1:24">
      <c r="A172">
        <v>23</v>
      </c>
      <c r="B172">
        <v>16090241</v>
      </c>
      <c r="C172" t="s">
        <v>4521</v>
      </c>
      <c r="D172" t="s">
        <v>4522</v>
      </c>
      <c r="E172" t="s">
        <v>4523</v>
      </c>
      <c r="F172" t="s">
        <v>4523</v>
      </c>
      <c r="G172">
        <v>54</v>
      </c>
      <c r="H172" t="s">
        <v>4215</v>
      </c>
      <c r="J172" t="s">
        <v>4159</v>
      </c>
      <c r="K172" s="2059">
        <v>3.4000000000000002E-2</v>
      </c>
      <c r="L172" t="s">
        <v>4524</v>
      </c>
      <c r="U172" t="s">
        <v>1678</v>
      </c>
      <c r="V172">
        <v>43465</v>
      </c>
      <c r="W172" t="s">
        <v>4525</v>
      </c>
      <c r="X172" t="s">
        <v>4526</v>
      </c>
    </row>
    <row r="173" spans="1:24">
      <c r="A173">
        <v>23</v>
      </c>
      <c r="B173">
        <v>16090242</v>
      </c>
      <c r="C173" t="s">
        <v>4521</v>
      </c>
      <c r="D173" t="s">
        <v>4522</v>
      </c>
      <c r="E173" t="s">
        <v>4527</v>
      </c>
      <c r="F173" t="s">
        <v>4527</v>
      </c>
      <c r="G173">
        <v>54</v>
      </c>
      <c r="H173" t="s">
        <v>4215</v>
      </c>
      <c r="J173" t="s">
        <v>4159</v>
      </c>
      <c r="K173" s="2059">
        <v>3.4000000000000002E-2</v>
      </c>
      <c r="L173" t="s">
        <v>4524</v>
      </c>
      <c r="U173" t="s">
        <v>1678</v>
      </c>
      <c r="V173">
        <v>43465</v>
      </c>
      <c r="W173" t="s">
        <v>4525</v>
      </c>
      <c r="X173" t="s">
        <v>4526</v>
      </c>
    </row>
    <row r="174" spans="1:24">
      <c r="A174">
        <v>23</v>
      </c>
      <c r="B174">
        <v>15100083</v>
      </c>
      <c r="C174" t="s">
        <v>4521</v>
      </c>
      <c r="D174" t="s">
        <v>4522</v>
      </c>
      <c r="E174" t="s">
        <v>4528</v>
      </c>
      <c r="F174" t="s">
        <v>4529</v>
      </c>
      <c r="G174">
        <v>4</v>
      </c>
      <c r="H174" t="s">
        <v>4398</v>
      </c>
      <c r="J174">
        <v>40</v>
      </c>
      <c r="K174" s="2059">
        <v>3.9E-2</v>
      </c>
      <c r="L174" t="s">
        <v>4293</v>
      </c>
      <c r="U174" t="s">
        <v>1678</v>
      </c>
      <c r="V174">
        <v>43100</v>
      </c>
      <c r="W174" t="s">
        <v>4521</v>
      </c>
      <c r="X174" t="s">
        <v>4530</v>
      </c>
    </row>
    <row r="175" spans="1:24" s="2058" customFormat="1">
      <c r="A175" s="2058">
        <v>24</v>
      </c>
      <c r="C175" s="2058" t="s">
        <v>4531</v>
      </c>
      <c r="D175" s="2058" t="s">
        <v>4532</v>
      </c>
      <c r="K175" s="2060"/>
    </row>
    <row r="176" spans="1:24" s="2058" customFormat="1">
      <c r="A176" s="2058">
        <v>24</v>
      </c>
      <c r="B176" s="2058">
        <v>24.01</v>
      </c>
      <c r="C176" s="2058" t="s">
        <v>4531</v>
      </c>
      <c r="D176" s="2058" t="s">
        <v>4532</v>
      </c>
      <c r="E176" s="2058" t="s">
        <v>4533</v>
      </c>
      <c r="F176" s="2058" t="s">
        <v>4534</v>
      </c>
      <c r="I176" s="2058" t="s">
        <v>4535</v>
      </c>
      <c r="K176" s="2060">
        <v>0.06</v>
      </c>
      <c r="M176" s="2058">
        <v>0.28000000000000003</v>
      </c>
      <c r="N176" s="2058">
        <v>1000</v>
      </c>
      <c r="O176" s="2058" t="s">
        <v>4536</v>
      </c>
      <c r="P176" s="2058" t="s">
        <v>4536</v>
      </c>
      <c r="R176" s="2058" t="s">
        <v>1678</v>
      </c>
      <c r="T176" s="2058" t="s">
        <v>1678</v>
      </c>
    </row>
    <row r="177" spans="1:24">
      <c r="A177">
        <v>24</v>
      </c>
      <c r="B177">
        <v>16080091</v>
      </c>
      <c r="C177" t="s">
        <v>4531</v>
      </c>
      <c r="D177" t="s">
        <v>4532</v>
      </c>
      <c r="E177" t="s">
        <v>4537</v>
      </c>
      <c r="F177" t="s">
        <v>4537</v>
      </c>
      <c r="G177">
        <v>15</v>
      </c>
      <c r="H177" t="s">
        <v>4538</v>
      </c>
      <c r="J177">
        <v>100</v>
      </c>
      <c r="K177" s="2059">
        <v>3.5999999999999997E-2</v>
      </c>
      <c r="L177" t="s">
        <v>4539</v>
      </c>
      <c r="M177">
        <v>0.28000000000000003</v>
      </c>
      <c r="N177">
        <v>1000</v>
      </c>
      <c r="O177">
        <v>99999</v>
      </c>
      <c r="P177">
        <v>99999</v>
      </c>
      <c r="U177" t="s">
        <v>1678</v>
      </c>
      <c r="V177">
        <v>43465</v>
      </c>
      <c r="W177" t="s">
        <v>4540</v>
      </c>
      <c r="X177" t="s">
        <v>4541</v>
      </c>
    </row>
    <row r="178" spans="1:24">
      <c r="A178">
        <v>24</v>
      </c>
      <c r="B178">
        <v>16080092</v>
      </c>
      <c r="C178" t="s">
        <v>4531</v>
      </c>
      <c r="D178" t="s">
        <v>4532</v>
      </c>
      <c r="E178" t="s">
        <v>4542</v>
      </c>
      <c r="F178" t="s">
        <v>4542</v>
      </c>
      <c r="G178">
        <v>15</v>
      </c>
      <c r="H178" t="s">
        <v>4538</v>
      </c>
      <c r="J178">
        <v>100</v>
      </c>
      <c r="K178" s="2059">
        <v>3.5999999999999997E-2</v>
      </c>
      <c r="L178" t="s">
        <v>4539</v>
      </c>
      <c r="M178">
        <v>0.28000000000000003</v>
      </c>
      <c r="N178">
        <v>1000</v>
      </c>
      <c r="O178">
        <v>99999</v>
      </c>
      <c r="P178">
        <v>99999</v>
      </c>
      <c r="U178" t="s">
        <v>1678</v>
      </c>
      <c r="V178">
        <v>43465</v>
      </c>
      <c r="W178" t="s">
        <v>4540</v>
      </c>
      <c r="X178" t="s">
        <v>4541</v>
      </c>
    </row>
    <row r="179" spans="1:24">
      <c r="A179">
        <v>24</v>
      </c>
      <c r="B179">
        <v>16080093</v>
      </c>
      <c r="C179" t="s">
        <v>4531</v>
      </c>
      <c r="D179" t="s">
        <v>4532</v>
      </c>
      <c r="E179" t="s">
        <v>4543</v>
      </c>
      <c r="F179" t="s">
        <v>4543</v>
      </c>
      <c r="G179">
        <v>15</v>
      </c>
      <c r="H179" t="s">
        <v>4538</v>
      </c>
      <c r="J179">
        <v>100</v>
      </c>
      <c r="K179" s="2059">
        <v>3.7999999999999999E-2</v>
      </c>
      <c r="L179" t="s">
        <v>4544</v>
      </c>
      <c r="M179">
        <v>0.28000000000000003</v>
      </c>
      <c r="N179">
        <v>1000</v>
      </c>
      <c r="O179">
        <v>99999</v>
      </c>
      <c r="P179">
        <v>99999</v>
      </c>
      <c r="U179" t="s">
        <v>1678</v>
      </c>
      <c r="V179">
        <v>43465</v>
      </c>
      <c r="W179" t="s">
        <v>4540</v>
      </c>
      <c r="X179" t="s">
        <v>4541</v>
      </c>
    </row>
    <row r="180" spans="1:24">
      <c r="A180">
        <v>24</v>
      </c>
      <c r="B180">
        <v>16080094</v>
      </c>
      <c r="C180" t="s">
        <v>4531</v>
      </c>
      <c r="D180" t="s">
        <v>4532</v>
      </c>
      <c r="E180" t="s">
        <v>4545</v>
      </c>
      <c r="F180" t="s">
        <v>4545</v>
      </c>
      <c r="G180">
        <v>15</v>
      </c>
      <c r="H180" t="s">
        <v>4538</v>
      </c>
      <c r="J180">
        <v>100</v>
      </c>
      <c r="K180" s="2059">
        <v>3.7999999999999999E-2</v>
      </c>
      <c r="L180" t="s">
        <v>4544</v>
      </c>
      <c r="M180">
        <v>0.28000000000000003</v>
      </c>
      <c r="N180">
        <v>1000</v>
      </c>
      <c r="O180">
        <v>99999</v>
      </c>
      <c r="P180">
        <v>99999</v>
      </c>
      <c r="U180" t="s">
        <v>1678</v>
      </c>
      <c r="V180">
        <v>43465</v>
      </c>
      <c r="W180" t="s">
        <v>4546</v>
      </c>
      <c r="X180" t="s">
        <v>4547</v>
      </c>
    </row>
    <row r="181" spans="1:24">
      <c r="A181">
        <v>24</v>
      </c>
      <c r="B181">
        <v>16080095</v>
      </c>
      <c r="C181" t="s">
        <v>4531</v>
      </c>
      <c r="D181" t="s">
        <v>4532</v>
      </c>
      <c r="E181" t="s">
        <v>4548</v>
      </c>
      <c r="F181" t="s">
        <v>4548</v>
      </c>
      <c r="G181">
        <v>15</v>
      </c>
      <c r="H181" t="s">
        <v>4538</v>
      </c>
      <c r="J181">
        <v>115</v>
      </c>
      <c r="K181" s="2059">
        <v>4.1000000000000002E-2</v>
      </c>
      <c r="L181" t="s">
        <v>4237</v>
      </c>
      <c r="M181">
        <v>0.28000000000000003</v>
      </c>
      <c r="N181">
        <v>1000</v>
      </c>
      <c r="O181">
        <v>99999</v>
      </c>
      <c r="P181">
        <v>99999</v>
      </c>
      <c r="U181" t="s">
        <v>1678</v>
      </c>
      <c r="V181">
        <v>43465</v>
      </c>
      <c r="W181" t="s">
        <v>4540</v>
      </c>
      <c r="X181" t="s">
        <v>4541</v>
      </c>
    </row>
    <row r="182" spans="1:24">
      <c r="A182">
        <v>24</v>
      </c>
      <c r="B182">
        <v>16080096</v>
      </c>
      <c r="C182" t="s">
        <v>4531</v>
      </c>
      <c r="D182" t="s">
        <v>4532</v>
      </c>
      <c r="E182" t="s">
        <v>4549</v>
      </c>
      <c r="F182" t="s">
        <v>4549</v>
      </c>
      <c r="G182">
        <v>15</v>
      </c>
      <c r="H182" t="s">
        <v>4538</v>
      </c>
      <c r="J182">
        <v>115</v>
      </c>
      <c r="K182" s="2059">
        <v>4.1000000000000002E-2</v>
      </c>
      <c r="L182" t="s">
        <v>4237</v>
      </c>
      <c r="M182">
        <v>0.28000000000000003</v>
      </c>
      <c r="N182">
        <v>1000</v>
      </c>
      <c r="O182">
        <v>99999</v>
      </c>
      <c r="P182">
        <v>99999</v>
      </c>
      <c r="U182" t="s">
        <v>1678</v>
      </c>
      <c r="V182">
        <v>43465</v>
      </c>
      <c r="W182" t="s">
        <v>4540</v>
      </c>
      <c r="X182" t="s">
        <v>4541</v>
      </c>
    </row>
    <row r="183" spans="1:24">
      <c r="A183">
        <v>24</v>
      </c>
      <c r="B183">
        <v>16080097</v>
      </c>
      <c r="C183" t="s">
        <v>4531</v>
      </c>
      <c r="D183" t="s">
        <v>4532</v>
      </c>
      <c r="E183" t="s">
        <v>4550</v>
      </c>
      <c r="F183" t="s">
        <v>4550</v>
      </c>
      <c r="G183">
        <v>15</v>
      </c>
      <c r="H183" t="s">
        <v>4538</v>
      </c>
      <c r="J183">
        <v>115</v>
      </c>
      <c r="K183" s="2059">
        <v>4.1000000000000002E-2</v>
      </c>
      <c r="L183" t="s">
        <v>4237</v>
      </c>
      <c r="M183">
        <v>0.28000000000000003</v>
      </c>
      <c r="N183">
        <v>1000</v>
      </c>
      <c r="O183">
        <v>99999</v>
      </c>
      <c r="P183">
        <v>99999</v>
      </c>
      <c r="U183" t="s">
        <v>1678</v>
      </c>
      <c r="V183">
        <v>43465</v>
      </c>
      <c r="W183" t="s">
        <v>4551</v>
      </c>
      <c r="X183" t="s">
        <v>4552</v>
      </c>
    </row>
    <row r="184" spans="1:24">
      <c r="A184">
        <v>24</v>
      </c>
      <c r="B184">
        <v>16080098</v>
      </c>
      <c r="C184" t="s">
        <v>4531</v>
      </c>
      <c r="D184" t="s">
        <v>4532</v>
      </c>
      <c r="E184" t="s">
        <v>4553</v>
      </c>
      <c r="F184" t="s">
        <v>4553</v>
      </c>
      <c r="G184">
        <v>15</v>
      </c>
      <c r="H184" t="s">
        <v>4538</v>
      </c>
      <c r="J184">
        <v>115</v>
      </c>
      <c r="K184" s="2059">
        <v>4.1000000000000002E-2</v>
      </c>
      <c r="L184" t="s">
        <v>4237</v>
      </c>
      <c r="M184">
        <v>0.28000000000000003</v>
      </c>
      <c r="N184">
        <v>1000</v>
      </c>
      <c r="O184">
        <v>99999</v>
      </c>
      <c r="P184">
        <v>99999</v>
      </c>
      <c r="U184" t="s">
        <v>1678</v>
      </c>
      <c r="V184">
        <v>43465</v>
      </c>
      <c r="W184" t="s">
        <v>4546</v>
      </c>
      <c r="X184" t="s">
        <v>4547</v>
      </c>
    </row>
    <row r="185" spans="1:24">
      <c r="A185">
        <v>24</v>
      </c>
      <c r="B185">
        <v>16080099</v>
      </c>
      <c r="C185" t="s">
        <v>4531</v>
      </c>
      <c r="D185" t="s">
        <v>4532</v>
      </c>
      <c r="E185" t="s">
        <v>4554</v>
      </c>
      <c r="F185" t="s">
        <v>4554</v>
      </c>
      <c r="G185">
        <v>15</v>
      </c>
      <c r="H185" t="s">
        <v>4538</v>
      </c>
      <c r="J185">
        <v>115</v>
      </c>
      <c r="K185" s="2059">
        <v>4.1000000000000002E-2</v>
      </c>
      <c r="L185" t="s">
        <v>4237</v>
      </c>
      <c r="M185">
        <v>0.28000000000000003</v>
      </c>
      <c r="N185">
        <v>1000</v>
      </c>
      <c r="O185">
        <v>99999</v>
      </c>
      <c r="P185">
        <v>99999</v>
      </c>
      <c r="U185" t="s">
        <v>1678</v>
      </c>
      <c r="V185">
        <v>43465</v>
      </c>
      <c r="W185" t="s">
        <v>4546</v>
      </c>
      <c r="X185" t="s">
        <v>4547</v>
      </c>
    </row>
    <row r="186" spans="1:24">
      <c r="A186">
        <v>24</v>
      </c>
      <c r="B186">
        <v>16080100</v>
      </c>
      <c r="C186" t="s">
        <v>4531</v>
      </c>
      <c r="D186" t="s">
        <v>4532</v>
      </c>
      <c r="E186" t="s">
        <v>4555</v>
      </c>
      <c r="F186" t="s">
        <v>4555</v>
      </c>
      <c r="G186">
        <v>15</v>
      </c>
      <c r="H186" t="s">
        <v>4538</v>
      </c>
      <c r="J186">
        <v>135</v>
      </c>
      <c r="K186" s="2059">
        <v>4.4999999999999998E-2</v>
      </c>
      <c r="L186" t="s">
        <v>4259</v>
      </c>
      <c r="M186">
        <v>0.28000000000000003</v>
      </c>
      <c r="N186">
        <v>1000</v>
      </c>
      <c r="O186">
        <v>99999</v>
      </c>
      <c r="P186">
        <v>99999</v>
      </c>
      <c r="U186" t="s">
        <v>1678</v>
      </c>
      <c r="V186">
        <v>43465</v>
      </c>
      <c r="W186" t="s">
        <v>4540</v>
      </c>
      <c r="X186" t="s">
        <v>4541</v>
      </c>
    </row>
    <row r="187" spans="1:24">
      <c r="A187">
        <v>24</v>
      </c>
      <c r="B187">
        <v>16080101</v>
      </c>
      <c r="C187" t="s">
        <v>4531</v>
      </c>
      <c r="D187" t="s">
        <v>4532</v>
      </c>
      <c r="E187" t="s">
        <v>4556</v>
      </c>
      <c r="F187" t="s">
        <v>4556</v>
      </c>
      <c r="G187">
        <v>15</v>
      </c>
      <c r="H187" t="s">
        <v>4538</v>
      </c>
      <c r="J187">
        <v>135</v>
      </c>
      <c r="K187" s="2059">
        <v>4.4999999999999998E-2</v>
      </c>
      <c r="L187" t="s">
        <v>4259</v>
      </c>
      <c r="M187">
        <v>0.28000000000000003</v>
      </c>
      <c r="N187">
        <v>1000</v>
      </c>
      <c r="O187">
        <v>99999</v>
      </c>
      <c r="P187">
        <v>99999</v>
      </c>
      <c r="U187" t="s">
        <v>1678</v>
      </c>
      <c r="V187">
        <v>43465</v>
      </c>
      <c r="W187" t="s">
        <v>4540</v>
      </c>
      <c r="X187" t="s">
        <v>4541</v>
      </c>
    </row>
    <row r="188" spans="1:24">
      <c r="A188">
        <v>24</v>
      </c>
      <c r="B188">
        <v>16080102</v>
      </c>
      <c r="C188" t="s">
        <v>4531</v>
      </c>
      <c r="D188" t="s">
        <v>4532</v>
      </c>
      <c r="E188" t="s">
        <v>4557</v>
      </c>
      <c r="F188" t="s">
        <v>4557</v>
      </c>
      <c r="G188">
        <v>15</v>
      </c>
      <c r="H188" t="s">
        <v>4538</v>
      </c>
      <c r="J188">
        <v>135</v>
      </c>
      <c r="K188" s="2059">
        <v>4.4999999999999998E-2</v>
      </c>
      <c r="L188" t="s">
        <v>4259</v>
      </c>
      <c r="M188">
        <v>0.28000000000000003</v>
      </c>
      <c r="N188">
        <v>1000</v>
      </c>
      <c r="O188">
        <v>99999</v>
      </c>
      <c r="P188">
        <v>99999</v>
      </c>
      <c r="U188" t="s">
        <v>1678</v>
      </c>
      <c r="V188">
        <v>43465</v>
      </c>
      <c r="W188" t="s">
        <v>4546</v>
      </c>
      <c r="X188" t="s">
        <v>4547</v>
      </c>
    </row>
    <row r="189" spans="1:24">
      <c r="A189">
        <v>24</v>
      </c>
      <c r="B189">
        <v>16080103</v>
      </c>
      <c r="C189" t="s">
        <v>4531</v>
      </c>
      <c r="D189" t="s">
        <v>4532</v>
      </c>
      <c r="E189" t="s">
        <v>4558</v>
      </c>
      <c r="F189" t="s">
        <v>4558</v>
      </c>
      <c r="G189">
        <v>15</v>
      </c>
      <c r="H189" t="s">
        <v>4538</v>
      </c>
      <c r="J189">
        <v>135</v>
      </c>
      <c r="K189" s="2059">
        <v>4.4999999999999998E-2</v>
      </c>
      <c r="L189" t="s">
        <v>4259</v>
      </c>
      <c r="M189">
        <v>0.28000000000000003</v>
      </c>
      <c r="N189">
        <v>1000</v>
      </c>
      <c r="O189">
        <v>99999</v>
      </c>
      <c r="P189">
        <v>99999</v>
      </c>
      <c r="U189" t="s">
        <v>1678</v>
      </c>
      <c r="V189">
        <v>43465</v>
      </c>
      <c r="W189" t="s">
        <v>4546</v>
      </c>
      <c r="X189" t="s">
        <v>4547</v>
      </c>
    </row>
    <row r="190" spans="1:24">
      <c r="A190">
        <v>24</v>
      </c>
      <c r="B190">
        <v>16080104</v>
      </c>
      <c r="C190" t="s">
        <v>4531</v>
      </c>
      <c r="D190" t="s">
        <v>4532</v>
      </c>
      <c r="E190" t="s">
        <v>4559</v>
      </c>
      <c r="F190" t="s">
        <v>4559</v>
      </c>
      <c r="G190">
        <v>15</v>
      </c>
      <c r="H190" t="s">
        <v>4538</v>
      </c>
      <c r="J190">
        <v>165</v>
      </c>
      <c r="K190" s="2059">
        <v>0.05</v>
      </c>
      <c r="L190" t="s">
        <v>4544</v>
      </c>
      <c r="M190">
        <v>0.28000000000000003</v>
      </c>
      <c r="N190">
        <v>1000</v>
      </c>
      <c r="O190">
        <v>99999</v>
      </c>
      <c r="P190">
        <v>99999</v>
      </c>
      <c r="U190" t="s">
        <v>1678</v>
      </c>
      <c r="V190">
        <v>43465</v>
      </c>
      <c r="W190" t="s">
        <v>4540</v>
      </c>
      <c r="X190" t="s">
        <v>4541</v>
      </c>
    </row>
    <row r="191" spans="1:24">
      <c r="A191">
        <v>24</v>
      </c>
      <c r="B191">
        <v>16080105</v>
      </c>
      <c r="C191" t="s">
        <v>4531</v>
      </c>
      <c r="D191" t="s">
        <v>4532</v>
      </c>
      <c r="E191" t="s">
        <v>4560</v>
      </c>
      <c r="F191" t="s">
        <v>4560</v>
      </c>
      <c r="G191">
        <v>15</v>
      </c>
      <c r="H191" t="s">
        <v>4538</v>
      </c>
      <c r="J191">
        <v>165</v>
      </c>
      <c r="K191" s="2059">
        <v>0.05</v>
      </c>
      <c r="L191" t="s">
        <v>4544</v>
      </c>
      <c r="M191">
        <v>0.28000000000000003</v>
      </c>
      <c r="N191">
        <v>1000</v>
      </c>
      <c r="O191">
        <v>99999</v>
      </c>
      <c r="P191">
        <v>99999</v>
      </c>
      <c r="U191" t="s">
        <v>1678</v>
      </c>
      <c r="V191">
        <v>43465</v>
      </c>
      <c r="W191" t="s">
        <v>4540</v>
      </c>
      <c r="X191" t="s">
        <v>4541</v>
      </c>
    </row>
    <row r="192" spans="1:24">
      <c r="A192">
        <v>24</v>
      </c>
      <c r="B192">
        <v>16080106</v>
      </c>
      <c r="C192" t="s">
        <v>4531</v>
      </c>
      <c r="D192" t="s">
        <v>4532</v>
      </c>
      <c r="E192" t="s">
        <v>4561</v>
      </c>
      <c r="F192" t="s">
        <v>4561</v>
      </c>
      <c r="G192">
        <v>15</v>
      </c>
      <c r="H192" t="s">
        <v>4538</v>
      </c>
      <c r="J192">
        <v>165</v>
      </c>
      <c r="K192" s="2059">
        <v>0.05</v>
      </c>
      <c r="L192" t="s">
        <v>4544</v>
      </c>
      <c r="M192">
        <v>0.28000000000000003</v>
      </c>
      <c r="N192">
        <v>1000</v>
      </c>
      <c r="O192">
        <v>99999</v>
      </c>
      <c r="P192">
        <v>99999</v>
      </c>
      <c r="U192" t="s">
        <v>1678</v>
      </c>
      <c r="V192">
        <v>43465</v>
      </c>
      <c r="W192" t="s">
        <v>4562</v>
      </c>
      <c r="X192" t="s">
        <v>4563</v>
      </c>
    </row>
    <row r="193" spans="1:24">
      <c r="A193">
        <v>24</v>
      </c>
      <c r="B193">
        <v>16080107</v>
      </c>
      <c r="C193" t="s">
        <v>4531</v>
      </c>
      <c r="D193" t="s">
        <v>4532</v>
      </c>
      <c r="E193" t="s">
        <v>4564</v>
      </c>
      <c r="F193" t="s">
        <v>4564</v>
      </c>
      <c r="G193">
        <v>15</v>
      </c>
      <c r="H193" t="s">
        <v>4538</v>
      </c>
      <c r="J193">
        <v>165</v>
      </c>
      <c r="K193" s="2059">
        <v>0.05</v>
      </c>
      <c r="L193" t="s">
        <v>4544</v>
      </c>
      <c r="M193">
        <v>0.28000000000000003</v>
      </c>
      <c r="N193">
        <v>1000</v>
      </c>
      <c r="O193">
        <v>99999</v>
      </c>
      <c r="P193">
        <v>99999</v>
      </c>
      <c r="U193" t="s">
        <v>1678</v>
      </c>
      <c r="V193">
        <v>43465</v>
      </c>
      <c r="W193" t="s">
        <v>4546</v>
      </c>
      <c r="X193" t="s">
        <v>4547</v>
      </c>
    </row>
    <row r="194" spans="1:24">
      <c r="A194">
        <v>24</v>
      </c>
      <c r="B194">
        <v>16080108</v>
      </c>
      <c r="C194" t="s">
        <v>4531</v>
      </c>
      <c r="D194" t="s">
        <v>4532</v>
      </c>
      <c r="E194" t="s">
        <v>4565</v>
      </c>
      <c r="F194" t="s">
        <v>4565</v>
      </c>
      <c r="G194">
        <v>15</v>
      </c>
      <c r="H194" t="s">
        <v>4538</v>
      </c>
      <c r="J194">
        <v>165</v>
      </c>
      <c r="K194" s="2059">
        <v>0.05</v>
      </c>
      <c r="L194" t="s">
        <v>4544</v>
      </c>
      <c r="M194">
        <v>0.28000000000000003</v>
      </c>
      <c r="N194">
        <v>1000</v>
      </c>
      <c r="O194">
        <v>99999</v>
      </c>
      <c r="P194">
        <v>99999</v>
      </c>
      <c r="U194" t="s">
        <v>1678</v>
      </c>
      <c r="V194">
        <v>43465</v>
      </c>
      <c r="W194" t="s">
        <v>4566</v>
      </c>
      <c r="X194" t="s">
        <v>4567</v>
      </c>
    </row>
    <row r="195" spans="1:24">
      <c r="A195">
        <v>41</v>
      </c>
      <c r="B195">
        <v>41.01</v>
      </c>
      <c r="C195" t="s">
        <v>4568</v>
      </c>
      <c r="D195" t="s">
        <v>4569</v>
      </c>
      <c r="E195" t="s">
        <v>4570</v>
      </c>
      <c r="F195" t="s">
        <v>4571</v>
      </c>
      <c r="I195" t="s">
        <v>4572</v>
      </c>
      <c r="K195" s="2059">
        <v>0.1</v>
      </c>
      <c r="M195">
        <v>0.28000000000000003</v>
      </c>
      <c r="N195">
        <v>1000</v>
      </c>
      <c r="R195" t="s">
        <v>1678</v>
      </c>
      <c r="T195" t="s">
        <v>1678</v>
      </c>
      <c r="W195" t="s">
        <v>4149</v>
      </c>
      <c r="X195" t="s">
        <v>4150</v>
      </c>
    </row>
    <row r="196" spans="1:24">
      <c r="A196">
        <v>41</v>
      </c>
      <c r="B196">
        <v>15100111</v>
      </c>
      <c r="C196" t="s">
        <v>4573</v>
      </c>
      <c r="D196" t="s">
        <v>4574</v>
      </c>
      <c r="E196" t="s">
        <v>4575</v>
      </c>
      <c r="F196" t="s">
        <v>4575</v>
      </c>
      <c r="G196">
        <v>69</v>
      </c>
      <c r="H196" t="s">
        <v>4576</v>
      </c>
      <c r="J196" t="s">
        <v>4577</v>
      </c>
      <c r="K196" s="2059" t="s">
        <v>4578</v>
      </c>
      <c r="L196" t="s">
        <v>4579</v>
      </c>
      <c r="U196" t="s">
        <v>1678</v>
      </c>
      <c r="V196">
        <v>43100</v>
      </c>
      <c r="W196" t="s">
        <v>4580</v>
      </c>
      <c r="X196" t="s">
        <v>4581</v>
      </c>
    </row>
    <row r="197" spans="1:24">
      <c r="A197">
        <v>41</v>
      </c>
      <c r="B197">
        <v>16080111</v>
      </c>
      <c r="C197" t="s">
        <v>4573</v>
      </c>
      <c r="D197" t="s">
        <v>4574</v>
      </c>
      <c r="E197" t="s">
        <v>4582</v>
      </c>
      <c r="F197" t="s">
        <v>4582</v>
      </c>
      <c r="G197">
        <v>69</v>
      </c>
      <c r="H197" t="s">
        <v>4576</v>
      </c>
      <c r="J197" t="s">
        <v>4583</v>
      </c>
      <c r="K197" s="2059" t="s">
        <v>4584</v>
      </c>
      <c r="L197" t="s">
        <v>4585</v>
      </c>
      <c r="U197" t="s">
        <v>1678</v>
      </c>
      <c r="V197">
        <v>43465</v>
      </c>
      <c r="W197" t="s">
        <v>4580</v>
      </c>
      <c r="X197" t="s">
        <v>4581</v>
      </c>
    </row>
    <row r="198" spans="1:24">
      <c r="A198">
        <v>41</v>
      </c>
      <c r="B198">
        <v>15040051</v>
      </c>
      <c r="C198" t="s">
        <v>4573</v>
      </c>
      <c r="D198" t="s">
        <v>4574</v>
      </c>
      <c r="E198" t="s">
        <v>4586</v>
      </c>
      <c r="F198" t="s">
        <v>4586</v>
      </c>
      <c r="G198">
        <v>139</v>
      </c>
      <c r="H198" t="s">
        <v>4587</v>
      </c>
      <c r="J198" t="s">
        <v>4588</v>
      </c>
      <c r="K198" s="2059" t="s">
        <v>4589</v>
      </c>
      <c r="L198" t="s">
        <v>4590</v>
      </c>
      <c r="U198" t="s">
        <v>1678</v>
      </c>
      <c r="V198">
        <v>42916</v>
      </c>
      <c r="W198" t="s">
        <v>4580</v>
      </c>
      <c r="X198" t="s">
        <v>4581</v>
      </c>
    </row>
    <row r="199" spans="1:24" s="2058" customFormat="1">
      <c r="A199" s="2058">
        <v>25</v>
      </c>
      <c r="B199" s="2058">
        <v>25.01</v>
      </c>
      <c r="C199" s="2058" t="s">
        <v>4591</v>
      </c>
      <c r="D199" s="2058" t="s">
        <v>4592</v>
      </c>
      <c r="E199" s="2058" t="s">
        <v>4593</v>
      </c>
      <c r="F199" s="2058" t="s">
        <v>4594</v>
      </c>
      <c r="I199" s="2058" t="s">
        <v>4595</v>
      </c>
      <c r="K199" s="2060">
        <v>0.08</v>
      </c>
      <c r="M199" s="2058">
        <v>0.25</v>
      </c>
      <c r="N199" s="2058">
        <v>900</v>
      </c>
      <c r="O199" s="2058">
        <v>2</v>
      </c>
      <c r="P199" s="2058">
        <v>2</v>
      </c>
      <c r="R199" s="2058" t="s">
        <v>1678</v>
      </c>
      <c r="T199" s="2058" t="s">
        <v>1678</v>
      </c>
    </row>
    <row r="200" spans="1:24" s="2058" customFormat="1">
      <c r="A200" s="2058">
        <v>25</v>
      </c>
      <c r="B200" s="2058">
        <v>25.02</v>
      </c>
      <c r="C200" s="2058" t="s">
        <v>4591</v>
      </c>
      <c r="D200" s="2058" t="s">
        <v>4592</v>
      </c>
      <c r="E200" s="2058" t="s">
        <v>4596</v>
      </c>
      <c r="F200" s="2058" t="s">
        <v>4597</v>
      </c>
      <c r="I200" s="2058" t="s">
        <v>4598</v>
      </c>
      <c r="K200" s="2060"/>
      <c r="M200" s="2058">
        <v>0.25</v>
      </c>
      <c r="N200" s="2058">
        <v>900</v>
      </c>
      <c r="O200" s="2058">
        <v>5</v>
      </c>
      <c r="P200" s="2058">
        <v>5</v>
      </c>
      <c r="R200" s="2058" t="s">
        <v>1678</v>
      </c>
    </row>
    <row r="201" spans="1:24">
      <c r="A201">
        <v>25</v>
      </c>
      <c r="B201">
        <v>14110021</v>
      </c>
      <c r="C201" t="s">
        <v>4599</v>
      </c>
      <c r="D201" t="s">
        <v>4600</v>
      </c>
      <c r="E201" t="s">
        <v>4601</v>
      </c>
      <c r="F201" t="s">
        <v>4601</v>
      </c>
      <c r="G201">
        <v>136</v>
      </c>
      <c r="H201" t="s">
        <v>4602</v>
      </c>
      <c r="J201">
        <v>90</v>
      </c>
      <c r="K201" s="2059">
        <v>0.05</v>
      </c>
      <c r="L201" t="s">
        <v>4293</v>
      </c>
      <c r="U201" t="s">
        <v>1678</v>
      </c>
      <c r="V201">
        <v>42916</v>
      </c>
    </row>
    <row r="202" spans="1:24">
      <c r="A202">
        <v>25</v>
      </c>
      <c r="B202">
        <v>14110022</v>
      </c>
      <c r="C202" t="s">
        <v>4599</v>
      </c>
      <c r="D202" t="s">
        <v>4600</v>
      </c>
      <c r="E202" t="s">
        <v>4603</v>
      </c>
      <c r="F202" t="s">
        <v>4603</v>
      </c>
      <c r="G202">
        <v>136</v>
      </c>
      <c r="H202" t="s">
        <v>4602</v>
      </c>
      <c r="J202">
        <v>90</v>
      </c>
      <c r="K202" s="2059">
        <v>0.05</v>
      </c>
      <c r="L202" t="s">
        <v>4293</v>
      </c>
      <c r="U202" t="s">
        <v>1678</v>
      </c>
      <c r="V202">
        <v>42916</v>
      </c>
    </row>
    <row r="203" spans="1:24">
      <c r="A203">
        <v>25</v>
      </c>
      <c r="B203">
        <v>14110023</v>
      </c>
      <c r="C203" t="s">
        <v>4599</v>
      </c>
      <c r="D203" t="s">
        <v>4600</v>
      </c>
      <c r="E203" t="s">
        <v>4604</v>
      </c>
      <c r="F203" t="s">
        <v>4604</v>
      </c>
      <c r="G203">
        <v>136</v>
      </c>
      <c r="H203" t="s">
        <v>4602</v>
      </c>
      <c r="J203">
        <v>90</v>
      </c>
      <c r="K203" s="2059">
        <v>0.05</v>
      </c>
      <c r="L203" t="s">
        <v>4293</v>
      </c>
      <c r="U203" t="s">
        <v>1678</v>
      </c>
      <c r="V203">
        <v>42916</v>
      </c>
    </row>
    <row r="204" spans="1:24">
      <c r="A204">
        <v>47</v>
      </c>
      <c r="B204">
        <v>47.01</v>
      </c>
      <c r="C204" t="s">
        <v>4605</v>
      </c>
      <c r="D204" t="s">
        <v>4606</v>
      </c>
      <c r="E204" t="s">
        <v>4607</v>
      </c>
      <c r="F204" t="s">
        <v>4608</v>
      </c>
      <c r="I204" t="s">
        <v>4174</v>
      </c>
      <c r="K204" s="2059">
        <v>0.13</v>
      </c>
      <c r="T204" t="s">
        <v>1678</v>
      </c>
    </row>
    <row r="205" spans="1:24" s="2058" customFormat="1">
      <c r="A205" s="2058">
        <v>26</v>
      </c>
      <c r="B205" s="2058">
        <v>26.01</v>
      </c>
      <c r="C205" s="2058" t="s">
        <v>4609</v>
      </c>
      <c r="D205" s="2058" t="s">
        <v>4610</v>
      </c>
      <c r="E205" s="2058" t="s">
        <v>4611</v>
      </c>
      <c r="F205" s="2058" t="s">
        <v>4612</v>
      </c>
      <c r="I205" s="2058" t="s">
        <v>4280</v>
      </c>
      <c r="K205" s="2060">
        <v>4.4999999999999998E-2</v>
      </c>
      <c r="M205" s="2058">
        <v>0.4</v>
      </c>
      <c r="N205" s="2058">
        <v>1450</v>
      </c>
      <c r="O205" s="2058">
        <v>60</v>
      </c>
      <c r="P205" s="2058">
        <v>60</v>
      </c>
      <c r="R205" s="2058" t="s">
        <v>1678</v>
      </c>
      <c r="T205" s="2058" t="s">
        <v>1678</v>
      </c>
    </row>
    <row r="206" spans="1:24" s="2058" customFormat="1">
      <c r="A206" s="2058">
        <v>26</v>
      </c>
      <c r="B206" s="2058">
        <v>26.03</v>
      </c>
      <c r="C206" s="2058" t="s">
        <v>4609</v>
      </c>
      <c r="D206" s="2058" t="s">
        <v>4610</v>
      </c>
      <c r="E206" s="2058" t="s">
        <v>4613</v>
      </c>
      <c r="F206" s="2058" t="s">
        <v>4614</v>
      </c>
      <c r="I206" s="2058" t="s">
        <v>4615</v>
      </c>
      <c r="K206" s="2060">
        <v>0.05</v>
      </c>
      <c r="M206" s="2058">
        <v>0.4</v>
      </c>
      <c r="N206" s="2058">
        <v>1450</v>
      </c>
      <c r="O206" s="2058">
        <v>60</v>
      </c>
      <c r="P206" s="2058">
        <v>60</v>
      </c>
      <c r="R206" s="2058" t="s">
        <v>1678</v>
      </c>
      <c r="T206" s="2058" t="s">
        <v>1678</v>
      </c>
    </row>
    <row r="207" spans="1:24">
      <c r="A207">
        <v>26</v>
      </c>
      <c r="B207">
        <v>14070051</v>
      </c>
      <c r="C207" t="s">
        <v>4609</v>
      </c>
      <c r="D207" t="s">
        <v>4610</v>
      </c>
      <c r="E207" t="s">
        <v>4616</v>
      </c>
      <c r="F207" t="s">
        <v>4616</v>
      </c>
      <c r="G207">
        <v>49</v>
      </c>
      <c r="H207" t="s">
        <v>4617</v>
      </c>
      <c r="J207" t="s">
        <v>4618</v>
      </c>
      <c r="K207" s="2059" t="s">
        <v>542</v>
      </c>
      <c r="L207" t="s">
        <v>4321</v>
      </c>
      <c r="M207" t="s">
        <v>4619</v>
      </c>
      <c r="N207">
        <v>1450</v>
      </c>
      <c r="O207">
        <v>60</v>
      </c>
      <c r="P207">
        <v>60</v>
      </c>
      <c r="U207" t="s">
        <v>1678</v>
      </c>
      <c r="V207">
        <v>42735</v>
      </c>
    </row>
    <row r="208" spans="1:24">
      <c r="A208">
        <v>26</v>
      </c>
      <c r="B208">
        <v>16090101</v>
      </c>
      <c r="C208" t="s">
        <v>4609</v>
      </c>
      <c r="D208" t="s">
        <v>4610</v>
      </c>
      <c r="E208" t="s">
        <v>4620</v>
      </c>
      <c r="F208" t="s">
        <v>4621</v>
      </c>
      <c r="G208">
        <v>121</v>
      </c>
      <c r="H208" t="s">
        <v>4602</v>
      </c>
      <c r="J208" t="s">
        <v>4622</v>
      </c>
      <c r="K208" s="2059">
        <v>3.4000000000000002E-2</v>
      </c>
      <c r="L208" t="s">
        <v>4623</v>
      </c>
      <c r="M208">
        <v>0.4</v>
      </c>
      <c r="N208">
        <v>1450</v>
      </c>
      <c r="O208">
        <v>60</v>
      </c>
      <c r="P208">
        <v>60</v>
      </c>
      <c r="U208" t="s">
        <v>1678</v>
      </c>
      <c r="V208">
        <v>43465</v>
      </c>
    </row>
    <row r="209" spans="1:22">
      <c r="A209">
        <v>26</v>
      </c>
      <c r="B209">
        <v>16090102</v>
      </c>
      <c r="C209" t="s">
        <v>4609</v>
      </c>
      <c r="D209" t="s">
        <v>4610</v>
      </c>
      <c r="E209" t="s">
        <v>4624</v>
      </c>
      <c r="F209" t="s">
        <v>4624</v>
      </c>
      <c r="G209">
        <v>121</v>
      </c>
      <c r="H209" t="s">
        <v>4602</v>
      </c>
      <c r="J209" t="s">
        <v>4622</v>
      </c>
      <c r="K209" s="2059">
        <v>3.4000000000000002E-2</v>
      </c>
      <c r="L209" t="s">
        <v>4625</v>
      </c>
      <c r="M209">
        <v>0.4</v>
      </c>
      <c r="N209">
        <v>1450</v>
      </c>
      <c r="O209">
        <v>60</v>
      </c>
      <c r="P209">
        <v>60</v>
      </c>
      <c r="U209" t="s">
        <v>1678</v>
      </c>
      <c r="V209">
        <v>43465</v>
      </c>
    </row>
    <row r="210" spans="1:22">
      <c r="A210">
        <v>26</v>
      </c>
      <c r="B210">
        <v>15100051</v>
      </c>
      <c r="C210" t="s">
        <v>4609</v>
      </c>
      <c r="D210" t="s">
        <v>4610</v>
      </c>
      <c r="E210" t="s">
        <v>4626</v>
      </c>
      <c r="F210" t="s">
        <v>4627</v>
      </c>
      <c r="G210">
        <v>121</v>
      </c>
      <c r="H210" t="s">
        <v>4628</v>
      </c>
      <c r="J210" t="s">
        <v>4629</v>
      </c>
      <c r="K210" s="2059">
        <v>3.9E-2</v>
      </c>
      <c r="L210" t="s">
        <v>4630</v>
      </c>
      <c r="M210">
        <v>0.4</v>
      </c>
      <c r="N210">
        <v>1450</v>
      </c>
      <c r="O210">
        <v>60</v>
      </c>
      <c r="P210">
        <v>60</v>
      </c>
      <c r="U210" t="s">
        <v>1678</v>
      </c>
      <c r="V210">
        <v>43100</v>
      </c>
    </row>
    <row r="211" spans="1:22">
      <c r="A211">
        <v>26</v>
      </c>
      <c r="B211">
        <v>16040041</v>
      </c>
      <c r="C211" t="s">
        <v>4609</v>
      </c>
      <c r="D211" t="s">
        <v>4610</v>
      </c>
      <c r="E211" t="s">
        <v>4631</v>
      </c>
      <c r="F211" t="s">
        <v>4632</v>
      </c>
      <c r="G211">
        <v>121</v>
      </c>
      <c r="H211" t="s">
        <v>4633</v>
      </c>
      <c r="J211" t="s">
        <v>4634</v>
      </c>
      <c r="K211" s="2059">
        <v>3.3000000000000002E-2</v>
      </c>
      <c r="L211" t="s">
        <v>4524</v>
      </c>
      <c r="M211">
        <v>0.4</v>
      </c>
      <c r="N211">
        <v>1450</v>
      </c>
      <c r="O211">
        <v>60</v>
      </c>
      <c r="P211">
        <v>60</v>
      </c>
      <c r="U211" t="s">
        <v>1678</v>
      </c>
      <c r="V211">
        <v>43281</v>
      </c>
    </row>
    <row r="212" spans="1:22">
      <c r="A212">
        <v>26</v>
      </c>
      <c r="B212">
        <v>16040042</v>
      </c>
      <c r="C212" t="s">
        <v>4609</v>
      </c>
      <c r="D212" t="s">
        <v>4610</v>
      </c>
      <c r="E212" t="s">
        <v>4635</v>
      </c>
      <c r="F212" t="s">
        <v>4635</v>
      </c>
      <c r="G212">
        <v>121</v>
      </c>
      <c r="H212" t="s">
        <v>4633</v>
      </c>
      <c r="J212" t="s">
        <v>4634</v>
      </c>
      <c r="K212" s="2059">
        <v>3.3000000000000002E-2</v>
      </c>
      <c r="L212" t="s">
        <v>4259</v>
      </c>
      <c r="M212">
        <v>0.4</v>
      </c>
      <c r="N212">
        <v>1450</v>
      </c>
      <c r="O212">
        <v>60</v>
      </c>
      <c r="P212">
        <v>60</v>
      </c>
      <c r="U212" t="s">
        <v>1678</v>
      </c>
      <c r="V212">
        <v>43281</v>
      </c>
    </row>
    <row r="213" spans="1:22">
      <c r="A213">
        <v>26</v>
      </c>
      <c r="B213">
        <v>16040043</v>
      </c>
      <c r="C213" t="s">
        <v>4609</v>
      </c>
      <c r="D213" t="s">
        <v>4610</v>
      </c>
      <c r="E213" t="s">
        <v>4636</v>
      </c>
      <c r="F213" t="s">
        <v>4637</v>
      </c>
      <c r="G213">
        <v>121</v>
      </c>
      <c r="H213" t="s">
        <v>4633</v>
      </c>
      <c r="J213" t="s">
        <v>4638</v>
      </c>
      <c r="K213" s="2059">
        <v>3.7999999999999999E-2</v>
      </c>
      <c r="L213" t="s">
        <v>4639</v>
      </c>
      <c r="M213">
        <v>0.4</v>
      </c>
      <c r="N213">
        <v>1450</v>
      </c>
      <c r="O213">
        <v>60</v>
      </c>
      <c r="P213">
        <v>60</v>
      </c>
      <c r="U213" t="s">
        <v>1678</v>
      </c>
      <c r="V213">
        <v>43281</v>
      </c>
    </row>
    <row r="214" spans="1:22">
      <c r="A214">
        <v>26</v>
      </c>
      <c r="B214">
        <v>16040044</v>
      </c>
      <c r="C214" t="s">
        <v>4609</v>
      </c>
      <c r="D214" t="s">
        <v>4610</v>
      </c>
      <c r="E214" t="s">
        <v>4640</v>
      </c>
      <c r="F214" t="s">
        <v>4641</v>
      </c>
      <c r="G214">
        <v>121</v>
      </c>
      <c r="H214" t="s">
        <v>4633</v>
      </c>
      <c r="J214" t="s">
        <v>4642</v>
      </c>
      <c r="K214" s="2059">
        <v>3.5999999999999997E-2</v>
      </c>
      <c r="L214" t="s">
        <v>4250</v>
      </c>
      <c r="M214">
        <v>0.4</v>
      </c>
      <c r="N214">
        <v>1450</v>
      </c>
      <c r="O214">
        <v>60</v>
      </c>
      <c r="P214">
        <v>60</v>
      </c>
      <c r="U214" t="s">
        <v>1678</v>
      </c>
      <c r="V214">
        <v>43281</v>
      </c>
    </row>
    <row r="215" spans="1:22">
      <c r="A215">
        <v>26</v>
      </c>
      <c r="B215">
        <v>16040045</v>
      </c>
      <c r="C215" t="s">
        <v>4609</v>
      </c>
      <c r="D215" t="s">
        <v>4610</v>
      </c>
      <c r="E215" t="s">
        <v>4643</v>
      </c>
      <c r="F215" t="s">
        <v>4644</v>
      </c>
      <c r="G215">
        <v>121</v>
      </c>
      <c r="H215" t="s">
        <v>4633</v>
      </c>
      <c r="J215" t="s">
        <v>4645</v>
      </c>
      <c r="K215" s="2059">
        <v>3.3000000000000002E-2</v>
      </c>
      <c r="L215" t="s">
        <v>4250</v>
      </c>
      <c r="M215">
        <v>0.4</v>
      </c>
      <c r="N215">
        <v>1450</v>
      </c>
      <c r="O215">
        <v>60</v>
      </c>
      <c r="P215">
        <v>60</v>
      </c>
      <c r="U215" t="s">
        <v>1678</v>
      </c>
      <c r="V215">
        <v>43281</v>
      </c>
    </row>
    <row r="216" spans="1:22">
      <c r="A216">
        <v>26</v>
      </c>
      <c r="B216">
        <v>16040046</v>
      </c>
      <c r="C216" t="s">
        <v>4609</v>
      </c>
      <c r="D216" t="s">
        <v>4610</v>
      </c>
      <c r="E216" t="s">
        <v>4646</v>
      </c>
      <c r="F216" t="s">
        <v>4646</v>
      </c>
      <c r="G216">
        <v>121</v>
      </c>
      <c r="H216" t="s">
        <v>4633</v>
      </c>
      <c r="J216" t="s">
        <v>4647</v>
      </c>
      <c r="K216" s="2059">
        <v>3.3000000000000002E-2</v>
      </c>
      <c r="L216" t="s">
        <v>4195</v>
      </c>
      <c r="M216">
        <v>0.4</v>
      </c>
      <c r="N216">
        <v>1450</v>
      </c>
      <c r="O216">
        <v>60</v>
      </c>
      <c r="P216">
        <v>60</v>
      </c>
      <c r="U216" t="s">
        <v>1678</v>
      </c>
      <c r="V216">
        <v>43281</v>
      </c>
    </row>
    <row r="217" spans="1:22">
      <c r="A217">
        <v>26</v>
      </c>
      <c r="B217">
        <v>16040047</v>
      </c>
      <c r="C217" t="s">
        <v>4609</v>
      </c>
      <c r="D217" t="s">
        <v>4610</v>
      </c>
      <c r="E217" t="s">
        <v>4648</v>
      </c>
      <c r="F217" t="s">
        <v>4649</v>
      </c>
      <c r="G217">
        <v>121</v>
      </c>
      <c r="H217" t="s">
        <v>4633</v>
      </c>
      <c r="J217" t="s">
        <v>4638</v>
      </c>
      <c r="K217" s="2059">
        <v>3.1E-2</v>
      </c>
      <c r="L217" t="s">
        <v>4250</v>
      </c>
      <c r="M217">
        <v>0.4</v>
      </c>
      <c r="N217">
        <v>1450</v>
      </c>
      <c r="O217">
        <v>60</v>
      </c>
      <c r="P217">
        <v>60</v>
      </c>
      <c r="U217" t="s">
        <v>1678</v>
      </c>
      <c r="V217">
        <v>43281</v>
      </c>
    </row>
    <row r="218" spans="1:22">
      <c r="A218">
        <v>26</v>
      </c>
      <c r="B218">
        <v>16040048</v>
      </c>
      <c r="C218" t="s">
        <v>4609</v>
      </c>
      <c r="D218" t="s">
        <v>4610</v>
      </c>
      <c r="E218" t="s">
        <v>4650</v>
      </c>
      <c r="F218" t="s">
        <v>4650</v>
      </c>
      <c r="G218">
        <v>121</v>
      </c>
      <c r="H218" t="s">
        <v>4633</v>
      </c>
      <c r="J218" t="s">
        <v>4638</v>
      </c>
      <c r="K218" s="2059">
        <v>3.3000000000000002E-2</v>
      </c>
      <c r="L218" t="s">
        <v>4159</v>
      </c>
      <c r="M218">
        <v>0.4</v>
      </c>
      <c r="N218">
        <v>1450</v>
      </c>
      <c r="O218">
        <v>60</v>
      </c>
      <c r="P218">
        <v>60</v>
      </c>
      <c r="U218" t="s">
        <v>1678</v>
      </c>
      <c r="V218">
        <v>43281</v>
      </c>
    </row>
    <row r="219" spans="1:22">
      <c r="A219">
        <v>26</v>
      </c>
      <c r="B219">
        <v>16090031</v>
      </c>
      <c r="C219" t="s">
        <v>4609</v>
      </c>
      <c r="D219" t="s">
        <v>4610</v>
      </c>
      <c r="E219" t="s">
        <v>4651</v>
      </c>
      <c r="F219" t="s">
        <v>4651</v>
      </c>
      <c r="G219">
        <v>140</v>
      </c>
      <c r="H219" t="s">
        <v>4652</v>
      </c>
      <c r="J219">
        <v>22</v>
      </c>
      <c r="K219" s="2059">
        <v>0.03</v>
      </c>
      <c r="L219" t="s">
        <v>4225</v>
      </c>
      <c r="M219">
        <v>0.4</v>
      </c>
      <c r="N219">
        <v>1450</v>
      </c>
      <c r="O219">
        <v>60</v>
      </c>
      <c r="P219">
        <v>60</v>
      </c>
      <c r="U219" t="s">
        <v>1678</v>
      </c>
      <c r="V219">
        <v>43465</v>
      </c>
    </row>
    <row r="220" spans="1:22">
      <c r="A220">
        <v>26</v>
      </c>
      <c r="B220">
        <v>15110131</v>
      </c>
      <c r="C220" t="s">
        <v>4609</v>
      </c>
      <c r="D220" t="s">
        <v>4610</v>
      </c>
      <c r="E220" t="s">
        <v>4653</v>
      </c>
      <c r="F220" t="s">
        <v>4653</v>
      </c>
      <c r="G220">
        <v>140</v>
      </c>
      <c r="H220" t="s">
        <v>4652</v>
      </c>
      <c r="J220">
        <v>17</v>
      </c>
      <c r="K220" s="2059">
        <v>3.1E-2</v>
      </c>
      <c r="L220" t="s">
        <v>4225</v>
      </c>
      <c r="M220">
        <v>0.4</v>
      </c>
      <c r="N220">
        <v>1450</v>
      </c>
      <c r="O220">
        <v>60</v>
      </c>
      <c r="P220">
        <v>60</v>
      </c>
      <c r="U220" t="s">
        <v>1678</v>
      </c>
      <c r="V220">
        <v>43100</v>
      </c>
    </row>
    <row r="221" spans="1:22">
      <c r="A221">
        <v>26</v>
      </c>
      <c r="B221">
        <v>16060011</v>
      </c>
      <c r="C221" t="s">
        <v>4609</v>
      </c>
      <c r="D221" t="s">
        <v>4610</v>
      </c>
      <c r="E221" t="s">
        <v>4654</v>
      </c>
      <c r="F221" t="s">
        <v>4654</v>
      </c>
      <c r="G221">
        <v>140</v>
      </c>
      <c r="H221" t="s">
        <v>4652</v>
      </c>
      <c r="J221">
        <v>20</v>
      </c>
      <c r="K221" s="2059">
        <v>3.6999999999999998E-2</v>
      </c>
      <c r="L221" t="s">
        <v>4373</v>
      </c>
      <c r="M221">
        <v>0.4</v>
      </c>
      <c r="N221">
        <v>1450</v>
      </c>
      <c r="O221">
        <v>60</v>
      </c>
      <c r="P221">
        <v>60</v>
      </c>
      <c r="U221" t="s">
        <v>1678</v>
      </c>
      <c r="V221">
        <v>43281</v>
      </c>
    </row>
    <row r="222" spans="1:22">
      <c r="A222">
        <v>26</v>
      </c>
      <c r="B222">
        <v>16110051</v>
      </c>
      <c r="C222" t="s">
        <v>4609</v>
      </c>
      <c r="D222" t="s">
        <v>4610</v>
      </c>
      <c r="E222" t="s">
        <v>4655</v>
      </c>
      <c r="F222" t="s">
        <v>4655</v>
      </c>
      <c r="G222">
        <v>59</v>
      </c>
      <c r="H222" t="s">
        <v>4656</v>
      </c>
      <c r="J222" t="s">
        <v>4657</v>
      </c>
      <c r="K222" s="2059">
        <v>3.5000000000000003E-2</v>
      </c>
      <c r="L222" t="s">
        <v>4373</v>
      </c>
      <c r="M222">
        <v>0.4</v>
      </c>
      <c r="N222">
        <v>1450</v>
      </c>
      <c r="O222">
        <v>60</v>
      </c>
      <c r="P222">
        <v>60</v>
      </c>
      <c r="U222" t="s">
        <v>1678</v>
      </c>
      <c r="V222">
        <v>43465</v>
      </c>
    </row>
    <row r="223" spans="1:22">
      <c r="A223">
        <v>26</v>
      </c>
      <c r="B223">
        <v>16110052</v>
      </c>
      <c r="C223" t="s">
        <v>4609</v>
      </c>
      <c r="D223" t="s">
        <v>4610</v>
      </c>
      <c r="E223" t="s">
        <v>4658</v>
      </c>
      <c r="F223" t="s">
        <v>4658</v>
      </c>
      <c r="G223">
        <v>59</v>
      </c>
      <c r="H223" t="s">
        <v>4656</v>
      </c>
      <c r="J223" t="s">
        <v>4659</v>
      </c>
      <c r="K223" s="2059">
        <v>3.4000000000000002E-2</v>
      </c>
      <c r="L223" t="s">
        <v>4373</v>
      </c>
      <c r="M223">
        <v>0.4</v>
      </c>
      <c r="N223">
        <v>1450</v>
      </c>
      <c r="O223">
        <v>60</v>
      </c>
      <c r="P223">
        <v>60</v>
      </c>
      <c r="U223" t="s">
        <v>1678</v>
      </c>
      <c r="V223">
        <v>43465</v>
      </c>
    </row>
    <row r="224" spans="1:22">
      <c r="A224">
        <v>26</v>
      </c>
      <c r="B224">
        <v>16110053</v>
      </c>
      <c r="C224" t="s">
        <v>4609</v>
      </c>
      <c r="D224" t="s">
        <v>4610</v>
      </c>
      <c r="E224" t="s">
        <v>4660</v>
      </c>
      <c r="F224" t="s">
        <v>4660</v>
      </c>
      <c r="G224">
        <v>59</v>
      </c>
      <c r="H224" t="s">
        <v>4656</v>
      </c>
      <c r="J224" t="s">
        <v>4661</v>
      </c>
      <c r="K224" s="2059">
        <v>3.1E-2</v>
      </c>
      <c r="L224" t="s">
        <v>4373</v>
      </c>
      <c r="M224">
        <v>0.4</v>
      </c>
      <c r="N224">
        <v>1450</v>
      </c>
      <c r="O224">
        <v>60</v>
      </c>
      <c r="P224">
        <v>60</v>
      </c>
      <c r="U224" t="s">
        <v>1678</v>
      </c>
      <c r="V224">
        <v>43465</v>
      </c>
    </row>
    <row r="225" spans="1:24">
      <c r="A225">
        <v>26</v>
      </c>
      <c r="B225">
        <v>16110054</v>
      </c>
      <c r="C225" t="s">
        <v>4609</v>
      </c>
      <c r="D225" t="s">
        <v>4610</v>
      </c>
      <c r="E225" t="s">
        <v>4662</v>
      </c>
      <c r="F225" t="s">
        <v>4663</v>
      </c>
      <c r="G225">
        <v>59</v>
      </c>
      <c r="H225" t="s">
        <v>4656</v>
      </c>
      <c r="J225" t="s">
        <v>4664</v>
      </c>
      <c r="K225" s="2059">
        <v>3.7999999999999999E-2</v>
      </c>
      <c r="L225" t="s">
        <v>4373</v>
      </c>
      <c r="M225">
        <v>0.4</v>
      </c>
      <c r="N225">
        <v>1450</v>
      </c>
      <c r="O225">
        <v>60</v>
      </c>
      <c r="P225">
        <v>60</v>
      </c>
      <c r="U225" t="s">
        <v>1678</v>
      </c>
      <c r="V225">
        <v>43465</v>
      </c>
    </row>
    <row r="226" spans="1:24">
      <c r="A226">
        <v>26</v>
      </c>
      <c r="B226">
        <v>16110055</v>
      </c>
      <c r="C226" t="s">
        <v>4609</v>
      </c>
      <c r="D226" t="s">
        <v>4610</v>
      </c>
      <c r="E226" t="s">
        <v>4665</v>
      </c>
      <c r="F226" t="s">
        <v>4665</v>
      </c>
      <c r="G226">
        <v>59</v>
      </c>
      <c r="H226" t="s">
        <v>4656</v>
      </c>
      <c r="J226" t="s">
        <v>4666</v>
      </c>
      <c r="K226" s="2059">
        <v>2.9000000000000001E-2</v>
      </c>
      <c r="L226" t="s">
        <v>4667</v>
      </c>
      <c r="M226">
        <v>0.4</v>
      </c>
      <c r="N226">
        <v>1450</v>
      </c>
      <c r="O226">
        <v>60</v>
      </c>
      <c r="P226">
        <v>60</v>
      </c>
      <c r="U226" t="s">
        <v>1678</v>
      </c>
      <c r="V226">
        <v>43465</v>
      </c>
    </row>
    <row r="227" spans="1:24">
      <c r="A227">
        <v>26</v>
      </c>
      <c r="B227">
        <v>16110056</v>
      </c>
      <c r="C227" t="s">
        <v>4609</v>
      </c>
      <c r="D227" t="s">
        <v>4610</v>
      </c>
      <c r="E227" t="s">
        <v>4668</v>
      </c>
      <c r="F227" t="s">
        <v>4668</v>
      </c>
      <c r="G227">
        <v>59</v>
      </c>
      <c r="H227" t="s">
        <v>4656</v>
      </c>
      <c r="J227" t="s">
        <v>4669</v>
      </c>
      <c r="K227" s="2059">
        <v>3.1E-2</v>
      </c>
      <c r="L227" t="s">
        <v>4321</v>
      </c>
      <c r="M227">
        <v>0.4</v>
      </c>
      <c r="N227">
        <v>1450</v>
      </c>
      <c r="O227">
        <v>60</v>
      </c>
      <c r="P227">
        <v>60</v>
      </c>
      <c r="U227" t="s">
        <v>1678</v>
      </c>
      <c r="V227">
        <v>43465</v>
      </c>
    </row>
    <row r="228" spans="1:24">
      <c r="A228">
        <v>26</v>
      </c>
      <c r="B228">
        <v>16050051</v>
      </c>
      <c r="C228" t="s">
        <v>4609</v>
      </c>
      <c r="D228" t="s">
        <v>4610</v>
      </c>
      <c r="E228" t="s">
        <v>4670</v>
      </c>
      <c r="F228" t="s">
        <v>4670</v>
      </c>
      <c r="G228">
        <v>59</v>
      </c>
      <c r="H228" t="s">
        <v>4656</v>
      </c>
      <c r="J228" t="s">
        <v>4361</v>
      </c>
      <c r="K228" s="2059">
        <v>0.03</v>
      </c>
      <c r="L228" t="s">
        <v>4667</v>
      </c>
      <c r="M228">
        <v>0.4</v>
      </c>
      <c r="N228">
        <v>1450</v>
      </c>
      <c r="O228">
        <v>60</v>
      </c>
      <c r="P228">
        <v>60</v>
      </c>
      <c r="U228" t="s">
        <v>1678</v>
      </c>
      <c r="V228">
        <v>43281</v>
      </c>
    </row>
    <row r="229" spans="1:24">
      <c r="A229">
        <v>26</v>
      </c>
      <c r="B229">
        <v>16050052</v>
      </c>
      <c r="C229" t="s">
        <v>4609</v>
      </c>
      <c r="D229" t="s">
        <v>4610</v>
      </c>
      <c r="E229" t="s">
        <v>4671</v>
      </c>
      <c r="F229" t="s">
        <v>4671</v>
      </c>
      <c r="G229">
        <v>59</v>
      </c>
      <c r="H229" t="s">
        <v>4656</v>
      </c>
      <c r="J229" t="s">
        <v>4361</v>
      </c>
      <c r="K229" s="2059">
        <v>0.03</v>
      </c>
      <c r="L229" t="s">
        <v>4225</v>
      </c>
      <c r="M229">
        <v>0.4</v>
      </c>
      <c r="N229">
        <v>1450</v>
      </c>
      <c r="O229">
        <v>60</v>
      </c>
      <c r="P229">
        <v>60</v>
      </c>
      <c r="U229" t="s">
        <v>1678</v>
      </c>
      <c r="V229">
        <v>43281</v>
      </c>
    </row>
    <row r="230" spans="1:24">
      <c r="A230">
        <v>26</v>
      </c>
      <c r="B230">
        <v>16050053</v>
      </c>
      <c r="C230" t="s">
        <v>4609</v>
      </c>
      <c r="D230" t="s">
        <v>4610</v>
      </c>
      <c r="E230" t="s">
        <v>4672</v>
      </c>
      <c r="F230" t="s">
        <v>4672</v>
      </c>
      <c r="G230">
        <v>59</v>
      </c>
      <c r="H230" t="s">
        <v>4656</v>
      </c>
      <c r="J230" t="s">
        <v>4673</v>
      </c>
      <c r="K230" s="2059">
        <v>3.1E-2</v>
      </c>
      <c r="L230" t="s">
        <v>4225</v>
      </c>
      <c r="M230">
        <v>0.4</v>
      </c>
      <c r="N230">
        <v>1450</v>
      </c>
      <c r="O230">
        <v>60</v>
      </c>
      <c r="P230">
        <v>60</v>
      </c>
      <c r="U230" t="s">
        <v>1678</v>
      </c>
      <c r="V230">
        <v>43281</v>
      </c>
    </row>
    <row r="231" spans="1:24">
      <c r="A231">
        <v>26</v>
      </c>
      <c r="B231">
        <v>16050054</v>
      </c>
      <c r="C231" t="s">
        <v>4609</v>
      </c>
      <c r="D231" t="s">
        <v>4610</v>
      </c>
      <c r="E231" t="s">
        <v>4674</v>
      </c>
      <c r="F231" t="s">
        <v>4674</v>
      </c>
      <c r="G231">
        <v>59</v>
      </c>
      <c r="H231" t="s">
        <v>4656</v>
      </c>
      <c r="J231" t="s">
        <v>4673</v>
      </c>
      <c r="K231" s="2059">
        <v>3.1E-2</v>
      </c>
      <c r="L231" t="s">
        <v>4667</v>
      </c>
      <c r="M231">
        <v>0.4</v>
      </c>
      <c r="N231">
        <v>1450</v>
      </c>
      <c r="O231">
        <v>60</v>
      </c>
      <c r="P231">
        <v>60</v>
      </c>
      <c r="U231" t="s">
        <v>1678</v>
      </c>
      <c r="V231">
        <v>43281</v>
      </c>
    </row>
    <row r="232" spans="1:24">
      <c r="A232">
        <v>26</v>
      </c>
      <c r="B232">
        <v>16050055</v>
      </c>
      <c r="C232" t="s">
        <v>4609</v>
      </c>
      <c r="D232" t="s">
        <v>4610</v>
      </c>
      <c r="E232" t="s">
        <v>4675</v>
      </c>
      <c r="F232" t="s">
        <v>4675</v>
      </c>
      <c r="G232">
        <v>59</v>
      </c>
      <c r="H232" t="s">
        <v>4656</v>
      </c>
      <c r="J232" t="s">
        <v>4676</v>
      </c>
      <c r="K232" s="2059">
        <v>2.9000000000000001E-2</v>
      </c>
      <c r="L232" t="s">
        <v>4373</v>
      </c>
      <c r="M232">
        <v>0.4</v>
      </c>
      <c r="N232">
        <v>1450</v>
      </c>
      <c r="O232">
        <v>60</v>
      </c>
      <c r="P232">
        <v>60</v>
      </c>
      <c r="U232" t="s">
        <v>1678</v>
      </c>
      <c r="V232">
        <v>43281</v>
      </c>
    </row>
    <row r="233" spans="1:24">
      <c r="A233">
        <v>26</v>
      </c>
      <c r="B233">
        <v>15100221</v>
      </c>
      <c r="C233" t="s">
        <v>4609</v>
      </c>
      <c r="D233" t="s">
        <v>4610</v>
      </c>
      <c r="E233" t="s">
        <v>4677</v>
      </c>
      <c r="F233" t="s">
        <v>4678</v>
      </c>
      <c r="G233">
        <v>59</v>
      </c>
      <c r="H233" t="s">
        <v>4656</v>
      </c>
      <c r="J233" t="s">
        <v>4618</v>
      </c>
      <c r="K233" s="2059">
        <v>3.1E-2</v>
      </c>
      <c r="L233" t="s">
        <v>4225</v>
      </c>
      <c r="M233">
        <v>0.4</v>
      </c>
      <c r="N233">
        <v>1450</v>
      </c>
      <c r="O233">
        <v>60</v>
      </c>
      <c r="P233">
        <v>60</v>
      </c>
      <c r="U233" t="s">
        <v>1678</v>
      </c>
      <c r="V233">
        <v>43100</v>
      </c>
    </row>
    <row r="234" spans="1:24">
      <c r="A234">
        <v>26</v>
      </c>
      <c r="B234">
        <v>15100222</v>
      </c>
      <c r="C234" t="s">
        <v>4609</v>
      </c>
      <c r="D234" t="s">
        <v>4610</v>
      </c>
      <c r="E234" t="s">
        <v>4679</v>
      </c>
      <c r="F234" t="s">
        <v>4680</v>
      </c>
      <c r="G234">
        <v>59</v>
      </c>
      <c r="H234" t="s">
        <v>4656</v>
      </c>
      <c r="J234" t="s">
        <v>4681</v>
      </c>
      <c r="K234" s="2059">
        <v>3.5000000000000003E-2</v>
      </c>
      <c r="L234" t="s">
        <v>4321</v>
      </c>
      <c r="M234">
        <v>0.4</v>
      </c>
      <c r="N234">
        <v>1450</v>
      </c>
      <c r="O234">
        <v>60</v>
      </c>
      <c r="P234">
        <v>60</v>
      </c>
      <c r="U234" t="s">
        <v>1678</v>
      </c>
      <c r="V234">
        <v>43100</v>
      </c>
    </row>
    <row r="235" spans="1:24">
      <c r="A235">
        <v>26</v>
      </c>
      <c r="B235">
        <v>16090221</v>
      </c>
      <c r="C235" t="s">
        <v>4609</v>
      </c>
      <c r="D235" t="s">
        <v>4610</v>
      </c>
      <c r="E235" t="s">
        <v>4682</v>
      </c>
      <c r="F235" t="s">
        <v>4682</v>
      </c>
      <c r="G235">
        <v>107</v>
      </c>
      <c r="H235" t="s">
        <v>4683</v>
      </c>
      <c r="J235" t="s">
        <v>4684</v>
      </c>
      <c r="K235" s="2059">
        <v>3.2000000000000001E-2</v>
      </c>
      <c r="L235" t="s">
        <v>4685</v>
      </c>
      <c r="M235">
        <v>0.4</v>
      </c>
      <c r="N235">
        <v>1450</v>
      </c>
      <c r="O235">
        <v>60</v>
      </c>
      <c r="P235">
        <v>60</v>
      </c>
      <c r="U235" t="s">
        <v>1678</v>
      </c>
      <c r="V235">
        <v>43465</v>
      </c>
    </row>
    <row r="236" spans="1:24">
      <c r="A236">
        <v>26</v>
      </c>
      <c r="B236">
        <v>16090222</v>
      </c>
      <c r="C236" t="s">
        <v>4609</v>
      </c>
      <c r="D236" t="s">
        <v>4610</v>
      </c>
      <c r="E236" t="s">
        <v>4686</v>
      </c>
      <c r="F236" t="s">
        <v>4686</v>
      </c>
      <c r="G236">
        <v>107</v>
      </c>
      <c r="H236" t="s">
        <v>4683</v>
      </c>
      <c r="J236" t="s">
        <v>4687</v>
      </c>
      <c r="K236" s="2059">
        <v>3.1E-2</v>
      </c>
      <c r="L236" t="s">
        <v>4685</v>
      </c>
      <c r="M236">
        <v>0.4</v>
      </c>
      <c r="N236">
        <v>1450</v>
      </c>
      <c r="O236">
        <v>60</v>
      </c>
      <c r="P236">
        <v>60</v>
      </c>
      <c r="U236" t="s">
        <v>1678</v>
      </c>
      <c r="V236">
        <v>43465</v>
      </c>
    </row>
    <row r="237" spans="1:24">
      <c r="A237">
        <v>26</v>
      </c>
      <c r="B237">
        <v>14070011</v>
      </c>
      <c r="C237" t="s">
        <v>4609</v>
      </c>
      <c r="D237" t="s">
        <v>4610</v>
      </c>
      <c r="E237" t="s">
        <v>4688</v>
      </c>
      <c r="F237" t="s">
        <v>4689</v>
      </c>
      <c r="G237">
        <v>1</v>
      </c>
      <c r="H237" t="s">
        <v>4690</v>
      </c>
      <c r="J237">
        <v>20</v>
      </c>
      <c r="K237" s="2059">
        <v>0.03</v>
      </c>
      <c r="L237" t="s">
        <v>4691</v>
      </c>
      <c r="M237">
        <v>0.4</v>
      </c>
      <c r="N237">
        <v>1450</v>
      </c>
      <c r="O237">
        <v>60</v>
      </c>
      <c r="P237">
        <v>60</v>
      </c>
      <c r="U237" t="s">
        <v>1678</v>
      </c>
      <c r="V237">
        <v>42735</v>
      </c>
      <c r="W237" t="s">
        <v>4692</v>
      </c>
      <c r="X237" t="s">
        <v>4693</v>
      </c>
    </row>
    <row r="238" spans="1:24">
      <c r="A238">
        <v>26</v>
      </c>
      <c r="B238">
        <v>14070012</v>
      </c>
      <c r="C238" t="s">
        <v>4609</v>
      </c>
      <c r="D238" t="s">
        <v>4610</v>
      </c>
      <c r="E238" t="s">
        <v>4694</v>
      </c>
      <c r="F238" t="s">
        <v>4695</v>
      </c>
      <c r="G238">
        <v>1</v>
      </c>
      <c r="H238" t="s">
        <v>4690</v>
      </c>
      <c r="J238">
        <v>15</v>
      </c>
      <c r="K238" s="2059">
        <v>3.1E-2</v>
      </c>
      <c r="L238" t="s">
        <v>4696</v>
      </c>
      <c r="M238">
        <v>0.4</v>
      </c>
      <c r="N238">
        <v>1450</v>
      </c>
      <c r="O238">
        <v>60</v>
      </c>
      <c r="P238">
        <v>60</v>
      </c>
      <c r="U238" t="s">
        <v>1678</v>
      </c>
      <c r="V238">
        <v>42735</v>
      </c>
      <c r="W238" t="s">
        <v>4697</v>
      </c>
      <c r="X238" t="s">
        <v>4698</v>
      </c>
    </row>
    <row r="239" spans="1:24">
      <c r="A239">
        <v>26</v>
      </c>
      <c r="B239">
        <v>14070013</v>
      </c>
      <c r="C239" t="s">
        <v>4609</v>
      </c>
      <c r="D239" t="s">
        <v>4610</v>
      </c>
      <c r="E239" t="s">
        <v>4699</v>
      </c>
      <c r="F239" t="s">
        <v>4700</v>
      </c>
      <c r="G239">
        <v>1</v>
      </c>
      <c r="H239" t="s">
        <v>4690</v>
      </c>
      <c r="J239">
        <v>30</v>
      </c>
      <c r="K239" s="2059">
        <v>3.3000000000000002E-2</v>
      </c>
      <c r="L239" t="s">
        <v>4696</v>
      </c>
      <c r="M239">
        <v>0.4</v>
      </c>
      <c r="N239">
        <v>1450</v>
      </c>
      <c r="O239">
        <v>60</v>
      </c>
      <c r="P239">
        <v>60</v>
      </c>
      <c r="U239" t="s">
        <v>1678</v>
      </c>
      <c r="V239">
        <v>42735</v>
      </c>
    </row>
    <row r="240" spans="1:24">
      <c r="A240">
        <v>26</v>
      </c>
      <c r="B240">
        <v>14070014</v>
      </c>
      <c r="C240" t="s">
        <v>4609</v>
      </c>
      <c r="D240" t="s">
        <v>4610</v>
      </c>
      <c r="E240" t="s">
        <v>4701</v>
      </c>
      <c r="F240" t="s">
        <v>4702</v>
      </c>
      <c r="G240">
        <v>1</v>
      </c>
      <c r="H240" t="s">
        <v>4690</v>
      </c>
      <c r="J240" t="s">
        <v>4703</v>
      </c>
      <c r="K240" s="2059">
        <v>3.5999999999999997E-2</v>
      </c>
      <c r="L240" t="s">
        <v>4696</v>
      </c>
      <c r="M240">
        <v>0.4</v>
      </c>
      <c r="N240">
        <v>1450</v>
      </c>
      <c r="O240">
        <v>60</v>
      </c>
      <c r="P240">
        <v>60</v>
      </c>
      <c r="U240" t="s">
        <v>1678</v>
      </c>
      <c r="V240">
        <v>42735</v>
      </c>
      <c r="W240" t="s">
        <v>4704</v>
      </c>
      <c r="X240" t="s">
        <v>4705</v>
      </c>
    </row>
    <row r="241" spans="1:24">
      <c r="A241">
        <v>26</v>
      </c>
      <c r="B241">
        <v>14070015</v>
      </c>
      <c r="C241" t="s">
        <v>4609</v>
      </c>
      <c r="D241" t="s">
        <v>4610</v>
      </c>
      <c r="E241" t="s">
        <v>4706</v>
      </c>
      <c r="F241" t="s">
        <v>4707</v>
      </c>
      <c r="G241">
        <v>1</v>
      </c>
      <c r="H241" t="s">
        <v>4690</v>
      </c>
      <c r="J241" t="s">
        <v>4708</v>
      </c>
      <c r="K241" s="2059">
        <v>3.7999999999999999E-2</v>
      </c>
      <c r="L241" t="s">
        <v>4696</v>
      </c>
      <c r="M241">
        <v>0.4</v>
      </c>
      <c r="N241">
        <v>1450</v>
      </c>
      <c r="O241">
        <v>60</v>
      </c>
      <c r="P241">
        <v>60</v>
      </c>
      <c r="U241" t="s">
        <v>1678</v>
      </c>
      <c r="V241">
        <v>42735</v>
      </c>
      <c r="W241" t="s">
        <v>4709</v>
      </c>
      <c r="X241" t="s">
        <v>4710</v>
      </c>
    </row>
    <row r="242" spans="1:24">
      <c r="A242">
        <v>26</v>
      </c>
      <c r="B242">
        <v>14070016</v>
      </c>
      <c r="C242" t="s">
        <v>4609</v>
      </c>
      <c r="D242" t="s">
        <v>4610</v>
      </c>
      <c r="E242" t="s">
        <v>4711</v>
      </c>
      <c r="F242" t="s">
        <v>4712</v>
      </c>
      <c r="G242">
        <v>1</v>
      </c>
      <c r="H242" t="s">
        <v>4690</v>
      </c>
      <c r="J242">
        <v>15</v>
      </c>
      <c r="K242" s="2059">
        <v>3.7999999999999999E-2</v>
      </c>
      <c r="L242">
        <v>16011</v>
      </c>
      <c r="M242">
        <v>0.4</v>
      </c>
      <c r="N242">
        <v>1450</v>
      </c>
      <c r="O242">
        <v>60</v>
      </c>
      <c r="P242">
        <v>60</v>
      </c>
      <c r="U242" t="s">
        <v>1678</v>
      </c>
      <c r="V242">
        <v>42735</v>
      </c>
      <c r="W242" t="s">
        <v>4504</v>
      </c>
      <c r="X242" t="s">
        <v>4471</v>
      </c>
    </row>
    <row r="243" spans="1:24">
      <c r="A243">
        <v>26</v>
      </c>
      <c r="B243">
        <v>15080041</v>
      </c>
      <c r="C243" t="s">
        <v>4609</v>
      </c>
      <c r="D243" t="s">
        <v>4610</v>
      </c>
      <c r="E243" t="s">
        <v>4713</v>
      </c>
      <c r="F243" t="s">
        <v>4714</v>
      </c>
      <c r="G243">
        <v>1</v>
      </c>
      <c r="H243" t="s">
        <v>4690</v>
      </c>
      <c r="J243" t="s">
        <v>4638</v>
      </c>
      <c r="K243" s="2059">
        <v>3.1E-2</v>
      </c>
      <c r="L243" t="s">
        <v>4715</v>
      </c>
      <c r="M243">
        <v>0.4</v>
      </c>
      <c r="N243">
        <v>1450</v>
      </c>
      <c r="O243">
        <v>60</v>
      </c>
      <c r="P243">
        <v>60</v>
      </c>
      <c r="U243" t="s">
        <v>1678</v>
      </c>
      <c r="V243">
        <v>43100</v>
      </c>
      <c r="W243" t="s">
        <v>4716</v>
      </c>
      <c r="X243" t="s">
        <v>4717</v>
      </c>
    </row>
    <row r="244" spans="1:24">
      <c r="A244">
        <v>26</v>
      </c>
      <c r="B244">
        <v>16080151</v>
      </c>
      <c r="C244" t="s">
        <v>4609</v>
      </c>
      <c r="D244" t="s">
        <v>4610</v>
      </c>
      <c r="E244" t="s">
        <v>4718</v>
      </c>
      <c r="F244" t="s">
        <v>4719</v>
      </c>
      <c r="G244">
        <v>123</v>
      </c>
      <c r="H244" t="s">
        <v>4720</v>
      </c>
      <c r="J244" t="s">
        <v>4721</v>
      </c>
      <c r="K244" s="2059">
        <v>3.5000000000000003E-2</v>
      </c>
      <c r="L244" t="s">
        <v>4178</v>
      </c>
      <c r="M244">
        <v>0.4</v>
      </c>
      <c r="N244">
        <v>1450</v>
      </c>
      <c r="O244">
        <v>60</v>
      </c>
      <c r="P244">
        <v>60</v>
      </c>
      <c r="U244" t="s">
        <v>1678</v>
      </c>
      <c r="V244">
        <v>43465</v>
      </c>
    </row>
    <row r="245" spans="1:24">
      <c r="A245">
        <v>26</v>
      </c>
      <c r="B245">
        <v>16080152</v>
      </c>
      <c r="C245" t="s">
        <v>4609</v>
      </c>
      <c r="D245" t="s">
        <v>4610</v>
      </c>
      <c r="E245" t="s">
        <v>4722</v>
      </c>
      <c r="F245" t="s">
        <v>4723</v>
      </c>
      <c r="G245">
        <v>123</v>
      </c>
      <c r="H245" t="s">
        <v>4720</v>
      </c>
      <c r="J245" t="s">
        <v>4724</v>
      </c>
      <c r="K245" s="2059">
        <v>0.04</v>
      </c>
      <c r="L245" t="s">
        <v>4178</v>
      </c>
      <c r="M245">
        <v>0.4</v>
      </c>
      <c r="N245">
        <v>1450</v>
      </c>
      <c r="O245">
        <v>60</v>
      </c>
      <c r="P245">
        <v>60</v>
      </c>
      <c r="U245" t="s">
        <v>446</v>
      </c>
      <c r="V245">
        <v>43465</v>
      </c>
    </row>
    <row r="246" spans="1:24">
      <c r="A246">
        <v>26</v>
      </c>
      <c r="B246">
        <v>16080153</v>
      </c>
      <c r="C246" t="s">
        <v>4609</v>
      </c>
      <c r="D246" t="s">
        <v>4610</v>
      </c>
      <c r="E246" t="s">
        <v>4725</v>
      </c>
      <c r="F246" t="s">
        <v>4726</v>
      </c>
      <c r="G246">
        <v>123</v>
      </c>
      <c r="H246" t="s">
        <v>4720</v>
      </c>
      <c r="J246" t="s">
        <v>4727</v>
      </c>
      <c r="K246" s="2059">
        <v>0.04</v>
      </c>
      <c r="L246" t="s">
        <v>4728</v>
      </c>
      <c r="M246">
        <v>0.4</v>
      </c>
      <c r="N246">
        <v>1450</v>
      </c>
      <c r="O246">
        <v>60</v>
      </c>
      <c r="P246">
        <v>60</v>
      </c>
      <c r="U246" t="s">
        <v>1678</v>
      </c>
      <c r="V246">
        <v>43465</v>
      </c>
    </row>
    <row r="247" spans="1:24">
      <c r="A247">
        <v>26</v>
      </c>
      <c r="B247">
        <v>16080154</v>
      </c>
      <c r="C247" t="s">
        <v>4609</v>
      </c>
      <c r="D247" t="s">
        <v>4610</v>
      </c>
      <c r="E247" t="s">
        <v>4729</v>
      </c>
      <c r="F247" t="s">
        <v>4730</v>
      </c>
      <c r="G247">
        <v>123</v>
      </c>
      <c r="H247" t="s">
        <v>4720</v>
      </c>
      <c r="J247" t="s">
        <v>4731</v>
      </c>
      <c r="K247" s="2059">
        <v>3.5000000000000003E-2</v>
      </c>
      <c r="L247" t="s">
        <v>4178</v>
      </c>
      <c r="M247">
        <v>0.4</v>
      </c>
      <c r="N247">
        <v>1450</v>
      </c>
      <c r="O247">
        <v>60</v>
      </c>
      <c r="P247">
        <v>60</v>
      </c>
      <c r="U247" t="s">
        <v>446</v>
      </c>
      <c r="V247">
        <v>43465</v>
      </c>
    </row>
    <row r="248" spans="1:24">
      <c r="A248">
        <v>26</v>
      </c>
      <c r="B248">
        <v>16080155</v>
      </c>
      <c r="C248" t="s">
        <v>4609</v>
      </c>
      <c r="D248" t="s">
        <v>4610</v>
      </c>
      <c r="E248" t="s">
        <v>4732</v>
      </c>
      <c r="F248" t="s">
        <v>4733</v>
      </c>
      <c r="G248">
        <v>123</v>
      </c>
      <c r="H248" t="s">
        <v>4720</v>
      </c>
      <c r="J248" t="s">
        <v>4618</v>
      </c>
      <c r="K248" s="2059">
        <v>3.5000000000000003E-2</v>
      </c>
      <c r="L248" t="s">
        <v>4178</v>
      </c>
      <c r="M248">
        <v>0.4</v>
      </c>
      <c r="N248">
        <v>1450</v>
      </c>
      <c r="O248">
        <v>60</v>
      </c>
      <c r="P248">
        <v>60</v>
      </c>
      <c r="U248" t="s">
        <v>1678</v>
      </c>
      <c r="V248">
        <v>43465</v>
      </c>
    </row>
    <row r="249" spans="1:24">
      <c r="A249">
        <v>26</v>
      </c>
      <c r="B249">
        <v>16080156</v>
      </c>
      <c r="C249" t="s">
        <v>4609</v>
      </c>
      <c r="D249" t="s">
        <v>4610</v>
      </c>
      <c r="E249" t="s">
        <v>4734</v>
      </c>
      <c r="F249" t="s">
        <v>4735</v>
      </c>
      <c r="G249">
        <v>123</v>
      </c>
      <c r="H249" t="s">
        <v>4720</v>
      </c>
      <c r="J249" t="s">
        <v>4736</v>
      </c>
      <c r="K249" s="2059">
        <v>3.5000000000000003E-2</v>
      </c>
      <c r="L249" t="s">
        <v>4178</v>
      </c>
      <c r="M249">
        <v>0.4</v>
      </c>
      <c r="N249">
        <v>1450</v>
      </c>
      <c r="O249">
        <v>60</v>
      </c>
      <c r="P249">
        <v>60</v>
      </c>
      <c r="U249" t="s">
        <v>446</v>
      </c>
      <c r="V249">
        <v>43465</v>
      </c>
    </row>
    <row r="250" spans="1:24">
      <c r="A250">
        <v>26</v>
      </c>
      <c r="B250">
        <v>16080157</v>
      </c>
      <c r="C250" t="s">
        <v>4609</v>
      </c>
      <c r="D250" t="s">
        <v>4610</v>
      </c>
      <c r="E250" t="s">
        <v>4737</v>
      </c>
      <c r="F250" t="s">
        <v>4738</v>
      </c>
      <c r="G250">
        <v>123</v>
      </c>
      <c r="H250" t="s">
        <v>4720</v>
      </c>
      <c r="J250" t="s">
        <v>4361</v>
      </c>
      <c r="K250" s="2059">
        <v>3.5000000000000003E-2</v>
      </c>
      <c r="L250" t="s">
        <v>4178</v>
      </c>
      <c r="M250">
        <v>0.4</v>
      </c>
      <c r="N250">
        <v>1450</v>
      </c>
      <c r="O250">
        <v>60</v>
      </c>
      <c r="P250">
        <v>60</v>
      </c>
      <c r="U250" t="s">
        <v>1678</v>
      </c>
      <c r="V250">
        <v>43465</v>
      </c>
    </row>
    <row r="251" spans="1:24">
      <c r="A251">
        <v>26</v>
      </c>
      <c r="B251">
        <v>16080158</v>
      </c>
      <c r="C251" t="s">
        <v>4609</v>
      </c>
      <c r="D251" t="s">
        <v>4610</v>
      </c>
      <c r="E251" t="s">
        <v>4739</v>
      </c>
      <c r="F251" t="s">
        <v>4740</v>
      </c>
      <c r="G251">
        <v>123</v>
      </c>
      <c r="H251" t="s">
        <v>4720</v>
      </c>
      <c r="J251" t="s">
        <v>4741</v>
      </c>
      <c r="K251" s="2059">
        <v>4.4999999999999998E-2</v>
      </c>
      <c r="L251" t="s">
        <v>4742</v>
      </c>
      <c r="M251">
        <v>0.4</v>
      </c>
      <c r="N251">
        <v>1450</v>
      </c>
      <c r="O251">
        <v>60</v>
      </c>
      <c r="P251">
        <v>60</v>
      </c>
      <c r="U251" t="s">
        <v>446</v>
      </c>
      <c r="V251">
        <v>43465</v>
      </c>
    </row>
    <row r="252" spans="1:24">
      <c r="A252">
        <v>26</v>
      </c>
      <c r="B252">
        <v>16080159</v>
      </c>
      <c r="C252" t="s">
        <v>4609</v>
      </c>
      <c r="D252" t="s">
        <v>4610</v>
      </c>
      <c r="E252" t="s">
        <v>4743</v>
      </c>
      <c r="F252" t="s">
        <v>4744</v>
      </c>
      <c r="G252">
        <v>123</v>
      </c>
      <c r="H252" t="s">
        <v>4720</v>
      </c>
      <c r="J252" t="s">
        <v>4745</v>
      </c>
      <c r="K252" s="2059">
        <v>3.1E-2</v>
      </c>
      <c r="L252" t="s">
        <v>4173</v>
      </c>
      <c r="M252">
        <v>0.4</v>
      </c>
      <c r="N252">
        <v>1450</v>
      </c>
      <c r="O252">
        <v>60</v>
      </c>
      <c r="P252">
        <v>60</v>
      </c>
      <c r="U252" t="s">
        <v>1678</v>
      </c>
      <c r="V252">
        <v>43465</v>
      </c>
    </row>
    <row r="253" spans="1:24">
      <c r="A253">
        <v>26</v>
      </c>
      <c r="B253">
        <v>15060041</v>
      </c>
      <c r="C253" t="s">
        <v>4609</v>
      </c>
      <c r="D253" t="s">
        <v>4610</v>
      </c>
      <c r="E253" t="s">
        <v>4746</v>
      </c>
      <c r="F253" t="s">
        <v>4746</v>
      </c>
      <c r="G253">
        <v>123</v>
      </c>
      <c r="H253" t="s">
        <v>4720</v>
      </c>
      <c r="J253" t="s">
        <v>4747</v>
      </c>
      <c r="K253" s="2059">
        <v>3.7999999999999999E-2</v>
      </c>
      <c r="L253" t="s">
        <v>4178</v>
      </c>
      <c r="M253">
        <v>0.4</v>
      </c>
      <c r="N253">
        <v>1450</v>
      </c>
      <c r="O253">
        <v>60</v>
      </c>
      <c r="P253">
        <v>60</v>
      </c>
      <c r="U253" t="s">
        <v>1678</v>
      </c>
      <c r="V253">
        <v>42916</v>
      </c>
    </row>
    <row r="254" spans="1:24">
      <c r="A254">
        <v>26</v>
      </c>
      <c r="B254">
        <v>15060042</v>
      </c>
      <c r="C254" t="s">
        <v>4609</v>
      </c>
      <c r="D254" t="s">
        <v>4610</v>
      </c>
      <c r="E254" t="s">
        <v>4748</v>
      </c>
      <c r="F254" t="s">
        <v>4748</v>
      </c>
      <c r="G254">
        <v>123</v>
      </c>
      <c r="H254" t="s">
        <v>4720</v>
      </c>
      <c r="J254" t="s">
        <v>4724</v>
      </c>
      <c r="K254" s="2059">
        <v>3.1E-2</v>
      </c>
      <c r="L254" t="s">
        <v>4625</v>
      </c>
      <c r="M254">
        <v>0.4</v>
      </c>
      <c r="N254">
        <v>1450</v>
      </c>
      <c r="O254">
        <v>60</v>
      </c>
      <c r="P254">
        <v>60</v>
      </c>
      <c r="U254" t="s">
        <v>1678</v>
      </c>
      <c r="V254">
        <v>42916</v>
      </c>
    </row>
    <row r="255" spans="1:24">
      <c r="A255">
        <v>26</v>
      </c>
      <c r="B255">
        <v>15100061</v>
      </c>
      <c r="C255" t="s">
        <v>4609</v>
      </c>
      <c r="D255" t="s">
        <v>4610</v>
      </c>
      <c r="E255" t="s">
        <v>4749</v>
      </c>
      <c r="F255" t="s">
        <v>4749</v>
      </c>
      <c r="G255">
        <v>123</v>
      </c>
      <c r="H255" t="s">
        <v>4720</v>
      </c>
      <c r="J255" t="s">
        <v>4750</v>
      </c>
      <c r="K255" s="2059">
        <v>3.4000000000000002E-2</v>
      </c>
      <c r="L255" t="s">
        <v>4696</v>
      </c>
      <c r="M255">
        <v>0.4</v>
      </c>
      <c r="N255">
        <v>1450</v>
      </c>
      <c r="O255">
        <v>60</v>
      </c>
      <c r="P255">
        <v>60</v>
      </c>
      <c r="U255" t="s">
        <v>1678</v>
      </c>
      <c r="V255">
        <v>43100</v>
      </c>
    </row>
    <row r="256" spans="1:24">
      <c r="A256">
        <v>26</v>
      </c>
      <c r="B256">
        <v>15100062</v>
      </c>
      <c r="C256" t="s">
        <v>4609</v>
      </c>
      <c r="D256" t="s">
        <v>4610</v>
      </c>
      <c r="E256" t="s">
        <v>4751</v>
      </c>
      <c r="F256" t="s">
        <v>4751</v>
      </c>
      <c r="G256">
        <v>123</v>
      </c>
      <c r="H256" t="s">
        <v>4720</v>
      </c>
      <c r="J256" t="s">
        <v>4750</v>
      </c>
      <c r="K256" s="2059">
        <v>3.4000000000000002E-2</v>
      </c>
      <c r="L256" t="s">
        <v>4696</v>
      </c>
      <c r="M256">
        <v>0.4</v>
      </c>
      <c r="N256">
        <v>1450</v>
      </c>
      <c r="O256">
        <v>60</v>
      </c>
      <c r="P256">
        <v>60</v>
      </c>
      <c r="U256" t="s">
        <v>1678</v>
      </c>
      <c r="V256">
        <v>43100</v>
      </c>
    </row>
    <row r="257" spans="1:24">
      <c r="A257">
        <v>26</v>
      </c>
      <c r="B257">
        <v>15100063</v>
      </c>
      <c r="C257" t="s">
        <v>4609</v>
      </c>
      <c r="D257" t="s">
        <v>4610</v>
      </c>
      <c r="E257" t="s">
        <v>4752</v>
      </c>
      <c r="F257" t="s">
        <v>4753</v>
      </c>
      <c r="G257">
        <v>123</v>
      </c>
      <c r="H257" t="s">
        <v>4720</v>
      </c>
      <c r="J257" t="s">
        <v>4684</v>
      </c>
      <c r="K257" s="2059">
        <v>3.1E-2</v>
      </c>
      <c r="L257" t="s">
        <v>4667</v>
      </c>
      <c r="M257">
        <v>0.4</v>
      </c>
      <c r="N257">
        <v>1450</v>
      </c>
      <c r="O257">
        <v>60</v>
      </c>
      <c r="P257">
        <v>60</v>
      </c>
      <c r="U257" t="s">
        <v>1678</v>
      </c>
      <c r="V257">
        <v>43100</v>
      </c>
    </row>
    <row r="258" spans="1:24">
      <c r="A258">
        <v>26</v>
      </c>
      <c r="B258">
        <v>16020011</v>
      </c>
      <c r="C258" t="s">
        <v>4609</v>
      </c>
      <c r="D258" t="s">
        <v>4610</v>
      </c>
      <c r="E258" t="s">
        <v>4754</v>
      </c>
      <c r="F258" t="s">
        <v>4754</v>
      </c>
      <c r="G258">
        <v>123</v>
      </c>
      <c r="H258" t="s">
        <v>4720</v>
      </c>
      <c r="J258" t="s">
        <v>4724</v>
      </c>
      <c r="K258" s="2059">
        <v>3.1E-2</v>
      </c>
      <c r="L258" t="s">
        <v>4625</v>
      </c>
      <c r="M258">
        <v>0.4</v>
      </c>
      <c r="N258">
        <v>1450</v>
      </c>
      <c r="O258">
        <v>60</v>
      </c>
      <c r="P258">
        <v>60</v>
      </c>
      <c r="U258" t="s">
        <v>1678</v>
      </c>
      <c r="V258">
        <v>42916</v>
      </c>
    </row>
    <row r="259" spans="1:24">
      <c r="A259">
        <v>26</v>
      </c>
      <c r="B259">
        <v>15100191</v>
      </c>
      <c r="C259" t="s">
        <v>4609</v>
      </c>
      <c r="D259" t="s">
        <v>4610</v>
      </c>
      <c r="E259" t="s">
        <v>4755</v>
      </c>
      <c r="F259" t="s">
        <v>4755</v>
      </c>
      <c r="G259">
        <v>147</v>
      </c>
      <c r="H259" t="s">
        <v>4756</v>
      </c>
      <c r="J259">
        <v>15</v>
      </c>
      <c r="K259" s="2059">
        <v>3.7999999999999999E-2</v>
      </c>
      <c r="L259" t="s">
        <v>4696</v>
      </c>
      <c r="M259">
        <v>0.4</v>
      </c>
      <c r="N259">
        <v>1450</v>
      </c>
      <c r="O259">
        <v>60</v>
      </c>
      <c r="P259">
        <v>60</v>
      </c>
      <c r="U259" t="s">
        <v>1678</v>
      </c>
      <c r="V259">
        <v>43100</v>
      </c>
      <c r="W259" t="s">
        <v>4757</v>
      </c>
    </row>
    <row r="260" spans="1:24">
      <c r="A260">
        <v>26</v>
      </c>
      <c r="B260">
        <v>15100192</v>
      </c>
      <c r="C260" t="s">
        <v>4609</v>
      </c>
      <c r="D260" t="s">
        <v>4610</v>
      </c>
      <c r="E260" t="s">
        <v>4758</v>
      </c>
      <c r="F260" t="s">
        <v>4758</v>
      </c>
      <c r="G260">
        <v>147</v>
      </c>
      <c r="H260" t="s">
        <v>4756</v>
      </c>
      <c r="J260">
        <v>20</v>
      </c>
      <c r="K260" s="2059">
        <v>3.5999999999999997E-2</v>
      </c>
      <c r="L260" t="s">
        <v>4696</v>
      </c>
      <c r="M260">
        <v>0.4</v>
      </c>
      <c r="N260">
        <v>1450</v>
      </c>
      <c r="O260">
        <v>60</v>
      </c>
      <c r="P260">
        <v>60</v>
      </c>
      <c r="U260" t="s">
        <v>1678</v>
      </c>
      <c r="V260">
        <v>43100</v>
      </c>
      <c r="W260" t="s">
        <v>4759</v>
      </c>
    </row>
    <row r="261" spans="1:24">
      <c r="A261">
        <v>26</v>
      </c>
      <c r="B261">
        <v>15100193</v>
      </c>
      <c r="C261" t="s">
        <v>4609</v>
      </c>
      <c r="D261" t="s">
        <v>4610</v>
      </c>
      <c r="E261" t="s">
        <v>4760</v>
      </c>
      <c r="F261" t="s">
        <v>4760</v>
      </c>
      <c r="G261">
        <v>147</v>
      </c>
      <c r="H261" t="s">
        <v>4756</v>
      </c>
      <c r="J261">
        <v>30</v>
      </c>
      <c r="K261" s="2059">
        <v>3.3000000000000002E-2</v>
      </c>
      <c r="L261" t="s">
        <v>4696</v>
      </c>
      <c r="M261">
        <v>0.4</v>
      </c>
      <c r="N261">
        <v>1450</v>
      </c>
      <c r="O261">
        <v>60</v>
      </c>
      <c r="P261">
        <v>60</v>
      </c>
      <c r="U261" t="s">
        <v>1678</v>
      </c>
      <c r="V261">
        <v>43100</v>
      </c>
      <c r="W261" t="s">
        <v>4757</v>
      </c>
    </row>
    <row r="262" spans="1:24">
      <c r="A262">
        <v>26</v>
      </c>
      <c r="B262">
        <v>15100194</v>
      </c>
      <c r="C262" t="s">
        <v>4609</v>
      </c>
      <c r="D262" t="s">
        <v>4610</v>
      </c>
      <c r="E262" t="s">
        <v>4761</v>
      </c>
      <c r="F262" t="s">
        <v>4761</v>
      </c>
      <c r="G262">
        <v>147</v>
      </c>
      <c r="H262" t="s">
        <v>4756</v>
      </c>
      <c r="J262">
        <v>23</v>
      </c>
      <c r="K262" s="2059">
        <v>3.4000000000000002E-2</v>
      </c>
      <c r="L262" t="s">
        <v>4169</v>
      </c>
      <c r="M262">
        <v>0.4</v>
      </c>
      <c r="N262">
        <v>1450</v>
      </c>
      <c r="O262">
        <v>60</v>
      </c>
      <c r="P262">
        <v>60</v>
      </c>
      <c r="U262" t="s">
        <v>1678</v>
      </c>
      <c r="V262">
        <v>43100</v>
      </c>
      <c r="W262" t="s">
        <v>4762</v>
      </c>
    </row>
    <row r="263" spans="1:24">
      <c r="A263">
        <v>26</v>
      </c>
      <c r="B263">
        <v>15100195</v>
      </c>
      <c r="C263" t="s">
        <v>4609</v>
      </c>
      <c r="D263" t="s">
        <v>4610</v>
      </c>
      <c r="E263" t="s">
        <v>4763</v>
      </c>
      <c r="F263" t="s">
        <v>4763</v>
      </c>
      <c r="G263">
        <v>147</v>
      </c>
      <c r="H263" t="s">
        <v>4756</v>
      </c>
      <c r="J263">
        <v>23</v>
      </c>
      <c r="K263" s="2059">
        <v>0.03</v>
      </c>
      <c r="L263" t="s">
        <v>4169</v>
      </c>
      <c r="M263">
        <v>0.4</v>
      </c>
      <c r="N263">
        <v>1450</v>
      </c>
      <c r="O263">
        <v>60</v>
      </c>
      <c r="P263">
        <v>60</v>
      </c>
      <c r="U263" t="s">
        <v>1678</v>
      </c>
      <c r="V263">
        <v>43100</v>
      </c>
      <c r="W263" t="s">
        <v>4764</v>
      </c>
    </row>
    <row r="264" spans="1:24">
      <c r="A264">
        <v>26</v>
      </c>
      <c r="B264">
        <v>15100196</v>
      </c>
      <c r="C264" t="s">
        <v>4609</v>
      </c>
      <c r="D264" t="s">
        <v>4610</v>
      </c>
      <c r="E264" t="s">
        <v>4765</v>
      </c>
      <c r="F264" t="s">
        <v>4765</v>
      </c>
      <c r="G264">
        <v>147</v>
      </c>
      <c r="H264" t="s">
        <v>4756</v>
      </c>
      <c r="J264">
        <v>25</v>
      </c>
      <c r="K264" s="2059">
        <v>3.3000000000000002E-2</v>
      </c>
      <c r="L264" t="s">
        <v>4696</v>
      </c>
      <c r="M264">
        <v>0.4</v>
      </c>
      <c r="N264">
        <v>1450</v>
      </c>
      <c r="O264">
        <v>60</v>
      </c>
      <c r="P264">
        <v>60</v>
      </c>
      <c r="U264" t="s">
        <v>1678</v>
      </c>
      <c r="V264">
        <v>43100</v>
      </c>
      <c r="W264" t="s">
        <v>4766</v>
      </c>
    </row>
    <row r="265" spans="1:24">
      <c r="A265">
        <v>26</v>
      </c>
      <c r="B265">
        <v>15100197</v>
      </c>
      <c r="C265" t="s">
        <v>4609</v>
      </c>
      <c r="D265" t="s">
        <v>4610</v>
      </c>
      <c r="E265" t="s">
        <v>4767</v>
      </c>
      <c r="F265" t="s">
        <v>4767</v>
      </c>
      <c r="G265">
        <v>147</v>
      </c>
      <c r="H265" t="s">
        <v>4756</v>
      </c>
      <c r="J265">
        <v>15</v>
      </c>
      <c r="K265" s="2059">
        <v>3.1E-2</v>
      </c>
      <c r="L265" t="s">
        <v>4768</v>
      </c>
      <c r="M265">
        <v>0.4</v>
      </c>
      <c r="N265">
        <v>1450</v>
      </c>
      <c r="O265">
        <v>60</v>
      </c>
      <c r="P265">
        <v>60</v>
      </c>
      <c r="U265" t="s">
        <v>1678</v>
      </c>
      <c r="V265">
        <v>43100</v>
      </c>
      <c r="W265" t="s">
        <v>4769</v>
      </c>
    </row>
    <row r="266" spans="1:24">
      <c r="A266">
        <v>26</v>
      </c>
      <c r="B266">
        <v>15100198</v>
      </c>
      <c r="C266" t="s">
        <v>4609</v>
      </c>
      <c r="D266" t="s">
        <v>4610</v>
      </c>
      <c r="E266" t="s">
        <v>4770</v>
      </c>
      <c r="F266" t="s">
        <v>4770</v>
      </c>
      <c r="G266">
        <v>147</v>
      </c>
      <c r="H266" t="s">
        <v>4756</v>
      </c>
      <c r="J266">
        <v>18</v>
      </c>
      <c r="K266" s="2059">
        <v>0.03</v>
      </c>
      <c r="L266" t="s">
        <v>4768</v>
      </c>
      <c r="M266">
        <v>0.4</v>
      </c>
      <c r="N266">
        <v>1450</v>
      </c>
      <c r="O266">
        <v>60</v>
      </c>
      <c r="P266">
        <v>60</v>
      </c>
      <c r="U266" t="s">
        <v>1678</v>
      </c>
      <c r="V266">
        <v>43100</v>
      </c>
      <c r="W266" t="s">
        <v>4769</v>
      </c>
    </row>
    <row r="267" spans="1:24">
      <c r="A267">
        <v>26</v>
      </c>
      <c r="B267">
        <v>15100199</v>
      </c>
      <c r="C267" t="s">
        <v>4609</v>
      </c>
      <c r="D267" t="s">
        <v>4610</v>
      </c>
      <c r="E267" t="s">
        <v>4771</v>
      </c>
      <c r="F267" t="s">
        <v>4771</v>
      </c>
      <c r="G267">
        <v>147</v>
      </c>
      <c r="H267" t="s">
        <v>4756</v>
      </c>
      <c r="J267">
        <v>18</v>
      </c>
      <c r="K267" s="2059">
        <v>0.03</v>
      </c>
      <c r="L267" t="s">
        <v>4166</v>
      </c>
      <c r="M267">
        <v>0.4</v>
      </c>
      <c r="N267">
        <v>1450</v>
      </c>
      <c r="O267">
        <v>60</v>
      </c>
      <c r="P267">
        <v>60</v>
      </c>
      <c r="U267" t="s">
        <v>1678</v>
      </c>
      <c r="V267">
        <v>43100</v>
      </c>
      <c r="W267" t="s">
        <v>4772</v>
      </c>
    </row>
    <row r="268" spans="1:24">
      <c r="A268">
        <v>26</v>
      </c>
      <c r="B268">
        <v>15100200</v>
      </c>
      <c r="C268" t="s">
        <v>4609</v>
      </c>
      <c r="D268" t="s">
        <v>4610</v>
      </c>
      <c r="E268" t="s">
        <v>4773</v>
      </c>
      <c r="F268" t="s">
        <v>4773</v>
      </c>
      <c r="G268">
        <v>147</v>
      </c>
      <c r="H268" t="s">
        <v>4756</v>
      </c>
      <c r="J268">
        <v>13</v>
      </c>
      <c r="K268" s="2059">
        <v>3.9E-2</v>
      </c>
      <c r="L268" t="s">
        <v>4774</v>
      </c>
      <c r="M268">
        <v>0.4</v>
      </c>
      <c r="N268">
        <v>1450</v>
      </c>
      <c r="O268">
        <v>60</v>
      </c>
      <c r="P268">
        <v>60</v>
      </c>
      <c r="U268" t="s">
        <v>1678</v>
      </c>
      <c r="V268">
        <v>43100</v>
      </c>
      <c r="W268" t="s">
        <v>4775</v>
      </c>
    </row>
    <row r="269" spans="1:24">
      <c r="A269">
        <v>26</v>
      </c>
      <c r="B269">
        <v>15100201</v>
      </c>
      <c r="C269" t="s">
        <v>4609</v>
      </c>
      <c r="D269" t="s">
        <v>4610</v>
      </c>
      <c r="E269" t="s">
        <v>4776</v>
      </c>
      <c r="F269" t="s">
        <v>4776</v>
      </c>
      <c r="G269">
        <v>147</v>
      </c>
      <c r="H269" t="s">
        <v>4756</v>
      </c>
      <c r="J269">
        <v>13</v>
      </c>
      <c r="K269" s="2059">
        <v>3.1E-2</v>
      </c>
      <c r="L269" t="s">
        <v>4774</v>
      </c>
      <c r="M269">
        <v>0.4</v>
      </c>
      <c r="N269">
        <v>1450</v>
      </c>
      <c r="O269">
        <v>60</v>
      </c>
      <c r="P269">
        <v>60</v>
      </c>
      <c r="U269" t="s">
        <v>1678</v>
      </c>
      <c r="V269">
        <v>43100</v>
      </c>
      <c r="W269" t="s">
        <v>4777</v>
      </c>
    </row>
    <row r="270" spans="1:24">
      <c r="A270">
        <v>26</v>
      </c>
      <c r="B270">
        <v>16070011</v>
      </c>
      <c r="C270" t="s">
        <v>4609</v>
      </c>
      <c r="D270" t="s">
        <v>4610</v>
      </c>
      <c r="E270" t="s">
        <v>4778</v>
      </c>
      <c r="F270" t="s">
        <v>4778</v>
      </c>
      <c r="G270">
        <v>151</v>
      </c>
      <c r="H270" t="s">
        <v>4779</v>
      </c>
      <c r="J270" t="s">
        <v>4780</v>
      </c>
      <c r="K270" s="2059">
        <v>0.03</v>
      </c>
      <c r="L270" t="s">
        <v>4314</v>
      </c>
      <c r="M270">
        <v>0.4</v>
      </c>
      <c r="N270">
        <v>1450</v>
      </c>
      <c r="O270">
        <v>60</v>
      </c>
      <c r="P270">
        <v>60</v>
      </c>
      <c r="U270" t="s">
        <v>1678</v>
      </c>
      <c r="V270">
        <v>43100</v>
      </c>
    </row>
    <row r="271" spans="1:24">
      <c r="A271">
        <v>26</v>
      </c>
      <c r="B271">
        <v>15120021</v>
      </c>
      <c r="C271" t="s">
        <v>4609</v>
      </c>
      <c r="D271" t="s">
        <v>4610</v>
      </c>
      <c r="E271" t="s">
        <v>4781</v>
      </c>
      <c r="F271" t="s">
        <v>4781</v>
      </c>
      <c r="G271">
        <v>61</v>
      </c>
      <c r="H271" t="s">
        <v>4782</v>
      </c>
      <c r="J271" t="s">
        <v>4783</v>
      </c>
      <c r="K271" s="2059">
        <v>3.1E-2</v>
      </c>
      <c r="L271" t="s">
        <v>4784</v>
      </c>
      <c r="M271">
        <v>0.4</v>
      </c>
      <c r="N271">
        <v>1450</v>
      </c>
      <c r="O271">
        <v>60</v>
      </c>
      <c r="P271">
        <v>60</v>
      </c>
      <c r="U271" t="s">
        <v>1678</v>
      </c>
      <c r="V271">
        <v>43100</v>
      </c>
      <c r="W271" t="s">
        <v>4785</v>
      </c>
      <c r="X271" t="s">
        <v>4786</v>
      </c>
    </row>
    <row r="272" spans="1:24">
      <c r="A272">
        <v>26</v>
      </c>
      <c r="B272">
        <v>16010011</v>
      </c>
      <c r="C272" t="s">
        <v>4609</v>
      </c>
      <c r="D272" t="s">
        <v>4610</v>
      </c>
      <c r="E272" t="s">
        <v>544</v>
      </c>
      <c r="F272" t="s">
        <v>544</v>
      </c>
      <c r="G272">
        <v>61</v>
      </c>
      <c r="H272" t="s">
        <v>4782</v>
      </c>
      <c r="J272">
        <v>15</v>
      </c>
      <c r="K272" s="2059">
        <v>3.9E-2</v>
      </c>
      <c r="L272" t="s">
        <v>4696</v>
      </c>
      <c r="M272">
        <v>0.4</v>
      </c>
      <c r="N272">
        <v>1450</v>
      </c>
      <c r="O272">
        <v>60</v>
      </c>
      <c r="P272">
        <v>60</v>
      </c>
      <c r="U272" t="s">
        <v>1678</v>
      </c>
      <c r="V272">
        <v>43281</v>
      </c>
      <c r="W272" t="s">
        <v>4785</v>
      </c>
      <c r="X272" t="s">
        <v>4786</v>
      </c>
    </row>
    <row r="273" spans="1:24">
      <c r="A273">
        <v>26</v>
      </c>
      <c r="B273">
        <v>16010012</v>
      </c>
      <c r="C273" t="s">
        <v>4609</v>
      </c>
      <c r="D273" t="s">
        <v>4610</v>
      </c>
      <c r="E273" t="s">
        <v>4787</v>
      </c>
      <c r="F273" t="s">
        <v>4787</v>
      </c>
      <c r="G273">
        <v>61</v>
      </c>
      <c r="H273" t="s">
        <v>4782</v>
      </c>
      <c r="J273">
        <v>18</v>
      </c>
      <c r="K273" s="2059">
        <v>3.7999999999999999E-2</v>
      </c>
      <c r="L273" t="s">
        <v>4696</v>
      </c>
      <c r="M273">
        <v>0.4</v>
      </c>
      <c r="N273">
        <v>1450</v>
      </c>
      <c r="O273">
        <v>60</v>
      </c>
      <c r="P273">
        <v>60</v>
      </c>
      <c r="U273" t="s">
        <v>1678</v>
      </c>
      <c r="V273">
        <v>43281</v>
      </c>
      <c r="W273" t="s">
        <v>4785</v>
      </c>
      <c r="X273" t="s">
        <v>4786</v>
      </c>
    </row>
    <row r="274" spans="1:24">
      <c r="A274">
        <v>26</v>
      </c>
      <c r="B274">
        <v>16010013</v>
      </c>
      <c r="C274" t="s">
        <v>4609</v>
      </c>
      <c r="D274" t="s">
        <v>4610</v>
      </c>
      <c r="E274" t="s">
        <v>545</v>
      </c>
      <c r="F274" t="s">
        <v>545</v>
      </c>
      <c r="G274">
        <v>61</v>
      </c>
      <c r="H274" t="s">
        <v>4782</v>
      </c>
      <c r="J274">
        <v>20</v>
      </c>
      <c r="K274" s="2059">
        <v>3.4000000000000002E-2</v>
      </c>
      <c r="L274" t="s">
        <v>4696</v>
      </c>
      <c r="M274">
        <v>0.4</v>
      </c>
      <c r="N274">
        <v>1450</v>
      </c>
      <c r="O274">
        <v>60</v>
      </c>
      <c r="P274">
        <v>60</v>
      </c>
      <c r="U274" t="s">
        <v>1678</v>
      </c>
      <c r="V274">
        <v>43281</v>
      </c>
      <c r="W274" t="s">
        <v>4785</v>
      </c>
      <c r="X274" t="s">
        <v>4786</v>
      </c>
    </row>
    <row r="275" spans="1:24">
      <c r="A275">
        <v>26</v>
      </c>
      <c r="B275">
        <v>16010014</v>
      </c>
      <c r="C275" t="s">
        <v>4609</v>
      </c>
      <c r="D275" t="s">
        <v>4610</v>
      </c>
      <c r="E275" t="s">
        <v>4788</v>
      </c>
      <c r="F275" t="s">
        <v>4788</v>
      </c>
      <c r="G275">
        <v>61</v>
      </c>
      <c r="H275" t="s">
        <v>4782</v>
      </c>
      <c r="J275">
        <v>25</v>
      </c>
      <c r="K275" s="2059">
        <v>3.4000000000000002E-2</v>
      </c>
      <c r="L275" t="s">
        <v>4696</v>
      </c>
      <c r="M275">
        <v>0.4</v>
      </c>
      <c r="N275">
        <v>1450</v>
      </c>
      <c r="O275">
        <v>60</v>
      </c>
      <c r="P275">
        <v>60</v>
      </c>
      <c r="U275" t="s">
        <v>1678</v>
      </c>
      <c r="V275">
        <v>43281</v>
      </c>
      <c r="W275" t="s">
        <v>4785</v>
      </c>
      <c r="X275" t="s">
        <v>4786</v>
      </c>
    </row>
    <row r="276" spans="1:24">
      <c r="A276">
        <v>26</v>
      </c>
      <c r="B276">
        <v>16010015</v>
      </c>
      <c r="C276" t="s">
        <v>4609</v>
      </c>
      <c r="D276" t="s">
        <v>4610</v>
      </c>
      <c r="E276" t="s">
        <v>546</v>
      </c>
      <c r="F276" t="s">
        <v>546</v>
      </c>
      <c r="G276">
        <v>61</v>
      </c>
      <c r="H276" t="s">
        <v>4782</v>
      </c>
      <c r="J276">
        <v>30</v>
      </c>
      <c r="K276" s="2059">
        <v>3.4000000000000002E-2</v>
      </c>
      <c r="L276" t="s">
        <v>4696</v>
      </c>
      <c r="M276">
        <v>0.4</v>
      </c>
      <c r="N276">
        <v>1450</v>
      </c>
      <c r="O276">
        <v>60</v>
      </c>
      <c r="P276">
        <v>60</v>
      </c>
      <c r="U276" t="s">
        <v>1678</v>
      </c>
      <c r="V276">
        <v>43281</v>
      </c>
      <c r="W276" t="s">
        <v>4785</v>
      </c>
      <c r="X276" t="s">
        <v>4786</v>
      </c>
    </row>
    <row r="277" spans="1:24">
      <c r="A277">
        <v>26</v>
      </c>
      <c r="B277">
        <v>16010016</v>
      </c>
      <c r="C277" t="s">
        <v>4609</v>
      </c>
      <c r="D277" t="s">
        <v>4610</v>
      </c>
      <c r="E277" t="s">
        <v>543</v>
      </c>
      <c r="F277" t="s">
        <v>543</v>
      </c>
      <c r="G277">
        <v>61</v>
      </c>
      <c r="H277" t="s">
        <v>4782</v>
      </c>
      <c r="J277" t="s">
        <v>4789</v>
      </c>
      <c r="K277" s="2059">
        <v>4.1000000000000002E-2</v>
      </c>
      <c r="L277" t="s">
        <v>4356</v>
      </c>
      <c r="M277">
        <v>0.4</v>
      </c>
      <c r="N277">
        <v>1450</v>
      </c>
      <c r="O277">
        <v>60</v>
      </c>
      <c r="P277">
        <v>60</v>
      </c>
      <c r="U277" t="s">
        <v>1678</v>
      </c>
      <c r="V277">
        <v>43281</v>
      </c>
      <c r="W277" t="s">
        <v>4790</v>
      </c>
      <c r="X277" t="s">
        <v>4791</v>
      </c>
    </row>
    <row r="278" spans="1:24">
      <c r="A278">
        <v>26</v>
      </c>
      <c r="B278">
        <v>16010017</v>
      </c>
      <c r="C278" t="s">
        <v>4609</v>
      </c>
      <c r="D278" t="s">
        <v>4610</v>
      </c>
      <c r="E278" t="s">
        <v>550</v>
      </c>
      <c r="F278" t="s">
        <v>550</v>
      </c>
      <c r="G278">
        <v>61</v>
      </c>
      <c r="H278" t="s">
        <v>4782</v>
      </c>
      <c r="J278">
        <v>27</v>
      </c>
      <c r="K278" s="2059">
        <v>3.4000000000000002E-2</v>
      </c>
      <c r="L278" t="s">
        <v>4696</v>
      </c>
      <c r="M278">
        <v>0.4</v>
      </c>
      <c r="N278">
        <v>1450</v>
      </c>
      <c r="O278">
        <v>60</v>
      </c>
      <c r="P278">
        <v>60</v>
      </c>
      <c r="U278" t="s">
        <v>1678</v>
      </c>
      <c r="V278">
        <v>43281</v>
      </c>
      <c r="W278" t="s">
        <v>4785</v>
      </c>
      <c r="X278" t="s">
        <v>4786</v>
      </c>
    </row>
    <row r="279" spans="1:24">
      <c r="A279">
        <v>26</v>
      </c>
      <c r="B279">
        <v>16010018</v>
      </c>
      <c r="C279" t="s">
        <v>4609</v>
      </c>
      <c r="D279" t="s">
        <v>4610</v>
      </c>
      <c r="E279" t="s">
        <v>549</v>
      </c>
      <c r="F279" t="s">
        <v>4792</v>
      </c>
      <c r="G279">
        <v>61</v>
      </c>
      <c r="H279" t="s">
        <v>4782</v>
      </c>
      <c r="J279">
        <v>20</v>
      </c>
      <c r="K279" s="2059">
        <v>0.03</v>
      </c>
      <c r="L279" t="s">
        <v>4696</v>
      </c>
      <c r="M279">
        <v>0.4</v>
      </c>
      <c r="N279">
        <v>1450</v>
      </c>
      <c r="O279">
        <v>60</v>
      </c>
      <c r="P279">
        <v>60</v>
      </c>
      <c r="U279" t="s">
        <v>1678</v>
      </c>
      <c r="V279">
        <v>43281</v>
      </c>
      <c r="W279" t="s">
        <v>4785</v>
      </c>
      <c r="X279" t="s">
        <v>4786</v>
      </c>
    </row>
    <row r="280" spans="1:24">
      <c r="A280">
        <v>26</v>
      </c>
      <c r="B280">
        <v>16010019</v>
      </c>
      <c r="C280" t="s">
        <v>4609</v>
      </c>
      <c r="D280" t="s">
        <v>4610</v>
      </c>
      <c r="E280" t="s">
        <v>4793</v>
      </c>
      <c r="F280" t="s">
        <v>4793</v>
      </c>
      <c r="G280">
        <v>61</v>
      </c>
      <c r="H280" t="s">
        <v>4782</v>
      </c>
      <c r="J280">
        <v>20</v>
      </c>
      <c r="K280" s="2059">
        <v>0.03</v>
      </c>
      <c r="L280" t="s">
        <v>4696</v>
      </c>
      <c r="M280">
        <v>0.4</v>
      </c>
      <c r="N280">
        <v>1450</v>
      </c>
      <c r="O280">
        <v>60</v>
      </c>
      <c r="P280">
        <v>60</v>
      </c>
      <c r="U280" t="s">
        <v>1678</v>
      </c>
      <c r="V280">
        <v>43281</v>
      </c>
      <c r="W280" t="s">
        <v>4785</v>
      </c>
      <c r="X280" t="s">
        <v>4786</v>
      </c>
    </row>
    <row r="281" spans="1:24">
      <c r="A281">
        <v>26</v>
      </c>
      <c r="B281">
        <v>16010020</v>
      </c>
      <c r="C281" t="s">
        <v>4609</v>
      </c>
      <c r="D281" t="s">
        <v>4610</v>
      </c>
      <c r="E281" t="s">
        <v>4794</v>
      </c>
      <c r="F281" t="s">
        <v>4794</v>
      </c>
      <c r="G281">
        <v>61</v>
      </c>
      <c r="H281" t="s">
        <v>4782</v>
      </c>
      <c r="J281">
        <v>15</v>
      </c>
      <c r="K281" s="2059">
        <v>3.1E-2</v>
      </c>
      <c r="L281" t="s">
        <v>4696</v>
      </c>
      <c r="M281">
        <v>0.4</v>
      </c>
      <c r="N281">
        <v>1450</v>
      </c>
      <c r="O281">
        <v>60</v>
      </c>
      <c r="P281">
        <v>60</v>
      </c>
      <c r="U281" t="s">
        <v>1678</v>
      </c>
      <c r="V281">
        <v>43281</v>
      </c>
      <c r="W281" t="s">
        <v>4795</v>
      </c>
      <c r="X281" t="s">
        <v>4786</v>
      </c>
    </row>
    <row r="282" spans="1:24">
      <c r="A282">
        <v>26</v>
      </c>
      <c r="B282">
        <v>16010021</v>
      </c>
      <c r="C282" t="s">
        <v>4609</v>
      </c>
      <c r="D282" t="s">
        <v>4610</v>
      </c>
      <c r="E282" t="s">
        <v>4796</v>
      </c>
      <c r="F282" t="s">
        <v>4796</v>
      </c>
      <c r="G282">
        <v>61</v>
      </c>
      <c r="H282" t="s">
        <v>4782</v>
      </c>
      <c r="J282">
        <v>15</v>
      </c>
      <c r="K282" s="2059">
        <v>3.1E-2</v>
      </c>
      <c r="L282" t="s">
        <v>4696</v>
      </c>
      <c r="M282">
        <v>0.4</v>
      </c>
      <c r="N282">
        <v>1450</v>
      </c>
      <c r="O282">
        <v>60</v>
      </c>
      <c r="P282">
        <v>60</v>
      </c>
      <c r="U282" t="s">
        <v>1678</v>
      </c>
      <c r="V282">
        <v>43281</v>
      </c>
      <c r="W282" t="s">
        <v>4795</v>
      </c>
      <c r="X282" t="s">
        <v>4786</v>
      </c>
    </row>
    <row r="283" spans="1:24">
      <c r="A283">
        <v>26</v>
      </c>
      <c r="B283">
        <v>16010022</v>
      </c>
      <c r="C283" t="s">
        <v>4609</v>
      </c>
      <c r="D283" t="s">
        <v>4610</v>
      </c>
      <c r="E283" t="s">
        <v>548</v>
      </c>
      <c r="F283" t="s">
        <v>4797</v>
      </c>
      <c r="G283">
        <v>61</v>
      </c>
      <c r="H283" t="s">
        <v>4782</v>
      </c>
      <c r="J283">
        <v>16</v>
      </c>
      <c r="K283" s="2059">
        <v>3.1E-2</v>
      </c>
      <c r="L283" t="s">
        <v>4696</v>
      </c>
      <c r="M283">
        <v>0.4</v>
      </c>
      <c r="N283">
        <v>1450</v>
      </c>
      <c r="O283">
        <v>60</v>
      </c>
      <c r="P283">
        <v>60</v>
      </c>
      <c r="U283" t="s">
        <v>1678</v>
      </c>
      <c r="V283">
        <v>43281</v>
      </c>
      <c r="W283" t="s">
        <v>4785</v>
      </c>
      <c r="X283" t="s">
        <v>4786</v>
      </c>
    </row>
    <row r="284" spans="1:24">
      <c r="A284">
        <v>26</v>
      </c>
      <c r="B284">
        <v>16010023</v>
      </c>
      <c r="C284" t="s">
        <v>4609</v>
      </c>
      <c r="D284" t="s">
        <v>4610</v>
      </c>
      <c r="E284" t="s">
        <v>547</v>
      </c>
      <c r="F284" t="s">
        <v>4798</v>
      </c>
      <c r="G284">
        <v>61</v>
      </c>
      <c r="H284" t="s">
        <v>4782</v>
      </c>
      <c r="J284">
        <v>13</v>
      </c>
      <c r="K284" s="2059">
        <v>3.3000000000000002E-2</v>
      </c>
      <c r="L284" t="s">
        <v>4696</v>
      </c>
      <c r="M284">
        <v>0.4</v>
      </c>
      <c r="N284">
        <v>1450</v>
      </c>
      <c r="O284">
        <v>60</v>
      </c>
      <c r="P284">
        <v>60</v>
      </c>
      <c r="U284" t="s">
        <v>1678</v>
      </c>
      <c r="V284">
        <v>43281</v>
      </c>
      <c r="W284" t="s">
        <v>4785</v>
      </c>
      <c r="X284" t="s">
        <v>4786</v>
      </c>
    </row>
    <row r="285" spans="1:24">
      <c r="A285">
        <v>26</v>
      </c>
      <c r="B285">
        <v>16010024</v>
      </c>
      <c r="C285" t="s">
        <v>4609</v>
      </c>
      <c r="D285" t="s">
        <v>4610</v>
      </c>
      <c r="E285" t="s">
        <v>4799</v>
      </c>
      <c r="F285" t="s">
        <v>4799</v>
      </c>
      <c r="G285">
        <v>61</v>
      </c>
      <c r="H285" t="s">
        <v>4782</v>
      </c>
      <c r="J285">
        <v>20</v>
      </c>
      <c r="K285" s="2059">
        <v>0.03</v>
      </c>
      <c r="L285" t="s">
        <v>4696</v>
      </c>
      <c r="M285">
        <v>0.4</v>
      </c>
      <c r="N285">
        <v>1450</v>
      </c>
      <c r="O285">
        <v>60</v>
      </c>
      <c r="P285">
        <v>60</v>
      </c>
      <c r="U285" t="s">
        <v>1678</v>
      </c>
      <c r="V285">
        <v>43281</v>
      </c>
      <c r="W285" t="s">
        <v>4785</v>
      </c>
      <c r="X285" t="s">
        <v>4786</v>
      </c>
    </row>
    <row r="286" spans="1:24">
      <c r="A286">
        <v>26</v>
      </c>
      <c r="B286">
        <v>16090111</v>
      </c>
      <c r="C286" t="s">
        <v>4609</v>
      </c>
      <c r="D286" t="s">
        <v>4610</v>
      </c>
      <c r="E286" t="s">
        <v>4800</v>
      </c>
      <c r="F286" t="s">
        <v>4800</v>
      </c>
      <c r="G286">
        <v>154</v>
      </c>
      <c r="H286" t="s">
        <v>4801</v>
      </c>
      <c r="J286">
        <v>15</v>
      </c>
      <c r="K286" s="2059">
        <v>3.7999999999999999E-2</v>
      </c>
      <c r="L286" t="s">
        <v>4373</v>
      </c>
      <c r="M286">
        <v>0.4</v>
      </c>
      <c r="N286">
        <v>1450</v>
      </c>
      <c r="O286">
        <v>60</v>
      </c>
      <c r="P286">
        <v>60</v>
      </c>
      <c r="U286" t="s">
        <v>1678</v>
      </c>
      <c r="V286">
        <v>43465</v>
      </c>
      <c r="W286" t="s">
        <v>4802</v>
      </c>
      <c r="X286" t="s">
        <v>4803</v>
      </c>
    </row>
    <row r="287" spans="1:24">
      <c r="A287">
        <v>26</v>
      </c>
      <c r="B287">
        <v>16090112</v>
      </c>
      <c r="C287" t="s">
        <v>4609</v>
      </c>
      <c r="D287" t="s">
        <v>4610</v>
      </c>
      <c r="E287" t="s">
        <v>4804</v>
      </c>
      <c r="F287" t="s">
        <v>4804</v>
      </c>
      <c r="G287">
        <v>154</v>
      </c>
      <c r="H287" t="s">
        <v>4801</v>
      </c>
      <c r="J287">
        <v>16</v>
      </c>
      <c r="K287" s="2059">
        <v>3.1E-2</v>
      </c>
      <c r="L287" t="s">
        <v>4166</v>
      </c>
      <c r="M287">
        <v>0.4</v>
      </c>
      <c r="N287">
        <v>1450</v>
      </c>
      <c r="O287">
        <v>60</v>
      </c>
      <c r="P287">
        <v>60</v>
      </c>
      <c r="U287" t="s">
        <v>1678</v>
      </c>
      <c r="V287">
        <v>43465</v>
      </c>
      <c r="W287" t="s">
        <v>4802</v>
      </c>
      <c r="X287" t="s">
        <v>4803</v>
      </c>
    </row>
    <row r="288" spans="1:24">
      <c r="A288">
        <v>26</v>
      </c>
      <c r="B288">
        <v>16090113</v>
      </c>
      <c r="C288" t="s">
        <v>4609</v>
      </c>
      <c r="D288" t="s">
        <v>4610</v>
      </c>
      <c r="E288" t="s">
        <v>4805</v>
      </c>
      <c r="F288" t="s">
        <v>4805</v>
      </c>
      <c r="G288">
        <v>154</v>
      </c>
      <c r="H288" t="s">
        <v>4801</v>
      </c>
      <c r="J288">
        <v>19</v>
      </c>
      <c r="K288" s="2059">
        <v>3.5999999999999997E-2</v>
      </c>
      <c r="L288" t="s">
        <v>4166</v>
      </c>
      <c r="M288">
        <v>0.4</v>
      </c>
      <c r="N288">
        <v>1450</v>
      </c>
      <c r="O288">
        <v>60</v>
      </c>
      <c r="P288">
        <v>60</v>
      </c>
      <c r="U288" t="s">
        <v>1678</v>
      </c>
      <c r="V288">
        <v>43465</v>
      </c>
      <c r="W288" t="s">
        <v>4806</v>
      </c>
      <c r="X288" t="s">
        <v>4807</v>
      </c>
    </row>
    <row r="289" spans="1:24">
      <c r="A289">
        <v>26</v>
      </c>
      <c r="B289">
        <v>15050061</v>
      </c>
      <c r="C289" t="s">
        <v>4609</v>
      </c>
      <c r="D289" t="s">
        <v>4610</v>
      </c>
      <c r="E289">
        <v>30.6</v>
      </c>
      <c r="F289" s="2047" t="s">
        <v>4808</v>
      </c>
      <c r="G289">
        <v>142</v>
      </c>
      <c r="H289" t="s">
        <v>4809</v>
      </c>
      <c r="J289" t="s">
        <v>4810</v>
      </c>
      <c r="K289" s="2059">
        <v>3.1E-2</v>
      </c>
      <c r="L289" t="s">
        <v>4696</v>
      </c>
      <c r="M289" t="s">
        <v>4619</v>
      </c>
      <c r="N289" t="s">
        <v>4811</v>
      </c>
      <c r="O289" t="s">
        <v>4812</v>
      </c>
      <c r="P289" t="s">
        <v>4812</v>
      </c>
      <c r="U289" t="s">
        <v>1678</v>
      </c>
      <c r="V289">
        <v>42916</v>
      </c>
    </row>
    <row r="290" spans="1:24">
      <c r="A290">
        <v>26</v>
      </c>
      <c r="B290">
        <v>16050061</v>
      </c>
      <c r="C290" t="s">
        <v>4609</v>
      </c>
      <c r="D290" t="s">
        <v>4610</v>
      </c>
      <c r="E290" t="s">
        <v>4813</v>
      </c>
      <c r="F290" t="s">
        <v>4813</v>
      </c>
      <c r="G290">
        <v>11</v>
      </c>
      <c r="H290" t="s">
        <v>4349</v>
      </c>
      <c r="J290">
        <v>16</v>
      </c>
      <c r="K290" s="2059">
        <v>0.03</v>
      </c>
      <c r="L290" t="s">
        <v>4696</v>
      </c>
      <c r="M290">
        <v>0.4</v>
      </c>
      <c r="N290">
        <v>1450</v>
      </c>
      <c r="O290">
        <v>60</v>
      </c>
      <c r="P290">
        <v>60</v>
      </c>
      <c r="U290" t="s">
        <v>1678</v>
      </c>
      <c r="V290">
        <v>43281</v>
      </c>
      <c r="W290" t="s">
        <v>4814</v>
      </c>
      <c r="X290" t="s">
        <v>4815</v>
      </c>
    </row>
    <row r="291" spans="1:24">
      <c r="A291">
        <v>26</v>
      </c>
      <c r="B291">
        <v>16050062</v>
      </c>
      <c r="C291" t="s">
        <v>4609</v>
      </c>
      <c r="D291" t="s">
        <v>4610</v>
      </c>
      <c r="E291" t="s">
        <v>4816</v>
      </c>
      <c r="F291" t="s">
        <v>4816</v>
      </c>
      <c r="G291">
        <v>11</v>
      </c>
      <c r="H291" t="s">
        <v>4349</v>
      </c>
      <c r="J291">
        <v>17</v>
      </c>
      <c r="K291" s="2059">
        <v>0.03</v>
      </c>
      <c r="L291" t="s">
        <v>4625</v>
      </c>
      <c r="M291">
        <v>0.4</v>
      </c>
      <c r="N291">
        <v>1450</v>
      </c>
      <c r="O291">
        <v>60</v>
      </c>
      <c r="P291">
        <v>60</v>
      </c>
      <c r="U291" t="s">
        <v>1678</v>
      </c>
      <c r="V291">
        <v>43281</v>
      </c>
      <c r="W291" t="s">
        <v>4817</v>
      </c>
      <c r="X291" t="s">
        <v>4197</v>
      </c>
    </row>
    <row r="292" spans="1:24">
      <c r="A292">
        <v>26</v>
      </c>
      <c r="B292">
        <v>16050063</v>
      </c>
      <c r="C292" t="s">
        <v>4609</v>
      </c>
      <c r="D292" t="s">
        <v>4610</v>
      </c>
      <c r="E292" t="s">
        <v>4818</v>
      </c>
      <c r="F292" t="s">
        <v>4818</v>
      </c>
      <c r="G292">
        <v>11</v>
      </c>
      <c r="H292" t="s">
        <v>4349</v>
      </c>
      <c r="J292">
        <v>18</v>
      </c>
      <c r="K292" s="2059">
        <v>3.2000000000000001E-2</v>
      </c>
      <c r="L292" t="s">
        <v>4625</v>
      </c>
      <c r="M292">
        <v>0.4</v>
      </c>
      <c r="N292">
        <v>1450</v>
      </c>
      <c r="O292">
        <v>60</v>
      </c>
      <c r="P292">
        <v>60</v>
      </c>
      <c r="U292" t="s">
        <v>1678</v>
      </c>
      <c r="V292">
        <v>43281</v>
      </c>
      <c r="W292" t="s">
        <v>4819</v>
      </c>
      <c r="X292" t="s">
        <v>4717</v>
      </c>
    </row>
    <row r="293" spans="1:24">
      <c r="A293">
        <v>26</v>
      </c>
      <c r="B293">
        <v>16050064</v>
      </c>
      <c r="C293" t="s">
        <v>4609</v>
      </c>
      <c r="D293" t="s">
        <v>4610</v>
      </c>
      <c r="E293" t="s">
        <v>4820</v>
      </c>
      <c r="F293" t="s">
        <v>4820</v>
      </c>
      <c r="G293">
        <v>11</v>
      </c>
      <c r="H293" t="s">
        <v>4349</v>
      </c>
      <c r="J293">
        <v>25</v>
      </c>
      <c r="K293" s="2059">
        <v>3.3000000000000002E-2</v>
      </c>
      <c r="L293" t="s">
        <v>4821</v>
      </c>
      <c r="M293">
        <v>0.4</v>
      </c>
      <c r="N293">
        <v>1450</v>
      </c>
      <c r="O293">
        <v>60</v>
      </c>
      <c r="P293">
        <v>60</v>
      </c>
      <c r="U293" t="s">
        <v>1678</v>
      </c>
      <c r="V293">
        <v>43281</v>
      </c>
      <c r="W293" t="s">
        <v>4822</v>
      </c>
      <c r="X293" t="s">
        <v>4823</v>
      </c>
    </row>
    <row r="294" spans="1:24">
      <c r="A294">
        <v>26</v>
      </c>
      <c r="B294">
        <v>16050065</v>
      </c>
      <c r="C294" t="s">
        <v>4609</v>
      </c>
      <c r="D294" t="s">
        <v>4610</v>
      </c>
      <c r="E294" t="s">
        <v>4824</v>
      </c>
      <c r="F294" t="s">
        <v>4824</v>
      </c>
      <c r="G294">
        <v>11</v>
      </c>
      <c r="H294" t="s">
        <v>4349</v>
      </c>
      <c r="J294">
        <v>30</v>
      </c>
      <c r="K294" s="2059">
        <v>3.3000000000000002E-2</v>
      </c>
      <c r="L294" t="s">
        <v>4696</v>
      </c>
      <c r="M294">
        <v>0.4</v>
      </c>
      <c r="N294">
        <v>1450</v>
      </c>
      <c r="O294">
        <v>60</v>
      </c>
      <c r="P294">
        <v>60</v>
      </c>
      <c r="U294" t="s">
        <v>1678</v>
      </c>
      <c r="V294">
        <v>43281</v>
      </c>
      <c r="W294" t="s">
        <v>4819</v>
      </c>
      <c r="X294" t="s">
        <v>4717</v>
      </c>
    </row>
    <row r="295" spans="1:24">
      <c r="A295">
        <v>26</v>
      </c>
      <c r="B295">
        <v>16050066</v>
      </c>
      <c r="C295" t="s">
        <v>4609</v>
      </c>
      <c r="D295" t="s">
        <v>4610</v>
      </c>
      <c r="E295" t="s">
        <v>4825</v>
      </c>
      <c r="F295" t="s">
        <v>4825</v>
      </c>
      <c r="G295">
        <v>11</v>
      </c>
      <c r="H295" t="s">
        <v>4349</v>
      </c>
      <c r="J295">
        <v>20</v>
      </c>
      <c r="K295" s="2059">
        <v>3.5999999999999997E-2</v>
      </c>
      <c r="L295" t="s">
        <v>4696</v>
      </c>
      <c r="M295">
        <v>0.4</v>
      </c>
      <c r="N295">
        <v>1450</v>
      </c>
      <c r="O295">
        <v>60</v>
      </c>
      <c r="P295">
        <v>60</v>
      </c>
      <c r="U295" t="s">
        <v>1678</v>
      </c>
      <c r="V295">
        <v>43281</v>
      </c>
      <c r="W295" t="s">
        <v>4826</v>
      </c>
      <c r="X295" t="s">
        <v>4827</v>
      </c>
    </row>
    <row r="296" spans="1:24">
      <c r="A296">
        <v>26</v>
      </c>
      <c r="B296">
        <v>16050067</v>
      </c>
      <c r="C296" t="s">
        <v>4609</v>
      </c>
      <c r="D296" t="s">
        <v>4610</v>
      </c>
      <c r="E296" t="s">
        <v>4828</v>
      </c>
      <c r="F296" t="s">
        <v>4828</v>
      </c>
      <c r="G296">
        <v>11</v>
      </c>
      <c r="H296" t="s">
        <v>4349</v>
      </c>
      <c r="J296">
        <v>15</v>
      </c>
      <c r="K296" s="2059">
        <v>3.7999999999999999E-2</v>
      </c>
      <c r="L296" t="s">
        <v>4696</v>
      </c>
      <c r="M296">
        <v>0.4</v>
      </c>
      <c r="N296">
        <v>1450</v>
      </c>
      <c r="O296">
        <v>60</v>
      </c>
      <c r="P296">
        <v>60</v>
      </c>
      <c r="U296" t="s">
        <v>1678</v>
      </c>
      <c r="V296">
        <v>43281</v>
      </c>
      <c r="W296" t="s">
        <v>4826</v>
      </c>
      <c r="X296" t="s">
        <v>4827</v>
      </c>
    </row>
    <row r="297" spans="1:24">
      <c r="A297">
        <v>26</v>
      </c>
      <c r="B297">
        <v>16050101</v>
      </c>
      <c r="C297" t="s">
        <v>4609</v>
      </c>
      <c r="D297" t="s">
        <v>4610</v>
      </c>
      <c r="E297" t="s">
        <v>4829</v>
      </c>
      <c r="F297" t="s">
        <v>4829</v>
      </c>
      <c r="G297">
        <v>11</v>
      </c>
      <c r="H297" t="s">
        <v>4349</v>
      </c>
      <c r="J297">
        <v>25</v>
      </c>
      <c r="K297" s="2059">
        <v>0.03</v>
      </c>
      <c r="L297" t="s">
        <v>4821</v>
      </c>
      <c r="M297">
        <v>0.4</v>
      </c>
      <c r="N297">
        <v>1450</v>
      </c>
      <c r="O297">
        <v>60</v>
      </c>
      <c r="P297">
        <v>60</v>
      </c>
      <c r="U297" t="s">
        <v>1678</v>
      </c>
      <c r="V297">
        <v>43281</v>
      </c>
      <c r="W297" t="s">
        <v>4830</v>
      </c>
      <c r="X297" t="s">
        <v>4831</v>
      </c>
    </row>
    <row r="298" spans="1:24">
      <c r="A298">
        <v>26</v>
      </c>
      <c r="B298">
        <v>16050102</v>
      </c>
      <c r="C298" t="s">
        <v>4609</v>
      </c>
      <c r="D298" t="s">
        <v>4610</v>
      </c>
      <c r="E298" t="s">
        <v>4832</v>
      </c>
      <c r="F298" t="s">
        <v>4832</v>
      </c>
      <c r="G298">
        <v>11</v>
      </c>
      <c r="H298" t="s">
        <v>4349</v>
      </c>
      <c r="J298">
        <v>20</v>
      </c>
      <c r="K298" s="2059">
        <v>0.03</v>
      </c>
      <c r="L298" t="s">
        <v>4821</v>
      </c>
      <c r="M298">
        <v>0.4</v>
      </c>
      <c r="N298">
        <v>1450</v>
      </c>
      <c r="O298">
        <v>60</v>
      </c>
      <c r="P298">
        <v>60</v>
      </c>
      <c r="U298" t="s">
        <v>1678</v>
      </c>
      <c r="V298">
        <v>43281</v>
      </c>
      <c r="W298" t="s">
        <v>4830</v>
      </c>
      <c r="X298" t="s">
        <v>4831</v>
      </c>
    </row>
    <row r="299" spans="1:24">
      <c r="A299">
        <v>26</v>
      </c>
      <c r="B299">
        <v>15030011</v>
      </c>
      <c r="C299" t="s">
        <v>4609</v>
      </c>
      <c r="D299" t="s">
        <v>4610</v>
      </c>
      <c r="E299" t="s">
        <v>4833</v>
      </c>
      <c r="F299" t="s">
        <v>4833</v>
      </c>
      <c r="G299">
        <v>11</v>
      </c>
      <c r="H299" t="s">
        <v>4349</v>
      </c>
      <c r="J299">
        <v>15</v>
      </c>
      <c r="K299" s="2059">
        <v>3.1E-2</v>
      </c>
      <c r="L299" t="s">
        <v>4625</v>
      </c>
      <c r="M299">
        <v>0.4</v>
      </c>
      <c r="N299">
        <v>1450</v>
      </c>
      <c r="O299">
        <v>60</v>
      </c>
      <c r="P299">
        <v>60</v>
      </c>
      <c r="U299" t="s">
        <v>1678</v>
      </c>
      <c r="V299">
        <v>42916</v>
      </c>
    </row>
    <row r="300" spans="1:24">
      <c r="A300">
        <v>26</v>
      </c>
      <c r="B300">
        <v>15030012</v>
      </c>
      <c r="C300" t="s">
        <v>4609</v>
      </c>
      <c r="D300" t="s">
        <v>4610</v>
      </c>
      <c r="E300" t="s">
        <v>4834</v>
      </c>
      <c r="F300" t="s">
        <v>4834</v>
      </c>
      <c r="G300">
        <v>11</v>
      </c>
      <c r="H300" t="s">
        <v>4349</v>
      </c>
      <c r="J300">
        <v>18</v>
      </c>
      <c r="K300" s="2059">
        <v>2.9000000000000001E-2</v>
      </c>
      <c r="L300" t="s">
        <v>4625</v>
      </c>
      <c r="M300">
        <v>0.4</v>
      </c>
      <c r="N300">
        <v>1450</v>
      </c>
      <c r="O300">
        <v>60</v>
      </c>
      <c r="P300">
        <v>60</v>
      </c>
      <c r="U300" t="s">
        <v>1678</v>
      </c>
      <c r="V300">
        <v>42916</v>
      </c>
    </row>
    <row r="301" spans="1:24">
      <c r="A301">
        <v>26</v>
      </c>
      <c r="B301">
        <v>15100031</v>
      </c>
      <c r="C301" t="s">
        <v>4609</v>
      </c>
      <c r="D301" t="s">
        <v>4610</v>
      </c>
      <c r="E301" t="s">
        <v>4835</v>
      </c>
      <c r="F301" t="s">
        <v>4835</v>
      </c>
      <c r="G301">
        <v>50</v>
      </c>
      <c r="H301" t="s">
        <v>4836</v>
      </c>
      <c r="J301" t="s">
        <v>4837</v>
      </c>
      <c r="K301" s="2059">
        <v>3.7999999999999999E-2</v>
      </c>
      <c r="L301" t="s">
        <v>4696</v>
      </c>
      <c r="M301">
        <v>0.4</v>
      </c>
      <c r="N301">
        <v>1450</v>
      </c>
      <c r="O301">
        <v>60</v>
      </c>
      <c r="P301">
        <v>60</v>
      </c>
      <c r="U301" t="s">
        <v>1678</v>
      </c>
      <c r="V301">
        <v>43100</v>
      </c>
    </row>
    <row r="302" spans="1:24">
      <c r="A302">
        <v>26</v>
      </c>
      <c r="B302">
        <v>15100032</v>
      </c>
      <c r="C302" t="s">
        <v>4609</v>
      </c>
      <c r="D302" t="s">
        <v>4610</v>
      </c>
      <c r="E302" t="s">
        <v>4838</v>
      </c>
      <c r="F302" t="s">
        <v>4838</v>
      </c>
      <c r="G302">
        <v>50</v>
      </c>
      <c r="H302" t="s">
        <v>4836</v>
      </c>
      <c r="J302" t="s">
        <v>4361</v>
      </c>
      <c r="K302" s="2059">
        <v>3.7999999999999999E-2</v>
      </c>
      <c r="L302" t="s">
        <v>4696</v>
      </c>
      <c r="M302">
        <v>0.4</v>
      </c>
      <c r="N302">
        <v>1450</v>
      </c>
      <c r="O302">
        <v>60</v>
      </c>
      <c r="P302">
        <v>60</v>
      </c>
      <c r="U302" t="s">
        <v>1678</v>
      </c>
      <c r="V302">
        <v>43100</v>
      </c>
    </row>
    <row r="303" spans="1:24">
      <c r="A303">
        <v>26</v>
      </c>
      <c r="B303">
        <v>15100033</v>
      </c>
      <c r="C303" t="s">
        <v>4609</v>
      </c>
      <c r="D303" t="s">
        <v>4610</v>
      </c>
      <c r="E303" t="s">
        <v>4839</v>
      </c>
      <c r="F303" t="s">
        <v>4839</v>
      </c>
      <c r="G303">
        <v>50</v>
      </c>
      <c r="H303" t="s">
        <v>4836</v>
      </c>
      <c r="J303" t="s">
        <v>4840</v>
      </c>
      <c r="K303" s="2059">
        <v>3.4000000000000002E-2</v>
      </c>
      <c r="L303" t="s">
        <v>4696</v>
      </c>
      <c r="M303">
        <v>0.4</v>
      </c>
      <c r="N303">
        <v>1450</v>
      </c>
      <c r="O303">
        <v>60</v>
      </c>
      <c r="P303">
        <v>60</v>
      </c>
      <c r="U303" t="s">
        <v>1678</v>
      </c>
      <c r="V303">
        <v>43100</v>
      </c>
    </row>
    <row r="304" spans="1:24">
      <c r="A304">
        <v>26</v>
      </c>
      <c r="B304">
        <v>15100034</v>
      </c>
      <c r="C304" t="s">
        <v>4609</v>
      </c>
      <c r="D304" t="s">
        <v>4610</v>
      </c>
      <c r="E304" t="s">
        <v>4841</v>
      </c>
      <c r="F304" t="s">
        <v>4841</v>
      </c>
      <c r="G304">
        <v>50</v>
      </c>
      <c r="H304" t="s">
        <v>4836</v>
      </c>
      <c r="J304" t="s">
        <v>4676</v>
      </c>
      <c r="K304" s="2059">
        <v>3.4000000000000002E-2</v>
      </c>
      <c r="L304" t="s">
        <v>4696</v>
      </c>
      <c r="M304">
        <v>0.4</v>
      </c>
      <c r="N304">
        <v>1450</v>
      </c>
      <c r="O304">
        <v>60</v>
      </c>
      <c r="P304">
        <v>60</v>
      </c>
      <c r="U304" t="s">
        <v>1678</v>
      </c>
      <c r="V304">
        <v>43100</v>
      </c>
    </row>
    <row r="305" spans="1:24">
      <c r="A305">
        <v>26</v>
      </c>
      <c r="B305">
        <v>15100035</v>
      </c>
      <c r="C305" t="s">
        <v>4609</v>
      </c>
      <c r="D305" t="s">
        <v>4610</v>
      </c>
      <c r="E305" t="s">
        <v>4842</v>
      </c>
      <c r="F305" t="s">
        <v>4842</v>
      </c>
      <c r="G305">
        <v>50</v>
      </c>
      <c r="H305" t="s">
        <v>4836</v>
      </c>
      <c r="J305" t="s">
        <v>4843</v>
      </c>
      <c r="K305" s="2059">
        <v>3.4000000000000002E-2</v>
      </c>
      <c r="L305" t="s">
        <v>4696</v>
      </c>
      <c r="M305">
        <v>0.4</v>
      </c>
      <c r="N305">
        <v>1450</v>
      </c>
      <c r="O305">
        <v>60</v>
      </c>
      <c r="P305">
        <v>60</v>
      </c>
      <c r="U305" t="s">
        <v>1678</v>
      </c>
      <c r="V305">
        <v>43100</v>
      </c>
    </row>
    <row r="306" spans="1:24">
      <c r="A306">
        <v>26</v>
      </c>
      <c r="B306">
        <v>15100036</v>
      </c>
      <c r="C306" t="s">
        <v>4609</v>
      </c>
      <c r="D306" t="s">
        <v>4610</v>
      </c>
      <c r="E306" t="s">
        <v>4844</v>
      </c>
      <c r="F306" t="s">
        <v>4844</v>
      </c>
      <c r="G306">
        <v>50</v>
      </c>
      <c r="H306" t="s">
        <v>4836</v>
      </c>
      <c r="J306" t="s">
        <v>4845</v>
      </c>
      <c r="K306" s="2059">
        <v>3.4000000000000002E-2</v>
      </c>
      <c r="L306" t="s">
        <v>4846</v>
      </c>
      <c r="M306">
        <v>0.4</v>
      </c>
      <c r="N306">
        <v>1450</v>
      </c>
      <c r="O306">
        <v>60</v>
      </c>
      <c r="P306">
        <v>60</v>
      </c>
      <c r="U306" t="s">
        <v>1678</v>
      </c>
      <c r="V306">
        <v>43100</v>
      </c>
    </row>
    <row r="307" spans="1:24">
      <c r="A307">
        <v>26</v>
      </c>
      <c r="B307">
        <v>15100037</v>
      </c>
      <c r="C307" t="s">
        <v>4609</v>
      </c>
      <c r="D307" t="s">
        <v>4610</v>
      </c>
      <c r="E307" t="s">
        <v>4847</v>
      </c>
      <c r="F307" t="s">
        <v>4848</v>
      </c>
      <c r="G307">
        <v>50</v>
      </c>
      <c r="H307" t="s">
        <v>4836</v>
      </c>
      <c r="J307" t="s">
        <v>4849</v>
      </c>
      <c r="K307" s="2059">
        <v>3.4000000000000002E-2</v>
      </c>
      <c r="L307" t="s">
        <v>4373</v>
      </c>
      <c r="M307">
        <v>0.4</v>
      </c>
      <c r="N307">
        <v>1450</v>
      </c>
      <c r="O307">
        <v>60</v>
      </c>
      <c r="P307">
        <v>60</v>
      </c>
      <c r="U307" t="s">
        <v>1678</v>
      </c>
      <c r="V307">
        <v>43100</v>
      </c>
    </row>
    <row r="308" spans="1:24">
      <c r="A308">
        <v>26</v>
      </c>
      <c r="B308">
        <v>15100038</v>
      </c>
      <c r="C308" t="s">
        <v>4609</v>
      </c>
      <c r="D308" t="s">
        <v>4610</v>
      </c>
      <c r="E308" t="s">
        <v>4850</v>
      </c>
      <c r="F308" t="s">
        <v>4851</v>
      </c>
      <c r="G308">
        <v>50</v>
      </c>
      <c r="H308" t="s">
        <v>4836</v>
      </c>
      <c r="J308" t="s">
        <v>4852</v>
      </c>
      <c r="K308" s="2059">
        <v>3.1E-2</v>
      </c>
      <c r="L308" t="s">
        <v>4373</v>
      </c>
      <c r="M308">
        <v>0.4</v>
      </c>
      <c r="N308">
        <v>1450</v>
      </c>
      <c r="O308">
        <v>60</v>
      </c>
      <c r="P308">
        <v>60</v>
      </c>
      <c r="U308" t="s">
        <v>1678</v>
      </c>
      <c r="V308">
        <v>43100</v>
      </c>
    </row>
    <row r="309" spans="1:24">
      <c r="A309">
        <v>26</v>
      </c>
      <c r="B309">
        <v>15100039</v>
      </c>
      <c r="C309" t="s">
        <v>4609</v>
      </c>
      <c r="D309" t="s">
        <v>4610</v>
      </c>
      <c r="E309" t="s">
        <v>4853</v>
      </c>
      <c r="F309" t="s">
        <v>4854</v>
      </c>
      <c r="G309">
        <v>50</v>
      </c>
      <c r="H309" t="s">
        <v>4836</v>
      </c>
      <c r="J309" t="s">
        <v>4855</v>
      </c>
      <c r="K309" s="2059">
        <v>3.7999999999999999E-2</v>
      </c>
      <c r="L309" t="s">
        <v>4259</v>
      </c>
      <c r="M309">
        <v>0.4</v>
      </c>
      <c r="N309">
        <v>1450</v>
      </c>
      <c r="O309">
        <v>60</v>
      </c>
      <c r="P309">
        <v>60</v>
      </c>
      <c r="U309" t="s">
        <v>1678</v>
      </c>
      <c r="V309">
        <v>43100</v>
      </c>
    </row>
    <row r="310" spans="1:24">
      <c r="A310">
        <v>26</v>
      </c>
      <c r="B310">
        <v>15100040</v>
      </c>
      <c r="C310" t="s">
        <v>4609</v>
      </c>
      <c r="D310" t="s">
        <v>4610</v>
      </c>
      <c r="E310" t="s">
        <v>4856</v>
      </c>
      <c r="F310" t="s">
        <v>4857</v>
      </c>
      <c r="G310">
        <v>50</v>
      </c>
      <c r="H310" t="s">
        <v>4836</v>
      </c>
      <c r="J310" t="s">
        <v>4858</v>
      </c>
      <c r="K310" s="2059">
        <v>3.4000000000000002E-2</v>
      </c>
      <c r="L310" t="s">
        <v>4259</v>
      </c>
      <c r="M310">
        <v>0.4</v>
      </c>
      <c r="N310">
        <v>1450</v>
      </c>
      <c r="O310">
        <v>60</v>
      </c>
      <c r="P310">
        <v>60</v>
      </c>
      <c r="U310" t="s">
        <v>1678</v>
      </c>
      <c r="V310">
        <v>43100</v>
      </c>
    </row>
    <row r="311" spans="1:24">
      <c r="A311">
        <v>26</v>
      </c>
      <c r="B311">
        <v>15100041</v>
      </c>
      <c r="C311" t="s">
        <v>4609</v>
      </c>
      <c r="D311" t="s">
        <v>4610</v>
      </c>
      <c r="E311" t="s">
        <v>4859</v>
      </c>
      <c r="F311" t="s">
        <v>4860</v>
      </c>
      <c r="G311">
        <v>50</v>
      </c>
      <c r="H311" t="s">
        <v>4836</v>
      </c>
      <c r="J311" t="s">
        <v>4861</v>
      </c>
      <c r="K311" s="2059">
        <v>3.1E-2</v>
      </c>
      <c r="L311" t="s">
        <v>4259</v>
      </c>
      <c r="M311">
        <v>0.4</v>
      </c>
      <c r="N311">
        <v>1450</v>
      </c>
      <c r="O311">
        <v>60</v>
      </c>
      <c r="P311">
        <v>60</v>
      </c>
      <c r="U311" t="s">
        <v>1678</v>
      </c>
      <c r="V311">
        <v>43100</v>
      </c>
    </row>
    <row r="312" spans="1:24">
      <c r="A312">
        <v>26</v>
      </c>
      <c r="B312">
        <v>15100042</v>
      </c>
      <c r="C312" t="s">
        <v>4609</v>
      </c>
      <c r="D312" t="s">
        <v>4610</v>
      </c>
      <c r="E312" t="s">
        <v>4862</v>
      </c>
      <c r="F312" t="s">
        <v>4862</v>
      </c>
      <c r="G312">
        <v>50</v>
      </c>
      <c r="H312" t="s">
        <v>4836</v>
      </c>
      <c r="J312" t="s">
        <v>4863</v>
      </c>
      <c r="K312" s="2059">
        <v>3.4000000000000002E-2</v>
      </c>
      <c r="L312" t="s">
        <v>4321</v>
      </c>
      <c r="M312">
        <v>0.4</v>
      </c>
      <c r="N312">
        <v>1450</v>
      </c>
      <c r="O312">
        <v>60</v>
      </c>
      <c r="P312">
        <v>60</v>
      </c>
      <c r="U312" t="s">
        <v>1678</v>
      </c>
      <c r="V312">
        <v>43100</v>
      </c>
    </row>
    <row r="313" spans="1:24">
      <c r="A313">
        <v>26</v>
      </c>
      <c r="B313">
        <v>15100043</v>
      </c>
      <c r="C313" t="s">
        <v>4609</v>
      </c>
      <c r="D313" t="s">
        <v>4610</v>
      </c>
      <c r="E313" t="s">
        <v>4864</v>
      </c>
      <c r="F313" t="s">
        <v>4864</v>
      </c>
      <c r="G313">
        <v>50</v>
      </c>
      <c r="H313" t="s">
        <v>4836</v>
      </c>
      <c r="J313" t="s">
        <v>4745</v>
      </c>
      <c r="K313" s="2059">
        <v>3.1E-2</v>
      </c>
      <c r="L313" t="s">
        <v>4667</v>
      </c>
      <c r="M313">
        <v>0.4</v>
      </c>
      <c r="N313">
        <v>1450</v>
      </c>
      <c r="O313">
        <v>60</v>
      </c>
      <c r="P313">
        <v>60</v>
      </c>
      <c r="U313" t="s">
        <v>1678</v>
      </c>
      <c r="V313">
        <v>43100</v>
      </c>
    </row>
    <row r="314" spans="1:24">
      <c r="A314">
        <v>26</v>
      </c>
      <c r="B314">
        <v>15100044</v>
      </c>
      <c r="C314" t="s">
        <v>4609</v>
      </c>
      <c r="D314" t="s">
        <v>4610</v>
      </c>
      <c r="E314" t="s">
        <v>4865</v>
      </c>
      <c r="F314" t="s">
        <v>4865</v>
      </c>
      <c r="G314">
        <v>50</v>
      </c>
      <c r="H314" t="s">
        <v>4836</v>
      </c>
      <c r="J314" t="s">
        <v>4866</v>
      </c>
      <c r="K314" s="2059">
        <v>4.3999999999999997E-2</v>
      </c>
      <c r="L314" t="s">
        <v>4742</v>
      </c>
      <c r="M314">
        <v>0.4</v>
      </c>
      <c r="N314">
        <v>1450</v>
      </c>
      <c r="O314">
        <v>60</v>
      </c>
      <c r="P314">
        <v>60</v>
      </c>
      <c r="U314" t="s">
        <v>1678</v>
      </c>
      <c r="V314">
        <v>43100</v>
      </c>
    </row>
    <row r="315" spans="1:24">
      <c r="A315">
        <v>26</v>
      </c>
      <c r="B315">
        <v>15100045</v>
      </c>
      <c r="C315" t="s">
        <v>4609</v>
      </c>
      <c r="D315" t="s">
        <v>4610</v>
      </c>
      <c r="E315" t="s">
        <v>4867</v>
      </c>
      <c r="F315" t="s">
        <v>4867</v>
      </c>
      <c r="G315">
        <v>50</v>
      </c>
      <c r="H315" t="s">
        <v>4836</v>
      </c>
      <c r="J315" t="s">
        <v>4837</v>
      </c>
      <c r="K315" s="2059">
        <v>3.7999999999999999E-2</v>
      </c>
      <c r="L315" t="s">
        <v>4742</v>
      </c>
      <c r="M315">
        <v>0.4</v>
      </c>
      <c r="N315">
        <v>1450</v>
      </c>
      <c r="O315">
        <v>60</v>
      </c>
      <c r="P315">
        <v>60</v>
      </c>
      <c r="U315" t="s">
        <v>1678</v>
      </c>
      <c r="V315">
        <v>43100</v>
      </c>
    </row>
    <row r="316" spans="1:24">
      <c r="A316">
        <v>26</v>
      </c>
      <c r="B316">
        <v>16050111</v>
      </c>
      <c r="C316" t="s">
        <v>4609</v>
      </c>
      <c r="D316" t="s">
        <v>4610</v>
      </c>
      <c r="E316" t="s">
        <v>4868</v>
      </c>
      <c r="F316" t="s">
        <v>4868</v>
      </c>
      <c r="G316">
        <v>14</v>
      </c>
      <c r="H316" t="s">
        <v>4869</v>
      </c>
      <c r="J316">
        <v>15</v>
      </c>
      <c r="K316" s="2059">
        <v>0.03</v>
      </c>
      <c r="L316" t="s">
        <v>4524</v>
      </c>
      <c r="M316">
        <v>0.4</v>
      </c>
      <c r="N316">
        <v>1450</v>
      </c>
      <c r="O316">
        <v>60</v>
      </c>
      <c r="P316">
        <v>60</v>
      </c>
      <c r="U316" t="s">
        <v>1678</v>
      </c>
      <c r="V316">
        <v>43281</v>
      </c>
      <c r="W316" t="s">
        <v>4273</v>
      </c>
      <c r="X316" t="s">
        <v>4197</v>
      </c>
    </row>
    <row r="317" spans="1:24">
      <c r="A317">
        <v>26</v>
      </c>
      <c r="B317">
        <v>16100131</v>
      </c>
      <c r="C317" t="s">
        <v>4609</v>
      </c>
      <c r="D317" t="s">
        <v>4610</v>
      </c>
      <c r="E317" t="s">
        <v>4870</v>
      </c>
      <c r="F317" t="s">
        <v>4870</v>
      </c>
      <c r="G317">
        <v>6</v>
      </c>
      <c r="H317" t="s">
        <v>4871</v>
      </c>
      <c r="J317">
        <v>25</v>
      </c>
      <c r="K317" s="2059">
        <v>2.9000000000000001E-2</v>
      </c>
      <c r="L317" t="s">
        <v>4524</v>
      </c>
      <c r="M317">
        <v>0.4</v>
      </c>
      <c r="N317">
        <v>1450</v>
      </c>
      <c r="O317">
        <v>60</v>
      </c>
      <c r="P317">
        <v>60</v>
      </c>
      <c r="U317" t="s">
        <v>1678</v>
      </c>
      <c r="V317">
        <v>43465</v>
      </c>
      <c r="W317" t="s">
        <v>4872</v>
      </c>
      <c r="X317" t="s">
        <v>4873</v>
      </c>
    </row>
    <row r="318" spans="1:24">
      <c r="A318">
        <v>26</v>
      </c>
      <c r="B318">
        <v>16100132</v>
      </c>
      <c r="C318" t="s">
        <v>4609</v>
      </c>
      <c r="D318" t="s">
        <v>4610</v>
      </c>
      <c r="E318" t="s">
        <v>4874</v>
      </c>
      <c r="F318" t="s">
        <v>4874</v>
      </c>
      <c r="G318">
        <v>6</v>
      </c>
      <c r="H318" t="s">
        <v>4871</v>
      </c>
      <c r="J318">
        <v>25</v>
      </c>
      <c r="K318" s="2059">
        <v>3.4000000000000002E-2</v>
      </c>
      <c r="L318" t="s">
        <v>4524</v>
      </c>
      <c r="M318">
        <v>0.4</v>
      </c>
      <c r="N318">
        <v>1450</v>
      </c>
      <c r="O318">
        <v>60</v>
      </c>
      <c r="P318">
        <v>60</v>
      </c>
      <c r="U318" t="s">
        <v>1678</v>
      </c>
      <c r="V318">
        <v>43465</v>
      </c>
      <c r="W318" t="s">
        <v>4875</v>
      </c>
      <c r="X318" t="s">
        <v>4876</v>
      </c>
    </row>
    <row r="319" spans="1:24">
      <c r="A319">
        <v>26</v>
      </c>
      <c r="B319">
        <v>16100133</v>
      </c>
      <c r="C319" t="s">
        <v>4609</v>
      </c>
      <c r="D319" t="s">
        <v>4610</v>
      </c>
      <c r="E319" t="s">
        <v>4877</v>
      </c>
      <c r="F319" t="s">
        <v>4877</v>
      </c>
      <c r="G319">
        <v>6</v>
      </c>
      <c r="H319" t="s">
        <v>4871</v>
      </c>
      <c r="J319">
        <v>45</v>
      </c>
      <c r="K319" s="2059">
        <v>3.2000000000000001E-2</v>
      </c>
      <c r="L319" t="s">
        <v>4524</v>
      </c>
      <c r="M319">
        <v>0.4</v>
      </c>
      <c r="N319">
        <v>1450</v>
      </c>
      <c r="O319">
        <v>60</v>
      </c>
      <c r="P319">
        <v>60</v>
      </c>
      <c r="U319" t="s">
        <v>1678</v>
      </c>
      <c r="V319">
        <v>43465</v>
      </c>
      <c r="W319" t="s">
        <v>4878</v>
      </c>
      <c r="X319" t="s">
        <v>4879</v>
      </c>
    </row>
    <row r="320" spans="1:24">
      <c r="A320">
        <v>26</v>
      </c>
      <c r="B320">
        <v>15090041</v>
      </c>
      <c r="C320" t="s">
        <v>4609</v>
      </c>
      <c r="D320" t="s">
        <v>4610</v>
      </c>
      <c r="E320" t="s">
        <v>4880</v>
      </c>
      <c r="F320" t="s">
        <v>4880</v>
      </c>
      <c r="G320">
        <v>66</v>
      </c>
      <c r="H320" t="s">
        <v>4881</v>
      </c>
      <c r="J320" t="s">
        <v>4882</v>
      </c>
      <c r="K320" s="2059">
        <v>2.9000000000000001E-2</v>
      </c>
      <c r="L320" t="s">
        <v>4685</v>
      </c>
      <c r="M320">
        <v>0.4</v>
      </c>
      <c r="N320">
        <v>1450</v>
      </c>
      <c r="O320">
        <v>60</v>
      </c>
      <c r="P320">
        <v>60</v>
      </c>
      <c r="U320" t="s">
        <v>1678</v>
      </c>
      <c r="V320">
        <v>43100</v>
      </c>
      <c r="W320" t="s">
        <v>4883</v>
      </c>
    </row>
    <row r="321" spans="1:24">
      <c r="A321">
        <v>26</v>
      </c>
      <c r="B321">
        <v>15090042</v>
      </c>
      <c r="C321" t="s">
        <v>4609</v>
      </c>
      <c r="D321" t="s">
        <v>4610</v>
      </c>
      <c r="E321" t="s">
        <v>4884</v>
      </c>
      <c r="F321" t="s">
        <v>4884</v>
      </c>
      <c r="G321">
        <v>66</v>
      </c>
      <c r="H321" t="s">
        <v>4881</v>
      </c>
      <c r="J321" t="s">
        <v>4885</v>
      </c>
      <c r="K321" s="2059">
        <v>3.4000000000000002E-2</v>
      </c>
      <c r="L321" t="s">
        <v>4685</v>
      </c>
      <c r="M321">
        <v>0.4</v>
      </c>
      <c r="N321">
        <v>1450</v>
      </c>
      <c r="O321">
        <v>60</v>
      </c>
      <c r="P321">
        <v>60</v>
      </c>
      <c r="U321" t="s">
        <v>1678</v>
      </c>
      <c r="V321">
        <v>43100</v>
      </c>
      <c r="W321" t="s">
        <v>4883</v>
      </c>
    </row>
    <row r="322" spans="1:24">
      <c r="A322">
        <v>26</v>
      </c>
      <c r="B322">
        <v>15100121</v>
      </c>
      <c r="C322" t="s">
        <v>4609</v>
      </c>
      <c r="D322" t="s">
        <v>4610</v>
      </c>
      <c r="E322" t="s">
        <v>4886</v>
      </c>
      <c r="F322" t="s">
        <v>4886</v>
      </c>
      <c r="G322">
        <v>66</v>
      </c>
      <c r="H322" t="s">
        <v>4881</v>
      </c>
      <c r="J322" t="s">
        <v>4887</v>
      </c>
      <c r="K322" s="2059">
        <v>3.1E-2</v>
      </c>
      <c r="L322" t="s">
        <v>4685</v>
      </c>
      <c r="M322">
        <v>0.4</v>
      </c>
      <c r="N322">
        <v>1450</v>
      </c>
      <c r="O322">
        <v>60</v>
      </c>
      <c r="P322">
        <v>60</v>
      </c>
      <c r="U322" t="s">
        <v>1678</v>
      </c>
      <c r="V322">
        <v>43100</v>
      </c>
      <c r="W322" t="s">
        <v>4888</v>
      </c>
    </row>
    <row r="323" spans="1:24">
      <c r="A323">
        <v>26</v>
      </c>
      <c r="B323">
        <v>15100122</v>
      </c>
      <c r="C323" t="s">
        <v>4609</v>
      </c>
      <c r="D323" t="s">
        <v>4610</v>
      </c>
      <c r="E323" t="s">
        <v>4889</v>
      </c>
      <c r="F323" t="s">
        <v>4889</v>
      </c>
      <c r="G323">
        <v>66</v>
      </c>
      <c r="H323" t="s">
        <v>4881</v>
      </c>
      <c r="J323" t="s">
        <v>4890</v>
      </c>
      <c r="K323" s="2059">
        <v>3.5999999999999997E-2</v>
      </c>
      <c r="L323" t="s">
        <v>4685</v>
      </c>
      <c r="M323">
        <v>0.4</v>
      </c>
      <c r="N323">
        <v>1450</v>
      </c>
      <c r="O323">
        <v>60</v>
      </c>
      <c r="P323">
        <v>60</v>
      </c>
      <c r="U323" t="s">
        <v>1678</v>
      </c>
      <c r="V323">
        <v>43100</v>
      </c>
      <c r="W323" t="s">
        <v>4891</v>
      </c>
    </row>
    <row r="324" spans="1:24">
      <c r="A324">
        <v>26</v>
      </c>
      <c r="B324">
        <v>15100123</v>
      </c>
      <c r="C324" t="s">
        <v>4609</v>
      </c>
      <c r="D324" t="s">
        <v>4610</v>
      </c>
      <c r="E324" t="s">
        <v>4892</v>
      </c>
      <c r="F324" t="s">
        <v>4892</v>
      </c>
      <c r="G324">
        <v>66</v>
      </c>
      <c r="H324" t="s">
        <v>4881</v>
      </c>
      <c r="J324" t="s">
        <v>4893</v>
      </c>
      <c r="K324" s="2059">
        <v>3.3000000000000002E-2</v>
      </c>
      <c r="L324" t="s">
        <v>4685</v>
      </c>
      <c r="M324">
        <v>0.4</v>
      </c>
      <c r="N324">
        <v>1450</v>
      </c>
      <c r="O324">
        <v>60</v>
      </c>
      <c r="P324">
        <v>60</v>
      </c>
      <c r="U324" t="s">
        <v>1678</v>
      </c>
      <c r="V324">
        <v>43100</v>
      </c>
      <c r="W324" t="s">
        <v>4891</v>
      </c>
    </row>
    <row r="325" spans="1:24">
      <c r="A325">
        <v>26</v>
      </c>
      <c r="B325">
        <v>16010031</v>
      </c>
      <c r="C325" t="s">
        <v>4609</v>
      </c>
      <c r="D325" t="s">
        <v>4610</v>
      </c>
      <c r="E325" t="s">
        <v>4894</v>
      </c>
      <c r="F325" t="s">
        <v>4894</v>
      </c>
      <c r="G325">
        <v>66</v>
      </c>
      <c r="H325" t="s">
        <v>4881</v>
      </c>
      <c r="J325" t="s">
        <v>4780</v>
      </c>
      <c r="K325" s="2059">
        <v>0.03</v>
      </c>
      <c r="L325" t="s">
        <v>4314</v>
      </c>
      <c r="M325">
        <v>0.4</v>
      </c>
      <c r="N325">
        <v>1450</v>
      </c>
      <c r="O325">
        <v>60</v>
      </c>
      <c r="P325">
        <v>60</v>
      </c>
      <c r="U325" t="s">
        <v>1678</v>
      </c>
      <c r="V325">
        <v>43100</v>
      </c>
    </row>
    <row r="326" spans="1:24">
      <c r="A326">
        <v>26</v>
      </c>
      <c r="B326">
        <v>15030021</v>
      </c>
      <c r="C326" t="s">
        <v>4609</v>
      </c>
      <c r="D326" t="s">
        <v>4610</v>
      </c>
      <c r="E326" t="s">
        <v>4895</v>
      </c>
      <c r="F326" t="s">
        <v>4895</v>
      </c>
      <c r="G326">
        <v>87</v>
      </c>
      <c r="H326" t="s">
        <v>4896</v>
      </c>
      <c r="J326" t="s">
        <v>4897</v>
      </c>
      <c r="K326" s="2059">
        <v>4.2000000000000003E-2</v>
      </c>
      <c r="L326" t="s">
        <v>4898</v>
      </c>
      <c r="M326">
        <v>0.4</v>
      </c>
      <c r="N326">
        <v>1450</v>
      </c>
      <c r="O326">
        <v>60</v>
      </c>
      <c r="P326">
        <v>60</v>
      </c>
      <c r="U326" t="s">
        <v>1678</v>
      </c>
      <c r="V326">
        <v>42916</v>
      </c>
      <c r="W326" t="s">
        <v>4899</v>
      </c>
      <c r="X326" t="s">
        <v>4900</v>
      </c>
    </row>
    <row r="327" spans="1:24">
      <c r="A327">
        <v>26</v>
      </c>
      <c r="B327">
        <v>15080011</v>
      </c>
      <c r="C327" t="s">
        <v>4609</v>
      </c>
      <c r="D327" t="s">
        <v>4610</v>
      </c>
      <c r="E327" t="s">
        <v>4901</v>
      </c>
      <c r="F327" t="s">
        <v>4901</v>
      </c>
      <c r="G327">
        <v>87</v>
      </c>
      <c r="H327" t="s">
        <v>4896</v>
      </c>
      <c r="J327" t="s">
        <v>4849</v>
      </c>
      <c r="K327" s="2059">
        <v>3.2000000000000001E-2</v>
      </c>
      <c r="L327" t="s">
        <v>4902</v>
      </c>
      <c r="M327">
        <v>0.4</v>
      </c>
      <c r="N327">
        <v>1450</v>
      </c>
      <c r="O327">
        <v>60</v>
      </c>
      <c r="P327">
        <v>60</v>
      </c>
      <c r="U327" t="s">
        <v>1678</v>
      </c>
      <c r="V327">
        <v>43100</v>
      </c>
      <c r="W327" t="s">
        <v>4899</v>
      </c>
      <c r="X327" t="s">
        <v>4900</v>
      </c>
    </row>
    <row r="328" spans="1:24">
      <c r="A328">
        <v>26</v>
      </c>
      <c r="B328">
        <v>15100012</v>
      </c>
      <c r="C328" t="s">
        <v>4609</v>
      </c>
      <c r="D328" t="s">
        <v>4610</v>
      </c>
      <c r="E328" t="s">
        <v>4903</v>
      </c>
      <c r="F328" t="s">
        <v>4903</v>
      </c>
      <c r="G328">
        <v>87</v>
      </c>
      <c r="H328" t="s">
        <v>4896</v>
      </c>
      <c r="J328" t="s">
        <v>4904</v>
      </c>
      <c r="K328" s="2059">
        <v>3.5999999999999997E-2</v>
      </c>
      <c r="L328" t="s">
        <v>4905</v>
      </c>
      <c r="M328">
        <v>0.4</v>
      </c>
      <c r="N328">
        <v>1450</v>
      </c>
      <c r="O328">
        <v>60</v>
      </c>
      <c r="P328">
        <v>60</v>
      </c>
      <c r="U328" t="s">
        <v>1678</v>
      </c>
      <c r="V328">
        <v>43100</v>
      </c>
      <c r="W328" t="s">
        <v>4906</v>
      </c>
      <c r="X328" t="s">
        <v>4907</v>
      </c>
    </row>
    <row r="329" spans="1:24">
      <c r="A329">
        <v>26</v>
      </c>
      <c r="B329">
        <v>15100013</v>
      </c>
      <c r="C329" t="s">
        <v>4609</v>
      </c>
      <c r="D329" t="s">
        <v>4610</v>
      </c>
      <c r="E329" t="s">
        <v>4908</v>
      </c>
      <c r="F329" t="s">
        <v>4908</v>
      </c>
      <c r="G329">
        <v>87</v>
      </c>
      <c r="H329" t="s">
        <v>4896</v>
      </c>
      <c r="J329" t="s">
        <v>4909</v>
      </c>
      <c r="K329" s="2059">
        <v>3.4000000000000002E-2</v>
      </c>
      <c r="L329" t="s">
        <v>4905</v>
      </c>
      <c r="M329">
        <v>0.4</v>
      </c>
      <c r="N329">
        <v>1450</v>
      </c>
      <c r="O329">
        <v>60</v>
      </c>
      <c r="P329">
        <v>60</v>
      </c>
      <c r="U329" t="s">
        <v>1678</v>
      </c>
      <c r="V329">
        <v>43100</v>
      </c>
      <c r="W329" t="s">
        <v>4906</v>
      </c>
      <c r="X329" t="s">
        <v>4907</v>
      </c>
    </row>
    <row r="330" spans="1:24">
      <c r="A330">
        <v>26</v>
      </c>
      <c r="B330">
        <v>15100014</v>
      </c>
      <c r="C330" t="s">
        <v>4609</v>
      </c>
      <c r="D330" t="s">
        <v>4610</v>
      </c>
      <c r="E330" t="s">
        <v>4910</v>
      </c>
      <c r="F330" t="s">
        <v>4910</v>
      </c>
      <c r="G330">
        <v>87</v>
      </c>
      <c r="H330" t="s">
        <v>4896</v>
      </c>
      <c r="J330" t="s">
        <v>4904</v>
      </c>
      <c r="K330" s="2059">
        <v>3.1E-2</v>
      </c>
      <c r="L330" t="s">
        <v>4373</v>
      </c>
      <c r="M330">
        <v>0.4</v>
      </c>
      <c r="N330">
        <v>1450</v>
      </c>
      <c r="O330">
        <v>60</v>
      </c>
      <c r="P330">
        <v>60</v>
      </c>
      <c r="U330" t="s">
        <v>1678</v>
      </c>
      <c r="V330">
        <v>43100</v>
      </c>
      <c r="W330" t="s">
        <v>4906</v>
      </c>
      <c r="X330" t="s">
        <v>4907</v>
      </c>
    </row>
    <row r="331" spans="1:24">
      <c r="A331">
        <v>26</v>
      </c>
      <c r="B331">
        <v>15100015</v>
      </c>
      <c r="C331" t="s">
        <v>4609</v>
      </c>
      <c r="D331" t="s">
        <v>4610</v>
      </c>
      <c r="E331" t="s">
        <v>4911</v>
      </c>
      <c r="F331" t="s">
        <v>4911</v>
      </c>
      <c r="G331">
        <v>87</v>
      </c>
      <c r="H331" t="s">
        <v>4896</v>
      </c>
      <c r="J331" t="s">
        <v>4159</v>
      </c>
      <c r="K331" s="2059">
        <v>3.5000000000000003E-2</v>
      </c>
      <c r="L331" t="s">
        <v>4912</v>
      </c>
      <c r="M331">
        <v>0.4</v>
      </c>
      <c r="N331">
        <v>1450</v>
      </c>
      <c r="O331">
        <v>60</v>
      </c>
      <c r="P331">
        <v>60</v>
      </c>
      <c r="U331" t="s">
        <v>1678</v>
      </c>
      <c r="V331">
        <v>43100</v>
      </c>
      <c r="W331" t="s">
        <v>4913</v>
      </c>
      <c r="X331" t="s">
        <v>4914</v>
      </c>
    </row>
    <row r="332" spans="1:24">
      <c r="A332">
        <v>26</v>
      </c>
      <c r="B332">
        <v>15100016</v>
      </c>
      <c r="C332" t="s">
        <v>4609</v>
      </c>
      <c r="D332" t="s">
        <v>4610</v>
      </c>
      <c r="E332" t="s">
        <v>4915</v>
      </c>
      <c r="F332" t="s">
        <v>4915</v>
      </c>
      <c r="G332">
        <v>87</v>
      </c>
      <c r="H332" t="s">
        <v>4896</v>
      </c>
      <c r="J332" t="s">
        <v>4159</v>
      </c>
      <c r="K332" s="2059">
        <v>3.6999999999999998E-2</v>
      </c>
      <c r="L332" t="s">
        <v>4352</v>
      </c>
      <c r="M332">
        <v>0.4</v>
      </c>
      <c r="N332">
        <v>1450</v>
      </c>
      <c r="O332">
        <v>60</v>
      </c>
      <c r="P332">
        <v>60</v>
      </c>
      <c r="U332" t="s">
        <v>1678</v>
      </c>
      <c r="V332">
        <v>43100</v>
      </c>
      <c r="W332" t="s">
        <v>4913</v>
      </c>
      <c r="X332" t="s">
        <v>4914</v>
      </c>
    </row>
    <row r="333" spans="1:24">
      <c r="A333">
        <v>26</v>
      </c>
      <c r="B333">
        <v>15100017</v>
      </c>
      <c r="C333" t="s">
        <v>4609</v>
      </c>
      <c r="D333" t="s">
        <v>4610</v>
      </c>
      <c r="E333" t="s">
        <v>4916</v>
      </c>
      <c r="F333" t="s">
        <v>4916</v>
      </c>
      <c r="G333">
        <v>87</v>
      </c>
      <c r="H333" t="s">
        <v>4896</v>
      </c>
      <c r="J333" t="s">
        <v>4917</v>
      </c>
      <c r="K333" s="2059">
        <v>3.2000000000000001E-2</v>
      </c>
      <c r="L333" t="s">
        <v>4918</v>
      </c>
      <c r="M333">
        <v>0.4</v>
      </c>
      <c r="N333">
        <v>1450</v>
      </c>
      <c r="O333">
        <v>60</v>
      </c>
      <c r="P333">
        <v>60</v>
      </c>
      <c r="U333" t="s">
        <v>1678</v>
      </c>
      <c r="V333">
        <v>43100</v>
      </c>
      <c r="W333" t="s">
        <v>4913</v>
      </c>
      <c r="X333" t="s">
        <v>4914</v>
      </c>
    </row>
    <row r="334" spans="1:24">
      <c r="A334">
        <v>26</v>
      </c>
      <c r="B334">
        <v>15100018</v>
      </c>
      <c r="C334" t="s">
        <v>4609</v>
      </c>
      <c r="D334" t="s">
        <v>4610</v>
      </c>
      <c r="E334" t="s">
        <v>4919</v>
      </c>
      <c r="F334" t="s">
        <v>4919</v>
      </c>
      <c r="G334">
        <v>87</v>
      </c>
      <c r="H334" t="s">
        <v>4896</v>
      </c>
      <c r="J334" t="s">
        <v>4920</v>
      </c>
      <c r="K334" s="2059">
        <v>3.5000000000000003E-2</v>
      </c>
      <c r="L334" t="s">
        <v>4166</v>
      </c>
      <c r="M334">
        <v>0.4</v>
      </c>
      <c r="N334">
        <v>1450</v>
      </c>
      <c r="O334">
        <v>60</v>
      </c>
      <c r="P334">
        <v>60</v>
      </c>
      <c r="U334" t="s">
        <v>1678</v>
      </c>
      <c r="V334">
        <v>43100</v>
      </c>
      <c r="W334" t="s">
        <v>4921</v>
      </c>
      <c r="X334" t="s">
        <v>4922</v>
      </c>
    </row>
    <row r="335" spans="1:24">
      <c r="A335">
        <v>26</v>
      </c>
      <c r="B335">
        <v>15100019</v>
      </c>
      <c r="C335" t="s">
        <v>4609</v>
      </c>
      <c r="D335" t="s">
        <v>4610</v>
      </c>
      <c r="E335" t="s">
        <v>4923</v>
      </c>
      <c r="F335" t="s">
        <v>4923</v>
      </c>
      <c r="G335">
        <v>87</v>
      </c>
      <c r="H335" t="s">
        <v>4896</v>
      </c>
      <c r="J335" t="s">
        <v>4618</v>
      </c>
      <c r="K335" s="2059">
        <v>3.7999999999999999E-2</v>
      </c>
      <c r="L335" t="s">
        <v>4696</v>
      </c>
      <c r="M335">
        <v>0.4</v>
      </c>
      <c r="N335">
        <v>1450</v>
      </c>
      <c r="O335">
        <v>60</v>
      </c>
      <c r="P335">
        <v>60</v>
      </c>
      <c r="U335" t="s">
        <v>1678</v>
      </c>
      <c r="V335">
        <v>43100</v>
      </c>
      <c r="W335" t="s">
        <v>4906</v>
      </c>
      <c r="X335" t="s">
        <v>4907</v>
      </c>
    </row>
    <row r="336" spans="1:24">
      <c r="A336">
        <v>26</v>
      </c>
      <c r="B336">
        <v>15100020</v>
      </c>
      <c r="C336" t="s">
        <v>4609</v>
      </c>
      <c r="D336" t="s">
        <v>4610</v>
      </c>
      <c r="E336" t="s">
        <v>4924</v>
      </c>
      <c r="F336" t="s">
        <v>4924</v>
      </c>
      <c r="G336">
        <v>87</v>
      </c>
      <c r="H336" t="s">
        <v>4896</v>
      </c>
      <c r="J336" t="s">
        <v>4925</v>
      </c>
      <c r="K336" s="2059">
        <v>3.5999999999999997E-2</v>
      </c>
      <c r="L336" t="s">
        <v>4696</v>
      </c>
      <c r="M336">
        <v>0.4</v>
      </c>
      <c r="N336">
        <v>1450</v>
      </c>
      <c r="O336">
        <v>60</v>
      </c>
      <c r="P336">
        <v>60</v>
      </c>
      <c r="U336" t="s">
        <v>1678</v>
      </c>
      <c r="V336">
        <v>43100</v>
      </c>
      <c r="W336" t="s">
        <v>4906</v>
      </c>
      <c r="X336" t="s">
        <v>4907</v>
      </c>
    </row>
    <row r="337" spans="1:24">
      <c r="A337">
        <v>26</v>
      </c>
      <c r="B337">
        <v>15100021</v>
      </c>
      <c r="C337" t="s">
        <v>4609</v>
      </c>
      <c r="D337" t="s">
        <v>4610</v>
      </c>
      <c r="E337" t="s">
        <v>4926</v>
      </c>
      <c r="F337" t="s">
        <v>4926</v>
      </c>
      <c r="G337">
        <v>87</v>
      </c>
      <c r="H337" t="s">
        <v>4896</v>
      </c>
      <c r="J337" t="s">
        <v>4927</v>
      </c>
      <c r="K337" s="2059">
        <v>3.1E-2</v>
      </c>
      <c r="L337" t="s">
        <v>4696</v>
      </c>
      <c r="M337">
        <v>0.4</v>
      </c>
      <c r="N337">
        <v>1450</v>
      </c>
      <c r="O337">
        <v>60</v>
      </c>
      <c r="P337">
        <v>60</v>
      </c>
      <c r="U337" t="s">
        <v>1678</v>
      </c>
      <c r="V337">
        <v>43100</v>
      </c>
      <c r="W337" t="s">
        <v>4906</v>
      </c>
      <c r="X337" t="s">
        <v>4907</v>
      </c>
    </row>
    <row r="338" spans="1:24">
      <c r="A338">
        <v>26</v>
      </c>
      <c r="B338">
        <v>16100021</v>
      </c>
      <c r="C338" t="s">
        <v>4609</v>
      </c>
      <c r="D338" t="s">
        <v>4610</v>
      </c>
      <c r="E338" t="s">
        <v>2409</v>
      </c>
      <c r="F338" t="s">
        <v>2409</v>
      </c>
      <c r="G338">
        <v>17</v>
      </c>
      <c r="H338" t="s">
        <v>4275</v>
      </c>
      <c r="J338">
        <v>15</v>
      </c>
      <c r="K338" s="2059">
        <v>3.7999999999999999E-2</v>
      </c>
      <c r="L338" t="s">
        <v>4696</v>
      </c>
      <c r="M338">
        <v>0.4</v>
      </c>
      <c r="N338">
        <v>1450</v>
      </c>
      <c r="O338">
        <v>60</v>
      </c>
      <c r="P338">
        <v>60</v>
      </c>
      <c r="U338" t="s">
        <v>1678</v>
      </c>
      <c r="V338">
        <v>43465</v>
      </c>
      <c r="W338" t="s">
        <v>4928</v>
      </c>
      <c r="X338" t="s">
        <v>4907</v>
      </c>
    </row>
    <row r="339" spans="1:24">
      <c r="A339">
        <v>26</v>
      </c>
      <c r="B339">
        <v>16100022</v>
      </c>
      <c r="C339" t="s">
        <v>4609</v>
      </c>
      <c r="D339" t="s">
        <v>4610</v>
      </c>
      <c r="E339" t="s">
        <v>2407</v>
      </c>
      <c r="F339" t="s">
        <v>4929</v>
      </c>
      <c r="G339">
        <v>17</v>
      </c>
      <c r="H339" t="s">
        <v>4275</v>
      </c>
      <c r="J339">
        <v>15</v>
      </c>
      <c r="K339" s="2059">
        <v>3.7999999999999999E-2</v>
      </c>
      <c r="L339" t="s">
        <v>4696</v>
      </c>
      <c r="M339">
        <v>0.4</v>
      </c>
      <c r="N339">
        <v>1450</v>
      </c>
      <c r="O339">
        <v>60</v>
      </c>
      <c r="P339">
        <v>60</v>
      </c>
      <c r="U339" t="s">
        <v>1678</v>
      </c>
      <c r="V339">
        <v>43465</v>
      </c>
      <c r="W339" t="s">
        <v>4928</v>
      </c>
      <c r="X339" t="s">
        <v>4907</v>
      </c>
    </row>
    <row r="340" spans="1:24">
      <c r="A340">
        <v>26</v>
      </c>
      <c r="B340">
        <v>16100023</v>
      </c>
      <c r="C340" t="s">
        <v>4609</v>
      </c>
      <c r="D340" t="s">
        <v>4610</v>
      </c>
      <c r="E340" t="s">
        <v>2410</v>
      </c>
      <c r="F340" t="s">
        <v>2410</v>
      </c>
      <c r="G340">
        <v>17</v>
      </c>
      <c r="H340" t="s">
        <v>4275</v>
      </c>
      <c r="J340">
        <v>20</v>
      </c>
      <c r="K340" s="2059">
        <v>3.5999999999999997E-2</v>
      </c>
      <c r="L340" t="s">
        <v>4696</v>
      </c>
      <c r="M340">
        <v>0.4</v>
      </c>
      <c r="N340">
        <v>1450</v>
      </c>
      <c r="O340">
        <v>60</v>
      </c>
      <c r="P340">
        <v>60</v>
      </c>
      <c r="U340" t="s">
        <v>1678</v>
      </c>
      <c r="V340">
        <v>43465</v>
      </c>
      <c r="W340" t="s">
        <v>4928</v>
      </c>
      <c r="X340" t="s">
        <v>4907</v>
      </c>
    </row>
    <row r="341" spans="1:24">
      <c r="A341">
        <v>26</v>
      </c>
      <c r="B341">
        <v>16100024</v>
      </c>
      <c r="C341" t="s">
        <v>4609</v>
      </c>
      <c r="D341" t="s">
        <v>4610</v>
      </c>
      <c r="E341" t="s">
        <v>2411</v>
      </c>
      <c r="F341" t="s">
        <v>2411</v>
      </c>
      <c r="G341">
        <v>17</v>
      </c>
      <c r="H341" t="s">
        <v>4275</v>
      </c>
      <c r="J341">
        <v>30</v>
      </c>
      <c r="K341" s="2059">
        <v>3.3000000000000002E-2</v>
      </c>
      <c r="L341" t="s">
        <v>4696</v>
      </c>
      <c r="M341">
        <v>0.4</v>
      </c>
      <c r="N341">
        <v>1450</v>
      </c>
      <c r="O341">
        <v>60</v>
      </c>
      <c r="P341">
        <v>60</v>
      </c>
      <c r="U341" t="s">
        <v>1678</v>
      </c>
      <c r="V341">
        <v>43465</v>
      </c>
      <c r="W341" t="s">
        <v>4928</v>
      </c>
      <c r="X341" t="s">
        <v>4907</v>
      </c>
    </row>
    <row r="342" spans="1:24">
      <c r="A342">
        <v>26</v>
      </c>
      <c r="B342">
        <v>16100025</v>
      </c>
      <c r="C342" t="s">
        <v>4609</v>
      </c>
      <c r="D342" t="s">
        <v>4610</v>
      </c>
      <c r="E342" t="s">
        <v>2408</v>
      </c>
      <c r="F342" t="s">
        <v>4930</v>
      </c>
      <c r="G342">
        <v>17</v>
      </c>
      <c r="H342" t="s">
        <v>4275</v>
      </c>
      <c r="J342">
        <v>28</v>
      </c>
      <c r="K342" s="2059">
        <v>3.3000000000000002E-2</v>
      </c>
      <c r="L342" t="s">
        <v>4178</v>
      </c>
      <c r="M342">
        <v>0.4</v>
      </c>
      <c r="N342">
        <v>1450</v>
      </c>
      <c r="O342">
        <v>60</v>
      </c>
      <c r="P342">
        <v>60</v>
      </c>
      <c r="U342" t="s">
        <v>1678</v>
      </c>
      <c r="V342">
        <v>43465</v>
      </c>
      <c r="W342" t="s">
        <v>4928</v>
      </c>
      <c r="X342" t="s">
        <v>4907</v>
      </c>
    </row>
    <row r="343" spans="1:24">
      <c r="A343">
        <v>26</v>
      </c>
      <c r="B343">
        <v>16100026</v>
      </c>
      <c r="C343" t="s">
        <v>4609</v>
      </c>
      <c r="D343" t="s">
        <v>4610</v>
      </c>
      <c r="E343" t="s">
        <v>4931</v>
      </c>
      <c r="F343" t="s">
        <v>4932</v>
      </c>
      <c r="G343">
        <v>17</v>
      </c>
      <c r="H343" t="s">
        <v>4275</v>
      </c>
      <c r="J343">
        <v>30</v>
      </c>
      <c r="K343" s="2059">
        <v>3.3000000000000002E-2</v>
      </c>
      <c r="L343" t="s">
        <v>4314</v>
      </c>
      <c r="M343">
        <v>0.4</v>
      </c>
      <c r="N343">
        <v>1450</v>
      </c>
      <c r="O343">
        <v>60</v>
      </c>
      <c r="P343">
        <v>60</v>
      </c>
      <c r="U343" t="s">
        <v>1678</v>
      </c>
      <c r="V343">
        <v>43465</v>
      </c>
      <c r="W343" t="s">
        <v>4933</v>
      </c>
      <c r="X343" t="s">
        <v>4914</v>
      </c>
    </row>
    <row r="344" spans="1:24">
      <c r="A344">
        <v>26</v>
      </c>
      <c r="B344">
        <v>16100027</v>
      </c>
      <c r="C344" t="s">
        <v>4609</v>
      </c>
      <c r="D344" t="s">
        <v>4610</v>
      </c>
      <c r="E344" t="s">
        <v>4934</v>
      </c>
      <c r="F344" t="s">
        <v>4935</v>
      </c>
      <c r="G344">
        <v>17</v>
      </c>
      <c r="H344" t="s">
        <v>4275</v>
      </c>
      <c r="J344">
        <v>30</v>
      </c>
      <c r="K344" s="2059">
        <v>3.3000000000000002E-2</v>
      </c>
      <c r="L344" t="s">
        <v>4164</v>
      </c>
      <c r="M344">
        <v>0.4</v>
      </c>
      <c r="N344">
        <v>1450</v>
      </c>
      <c r="O344">
        <v>60</v>
      </c>
      <c r="P344">
        <v>60</v>
      </c>
      <c r="U344" t="s">
        <v>1678</v>
      </c>
      <c r="V344">
        <v>43465</v>
      </c>
      <c r="W344" t="s">
        <v>4933</v>
      </c>
      <c r="X344" t="s">
        <v>4914</v>
      </c>
    </row>
    <row r="345" spans="1:24">
      <c r="A345">
        <v>26</v>
      </c>
      <c r="B345">
        <v>16100028</v>
      </c>
      <c r="C345" t="s">
        <v>4609</v>
      </c>
      <c r="D345" t="s">
        <v>4610</v>
      </c>
      <c r="E345" t="s">
        <v>4936</v>
      </c>
      <c r="F345" t="s">
        <v>4937</v>
      </c>
      <c r="G345">
        <v>17</v>
      </c>
      <c r="H345" t="s">
        <v>4275</v>
      </c>
      <c r="J345">
        <v>30</v>
      </c>
      <c r="K345" s="2059">
        <v>3.3000000000000002E-2</v>
      </c>
      <c r="L345" t="s">
        <v>4314</v>
      </c>
      <c r="M345">
        <v>0.4</v>
      </c>
      <c r="N345">
        <v>1450</v>
      </c>
      <c r="O345">
        <v>60</v>
      </c>
      <c r="P345">
        <v>60</v>
      </c>
      <c r="U345" t="s">
        <v>1678</v>
      </c>
      <c r="V345">
        <v>43465</v>
      </c>
      <c r="W345" t="s">
        <v>4938</v>
      </c>
      <c r="X345" t="s">
        <v>4939</v>
      </c>
    </row>
    <row r="346" spans="1:24">
      <c r="A346">
        <v>26</v>
      </c>
      <c r="B346">
        <v>16100029</v>
      </c>
      <c r="C346" t="s">
        <v>4609</v>
      </c>
      <c r="D346" t="s">
        <v>4610</v>
      </c>
      <c r="E346" t="s">
        <v>2412</v>
      </c>
      <c r="F346" t="s">
        <v>4940</v>
      </c>
      <c r="G346">
        <v>17</v>
      </c>
      <c r="H346" t="s">
        <v>4275</v>
      </c>
      <c r="J346" t="s">
        <v>4727</v>
      </c>
      <c r="K346" s="2059">
        <v>3.9E-2</v>
      </c>
      <c r="L346">
        <v>18537</v>
      </c>
      <c r="M346">
        <v>0.4</v>
      </c>
      <c r="N346">
        <v>1450</v>
      </c>
      <c r="O346">
        <v>60</v>
      </c>
      <c r="P346">
        <v>60</v>
      </c>
      <c r="U346" t="s">
        <v>1678</v>
      </c>
      <c r="V346">
        <v>43465</v>
      </c>
      <c r="W346" t="s">
        <v>4941</v>
      </c>
      <c r="X346" t="s">
        <v>4942</v>
      </c>
    </row>
    <row r="347" spans="1:24">
      <c r="A347">
        <v>26</v>
      </c>
      <c r="B347">
        <v>16100030</v>
      </c>
      <c r="C347" t="s">
        <v>4609</v>
      </c>
      <c r="D347" t="s">
        <v>4610</v>
      </c>
      <c r="E347" t="s">
        <v>4943</v>
      </c>
      <c r="F347" t="s">
        <v>4944</v>
      </c>
      <c r="G347">
        <v>17</v>
      </c>
      <c r="H347" t="s">
        <v>4275</v>
      </c>
      <c r="J347" t="s">
        <v>4647</v>
      </c>
      <c r="K347" s="2059">
        <v>3.3000000000000002E-2</v>
      </c>
      <c r="L347" t="s">
        <v>4905</v>
      </c>
      <c r="M347">
        <v>0.4</v>
      </c>
      <c r="N347">
        <v>1450</v>
      </c>
      <c r="O347">
        <v>60</v>
      </c>
      <c r="P347">
        <v>60</v>
      </c>
      <c r="U347" t="s">
        <v>1678</v>
      </c>
      <c r="V347">
        <v>43465</v>
      </c>
      <c r="W347" t="s">
        <v>4928</v>
      </c>
      <c r="X347" t="s">
        <v>4907</v>
      </c>
    </row>
    <row r="348" spans="1:24">
      <c r="A348">
        <v>26</v>
      </c>
      <c r="B348">
        <v>16100031</v>
      </c>
      <c r="C348" t="s">
        <v>4609</v>
      </c>
      <c r="D348" t="s">
        <v>4610</v>
      </c>
      <c r="E348" t="s">
        <v>4945</v>
      </c>
      <c r="F348" t="s">
        <v>4945</v>
      </c>
      <c r="G348">
        <v>17</v>
      </c>
      <c r="H348" t="s">
        <v>4275</v>
      </c>
      <c r="J348" t="s">
        <v>4645</v>
      </c>
      <c r="K348" s="2059">
        <v>3.4000000000000002E-2</v>
      </c>
      <c r="L348" t="s">
        <v>4905</v>
      </c>
      <c r="M348">
        <v>0.4</v>
      </c>
      <c r="N348">
        <v>1450</v>
      </c>
      <c r="O348">
        <v>60</v>
      </c>
      <c r="P348">
        <v>60</v>
      </c>
      <c r="U348" t="s">
        <v>1678</v>
      </c>
      <c r="V348">
        <v>43465</v>
      </c>
      <c r="W348" t="s">
        <v>4928</v>
      </c>
      <c r="X348" t="s">
        <v>4907</v>
      </c>
    </row>
    <row r="349" spans="1:24">
      <c r="A349">
        <v>26</v>
      </c>
      <c r="B349">
        <v>16100032</v>
      </c>
      <c r="C349" t="s">
        <v>4609</v>
      </c>
      <c r="D349" t="s">
        <v>4610</v>
      </c>
      <c r="E349" t="s">
        <v>4946</v>
      </c>
      <c r="F349" t="s">
        <v>4946</v>
      </c>
      <c r="G349">
        <v>17</v>
      </c>
      <c r="H349" t="s">
        <v>4275</v>
      </c>
      <c r="J349">
        <v>28</v>
      </c>
      <c r="K349" s="2059">
        <v>3.3000000000000002E-2</v>
      </c>
      <c r="L349" t="s">
        <v>4768</v>
      </c>
      <c r="M349">
        <v>0.4</v>
      </c>
      <c r="N349">
        <v>1450</v>
      </c>
      <c r="O349">
        <v>60</v>
      </c>
      <c r="P349">
        <v>60</v>
      </c>
      <c r="U349" t="s">
        <v>1678</v>
      </c>
      <c r="V349">
        <v>43465</v>
      </c>
      <c r="W349" t="s">
        <v>4933</v>
      </c>
      <c r="X349" t="s">
        <v>4914</v>
      </c>
    </row>
    <row r="350" spans="1:24">
      <c r="A350">
        <v>26</v>
      </c>
      <c r="B350">
        <v>16100033</v>
      </c>
      <c r="C350" t="s">
        <v>4609</v>
      </c>
      <c r="D350" t="s">
        <v>4610</v>
      </c>
      <c r="E350" t="s">
        <v>4947</v>
      </c>
      <c r="F350" t="s">
        <v>4948</v>
      </c>
      <c r="G350">
        <v>17</v>
      </c>
      <c r="H350" t="s">
        <v>4275</v>
      </c>
      <c r="J350">
        <v>25</v>
      </c>
      <c r="K350" s="2059">
        <v>0.03</v>
      </c>
      <c r="L350" t="s">
        <v>4768</v>
      </c>
      <c r="M350">
        <v>0.4</v>
      </c>
      <c r="N350">
        <v>1450</v>
      </c>
      <c r="O350">
        <v>60</v>
      </c>
      <c r="P350">
        <v>60</v>
      </c>
      <c r="U350" t="s">
        <v>1678</v>
      </c>
      <c r="V350">
        <v>43465</v>
      </c>
    </row>
    <row r="351" spans="1:24">
      <c r="A351">
        <v>26</v>
      </c>
      <c r="B351">
        <v>16100034</v>
      </c>
      <c r="C351" t="s">
        <v>4609</v>
      </c>
      <c r="D351" t="s">
        <v>4610</v>
      </c>
      <c r="E351" t="s">
        <v>2414</v>
      </c>
      <c r="F351" t="s">
        <v>2414</v>
      </c>
      <c r="G351">
        <v>17</v>
      </c>
      <c r="H351" t="s">
        <v>4275</v>
      </c>
      <c r="J351" t="s">
        <v>4645</v>
      </c>
      <c r="K351" s="2059">
        <v>2.9000000000000001E-2</v>
      </c>
      <c r="L351" t="s">
        <v>4178</v>
      </c>
      <c r="M351">
        <v>0.4</v>
      </c>
      <c r="N351">
        <v>1450</v>
      </c>
      <c r="O351">
        <v>60</v>
      </c>
      <c r="P351">
        <v>60</v>
      </c>
      <c r="U351" t="s">
        <v>1678</v>
      </c>
      <c r="V351">
        <v>43465</v>
      </c>
      <c r="W351" t="s">
        <v>4928</v>
      </c>
      <c r="X351" t="s">
        <v>4907</v>
      </c>
    </row>
    <row r="352" spans="1:24">
      <c r="A352">
        <v>26</v>
      </c>
      <c r="B352">
        <v>16100035</v>
      </c>
      <c r="C352" t="s">
        <v>4609</v>
      </c>
      <c r="D352" t="s">
        <v>4610</v>
      </c>
      <c r="E352" t="s">
        <v>2415</v>
      </c>
      <c r="F352" t="s">
        <v>2415</v>
      </c>
      <c r="G352">
        <v>17</v>
      </c>
      <c r="H352" t="s">
        <v>4275</v>
      </c>
      <c r="J352" t="s">
        <v>4645</v>
      </c>
      <c r="K352" s="2059">
        <v>2.9000000000000001E-2</v>
      </c>
      <c r="L352" t="s">
        <v>4178</v>
      </c>
      <c r="M352">
        <v>0.4</v>
      </c>
      <c r="N352">
        <v>1450</v>
      </c>
      <c r="O352">
        <v>60</v>
      </c>
      <c r="P352">
        <v>60</v>
      </c>
      <c r="U352" t="s">
        <v>1678</v>
      </c>
      <c r="V352">
        <v>43465</v>
      </c>
      <c r="W352" t="s">
        <v>4928</v>
      </c>
      <c r="X352" t="s">
        <v>4907</v>
      </c>
    </row>
    <row r="353" spans="1:24">
      <c r="A353">
        <v>26</v>
      </c>
      <c r="B353">
        <v>16100036</v>
      </c>
      <c r="C353" t="s">
        <v>4609</v>
      </c>
      <c r="D353" t="s">
        <v>4610</v>
      </c>
      <c r="E353" t="s">
        <v>4949</v>
      </c>
      <c r="F353" t="s">
        <v>4949</v>
      </c>
      <c r="G353">
        <v>17</v>
      </c>
      <c r="H353" t="s">
        <v>4275</v>
      </c>
      <c r="J353" t="s">
        <v>4645</v>
      </c>
      <c r="K353" s="2059">
        <v>2.9000000000000001E-2</v>
      </c>
      <c r="L353" t="s">
        <v>4178</v>
      </c>
      <c r="M353">
        <v>0.4</v>
      </c>
      <c r="N353">
        <v>1450</v>
      </c>
      <c r="O353">
        <v>60</v>
      </c>
      <c r="P353">
        <v>60</v>
      </c>
      <c r="U353" t="s">
        <v>1678</v>
      </c>
      <c r="V353">
        <v>43465</v>
      </c>
      <c r="W353" t="s">
        <v>4928</v>
      </c>
      <c r="X353" t="s">
        <v>4907</v>
      </c>
    </row>
    <row r="354" spans="1:24">
      <c r="A354">
        <v>26</v>
      </c>
      <c r="B354">
        <v>16100037</v>
      </c>
      <c r="C354" t="s">
        <v>4609</v>
      </c>
      <c r="D354" t="s">
        <v>4610</v>
      </c>
      <c r="E354" t="s">
        <v>4950</v>
      </c>
      <c r="F354" t="s">
        <v>4951</v>
      </c>
      <c r="G354">
        <v>17</v>
      </c>
      <c r="H354" t="s">
        <v>4275</v>
      </c>
      <c r="J354" t="s">
        <v>4645</v>
      </c>
      <c r="K354" s="2059">
        <v>2.9000000000000001E-2</v>
      </c>
      <c r="L354" t="s">
        <v>4178</v>
      </c>
      <c r="M354">
        <v>0.4</v>
      </c>
      <c r="N354">
        <v>1450</v>
      </c>
      <c r="O354">
        <v>60</v>
      </c>
      <c r="P354">
        <v>60</v>
      </c>
      <c r="U354" t="s">
        <v>1678</v>
      </c>
      <c r="V354">
        <v>43465</v>
      </c>
      <c r="W354" t="s">
        <v>4928</v>
      </c>
      <c r="X354" t="s">
        <v>4907</v>
      </c>
    </row>
    <row r="355" spans="1:24">
      <c r="A355">
        <v>26</v>
      </c>
      <c r="B355">
        <v>16100038</v>
      </c>
      <c r="C355" t="s">
        <v>4609</v>
      </c>
      <c r="D355" t="s">
        <v>4610</v>
      </c>
      <c r="E355" t="s">
        <v>4952</v>
      </c>
      <c r="F355" t="s">
        <v>4953</v>
      </c>
      <c r="G355">
        <v>17</v>
      </c>
      <c r="H355" t="s">
        <v>4275</v>
      </c>
      <c r="J355" t="s">
        <v>4727</v>
      </c>
      <c r="K355" s="2059">
        <v>3.1E-2</v>
      </c>
      <c r="L355">
        <v>18537</v>
      </c>
      <c r="M355">
        <v>0.4</v>
      </c>
      <c r="N355">
        <v>1450</v>
      </c>
      <c r="O355">
        <v>60</v>
      </c>
      <c r="P355">
        <v>60</v>
      </c>
      <c r="U355" t="s">
        <v>1678</v>
      </c>
      <c r="V355">
        <v>43465</v>
      </c>
    </row>
    <row r="356" spans="1:24">
      <c r="A356">
        <v>26</v>
      </c>
      <c r="B356">
        <v>15100151</v>
      </c>
      <c r="C356" t="s">
        <v>4609</v>
      </c>
      <c r="D356" t="s">
        <v>4610</v>
      </c>
      <c r="E356" t="s">
        <v>2413</v>
      </c>
      <c r="F356" t="s">
        <v>2413</v>
      </c>
      <c r="G356">
        <v>17</v>
      </c>
      <c r="H356" t="s">
        <v>4275</v>
      </c>
      <c r="J356">
        <v>15</v>
      </c>
      <c r="K356" s="2059">
        <v>3.1E-2</v>
      </c>
      <c r="L356" t="s">
        <v>4178</v>
      </c>
      <c r="M356">
        <v>0.4</v>
      </c>
      <c r="N356">
        <v>1450</v>
      </c>
      <c r="O356">
        <v>60</v>
      </c>
      <c r="P356">
        <v>60</v>
      </c>
      <c r="U356" t="s">
        <v>1678</v>
      </c>
      <c r="V356">
        <v>43100</v>
      </c>
      <c r="W356" t="s">
        <v>4928</v>
      </c>
      <c r="X356" t="s">
        <v>4907</v>
      </c>
    </row>
    <row r="357" spans="1:24">
      <c r="A357">
        <v>26</v>
      </c>
      <c r="B357">
        <v>16050085</v>
      </c>
      <c r="C357" t="s">
        <v>4609</v>
      </c>
      <c r="D357" t="s">
        <v>4610</v>
      </c>
      <c r="E357" t="s">
        <v>4954</v>
      </c>
      <c r="F357" t="s">
        <v>4954</v>
      </c>
      <c r="G357">
        <v>17</v>
      </c>
      <c r="H357" t="s">
        <v>4275</v>
      </c>
      <c r="J357">
        <v>15</v>
      </c>
      <c r="K357" s="2059">
        <v>3.1E-2</v>
      </c>
      <c r="L357" t="s">
        <v>4768</v>
      </c>
      <c r="M357">
        <v>0.4</v>
      </c>
      <c r="N357">
        <v>1450</v>
      </c>
      <c r="O357">
        <v>60</v>
      </c>
      <c r="P357">
        <v>60</v>
      </c>
      <c r="U357" t="s">
        <v>1678</v>
      </c>
      <c r="V357">
        <v>43100</v>
      </c>
      <c r="W357" t="s">
        <v>4955</v>
      </c>
      <c r="X357" t="s">
        <v>4956</v>
      </c>
    </row>
    <row r="358" spans="1:24">
      <c r="A358">
        <v>26</v>
      </c>
      <c r="B358">
        <v>16050086</v>
      </c>
      <c r="C358" t="s">
        <v>4609</v>
      </c>
      <c r="D358" t="s">
        <v>4610</v>
      </c>
      <c r="E358" t="s">
        <v>4957</v>
      </c>
      <c r="F358" t="s">
        <v>4957</v>
      </c>
      <c r="G358">
        <v>17</v>
      </c>
      <c r="H358" t="s">
        <v>4275</v>
      </c>
      <c r="J358">
        <v>15</v>
      </c>
      <c r="K358" s="2059">
        <v>3.1E-2</v>
      </c>
      <c r="L358" t="s">
        <v>4768</v>
      </c>
      <c r="M358">
        <v>0.4</v>
      </c>
      <c r="N358">
        <v>1450</v>
      </c>
      <c r="O358">
        <v>60</v>
      </c>
      <c r="P358">
        <v>60</v>
      </c>
      <c r="U358" t="s">
        <v>1678</v>
      </c>
      <c r="V358">
        <v>43100</v>
      </c>
      <c r="W358" t="s">
        <v>4958</v>
      </c>
      <c r="X358" t="s">
        <v>4959</v>
      </c>
    </row>
    <row r="359" spans="1:24">
      <c r="A359">
        <v>26</v>
      </c>
      <c r="B359">
        <v>15100154</v>
      </c>
      <c r="C359" t="s">
        <v>4609</v>
      </c>
      <c r="D359" t="s">
        <v>4610</v>
      </c>
      <c r="E359" t="s">
        <v>4960</v>
      </c>
      <c r="F359" t="s">
        <v>4960</v>
      </c>
      <c r="G359">
        <v>17</v>
      </c>
      <c r="H359" t="s">
        <v>4275</v>
      </c>
      <c r="J359">
        <v>15</v>
      </c>
      <c r="K359" s="2059">
        <v>3.1E-2</v>
      </c>
      <c r="L359" t="s">
        <v>4178</v>
      </c>
      <c r="M359">
        <v>0.4</v>
      </c>
      <c r="N359">
        <v>1450</v>
      </c>
      <c r="O359">
        <v>60</v>
      </c>
      <c r="P359">
        <v>60</v>
      </c>
      <c r="U359" t="s">
        <v>1678</v>
      </c>
      <c r="V359">
        <v>43100</v>
      </c>
    </row>
    <row r="360" spans="1:24">
      <c r="A360">
        <v>26</v>
      </c>
      <c r="B360">
        <v>16050082</v>
      </c>
      <c r="C360" t="s">
        <v>4609</v>
      </c>
      <c r="D360" t="s">
        <v>4610</v>
      </c>
      <c r="E360" t="s">
        <v>4961</v>
      </c>
      <c r="F360" t="s">
        <v>4962</v>
      </c>
      <c r="G360">
        <v>17</v>
      </c>
      <c r="H360" t="s">
        <v>4275</v>
      </c>
      <c r="J360">
        <v>18</v>
      </c>
      <c r="K360" s="2059">
        <v>0.03</v>
      </c>
      <c r="L360" t="s">
        <v>4768</v>
      </c>
      <c r="M360">
        <v>0.4</v>
      </c>
      <c r="N360">
        <v>1450</v>
      </c>
      <c r="O360">
        <v>60</v>
      </c>
      <c r="P360">
        <v>60</v>
      </c>
      <c r="U360" t="s">
        <v>1678</v>
      </c>
      <c r="V360">
        <v>43281</v>
      </c>
      <c r="W360" t="s">
        <v>4928</v>
      </c>
      <c r="X360" t="s">
        <v>4907</v>
      </c>
    </row>
    <row r="361" spans="1:24">
      <c r="A361">
        <v>26</v>
      </c>
      <c r="B361">
        <v>16050083</v>
      </c>
      <c r="C361" t="s">
        <v>4609</v>
      </c>
      <c r="D361" t="s">
        <v>4610</v>
      </c>
      <c r="E361" t="s">
        <v>4963</v>
      </c>
      <c r="F361" t="s">
        <v>4963</v>
      </c>
      <c r="G361">
        <v>17</v>
      </c>
      <c r="H361" t="s">
        <v>4275</v>
      </c>
      <c r="J361">
        <v>18</v>
      </c>
      <c r="K361" s="2059">
        <v>0.03</v>
      </c>
      <c r="L361" t="s">
        <v>4768</v>
      </c>
      <c r="M361">
        <v>0.4</v>
      </c>
      <c r="N361">
        <v>1450</v>
      </c>
      <c r="O361">
        <v>60</v>
      </c>
      <c r="P361">
        <v>60</v>
      </c>
      <c r="U361" t="s">
        <v>1678</v>
      </c>
      <c r="V361">
        <v>43281</v>
      </c>
      <c r="W361" t="s">
        <v>4955</v>
      </c>
      <c r="X361" t="s">
        <v>4956</v>
      </c>
    </row>
    <row r="362" spans="1:24">
      <c r="A362">
        <v>26</v>
      </c>
      <c r="B362">
        <v>16050084</v>
      </c>
      <c r="C362" t="s">
        <v>4609</v>
      </c>
      <c r="D362" t="s">
        <v>4610</v>
      </c>
      <c r="E362" t="s">
        <v>4964</v>
      </c>
      <c r="F362" t="s">
        <v>4964</v>
      </c>
      <c r="G362">
        <v>17</v>
      </c>
      <c r="H362" t="s">
        <v>4275</v>
      </c>
      <c r="J362">
        <v>18</v>
      </c>
      <c r="K362" s="2059">
        <v>0.03</v>
      </c>
      <c r="L362" t="s">
        <v>4768</v>
      </c>
      <c r="M362">
        <v>0.4</v>
      </c>
      <c r="N362">
        <v>1450</v>
      </c>
      <c r="O362">
        <v>60</v>
      </c>
      <c r="P362">
        <v>60</v>
      </c>
      <c r="U362" t="s">
        <v>1678</v>
      </c>
      <c r="V362">
        <v>43281</v>
      </c>
      <c r="W362" t="s">
        <v>4958</v>
      </c>
      <c r="X362" t="s">
        <v>4959</v>
      </c>
    </row>
    <row r="363" spans="1:24">
      <c r="A363">
        <v>49</v>
      </c>
      <c r="B363">
        <v>49.01</v>
      </c>
      <c r="C363" t="s">
        <v>4965</v>
      </c>
      <c r="D363" t="s">
        <v>4966</v>
      </c>
      <c r="M363">
        <v>0.39</v>
      </c>
      <c r="N363">
        <v>1400</v>
      </c>
      <c r="O363">
        <v>2</v>
      </c>
      <c r="P363">
        <v>2</v>
      </c>
      <c r="R363" t="s">
        <v>1678</v>
      </c>
    </row>
    <row r="364" spans="1:24">
      <c r="A364">
        <v>49</v>
      </c>
      <c r="B364">
        <v>16100013</v>
      </c>
      <c r="C364" t="s">
        <v>4967</v>
      </c>
      <c r="D364" t="s">
        <v>4968</v>
      </c>
      <c r="E364" t="s">
        <v>4969</v>
      </c>
      <c r="F364" t="s">
        <v>4969</v>
      </c>
      <c r="G364">
        <v>10</v>
      </c>
      <c r="H364" t="s">
        <v>4970</v>
      </c>
      <c r="J364" t="s">
        <v>4971</v>
      </c>
      <c r="K364" s="2059">
        <v>3.3000000000000002E-2</v>
      </c>
      <c r="L364" t="s">
        <v>4293</v>
      </c>
      <c r="M364">
        <v>0.39</v>
      </c>
      <c r="N364">
        <v>1400</v>
      </c>
      <c r="O364">
        <v>2</v>
      </c>
      <c r="P364">
        <v>2</v>
      </c>
      <c r="U364" t="s">
        <v>1678</v>
      </c>
      <c r="V364">
        <v>43465</v>
      </c>
      <c r="W364" t="s">
        <v>4972</v>
      </c>
      <c r="X364" t="s">
        <v>4973</v>
      </c>
    </row>
    <row r="365" spans="1:24" s="2058" customFormat="1">
      <c r="A365" s="2058">
        <v>27</v>
      </c>
      <c r="B365" s="2058">
        <v>27.01</v>
      </c>
      <c r="C365" s="2058" t="s">
        <v>4974</v>
      </c>
      <c r="D365" s="2058" t="s">
        <v>4975</v>
      </c>
      <c r="E365" s="2058" t="s">
        <v>4976</v>
      </c>
      <c r="F365" s="2058" t="s">
        <v>4977</v>
      </c>
      <c r="I365" s="2058" t="s">
        <v>4978</v>
      </c>
      <c r="K365" s="2060">
        <v>4.4999999999999998E-2</v>
      </c>
      <c r="M365" s="2058">
        <v>0.4</v>
      </c>
      <c r="N365" s="2058">
        <v>1450</v>
      </c>
      <c r="O365" s="2058">
        <v>150</v>
      </c>
      <c r="P365" s="2058">
        <v>150</v>
      </c>
      <c r="R365" s="2058" t="s">
        <v>1678</v>
      </c>
      <c r="T365" s="2058" t="s">
        <v>1678</v>
      </c>
    </row>
    <row r="366" spans="1:24" s="2058" customFormat="1">
      <c r="A366" s="2058">
        <v>27</v>
      </c>
      <c r="B366" s="2058">
        <v>27.02</v>
      </c>
      <c r="C366" s="2058" t="s">
        <v>4974</v>
      </c>
      <c r="D366" s="2058" t="s">
        <v>4975</v>
      </c>
      <c r="E366" s="2058" t="s">
        <v>4979</v>
      </c>
      <c r="F366" s="2058" t="s">
        <v>4980</v>
      </c>
      <c r="I366" s="2058" t="s">
        <v>4367</v>
      </c>
      <c r="K366" s="2060"/>
      <c r="M366" s="2058">
        <v>0.39</v>
      </c>
      <c r="N366" s="2058">
        <v>1400</v>
      </c>
      <c r="O366" s="2058">
        <v>2</v>
      </c>
      <c r="P366" s="2058">
        <v>2</v>
      </c>
      <c r="R366" s="2058" t="s">
        <v>1678</v>
      </c>
    </row>
    <row r="367" spans="1:24">
      <c r="A367">
        <v>27</v>
      </c>
      <c r="B367">
        <v>16050031</v>
      </c>
      <c r="C367" t="s">
        <v>4974</v>
      </c>
      <c r="D367" t="s">
        <v>4975</v>
      </c>
      <c r="E367" t="s">
        <v>4981</v>
      </c>
      <c r="F367" t="s">
        <v>4981</v>
      </c>
      <c r="G367">
        <v>38</v>
      </c>
      <c r="H367" t="s">
        <v>4982</v>
      </c>
      <c r="J367" t="s">
        <v>4983</v>
      </c>
      <c r="K367" s="2059">
        <v>3.5000000000000003E-2</v>
      </c>
      <c r="L367" t="s">
        <v>4984</v>
      </c>
      <c r="M367">
        <v>0.4</v>
      </c>
      <c r="N367">
        <v>1450</v>
      </c>
      <c r="O367">
        <v>150</v>
      </c>
      <c r="P367">
        <v>150</v>
      </c>
      <c r="U367" t="s">
        <v>1678</v>
      </c>
      <c r="V367">
        <v>43281</v>
      </c>
    </row>
    <row r="368" spans="1:24">
      <c r="A368">
        <v>27</v>
      </c>
      <c r="B368">
        <v>16050032</v>
      </c>
      <c r="C368" t="s">
        <v>4974</v>
      </c>
      <c r="D368" t="s">
        <v>4975</v>
      </c>
      <c r="E368" t="s">
        <v>4985</v>
      </c>
      <c r="F368" t="s">
        <v>4985</v>
      </c>
      <c r="G368">
        <v>38</v>
      </c>
      <c r="H368" t="s">
        <v>4982</v>
      </c>
      <c r="J368" t="s">
        <v>4986</v>
      </c>
      <c r="K368" s="2059">
        <v>3.5000000000000003E-2</v>
      </c>
      <c r="L368" t="s">
        <v>4987</v>
      </c>
      <c r="M368">
        <v>0.4</v>
      </c>
      <c r="N368">
        <v>1450</v>
      </c>
      <c r="O368">
        <v>150</v>
      </c>
      <c r="P368">
        <v>150</v>
      </c>
      <c r="U368" t="s">
        <v>1678</v>
      </c>
      <c r="V368">
        <v>43281</v>
      </c>
    </row>
    <row r="369" spans="1:22">
      <c r="A369">
        <v>27</v>
      </c>
      <c r="B369">
        <v>16050033</v>
      </c>
      <c r="C369" t="s">
        <v>4974</v>
      </c>
      <c r="D369" t="s">
        <v>4975</v>
      </c>
      <c r="E369" t="s">
        <v>4988</v>
      </c>
      <c r="F369" t="s">
        <v>4988</v>
      </c>
      <c r="G369">
        <v>38</v>
      </c>
      <c r="H369" t="s">
        <v>4982</v>
      </c>
      <c r="J369" t="s">
        <v>4159</v>
      </c>
      <c r="K369" s="2059">
        <v>3.5000000000000003E-2</v>
      </c>
      <c r="L369" t="s">
        <v>4544</v>
      </c>
      <c r="M369">
        <v>0.4</v>
      </c>
      <c r="N369">
        <v>1450</v>
      </c>
      <c r="O369">
        <v>150</v>
      </c>
      <c r="P369">
        <v>150</v>
      </c>
      <c r="U369" t="s">
        <v>1678</v>
      </c>
      <c r="V369">
        <v>43281</v>
      </c>
    </row>
    <row r="370" spans="1:22">
      <c r="A370">
        <v>27</v>
      </c>
      <c r="B370">
        <v>14100371</v>
      </c>
      <c r="C370" t="s">
        <v>4974</v>
      </c>
      <c r="D370" t="s">
        <v>4975</v>
      </c>
      <c r="E370" s="2047" t="s">
        <v>9201</v>
      </c>
      <c r="F370" s="2047" t="s">
        <v>9201</v>
      </c>
      <c r="G370">
        <v>49</v>
      </c>
      <c r="H370" t="s">
        <v>4617</v>
      </c>
      <c r="J370">
        <v>33</v>
      </c>
      <c r="K370" s="2059">
        <v>3.5000000000000003E-2</v>
      </c>
      <c r="L370" t="s">
        <v>4989</v>
      </c>
      <c r="M370">
        <v>0.4</v>
      </c>
      <c r="N370">
        <v>1450</v>
      </c>
      <c r="O370">
        <v>150</v>
      </c>
      <c r="P370">
        <v>150</v>
      </c>
      <c r="U370" t="s">
        <v>1678</v>
      </c>
      <c r="V370">
        <v>42735</v>
      </c>
    </row>
    <row r="371" spans="1:22">
      <c r="A371">
        <v>27</v>
      </c>
      <c r="B371">
        <v>14100372</v>
      </c>
      <c r="C371" t="s">
        <v>4974</v>
      </c>
      <c r="D371" t="s">
        <v>4975</v>
      </c>
      <c r="E371" s="2047" t="s">
        <v>9202</v>
      </c>
      <c r="F371" s="2047" t="s">
        <v>9202</v>
      </c>
      <c r="G371">
        <v>49</v>
      </c>
      <c r="H371" t="s">
        <v>4617</v>
      </c>
      <c r="J371">
        <v>33</v>
      </c>
      <c r="K371" s="2059">
        <v>3.5999999999999997E-2</v>
      </c>
      <c r="L371" t="s">
        <v>4300</v>
      </c>
      <c r="M371">
        <v>0.4</v>
      </c>
      <c r="N371">
        <v>1450</v>
      </c>
      <c r="O371">
        <v>150</v>
      </c>
      <c r="P371">
        <v>150</v>
      </c>
      <c r="U371" t="s">
        <v>1678</v>
      </c>
      <c r="V371">
        <v>42735</v>
      </c>
    </row>
    <row r="372" spans="1:22">
      <c r="A372">
        <v>27</v>
      </c>
      <c r="B372">
        <v>14100373</v>
      </c>
      <c r="C372" t="s">
        <v>4974</v>
      </c>
      <c r="D372" t="s">
        <v>4975</v>
      </c>
      <c r="E372" s="2047" t="s">
        <v>9203</v>
      </c>
      <c r="F372" s="2047" t="s">
        <v>9203</v>
      </c>
      <c r="G372">
        <v>49</v>
      </c>
      <c r="H372" t="s">
        <v>4617</v>
      </c>
      <c r="J372">
        <v>33</v>
      </c>
      <c r="K372" s="2059">
        <v>3.7999999999999999E-2</v>
      </c>
      <c r="L372" t="s">
        <v>4990</v>
      </c>
      <c r="M372">
        <v>0.4</v>
      </c>
      <c r="N372">
        <v>1450</v>
      </c>
      <c r="O372">
        <v>150</v>
      </c>
      <c r="P372">
        <v>150</v>
      </c>
      <c r="U372" t="s">
        <v>1678</v>
      </c>
      <c r="V372">
        <v>42735</v>
      </c>
    </row>
    <row r="373" spans="1:22">
      <c r="A373">
        <v>27</v>
      </c>
      <c r="B373">
        <v>14100381</v>
      </c>
      <c r="C373" t="s">
        <v>4974</v>
      </c>
      <c r="D373" t="s">
        <v>4975</v>
      </c>
      <c r="E373" s="2047" t="s">
        <v>9204</v>
      </c>
      <c r="F373" s="2047" t="s">
        <v>9204</v>
      </c>
      <c r="G373">
        <v>49</v>
      </c>
      <c r="H373" t="s">
        <v>4617</v>
      </c>
      <c r="J373">
        <v>33</v>
      </c>
      <c r="K373" s="2059">
        <v>3.5000000000000003E-2</v>
      </c>
      <c r="L373" t="s">
        <v>4989</v>
      </c>
      <c r="M373">
        <v>0.4</v>
      </c>
      <c r="N373">
        <v>1450</v>
      </c>
      <c r="O373">
        <v>150</v>
      </c>
      <c r="P373">
        <v>150</v>
      </c>
      <c r="U373" t="s">
        <v>1678</v>
      </c>
      <c r="V373">
        <v>42735</v>
      </c>
    </row>
    <row r="374" spans="1:22">
      <c r="A374">
        <v>27</v>
      </c>
      <c r="B374">
        <v>14100382</v>
      </c>
      <c r="C374" t="s">
        <v>4974</v>
      </c>
      <c r="D374" t="s">
        <v>4975</v>
      </c>
      <c r="E374" s="2047" t="s">
        <v>9205</v>
      </c>
      <c r="F374" s="2047" t="s">
        <v>9205</v>
      </c>
      <c r="G374">
        <v>49</v>
      </c>
      <c r="H374" t="s">
        <v>4617</v>
      </c>
      <c r="J374">
        <v>33</v>
      </c>
      <c r="K374" s="2059">
        <v>3.5999999999999997E-2</v>
      </c>
      <c r="L374" t="s">
        <v>4300</v>
      </c>
      <c r="M374">
        <v>0.4</v>
      </c>
      <c r="N374">
        <v>1450</v>
      </c>
      <c r="O374">
        <v>150</v>
      </c>
      <c r="P374">
        <v>150</v>
      </c>
      <c r="U374" t="s">
        <v>1678</v>
      </c>
      <c r="V374">
        <v>42735</v>
      </c>
    </row>
    <row r="375" spans="1:22">
      <c r="A375">
        <v>27</v>
      </c>
      <c r="B375">
        <v>14100383</v>
      </c>
      <c r="C375" t="s">
        <v>4974</v>
      </c>
      <c r="D375" t="s">
        <v>4975</v>
      </c>
      <c r="E375" s="2047" t="s">
        <v>9206</v>
      </c>
      <c r="F375" s="2047" t="s">
        <v>9206</v>
      </c>
      <c r="G375">
        <v>49</v>
      </c>
      <c r="H375" t="s">
        <v>4617</v>
      </c>
      <c r="J375">
        <v>33</v>
      </c>
      <c r="K375" s="2059">
        <v>3.7999999999999999E-2</v>
      </c>
      <c r="L375" t="s">
        <v>4990</v>
      </c>
      <c r="M375">
        <v>0.4</v>
      </c>
      <c r="N375">
        <v>1450</v>
      </c>
      <c r="O375">
        <v>150</v>
      </c>
      <c r="P375">
        <v>150</v>
      </c>
      <c r="U375" t="s">
        <v>1678</v>
      </c>
      <c r="V375">
        <v>42735</v>
      </c>
    </row>
    <row r="376" spans="1:22">
      <c r="A376">
        <v>27</v>
      </c>
      <c r="B376">
        <v>14100391</v>
      </c>
      <c r="C376" t="s">
        <v>4974</v>
      </c>
      <c r="D376" t="s">
        <v>4975</v>
      </c>
      <c r="E376" s="2047" t="s">
        <v>9207</v>
      </c>
      <c r="F376" s="2047" t="s">
        <v>9207</v>
      </c>
      <c r="G376">
        <v>49</v>
      </c>
      <c r="H376" t="s">
        <v>4617</v>
      </c>
      <c r="J376">
        <v>34</v>
      </c>
      <c r="K376" s="2059">
        <v>3.5000000000000003E-2</v>
      </c>
      <c r="L376" t="s">
        <v>4991</v>
      </c>
      <c r="M376">
        <v>0.4</v>
      </c>
      <c r="N376">
        <v>1450</v>
      </c>
      <c r="O376">
        <v>150</v>
      </c>
      <c r="P376">
        <v>150</v>
      </c>
      <c r="U376" t="s">
        <v>1678</v>
      </c>
      <c r="V376">
        <v>42735</v>
      </c>
    </row>
    <row r="377" spans="1:22">
      <c r="A377">
        <v>27</v>
      </c>
      <c r="B377">
        <v>14100392</v>
      </c>
      <c r="C377" t="s">
        <v>4974</v>
      </c>
      <c r="D377" t="s">
        <v>4975</v>
      </c>
      <c r="E377" s="2047" t="s">
        <v>9208</v>
      </c>
      <c r="F377" s="2047" t="s">
        <v>9208</v>
      </c>
      <c r="G377">
        <v>49</v>
      </c>
      <c r="H377" t="s">
        <v>4617</v>
      </c>
      <c r="J377">
        <v>34</v>
      </c>
      <c r="K377" s="2059">
        <v>3.5999999999999997E-2</v>
      </c>
      <c r="L377" t="s">
        <v>4300</v>
      </c>
      <c r="M377">
        <v>0.4</v>
      </c>
      <c r="N377">
        <v>1450</v>
      </c>
      <c r="O377">
        <v>150</v>
      </c>
      <c r="P377">
        <v>150</v>
      </c>
      <c r="U377" t="s">
        <v>1678</v>
      </c>
      <c r="V377">
        <v>42735</v>
      </c>
    </row>
    <row r="378" spans="1:22">
      <c r="A378">
        <v>27</v>
      </c>
      <c r="B378">
        <v>14100393</v>
      </c>
      <c r="C378" t="s">
        <v>4974</v>
      </c>
      <c r="D378" t="s">
        <v>4975</v>
      </c>
      <c r="E378" s="2047" t="s">
        <v>9209</v>
      </c>
      <c r="F378" s="2047" t="s">
        <v>9209</v>
      </c>
      <c r="G378">
        <v>49</v>
      </c>
      <c r="H378" t="s">
        <v>4617</v>
      </c>
      <c r="J378">
        <v>34</v>
      </c>
      <c r="K378" s="2059">
        <v>3.7999999999999999E-2</v>
      </c>
      <c r="L378" t="s">
        <v>4990</v>
      </c>
      <c r="M378">
        <v>0.4</v>
      </c>
      <c r="N378">
        <v>1450</v>
      </c>
      <c r="O378">
        <v>150</v>
      </c>
      <c r="P378">
        <v>150</v>
      </c>
      <c r="U378" t="s">
        <v>1678</v>
      </c>
      <c r="V378">
        <v>42735</v>
      </c>
    </row>
    <row r="379" spans="1:22">
      <c r="A379">
        <v>27</v>
      </c>
      <c r="B379">
        <v>16070031</v>
      </c>
      <c r="C379" t="s">
        <v>4974</v>
      </c>
      <c r="D379" t="s">
        <v>4975</v>
      </c>
      <c r="E379" s="2047" t="s">
        <v>9210</v>
      </c>
      <c r="F379" s="2047" t="s">
        <v>9210</v>
      </c>
      <c r="G379">
        <v>45</v>
      </c>
      <c r="H379" t="s">
        <v>4992</v>
      </c>
      <c r="J379" t="s">
        <v>4993</v>
      </c>
      <c r="K379" s="2059">
        <v>3.2000000000000001E-2</v>
      </c>
      <c r="L379" t="s">
        <v>4902</v>
      </c>
      <c r="M379">
        <v>0.4</v>
      </c>
      <c r="N379">
        <v>1450</v>
      </c>
      <c r="O379">
        <v>150</v>
      </c>
      <c r="P379">
        <v>150</v>
      </c>
      <c r="U379" t="s">
        <v>1678</v>
      </c>
      <c r="V379">
        <v>43465</v>
      </c>
    </row>
    <row r="380" spans="1:22">
      <c r="A380">
        <v>27</v>
      </c>
      <c r="B380">
        <v>16070032</v>
      </c>
      <c r="C380" t="s">
        <v>4974</v>
      </c>
      <c r="D380" t="s">
        <v>4975</v>
      </c>
      <c r="E380" s="2047" t="s">
        <v>9211</v>
      </c>
      <c r="F380" s="2047" t="s">
        <v>9211</v>
      </c>
      <c r="G380">
        <v>45</v>
      </c>
      <c r="H380" t="s">
        <v>4992</v>
      </c>
      <c r="J380" t="s">
        <v>4993</v>
      </c>
      <c r="K380" s="2059">
        <v>3.4000000000000002E-2</v>
      </c>
      <c r="L380" t="s">
        <v>4991</v>
      </c>
      <c r="M380">
        <v>0.4</v>
      </c>
      <c r="N380">
        <v>1450</v>
      </c>
      <c r="O380">
        <v>150</v>
      </c>
      <c r="P380">
        <v>150</v>
      </c>
      <c r="U380" t="s">
        <v>1678</v>
      </c>
      <c r="V380">
        <v>43465</v>
      </c>
    </row>
    <row r="381" spans="1:22">
      <c r="A381">
        <v>27</v>
      </c>
      <c r="B381">
        <v>16070033</v>
      </c>
      <c r="C381" t="s">
        <v>4974</v>
      </c>
      <c r="D381" t="s">
        <v>4975</v>
      </c>
      <c r="E381" s="2047" t="s">
        <v>9212</v>
      </c>
      <c r="F381" s="2047" t="s">
        <v>9212</v>
      </c>
      <c r="G381">
        <v>45</v>
      </c>
      <c r="H381" t="s">
        <v>4992</v>
      </c>
      <c r="J381" t="s">
        <v>4993</v>
      </c>
      <c r="K381" s="2059">
        <v>3.5000000000000003E-2</v>
      </c>
      <c r="L381" t="s">
        <v>4994</v>
      </c>
      <c r="M381">
        <v>0.4</v>
      </c>
      <c r="N381">
        <v>1450</v>
      </c>
      <c r="O381">
        <v>150</v>
      </c>
      <c r="P381">
        <v>150</v>
      </c>
      <c r="U381" t="s">
        <v>1678</v>
      </c>
      <c r="V381">
        <v>43465</v>
      </c>
    </row>
    <row r="382" spans="1:22">
      <c r="A382">
        <v>27</v>
      </c>
      <c r="B382">
        <v>16070034</v>
      </c>
      <c r="C382" t="s">
        <v>4974</v>
      </c>
      <c r="D382" t="s">
        <v>4975</v>
      </c>
      <c r="E382" s="2047" t="s">
        <v>9213</v>
      </c>
      <c r="F382" s="2047" t="s">
        <v>9213</v>
      </c>
      <c r="G382">
        <v>45</v>
      </c>
      <c r="H382" t="s">
        <v>4992</v>
      </c>
      <c r="J382" t="s">
        <v>4993</v>
      </c>
      <c r="K382" s="2059">
        <v>3.5999999999999997E-2</v>
      </c>
      <c r="L382">
        <v>120</v>
      </c>
      <c r="M382">
        <v>0.4</v>
      </c>
      <c r="N382">
        <v>1450</v>
      </c>
      <c r="O382">
        <v>150</v>
      </c>
      <c r="P382">
        <v>150</v>
      </c>
      <c r="U382" t="s">
        <v>1678</v>
      </c>
      <c r="V382">
        <v>43465</v>
      </c>
    </row>
    <row r="383" spans="1:22">
      <c r="A383">
        <v>27</v>
      </c>
      <c r="B383">
        <v>16070035</v>
      </c>
      <c r="C383" t="s">
        <v>4974</v>
      </c>
      <c r="D383" t="s">
        <v>4975</v>
      </c>
      <c r="E383" s="2047" t="s">
        <v>9214</v>
      </c>
      <c r="F383" s="2047" t="s">
        <v>9214</v>
      </c>
      <c r="G383">
        <v>45</v>
      </c>
      <c r="H383" t="s">
        <v>4992</v>
      </c>
      <c r="J383" t="s">
        <v>4993</v>
      </c>
      <c r="K383" s="2059">
        <v>3.7999999999999999E-2</v>
      </c>
      <c r="L383" t="s">
        <v>4990</v>
      </c>
      <c r="M383">
        <v>0.4</v>
      </c>
      <c r="N383">
        <v>1450</v>
      </c>
      <c r="O383">
        <v>150</v>
      </c>
      <c r="P383">
        <v>150</v>
      </c>
      <c r="U383" t="s">
        <v>1678</v>
      </c>
      <c r="V383">
        <v>43465</v>
      </c>
    </row>
    <row r="384" spans="1:22">
      <c r="A384">
        <v>27</v>
      </c>
      <c r="B384">
        <v>16040021</v>
      </c>
      <c r="C384" t="s">
        <v>4974</v>
      </c>
      <c r="D384" t="s">
        <v>4975</v>
      </c>
      <c r="E384" t="s">
        <v>4995</v>
      </c>
      <c r="F384" t="s">
        <v>4995</v>
      </c>
      <c r="G384">
        <v>45</v>
      </c>
      <c r="H384" t="s">
        <v>4992</v>
      </c>
      <c r="J384" t="s">
        <v>4993</v>
      </c>
      <c r="K384" s="2059">
        <v>3.3000000000000002E-2</v>
      </c>
      <c r="L384" t="s">
        <v>4230</v>
      </c>
      <c r="M384">
        <v>0.4</v>
      </c>
      <c r="N384">
        <v>1450</v>
      </c>
      <c r="O384">
        <v>150</v>
      </c>
      <c r="P384">
        <v>150</v>
      </c>
      <c r="U384" t="s">
        <v>1678</v>
      </c>
      <c r="V384">
        <v>43281</v>
      </c>
    </row>
    <row r="385" spans="1:24">
      <c r="A385">
        <v>27</v>
      </c>
      <c r="B385">
        <v>16040022</v>
      </c>
      <c r="C385" t="s">
        <v>4974</v>
      </c>
      <c r="D385" t="s">
        <v>4975</v>
      </c>
      <c r="E385" t="s">
        <v>4996</v>
      </c>
      <c r="F385" t="s">
        <v>4996</v>
      </c>
      <c r="G385">
        <v>45</v>
      </c>
      <c r="H385" t="s">
        <v>4992</v>
      </c>
      <c r="J385" t="s">
        <v>4993</v>
      </c>
      <c r="K385" s="2059">
        <v>3.5000000000000003E-2</v>
      </c>
      <c r="L385" t="s">
        <v>4263</v>
      </c>
      <c r="M385">
        <v>0.4</v>
      </c>
      <c r="N385">
        <v>1450</v>
      </c>
      <c r="O385">
        <v>150</v>
      </c>
      <c r="P385">
        <v>150</v>
      </c>
      <c r="U385" t="s">
        <v>1678</v>
      </c>
      <c r="V385">
        <v>43281</v>
      </c>
    </row>
    <row r="386" spans="1:24">
      <c r="A386">
        <v>27</v>
      </c>
      <c r="B386">
        <v>16040023</v>
      </c>
      <c r="C386" t="s">
        <v>4974</v>
      </c>
      <c r="D386" t="s">
        <v>4975</v>
      </c>
      <c r="E386" t="s">
        <v>4997</v>
      </c>
      <c r="F386" t="s">
        <v>4997</v>
      </c>
      <c r="G386">
        <v>45</v>
      </c>
      <c r="H386" t="s">
        <v>4992</v>
      </c>
      <c r="J386" t="s">
        <v>4993</v>
      </c>
      <c r="K386" s="2059">
        <v>3.5000000000000003E-2</v>
      </c>
      <c r="L386" t="s">
        <v>4263</v>
      </c>
      <c r="M386">
        <v>0.4</v>
      </c>
      <c r="N386">
        <v>1450</v>
      </c>
      <c r="O386">
        <v>150</v>
      </c>
      <c r="P386">
        <v>150</v>
      </c>
      <c r="U386" t="s">
        <v>1678</v>
      </c>
      <c r="V386">
        <v>43281</v>
      </c>
    </row>
    <row r="387" spans="1:24">
      <c r="A387">
        <v>27</v>
      </c>
      <c r="B387">
        <v>15100231</v>
      </c>
      <c r="C387" t="s">
        <v>4974</v>
      </c>
      <c r="D387" t="s">
        <v>4975</v>
      </c>
      <c r="E387" s="2047" t="s">
        <v>9215</v>
      </c>
      <c r="F387" s="2047" t="s">
        <v>9215</v>
      </c>
      <c r="G387">
        <v>3</v>
      </c>
      <c r="H387" t="s">
        <v>4998</v>
      </c>
      <c r="J387">
        <v>33</v>
      </c>
      <c r="K387" s="2059">
        <v>3.3000000000000002E-2</v>
      </c>
      <c r="L387" t="s">
        <v>4999</v>
      </c>
      <c r="M387">
        <v>0.4</v>
      </c>
      <c r="N387">
        <v>1450</v>
      </c>
      <c r="O387">
        <v>150</v>
      </c>
      <c r="P387">
        <v>150</v>
      </c>
      <c r="U387" t="s">
        <v>1678</v>
      </c>
      <c r="V387">
        <v>43100</v>
      </c>
      <c r="W387" t="s">
        <v>5000</v>
      </c>
      <c r="X387" t="s">
        <v>5001</v>
      </c>
    </row>
    <row r="388" spans="1:24">
      <c r="A388">
        <v>27</v>
      </c>
      <c r="B388">
        <v>15100232</v>
      </c>
      <c r="C388" t="s">
        <v>4974</v>
      </c>
      <c r="D388" t="s">
        <v>4975</v>
      </c>
      <c r="E388" s="2047" t="s">
        <v>9216</v>
      </c>
      <c r="F388" s="2047" t="s">
        <v>9216</v>
      </c>
      <c r="G388">
        <v>3</v>
      </c>
      <c r="H388" t="s">
        <v>4998</v>
      </c>
      <c r="J388">
        <v>33</v>
      </c>
      <c r="K388" s="2059">
        <v>3.4000000000000002E-2</v>
      </c>
      <c r="L388" t="s">
        <v>5002</v>
      </c>
      <c r="M388">
        <v>0.4</v>
      </c>
      <c r="N388">
        <v>1450</v>
      </c>
      <c r="O388">
        <v>150</v>
      </c>
      <c r="P388">
        <v>150</v>
      </c>
      <c r="U388" t="s">
        <v>1678</v>
      </c>
      <c r="V388">
        <v>43100</v>
      </c>
      <c r="W388" t="s">
        <v>5000</v>
      </c>
      <c r="X388" t="s">
        <v>5001</v>
      </c>
    </row>
    <row r="389" spans="1:24">
      <c r="A389">
        <v>27</v>
      </c>
      <c r="B389">
        <v>15100233</v>
      </c>
      <c r="C389" t="s">
        <v>4974</v>
      </c>
      <c r="D389" t="s">
        <v>4975</v>
      </c>
      <c r="E389" s="2047" t="s">
        <v>9217</v>
      </c>
      <c r="F389" s="2047" t="s">
        <v>9217</v>
      </c>
      <c r="G389">
        <v>3</v>
      </c>
      <c r="H389" t="s">
        <v>4998</v>
      </c>
      <c r="J389">
        <v>33</v>
      </c>
      <c r="K389" s="2059">
        <v>3.5999999999999997E-2</v>
      </c>
      <c r="L389" t="s">
        <v>5003</v>
      </c>
      <c r="M389">
        <v>0.4</v>
      </c>
      <c r="N389">
        <v>1450</v>
      </c>
      <c r="O389">
        <v>150</v>
      </c>
      <c r="P389">
        <v>150</v>
      </c>
      <c r="U389" t="s">
        <v>1678</v>
      </c>
      <c r="V389">
        <v>43100</v>
      </c>
      <c r="W389" t="s">
        <v>5000</v>
      </c>
      <c r="X389" t="s">
        <v>5001</v>
      </c>
    </row>
    <row r="390" spans="1:24">
      <c r="A390">
        <v>27</v>
      </c>
      <c r="B390">
        <v>15100241</v>
      </c>
      <c r="C390" t="s">
        <v>4974</v>
      </c>
      <c r="D390" t="s">
        <v>4975</v>
      </c>
      <c r="E390" s="2047" t="s">
        <v>9218</v>
      </c>
      <c r="F390" s="2047" t="s">
        <v>9218</v>
      </c>
      <c r="G390">
        <v>3</v>
      </c>
      <c r="H390" t="s">
        <v>4998</v>
      </c>
      <c r="J390">
        <v>33</v>
      </c>
      <c r="K390" s="2059">
        <v>3.3000000000000002E-2</v>
      </c>
      <c r="L390" t="s">
        <v>4999</v>
      </c>
      <c r="M390">
        <v>0.4</v>
      </c>
      <c r="N390">
        <v>1450</v>
      </c>
      <c r="O390">
        <v>150</v>
      </c>
      <c r="P390">
        <v>150</v>
      </c>
      <c r="U390" t="s">
        <v>1678</v>
      </c>
      <c r="V390">
        <v>43100</v>
      </c>
      <c r="W390" t="s">
        <v>5004</v>
      </c>
      <c r="X390" t="s">
        <v>5005</v>
      </c>
    </row>
    <row r="391" spans="1:24">
      <c r="A391">
        <v>27</v>
      </c>
      <c r="B391">
        <v>15100242</v>
      </c>
      <c r="C391" t="s">
        <v>4974</v>
      </c>
      <c r="D391" t="s">
        <v>4975</v>
      </c>
      <c r="E391" s="2047" t="s">
        <v>9219</v>
      </c>
      <c r="F391" s="2047" t="s">
        <v>9219</v>
      </c>
      <c r="G391">
        <v>3</v>
      </c>
      <c r="H391" t="s">
        <v>4998</v>
      </c>
      <c r="J391">
        <v>33</v>
      </c>
      <c r="K391" s="2059">
        <v>3.4000000000000002E-2</v>
      </c>
      <c r="L391" t="s">
        <v>5006</v>
      </c>
      <c r="M391">
        <v>0.4</v>
      </c>
      <c r="N391">
        <v>1450</v>
      </c>
      <c r="O391">
        <v>150</v>
      </c>
      <c r="P391">
        <v>150</v>
      </c>
      <c r="U391" t="s">
        <v>1678</v>
      </c>
      <c r="V391">
        <v>43100</v>
      </c>
      <c r="W391" t="s">
        <v>5004</v>
      </c>
      <c r="X391" t="s">
        <v>5005</v>
      </c>
    </row>
    <row r="392" spans="1:24">
      <c r="A392">
        <v>27</v>
      </c>
      <c r="B392">
        <v>15100251</v>
      </c>
      <c r="C392" t="s">
        <v>4974</v>
      </c>
      <c r="D392" t="s">
        <v>4975</v>
      </c>
      <c r="E392" s="2047" t="s">
        <v>9220</v>
      </c>
      <c r="F392" s="2047" t="s">
        <v>9220</v>
      </c>
      <c r="G392">
        <v>3</v>
      </c>
      <c r="H392" t="s">
        <v>4998</v>
      </c>
      <c r="J392">
        <v>33</v>
      </c>
      <c r="K392" s="2059">
        <v>3.3000000000000002E-2</v>
      </c>
      <c r="L392" t="s">
        <v>4999</v>
      </c>
      <c r="M392">
        <v>0.4</v>
      </c>
      <c r="N392">
        <v>1450</v>
      </c>
      <c r="O392">
        <v>150</v>
      </c>
      <c r="P392">
        <v>150</v>
      </c>
      <c r="U392" t="s">
        <v>1678</v>
      </c>
      <c r="V392">
        <v>43100</v>
      </c>
      <c r="W392" t="s">
        <v>5007</v>
      </c>
      <c r="X392" t="s">
        <v>5008</v>
      </c>
    </row>
    <row r="393" spans="1:24">
      <c r="A393">
        <v>27</v>
      </c>
      <c r="B393">
        <v>15100252</v>
      </c>
      <c r="C393" t="s">
        <v>4974</v>
      </c>
      <c r="D393" t="s">
        <v>4975</v>
      </c>
      <c r="E393" s="2047" t="s">
        <v>9221</v>
      </c>
      <c r="F393" s="2047" t="s">
        <v>9221</v>
      </c>
      <c r="G393">
        <v>3</v>
      </c>
      <c r="H393" t="s">
        <v>4998</v>
      </c>
      <c r="J393">
        <v>33</v>
      </c>
      <c r="K393" s="2059">
        <v>3.4000000000000002E-2</v>
      </c>
      <c r="L393" t="s">
        <v>5002</v>
      </c>
      <c r="M393">
        <v>0.4</v>
      </c>
      <c r="N393">
        <v>1450</v>
      </c>
      <c r="O393">
        <v>150</v>
      </c>
      <c r="P393">
        <v>150</v>
      </c>
      <c r="U393" t="s">
        <v>1678</v>
      </c>
      <c r="V393">
        <v>43100</v>
      </c>
      <c r="W393" t="s">
        <v>5007</v>
      </c>
      <c r="X393" t="s">
        <v>5008</v>
      </c>
    </row>
    <row r="394" spans="1:24">
      <c r="A394">
        <v>27</v>
      </c>
      <c r="B394">
        <v>15100253</v>
      </c>
      <c r="C394" t="s">
        <v>4974</v>
      </c>
      <c r="D394" t="s">
        <v>4975</v>
      </c>
      <c r="E394" s="2047" t="s">
        <v>9222</v>
      </c>
      <c r="F394" s="2047" t="s">
        <v>9222</v>
      </c>
      <c r="G394">
        <v>3</v>
      </c>
      <c r="H394" t="s">
        <v>4998</v>
      </c>
      <c r="J394">
        <v>33</v>
      </c>
      <c r="K394" s="2059">
        <v>3.5999999999999997E-2</v>
      </c>
      <c r="L394" t="s">
        <v>5009</v>
      </c>
      <c r="M394">
        <v>0.4</v>
      </c>
      <c r="N394">
        <v>1450</v>
      </c>
      <c r="O394">
        <v>150</v>
      </c>
      <c r="P394">
        <v>150</v>
      </c>
      <c r="U394" t="s">
        <v>1678</v>
      </c>
      <c r="V394">
        <v>43100</v>
      </c>
      <c r="W394" t="s">
        <v>5007</v>
      </c>
      <c r="X394" t="s">
        <v>5008</v>
      </c>
    </row>
    <row r="395" spans="1:24">
      <c r="A395">
        <v>27</v>
      </c>
      <c r="B395">
        <v>15100261</v>
      </c>
      <c r="C395" t="s">
        <v>4974</v>
      </c>
      <c r="D395" t="s">
        <v>4975</v>
      </c>
      <c r="E395" s="2047" t="s">
        <v>9223</v>
      </c>
      <c r="F395" s="2047" t="s">
        <v>9223</v>
      </c>
      <c r="G395">
        <v>3</v>
      </c>
      <c r="H395" t="s">
        <v>4998</v>
      </c>
      <c r="J395">
        <v>40</v>
      </c>
      <c r="K395" s="2059">
        <v>3.4000000000000002E-2</v>
      </c>
      <c r="L395" t="s">
        <v>5010</v>
      </c>
      <c r="M395">
        <v>0.4</v>
      </c>
      <c r="N395">
        <v>1450</v>
      </c>
      <c r="O395">
        <v>150</v>
      </c>
      <c r="P395">
        <v>150</v>
      </c>
      <c r="U395" t="s">
        <v>1678</v>
      </c>
      <c r="V395">
        <v>43100</v>
      </c>
      <c r="W395" t="s">
        <v>5000</v>
      </c>
      <c r="X395" t="s">
        <v>5001</v>
      </c>
    </row>
    <row r="396" spans="1:24">
      <c r="A396">
        <v>27</v>
      </c>
      <c r="B396">
        <v>15100262</v>
      </c>
      <c r="C396" t="s">
        <v>4974</v>
      </c>
      <c r="D396" t="s">
        <v>4975</v>
      </c>
      <c r="E396" s="2047" t="s">
        <v>9224</v>
      </c>
      <c r="F396" s="2047" t="s">
        <v>9224</v>
      </c>
      <c r="G396">
        <v>3</v>
      </c>
      <c r="H396" t="s">
        <v>4998</v>
      </c>
      <c r="J396">
        <v>40</v>
      </c>
      <c r="K396" s="2059">
        <v>3.5000000000000003E-2</v>
      </c>
      <c r="L396" t="s">
        <v>4300</v>
      </c>
      <c r="M396">
        <v>0.4</v>
      </c>
      <c r="N396">
        <v>1450</v>
      </c>
      <c r="O396">
        <v>150</v>
      </c>
      <c r="P396">
        <v>150</v>
      </c>
      <c r="U396" t="s">
        <v>1678</v>
      </c>
      <c r="V396">
        <v>43100</v>
      </c>
      <c r="W396" t="s">
        <v>5000</v>
      </c>
      <c r="X396" t="s">
        <v>5001</v>
      </c>
    </row>
    <row r="397" spans="1:24">
      <c r="A397">
        <v>27</v>
      </c>
      <c r="B397">
        <v>15100263</v>
      </c>
      <c r="C397" t="s">
        <v>4974</v>
      </c>
      <c r="D397" t="s">
        <v>4975</v>
      </c>
      <c r="E397" s="2047" t="s">
        <v>9225</v>
      </c>
      <c r="F397" s="2047" t="s">
        <v>9225</v>
      </c>
      <c r="G397">
        <v>3</v>
      </c>
      <c r="H397" t="s">
        <v>4998</v>
      </c>
      <c r="J397">
        <v>40</v>
      </c>
      <c r="K397" s="2059">
        <v>3.5999999999999997E-2</v>
      </c>
      <c r="L397" t="s">
        <v>5009</v>
      </c>
      <c r="M397">
        <v>0.4</v>
      </c>
      <c r="N397">
        <v>1450</v>
      </c>
      <c r="O397">
        <v>150</v>
      </c>
      <c r="P397">
        <v>150</v>
      </c>
      <c r="U397" t="s">
        <v>1678</v>
      </c>
      <c r="V397">
        <v>43100</v>
      </c>
      <c r="W397" t="s">
        <v>5000</v>
      </c>
      <c r="X397" t="s">
        <v>5001</v>
      </c>
    </row>
    <row r="398" spans="1:24">
      <c r="A398">
        <v>27</v>
      </c>
      <c r="B398">
        <v>15100271</v>
      </c>
      <c r="C398" t="s">
        <v>4974</v>
      </c>
      <c r="D398" t="s">
        <v>4975</v>
      </c>
      <c r="E398" s="2047" t="s">
        <v>9226</v>
      </c>
      <c r="F398" s="2047" t="s">
        <v>9226</v>
      </c>
      <c r="G398">
        <v>3</v>
      </c>
      <c r="H398" t="s">
        <v>4998</v>
      </c>
      <c r="J398">
        <v>45</v>
      </c>
      <c r="K398" s="2059">
        <v>3.4000000000000002E-2</v>
      </c>
      <c r="L398" t="s">
        <v>5010</v>
      </c>
      <c r="M398">
        <v>0.4</v>
      </c>
      <c r="N398">
        <v>1450</v>
      </c>
      <c r="O398">
        <v>150</v>
      </c>
      <c r="P398">
        <v>150</v>
      </c>
      <c r="U398" t="s">
        <v>1678</v>
      </c>
      <c r="V398">
        <v>43100</v>
      </c>
      <c r="W398" t="s">
        <v>5000</v>
      </c>
      <c r="X398" t="s">
        <v>5001</v>
      </c>
    </row>
    <row r="399" spans="1:24">
      <c r="A399">
        <v>27</v>
      </c>
      <c r="B399">
        <v>15100272</v>
      </c>
      <c r="C399" t="s">
        <v>4974</v>
      </c>
      <c r="D399" t="s">
        <v>4975</v>
      </c>
      <c r="E399" s="2047" t="s">
        <v>9227</v>
      </c>
      <c r="F399" s="2047" t="s">
        <v>9227</v>
      </c>
      <c r="G399">
        <v>3</v>
      </c>
      <c r="H399" t="s">
        <v>4998</v>
      </c>
      <c r="J399">
        <v>45</v>
      </c>
      <c r="K399" s="2059">
        <v>3.5000000000000003E-2</v>
      </c>
      <c r="L399" t="s">
        <v>4300</v>
      </c>
      <c r="M399">
        <v>0.4</v>
      </c>
      <c r="N399">
        <v>1450</v>
      </c>
      <c r="O399">
        <v>150</v>
      </c>
      <c r="P399">
        <v>150</v>
      </c>
      <c r="U399" t="s">
        <v>1678</v>
      </c>
      <c r="V399">
        <v>43100</v>
      </c>
      <c r="W399" t="s">
        <v>5000</v>
      </c>
      <c r="X399" t="s">
        <v>5001</v>
      </c>
    </row>
    <row r="400" spans="1:24">
      <c r="A400">
        <v>27</v>
      </c>
      <c r="B400">
        <v>15100273</v>
      </c>
      <c r="C400" t="s">
        <v>4974</v>
      </c>
      <c r="D400" t="s">
        <v>4975</v>
      </c>
      <c r="E400" s="2047" t="s">
        <v>9228</v>
      </c>
      <c r="F400" s="2047" t="s">
        <v>9228</v>
      </c>
      <c r="G400">
        <v>3</v>
      </c>
      <c r="H400" t="s">
        <v>4998</v>
      </c>
      <c r="J400">
        <v>45</v>
      </c>
      <c r="K400" s="2059">
        <v>3.5999999999999997E-2</v>
      </c>
      <c r="L400" t="s">
        <v>5009</v>
      </c>
      <c r="M400">
        <v>0.4</v>
      </c>
      <c r="N400">
        <v>1450</v>
      </c>
      <c r="O400">
        <v>150</v>
      </c>
      <c r="P400">
        <v>150</v>
      </c>
      <c r="U400" t="s">
        <v>1678</v>
      </c>
      <c r="V400">
        <v>43100</v>
      </c>
      <c r="W400" t="s">
        <v>5000</v>
      </c>
      <c r="X400" t="s">
        <v>5001</v>
      </c>
    </row>
    <row r="401" spans="1:24">
      <c r="A401">
        <v>27</v>
      </c>
      <c r="B401">
        <v>15100281</v>
      </c>
      <c r="C401" t="s">
        <v>4974</v>
      </c>
      <c r="D401" t="s">
        <v>4975</v>
      </c>
      <c r="E401" s="2047" t="s">
        <v>9229</v>
      </c>
      <c r="F401" s="2047" t="s">
        <v>9229</v>
      </c>
      <c r="G401">
        <v>3</v>
      </c>
      <c r="H401" t="s">
        <v>4998</v>
      </c>
      <c r="J401">
        <v>33</v>
      </c>
      <c r="K401" s="2059">
        <v>3.3000000000000002E-2</v>
      </c>
      <c r="L401" t="s">
        <v>4999</v>
      </c>
      <c r="M401">
        <v>0.4</v>
      </c>
      <c r="N401">
        <v>1450</v>
      </c>
      <c r="O401">
        <v>150</v>
      </c>
      <c r="P401">
        <v>150</v>
      </c>
      <c r="U401" t="s">
        <v>1678</v>
      </c>
      <c r="V401">
        <v>43100</v>
      </c>
      <c r="W401" t="s">
        <v>5011</v>
      </c>
      <c r="X401" t="s">
        <v>5012</v>
      </c>
    </row>
    <row r="402" spans="1:24">
      <c r="A402">
        <v>27</v>
      </c>
      <c r="B402">
        <v>15100282</v>
      </c>
      <c r="C402" t="s">
        <v>4974</v>
      </c>
      <c r="D402" t="s">
        <v>4975</v>
      </c>
      <c r="E402" s="2047" t="s">
        <v>9230</v>
      </c>
      <c r="F402" s="2047" t="s">
        <v>9230</v>
      </c>
      <c r="G402">
        <v>3</v>
      </c>
      <c r="H402" t="s">
        <v>4998</v>
      </c>
      <c r="J402">
        <v>33</v>
      </c>
      <c r="K402" s="2059">
        <v>3.4000000000000002E-2</v>
      </c>
      <c r="L402" t="s">
        <v>5002</v>
      </c>
      <c r="M402">
        <v>0.4</v>
      </c>
      <c r="N402">
        <v>1450</v>
      </c>
      <c r="O402">
        <v>150</v>
      </c>
      <c r="P402">
        <v>150</v>
      </c>
      <c r="U402" t="s">
        <v>1678</v>
      </c>
      <c r="V402">
        <v>43100</v>
      </c>
      <c r="W402" t="s">
        <v>5011</v>
      </c>
      <c r="X402" t="s">
        <v>5012</v>
      </c>
    </row>
    <row r="403" spans="1:24">
      <c r="A403">
        <v>27</v>
      </c>
      <c r="B403">
        <v>15100283</v>
      </c>
      <c r="C403" t="s">
        <v>4974</v>
      </c>
      <c r="D403" t="s">
        <v>4975</v>
      </c>
      <c r="E403" s="2047" t="s">
        <v>9231</v>
      </c>
      <c r="F403" s="2047" t="s">
        <v>9231</v>
      </c>
      <c r="G403">
        <v>3</v>
      </c>
      <c r="H403" t="s">
        <v>4998</v>
      </c>
      <c r="J403">
        <v>33</v>
      </c>
      <c r="K403" s="2059">
        <v>3.5999999999999997E-2</v>
      </c>
      <c r="L403" t="s">
        <v>5009</v>
      </c>
      <c r="M403">
        <v>0.4</v>
      </c>
      <c r="N403">
        <v>1450</v>
      </c>
      <c r="O403">
        <v>150</v>
      </c>
      <c r="P403">
        <v>150</v>
      </c>
      <c r="U403" t="s">
        <v>1678</v>
      </c>
      <c r="V403">
        <v>43100</v>
      </c>
      <c r="W403" t="s">
        <v>5011</v>
      </c>
      <c r="X403" t="s">
        <v>5012</v>
      </c>
    </row>
    <row r="404" spans="1:24">
      <c r="A404">
        <v>27</v>
      </c>
      <c r="B404">
        <v>15100291</v>
      </c>
      <c r="C404" t="s">
        <v>4974</v>
      </c>
      <c r="D404" t="s">
        <v>4975</v>
      </c>
      <c r="E404" t="s">
        <v>5013</v>
      </c>
      <c r="F404" t="s">
        <v>5013</v>
      </c>
      <c r="G404">
        <v>3</v>
      </c>
      <c r="H404" t="s">
        <v>4998</v>
      </c>
      <c r="J404">
        <v>40</v>
      </c>
      <c r="K404" s="2059">
        <v>3.2000000000000001E-2</v>
      </c>
      <c r="L404" t="s">
        <v>5014</v>
      </c>
      <c r="M404">
        <v>0.4</v>
      </c>
      <c r="N404">
        <v>1450</v>
      </c>
      <c r="O404">
        <v>150</v>
      </c>
      <c r="P404">
        <v>150</v>
      </c>
      <c r="U404" t="s">
        <v>1678</v>
      </c>
      <c r="V404">
        <v>43100</v>
      </c>
      <c r="W404" t="s">
        <v>5015</v>
      </c>
      <c r="X404" t="s">
        <v>5012</v>
      </c>
    </row>
    <row r="405" spans="1:24">
      <c r="A405">
        <v>27</v>
      </c>
      <c r="B405">
        <v>15100311</v>
      </c>
      <c r="C405" t="s">
        <v>4974</v>
      </c>
      <c r="D405" t="s">
        <v>4975</v>
      </c>
      <c r="E405" s="2047" t="s">
        <v>9232</v>
      </c>
      <c r="F405" s="2047" t="s">
        <v>9232</v>
      </c>
      <c r="G405">
        <v>3</v>
      </c>
      <c r="H405" t="s">
        <v>4998</v>
      </c>
      <c r="J405">
        <v>34</v>
      </c>
      <c r="K405" s="2059">
        <v>3.1E-2</v>
      </c>
      <c r="L405" t="s">
        <v>5016</v>
      </c>
      <c r="M405">
        <v>0.4</v>
      </c>
      <c r="N405">
        <v>1450</v>
      </c>
      <c r="O405">
        <v>150</v>
      </c>
      <c r="P405">
        <v>150</v>
      </c>
      <c r="U405" t="s">
        <v>1678</v>
      </c>
      <c r="V405">
        <v>42735</v>
      </c>
      <c r="W405" t="s">
        <v>5017</v>
      </c>
      <c r="X405" t="s">
        <v>5018</v>
      </c>
    </row>
    <row r="406" spans="1:24">
      <c r="A406">
        <v>27</v>
      </c>
      <c r="B406">
        <v>15100312</v>
      </c>
      <c r="C406" t="s">
        <v>4974</v>
      </c>
      <c r="D406" t="s">
        <v>4975</v>
      </c>
      <c r="E406" s="2047" t="s">
        <v>9233</v>
      </c>
      <c r="F406" s="2047" t="s">
        <v>9233</v>
      </c>
      <c r="G406">
        <v>3</v>
      </c>
      <c r="H406" t="s">
        <v>4998</v>
      </c>
      <c r="J406">
        <v>34</v>
      </c>
      <c r="K406" s="2059">
        <v>3.2000000000000001E-2</v>
      </c>
      <c r="L406" t="s">
        <v>5014</v>
      </c>
      <c r="M406">
        <v>0.4</v>
      </c>
      <c r="N406">
        <v>1450</v>
      </c>
      <c r="O406">
        <v>150</v>
      </c>
      <c r="P406">
        <v>150</v>
      </c>
      <c r="U406" t="s">
        <v>1678</v>
      </c>
      <c r="V406">
        <v>42735</v>
      </c>
      <c r="W406" t="s">
        <v>5017</v>
      </c>
      <c r="X406" t="s">
        <v>5018</v>
      </c>
    </row>
    <row r="407" spans="1:24">
      <c r="A407">
        <v>27</v>
      </c>
      <c r="B407">
        <v>15100321</v>
      </c>
      <c r="C407" t="s">
        <v>4974</v>
      </c>
      <c r="D407" t="s">
        <v>4975</v>
      </c>
      <c r="E407" s="2047" t="s">
        <v>9234</v>
      </c>
      <c r="F407" s="2047" t="s">
        <v>9234</v>
      </c>
      <c r="G407">
        <v>3</v>
      </c>
      <c r="H407" t="s">
        <v>4998</v>
      </c>
      <c r="J407">
        <v>34</v>
      </c>
      <c r="K407" s="2059">
        <v>3.1E-2</v>
      </c>
      <c r="L407" t="s">
        <v>5016</v>
      </c>
      <c r="M407">
        <v>0.4</v>
      </c>
      <c r="N407">
        <v>1450</v>
      </c>
      <c r="O407">
        <v>150</v>
      </c>
      <c r="P407">
        <v>150</v>
      </c>
      <c r="U407" t="s">
        <v>1678</v>
      </c>
      <c r="V407">
        <v>42735</v>
      </c>
      <c r="W407" t="s">
        <v>5015</v>
      </c>
      <c r="X407" t="s">
        <v>5012</v>
      </c>
    </row>
    <row r="408" spans="1:24">
      <c r="A408">
        <v>27</v>
      </c>
      <c r="B408">
        <v>15100322</v>
      </c>
      <c r="C408" t="s">
        <v>4974</v>
      </c>
      <c r="D408" t="s">
        <v>4975</v>
      </c>
      <c r="E408" s="2047" t="s">
        <v>9235</v>
      </c>
      <c r="F408" s="2047" t="s">
        <v>9235</v>
      </c>
      <c r="G408">
        <v>3</v>
      </c>
      <c r="H408" t="s">
        <v>4998</v>
      </c>
      <c r="J408">
        <v>34</v>
      </c>
      <c r="K408" s="2059">
        <v>3.2000000000000001E-2</v>
      </c>
      <c r="L408" t="s">
        <v>5019</v>
      </c>
      <c r="M408">
        <v>0.4</v>
      </c>
      <c r="N408">
        <v>1450</v>
      </c>
      <c r="O408">
        <v>150</v>
      </c>
      <c r="P408">
        <v>150</v>
      </c>
      <c r="U408" t="s">
        <v>1678</v>
      </c>
      <c r="V408">
        <v>42735</v>
      </c>
      <c r="W408" t="s">
        <v>5015</v>
      </c>
      <c r="X408" t="s">
        <v>5012</v>
      </c>
    </row>
    <row r="409" spans="1:24">
      <c r="A409">
        <v>27</v>
      </c>
      <c r="B409">
        <v>14070021</v>
      </c>
      <c r="C409" t="s">
        <v>4974</v>
      </c>
      <c r="D409" t="s">
        <v>4975</v>
      </c>
      <c r="E409" s="2047" t="s">
        <v>9236</v>
      </c>
      <c r="F409" s="2047" t="s">
        <v>9236</v>
      </c>
      <c r="G409">
        <v>60</v>
      </c>
      <c r="H409" t="s">
        <v>5020</v>
      </c>
      <c r="J409" t="s">
        <v>4721</v>
      </c>
      <c r="K409" s="2059">
        <v>3.3000000000000002E-2</v>
      </c>
      <c r="L409" t="s">
        <v>4902</v>
      </c>
      <c r="M409">
        <v>0.4</v>
      </c>
      <c r="N409">
        <v>1450</v>
      </c>
      <c r="O409">
        <v>150</v>
      </c>
      <c r="P409">
        <v>150</v>
      </c>
      <c r="U409" t="s">
        <v>1678</v>
      </c>
      <c r="V409">
        <v>42735</v>
      </c>
      <c r="W409" t="s">
        <v>5021</v>
      </c>
      <c r="X409" t="s">
        <v>5012</v>
      </c>
    </row>
    <row r="410" spans="1:24">
      <c r="A410">
        <v>27</v>
      </c>
      <c r="B410">
        <v>14070022</v>
      </c>
      <c r="C410" t="s">
        <v>4974</v>
      </c>
      <c r="D410" t="s">
        <v>4975</v>
      </c>
      <c r="E410" s="2047" t="s">
        <v>9237</v>
      </c>
      <c r="F410" s="2047" t="s">
        <v>9237</v>
      </c>
      <c r="G410">
        <v>60</v>
      </c>
      <c r="H410" t="s">
        <v>5020</v>
      </c>
      <c r="J410" t="s">
        <v>5022</v>
      </c>
      <c r="K410" s="2059">
        <v>3.4000000000000002E-2</v>
      </c>
      <c r="L410" t="s">
        <v>4991</v>
      </c>
      <c r="M410">
        <v>0.4</v>
      </c>
      <c r="N410">
        <v>1450</v>
      </c>
      <c r="O410">
        <v>150</v>
      </c>
      <c r="P410">
        <v>150</v>
      </c>
      <c r="U410" t="s">
        <v>1678</v>
      </c>
      <c r="V410">
        <v>42735</v>
      </c>
      <c r="W410" t="s">
        <v>5021</v>
      </c>
      <c r="X410" t="s">
        <v>5012</v>
      </c>
    </row>
    <row r="411" spans="1:24">
      <c r="A411">
        <v>27</v>
      </c>
      <c r="B411">
        <v>14070023</v>
      </c>
      <c r="C411" t="s">
        <v>4974</v>
      </c>
      <c r="D411" t="s">
        <v>4975</v>
      </c>
      <c r="E411" s="2047" t="s">
        <v>9238</v>
      </c>
      <c r="F411" s="2047" t="s">
        <v>9238</v>
      </c>
      <c r="G411">
        <v>60</v>
      </c>
      <c r="H411" t="s">
        <v>5020</v>
      </c>
      <c r="J411" t="s">
        <v>5023</v>
      </c>
      <c r="K411" s="2059">
        <v>3.6999999999999998E-2</v>
      </c>
      <c r="L411" t="s">
        <v>5024</v>
      </c>
      <c r="M411">
        <v>0.4</v>
      </c>
      <c r="N411">
        <v>1450</v>
      </c>
      <c r="O411">
        <v>150</v>
      </c>
      <c r="P411">
        <v>150</v>
      </c>
      <c r="U411" t="s">
        <v>1678</v>
      </c>
      <c r="V411">
        <v>42735</v>
      </c>
      <c r="W411" t="s">
        <v>5021</v>
      </c>
      <c r="X411" t="s">
        <v>5012</v>
      </c>
    </row>
    <row r="412" spans="1:24">
      <c r="A412">
        <v>27</v>
      </c>
      <c r="B412">
        <v>14070024</v>
      </c>
      <c r="C412" t="s">
        <v>4974</v>
      </c>
      <c r="D412" t="s">
        <v>4975</v>
      </c>
      <c r="E412" s="2047" t="s">
        <v>9239</v>
      </c>
      <c r="F412" s="2047" t="s">
        <v>9239</v>
      </c>
      <c r="G412">
        <v>60</v>
      </c>
      <c r="H412" t="s">
        <v>5020</v>
      </c>
      <c r="J412" t="s">
        <v>5025</v>
      </c>
      <c r="K412" s="2059">
        <v>3.9E-2</v>
      </c>
      <c r="L412" t="s">
        <v>5026</v>
      </c>
      <c r="M412">
        <v>0.4</v>
      </c>
      <c r="N412">
        <v>1450</v>
      </c>
      <c r="O412">
        <v>150</v>
      </c>
      <c r="P412">
        <v>150</v>
      </c>
      <c r="U412" t="s">
        <v>1678</v>
      </c>
      <c r="V412">
        <v>42735</v>
      </c>
      <c r="W412" t="s">
        <v>5021</v>
      </c>
      <c r="X412" t="s">
        <v>5012</v>
      </c>
    </row>
    <row r="413" spans="1:24">
      <c r="A413">
        <v>27</v>
      </c>
      <c r="B413">
        <v>14070031</v>
      </c>
      <c r="C413" t="s">
        <v>4974</v>
      </c>
      <c r="D413" t="s">
        <v>4975</v>
      </c>
      <c r="E413" s="2047" t="s">
        <v>9240</v>
      </c>
      <c r="F413" s="2047" t="s">
        <v>9240</v>
      </c>
      <c r="G413">
        <v>60</v>
      </c>
      <c r="H413" t="s">
        <v>5020</v>
      </c>
      <c r="J413" t="s">
        <v>4721</v>
      </c>
      <c r="K413" s="2059">
        <v>3.3000000000000002E-2</v>
      </c>
      <c r="L413" t="s">
        <v>4159</v>
      </c>
      <c r="M413">
        <v>0.4</v>
      </c>
      <c r="N413">
        <v>1450</v>
      </c>
      <c r="O413">
        <v>150</v>
      </c>
      <c r="P413">
        <v>150</v>
      </c>
      <c r="U413" t="s">
        <v>1678</v>
      </c>
      <c r="V413">
        <v>42735</v>
      </c>
      <c r="W413" t="s">
        <v>5027</v>
      </c>
      <c r="X413" t="s">
        <v>5028</v>
      </c>
    </row>
    <row r="414" spans="1:24">
      <c r="A414">
        <v>27</v>
      </c>
      <c r="B414">
        <v>14070032</v>
      </c>
      <c r="C414" t="s">
        <v>4974</v>
      </c>
      <c r="D414" t="s">
        <v>4975</v>
      </c>
      <c r="E414" s="2047" t="s">
        <v>9241</v>
      </c>
      <c r="F414" s="2047" t="s">
        <v>9241</v>
      </c>
      <c r="G414">
        <v>60</v>
      </c>
      <c r="H414" t="s">
        <v>5020</v>
      </c>
      <c r="J414" t="s">
        <v>5022</v>
      </c>
      <c r="K414" s="2059">
        <v>3.4000000000000002E-2</v>
      </c>
      <c r="L414" t="s">
        <v>4991</v>
      </c>
      <c r="M414">
        <v>0.4</v>
      </c>
      <c r="N414">
        <v>1450</v>
      </c>
      <c r="O414">
        <v>150</v>
      </c>
      <c r="P414">
        <v>150</v>
      </c>
      <c r="U414" t="s">
        <v>1678</v>
      </c>
      <c r="V414">
        <v>42735</v>
      </c>
      <c r="W414" t="s">
        <v>5027</v>
      </c>
      <c r="X414" t="s">
        <v>5028</v>
      </c>
    </row>
    <row r="415" spans="1:24">
      <c r="A415">
        <v>27</v>
      </c>
      <c r="B415">
        <v>14070033</v>
      </c>
      <c r="C415" t="s">
        <v>4974</v>
      </c>
      <c r="D415" t="s">
        <v>4975</v>
      </c>
      <c r="E415" s="2047" t="s">
        <v>9242</v>
      </c>
      <c r="F415" s="2047" t="s">
        <v>9242</v>
      </c>
      <c r="G415">
        <v>60</v>
      </c>
      <c r="H415" t="s">
        <v>5020</v>
      </c>
      <c r="J415" t="s">
        <v>5023</v>
      </c>
      <c r="K415" s="2059">
        <v>3.6999999999999998E-2</v>
      </c>
      <c r="L415" t="s">
        <v>5024</v>
      </c>
      <c r="M415">
        <v>0.4</v>
      </c>
      <c r="N415">
        <v>1450</v>
      </c>
      <c r="O415">
        <v>150</v>
      </c>
      <c r="P415">
        <v>150</v>
      </c>
      <c r="U415" t="s">
        <v>1678</v>
      </c>
      <c r="V415">
        <v>42735</v>
      </c>
      <c r="W415" t="s">
        <v>5027</v>
      </c>
      <c r="X415" t="s">
        <v>5028</v>
      </c>
    </row>
    <row r="416" spans="1:24">
      <c r="A416">
        <v>27</v>
      </c>
      <c r="B416">
        <v>14070034</v>
      </c>
      <c r="C416" t="s">
        <v>4974</v>
      </c>
      <c r="D416" t="s">
        <v>4975</v>
      </c>
      <c r="E416" s="2047" t="s">
        <v>9243</v>
      </c>
      <c r="F416" s="2047" t="s">
        <v>9243</v>
      </c>
      <c r="G416">
        <v>60</v>
      </c>
      <c r="H416" t="s">
        <v>5020</v>
      </c>
      <c r="J416" t="s">
        <v>5025</v>
      </c>
      <c r="K416" s="2059">
        <v>3.9E-2</v>
      </c>
      <c r="L416" t="s">
        <v>5026</v>
      </c>
      <c r="M416">
        <v>0.4</v>
      </c>
      <c r="N416">
        <v>1450</v>
      </c>
      <c r="O416">
        <v>150</v>
      </c>
      <c r="P416">
        <v>150</v>
      </c>
      <c r="U416" t="s">
        <v>1678</v>
      </c>
      <c r="V416">
        <v>42735</v>
      </c>
      <c r="W416" t="s">
        <v>5027</v>
      </c>
      <c r="X416" t="s">
        <v>5028</v>
      </c>
    </row>
    <row r="417" spans="1:24">
      <c r="A417">
        <v>27</v>
      </c>
      <c r="B417">
        <v>14070041</v>
      </c>
      <c r="C417" t="s">
        <v>4974</v>
      </c>
      <c r="D417" t="s">
        <v>4975</v>
      </c>
      <c r="E417" s="2047" t="s">
        <v>9244</v>
      </c>
      <c r="F417" s="2047" t="s">
        <v>9244</v>
      </c>
      <c r="G417">
        <v>60</v>
      </c>
      <c r="H417" t="s">
        <v>5020</v>
      </c>
      <c r="J417" t="s">
        <v>5025</v>
      </c>
      <c r="K417" s="2059">
        <v>3.4000000000000002E-2</v>
      </c>
      <c r="L417" t="s">
        <v>4991</v>
      </c>
      <c r="M417">
        <v>0.4</v>
      </c>
      <c r="N417">
        <v>1450</v>
      </c>
      <c r="O417">
        <v>150</v>
      </c>
      <c r="P417">
        <v>150</v>
      </c>
      <c r="U417" t="s">
        <v>1678</v>
      </c>
      <c r="V417">
        <v>42735</v>
      </c>
      <c r="W417" t="s">
        <v>5027</v>
      </c>
      <c r="X417" t="s">
        <v>5028</v>
      </c>
    </row>
    <row r="418" spans="1:24">
      <c r="A418">
        <v>27</v>
      </c>
      <c r="B418">
        <v>14070042</v>
      </c>
      <c r="C418" t="s">
        <v>4974</v>
      </c>
      <c r="D418" t="s">
        <v>4975</v>
      </c>
      <c r="E418" s="2047" t="s">
        <v>9245</v>
      </c>
      <c r="F418" s="2047" t="s">
        <v>9245</v>
      </c>
      <c r="G418">
        <v>60</v>
      </c>
      <c r="H418" t="s">
        <v>5020</v>
      </c>
      <c r="J418" t="s">
        <v>5029</v>
      </c>
      <c r="K418" s="2059">
        <v>3.6999999999999998E-2</v>
      </c>
      <c r="L418" t="s">
        <v>4300</v>
      </c>
      <c r="M418">
        <v>0.4</v>
      </c>
      <c r="N418">
        <v>1450</v>
      </c>
      <c r="O418">
        <v>150</v>
      </c>
      <c r="P418">
        <v>150</v>
      </c>
      <c r="U418" t="s">
        <v>1678</v>
      </c>
      <c r="V418">
        <v>42735</v>
      </c>
      <c r="W418" t="s">
        <v>5027</v>
      </c>
      <c r="X418" t="s">
        <v>5028</v>
      </c>
    </row>
    <row r="419" spans="1:24">
      <c r="A419">
        <v>27</v>
      </c>
      <c r="B419">
        <v>16040031</v>
      </c>
      <c r="C419" t="s">
        <v>4974</v>
      </c>
      <c r="D419" t="s">
        <v>4975</v>
      </c>
      <c r="E419" s="2047" t="s">
        <v>9246</v>
      </c>
      <c r="F419" s="2047" t="s">
        <v>9246</v>
      </c>
      <c r="G419">
        <v>75</v>
      </c>
      <c r="H419" t="s">
        <v>5030</v>
      </c>
      <c r="J419" t="s">
        <v>5031</v>
      </c>
      <c r="K419" s="2059">
        <v>3.3000000000000002E-2</v>
      </c>
      <c r="L419" t="s">
        <v>5032</v>
      </c>
      <c r="M419">
        <v>0.4</v>
      </c>
      <c r="N419">
        <v>1450</v>
      </c>
      <c r="O419">
        <v>150</v>
      </c>
      <c r="P419">
        <v>150</v>
      </c>
      <c r="U419" t="s">
        <v>1678</v>
      </c>
      <c r="V419">
        <v>43281</v>
      </c>
    </row>
    <row r="420" spans="1:24">
      <c r="A420">
        <v>27</v>
      </c>
      <c r="B420">
        <v>16040032</v>
      </c>
      <c r="C420" t="s">
        <v>4974</v>
      </c>
      <c r="D420" t="s">
        <v>4975</v>
      </c>
      <c r="E420" s="2047" t="s">
        <v>9247</v>
      </c>
      <c r="F420" s="2047" t="s">
        <v>9247</v>
      </c>
      <c r="G420">
        <v>75</v>
      </c>
      <c r="H420" t="s">
        <v>5030</v>
      </c>
      <c r="J420" t="s">
        <v>5031</v>
      </c>
      <c r="K420" s="2059">
        <v>3.4000000000000002E-2</v>
      </c>
      <c r="L420" t="s">
        <v>5033</v>
      </c>
      <c r="M420">
        <v>0.4</v>
      </c>
      <c r="N420">
        <v>1450</v>
      </c>
      <c r="O420">
        <v>150</v>
      </c>
      <c r="P420">
        <v>150</v>
      </c>
      <c r="U420" t="s">
        <v>1678</v>
      </c>
      <c r="V420">
        <v>43281</v>
      </c>
    </row>
    <row r="421" spans="1:24">
      <c r="A421">
        <v>27</v>
      </c>
      <c r="B421">
        <v>16040033</v>
      </c>
      <c r="C421" t="s">
        <v>4974</v>
      </c>
      <c r="D421" t="s">
        <v>4975</v>
      </c>
      <c r="E421" s="2047" t="s">
        <v>9248</v>
      </c>
      <c r="F421" s="2047" t="s">
        <v>9248</v>
      </c>
      <c r="G421">
        <v>75</v>
      </c>
      <c r="H421" t="s">
        <v>5030</v>
      </c>
      <c r="J421" t="s">
        <v>5031</v>
      </c>
      <c r="K421" s="2059">
        <v>3.5000000000000003E-2</v>
      </c>
      <c r="L421" t="s">
        <v>5034</v>
      </c>
      <c r="M421">
        <v>0.4</v>
      </c>
      <c r="N421">
        <v>1450</v>
      </c>
      <c r="O421">
        <v>150</v>
      </c>
      <c r="P421">
        <v>150</v>
      </c>
      <c r="U421" t="s">
        <v>1678</v>
      </c>
      <c r="V421">
        <v>43281</v>
      </c>
    </row>
    <row r="422" spans="1:24">
      <c r="A422">
        <v>27</v>
      </c>
      <c r="B422">
        <v>16040034</v>
      </c>
      <c r="C422" t="s">
        <v>4974</v>
      </c>
      <c r="D422" t="s">
        <v>4975</v>
      </c>
      <c r="E422" s="2047" t="s">
        <v>9249</v>
      </c>
      <c r="F422" s="2047" t="s">
        <v>9249</v>
      </c>
      <c r="G422">
        <v>75</v>
      </c>
      <c r="H422" t="s">
        <v>5030</v>
      </c>
      <c r="J422" t="s">
        <v>5031</v>
      </c>
      <c r="K422" s="2059">
        <v>3.5999999999999997E-2</v>
      </c>
      <c r="L422">
        <v>120</v>
      </c>
      <c r="M422">
        <v>0.4</v>
      </c>
      <c r="N422">
        <v>1450</v>
      </c>
      <c r="O422">
        <v>150</v>
      </c>
      <c r="P422">
        <v>150</v>
      </c>
      <c r="U422" t="s">
        <v>1678</v>
      </c>
      <c r="V422">
        <v>43281</v>
      </c>
    </row>
    <row r="423" spans="1:24">
      <c r="A423">
        <v>27</v>
      </c>
      <c r="B423">
        <v>16040035</v>
      </c>
      <c r="C423" t="s">
        <v>4974</v>
      </c>
      <c r="D423" t="s">
        <v>4975</v>
      </c>
      <c r="E423" s="2047" t="s">
        <v>9250</v>
      </c>
      <c r="F423" s="2047" t="s">
        <v>9250</v>
      </c>
      <c r="G423">
        <v>75</v>
      </c>
      <c r="H423" t="s">
        <v>5030</v>
      </c>
      <c r="J423" t="s">
        <v>5031</v>
      </c>
      <c r="K423" s="2059">
        <v>3.6999999999999998E-2</v>
      </c>
      <c r="L423" t="s">
        <v>4990</v>
      </c>
      <c r="M423">
        <v>0.4</v>
      </c>
      <c r="N423">
        <v>1450</v>
      </c>
      <c r="O423">
        <v>150</v>
      </c>
      <c r="P423">
        <v>150</v>
      </c>
      <c r="U423" t="s">
        <v>1678</v>
      </c>
      <c r="V423">
        <v>43281</v>
      </c>
    </row>
    <row r="424" spans="1:24">
      <c r="A424">
        <v>27</v>
      </c>
      <c r="B424">
        <v>16090041</v>
      </c>
      <c r="C424" t="s">
        <v>4974</v>
      </c>
      <c r="D424" t="s">
        <v>4975</v>
      </c>
      <c r="E424" t="s">
        <v>5035</v>
      </c>
      <c r="F424" t="s">
        <v>5035</v>
      </c>
      <c r="G424">
        <v>16</v>
      </c>
      <c r="H424" t="s">
        <v>5036</v>
      </c>
      <c r="J424" t="s">
        <v>5037</v>
      </c>
      <c r="K424" s="2059">
        <v>2.7E-2</v>
      </c>
      <c r="L424" t="s">
        <v>5038</v>
      </c>
      <c r="M424">
        <v>0.4</v>
      </c>
      <c r="N424">
        <v>1450</v>
      </c>
      <c r="O424">
        <v>150</v>
      </c>
      <c r="P424">
        <v>150</v>
      </c>
      <c r="U424" t="s">
        <v>1678</v>
      </c>
      <c r="V424">
        <v>43465</v>
      </c>
      <c r="W424" t="s">
        <v>5039</v>
      </c>
      <c r="X424" t="s">
        <v>5040</v>
      </c>
    </row>
    <row r="425" spans="1:24">
      <c r="A425">
        <v>27</v>
      </c>
      <c r="B425">
        <v>15060121</v>
      </c>
      <c r="C425" t="s">
        <v>4974</v>
      </c>
      <c r="D425" t="s">
        <v>4975</v>
      </c>
      <c r="E425" s="2047" t="s">
        <v>9251</v>
      </c>
      <c r="F425" s="2047" t="s">
        <v>9251</v>
      </c>
      <c r="G425">
        <v>16</v>
      </c>
      <c r="H425" t="s">
        <v>5036</v>
      </c>
      <c r="J425" t="s">
        <v>5025</v>
      </c>
      <c r="K425" s="2059">
        <v>3.4000000000000002E-2</v>
      </c>
      <c r="L425" t="s">
        <v>5041</v>
      </c>
      <c r="M425">
        <v>0.4</v>
      </c>
      <c r="N425">
        <v>1450</v>
      </c>
      <c r="O425">
        <v>150</v>
      </c>
      <c r="P425">
        <v>150</v>
      </c>
      <c r="U425" t="s">
        <v>1678</v>
      </c>
      <c r="V425">
        <v>42916</v>
      </c>
      <c r="W425" t="s">
        <v>5039</v>
      </c>
      <c r="X425" t="s">
        <v>5040</v>
      </c>
    </row>
    <row r="426" spans="1:24">
      <c r="A426">
        <v>27</v>
      </c>
      <c r="B426">
        <v>15060122</v>
      </c>
      <c r="C426" t="s">
        <v>4974</v>
      </c>
      <c r="D426" t="s">
        <v>4975</v>
      </c>
      <c r="E426" s="2047" t="s">
        <v>9252</v>
      </c>
      <c r="F426" s="2047" t="s">
        <v>9252</v>
      </c>
      <c r="G426">
        <v>16</v>
      </c>
      <c r="H426" t="s">
        <v>5036</v>
      </c>
      <c r="J426" t="s">
        <v>5025</v>
      </c>
      <c r="K426" s="2059">
        <v>3.5000000000000003E-2</v>
      </c>
      <c r="L426" t="s">
        <v>5042</v>
      </c>
      <c r="M426">
        <v>0.4</v>
      </c>
      <c r="N426">
        <v>1450</v>
      </c>
      <c r="O426">
        <v>150</v>
      </c>
      <c r="P426">
        <v>150</v>
      </c>
      <c r="U426" t="s">
        <v>1678</v>
      </c>
      <c r="V426">
        <v>42916</v>
      </c>
      <c r="W426" t="s">
        <v>5039</v>
      </c>
      <c r="X426" t="s">
        <v>5040</v>
      </c>
    </row>
    <row r="427" spans="1:24">
      <c r="A427">
        <v>27</v>
      </c>
      <c r="B427">
        <v>15060131</v>
      </c>
      <c r="C427" t="s">
        <v>4974</v>
      </c>
      <c r="D427" t="s">
        <v>4975</v>
      </c>
      <c r="E427" s="2047" t="s">
        <v>9253</v>
      </c>
      <c r="F427" s="2047" t="s">
        <v>9253</v>
      </c>
      <c r="G427">
        <v>16</v>
      </c>
      <c r="H427" t="s">
        <v>5036</v>
      </c>
      <c r="J427" t="s">
        <v>5043</v>
      </c>
      <c r="K427" s="2059">
        <v>3.4000000000000002E-2</v>
      </c>
      <c r="L427" t="s">
        <v>4482</v>
      </c>
      <c r="M427">
        <v>0.4</v>
      </c>
      <c r="N427">
        <v>1450</v>
      </c>
      <c r="O427">
        <v>150</v>
      </c>
      <c r="P427">
        <v>150</v>
      </c>
      <c r="U427" t="s">
        <v>1678</v>
      </c>
      <c r="V427">
        <v>42916</v>
      </c>
      <c r="W427" t="s">
        <v>5039</v>
      </c>
      <c r="X427" t="s">
        <v>5040</v>
      </c>
    </row>
    <row r="428" spans="1:24">
      <c r="A428">
        <v>27</v>
      </c>
      <c r="B428">
        <v>15060132</v>
      </c>
      <c r="C428" t="s">
        <v>4974</v>
      </c>
      <c r="D428" t="s">
        <v>4975</v>
      </c>
      <c r="E428" s="2047" t="s">
        <v>9254</v>
      </c>
      <c r="F428" s="2047" t="s">
        <v>9254</v>
      </c>
      <c r="G428">
        <v>16</v>
      </c>
      <c r="H428" t="s">
        <v>5036</v>
      </c>
      <c r="J428" t="s">
        <v>5043</v>
      </c>
      <c r="K428" s="2059">
        <v>3.5000000000000003E-2</v>
      </c>
      <c r="L428" t="s">
        <v>5044</v>
      </c>
      <c r="M428">
        <v>0.4</v>
      </c>
      <c r="N428">
        <v>1450</v>
      </c>
      <c r="O428">
        <v>150</v>
      </c>
      <c r="P428">
        <v>150</v>
      </c>
      <c r="U428" t="s">
        <v>1678</v>
      </c>
      <c r="V428">
        <v>42916</v>
      </c>
      <c r="W428" t="s">
        <v>5039</v>
      </c>
      <c r="X428" t="s">
        <v>5040</v>
      </c>
    </row>
    <row r="429" spans="1:24">
      <c r="A429">
        <v>27</v>
      </c>
      <c r="B429">
        <v>15060133</v>
      </c>
      <c r="C429" t="s">
        <v>4974</v>
      </c>
      <c r="D429" t="s">
        <v>4975</v>
      </c>
      <c r="E429" s="2047" t="s">
        <v>9255</v>
      </c>
      <c r="F429" s="2047" t="s">
        <v>9255</v>
      </c>
      <c r="G429">
        <v>16</v>
      </c>
      <c r="H429" t="s">
        <v>5036</v>
      </c>
      <c r="J429" t="s">
        <v>5043</v>
      </c>
      <c r="K429" s="2059">
        <v>3.6999999999999998E-2</v>
      </c>
      <c r="L429" t="s">
        <v>5045</v>
      </c>
      <c r="M429">
        <v>0.4</v>
      </c>
      <c r="N429">
        <v>1450</v>
      </c>
      <c r="O429">
        <v>150</v>
      </c>
      <c r="P429">
        <v>150</v>
      </c>
      <c r="U429" t="s">
        <v>1678</v>
      </c>
      <c r="V429">
        <v>42916</v>
      </c>
      <c r="W429" t="s">
        <v>5039</v>
      </c>
      <c r="X429" t="s">
        <v>5040</v>
      </c>
    </row>
    <row r="430" spans="1:24">
      <c r="A430">
        <v>27</v>
      </c>
      <c r="B430">
        <v>15060141</v>
      </c>
      <c r="C430" t="s">
        <v>4974</v>
      </c>
      <c r="D430" t="s">
        <v>4975</v>
      </c>
      <c r="E430" s="2047" t="s">
        <v>9256</v>
      </c>
      <c r="F430" s="2047" t="s">
        <v>9256</v>
      </c>
      <c r="G430">
        <v>16</v>
      </c>
      <c r="H430" t="s">
        <v>5036</v>
      </c>
      <c r="J430" t="s">
        <v>5046</v>
      </c>
      <c r="K430" s="2059">
        <v>3.4000000000000002E-2</v>
      </c>
      <c r="L430" t="s">
        <v>4482</v>
      </c>
      <c r="M430">
        <v>0.4</v>
      </c>
      <c r="N430">
        <v>1450</v>
      </c>
      <c r="O430">
        <v>150</v>
      </c>
      <c r="P430">
        <v>150</v>
      </c>
      <c r="U430" t="s">
        <v>1678</v>
      </c>
      <c r="V430">
        <v>42916</v>
      </c>
      <c r="W430" t="s">
        <v>5039</v>
      </c>
      <c r="X430" t="s">
        <v>5040</v>
      </c>
    </row>
    <row r="431" spans="1:24">
      <c r="A431">
        <v>27</v>
      </c>
      <c r="B431">
        <v>15060142</v>
      </c>
      <c r="C431" t="s">
        <v>4974</v>
      </c>
      <c r="D431" t="s">
        <v>4975</v>
      </c>
      <c r="E431" s="2047" t="s">
        <v>9257</v>
      </c>
      <c r="F431" s="2047" t="s">
        <v>9257</v>
      </c>
      <c r="G431">
        <v>16</v>
      </c>
      <c r="H431" t="s">
        <v>5036</v>
      </c>
      <c r="J431" t="s">
        <v>5046</v>
      </c>
      <c r="K431" s="2059">
        <v>3.5000000000000003E-2</v>
      </c>
      <c r="L431" t="s">
        <v>5044</v>
      </c>
      <c r="M431">
        <v>0.4</v>
      </c>
      <c r="N431">
        <v>1450</v>
      </c>
      <c r="O431">
        <v>150</v>
      </c>
      <c r="P431">
        <v>150</v>
      </c>
      <c r="U431" t="s">
        <v>1678</v>
      </c>
      <c r="V431">
        <v>42916</v>
      </c>
      <c r="W431" t="s">
        <v>5039</v>
      </c>
      <c r="X431" t="s">
        <v>5040</v>
      </c>
    </row>
    <row r="432" spans="1:24">
      <c r="A432">
        <v>27</v>
      </c>
      <c r="B432">
        <v>15060143</v>
      </c>
      <c r="C432" t="s">
        <v>4974</v>
      </c>
      <c r="D432" t="s">
        <v>4975</v>
      </c>
      <c r="E432" s="2047" t="s">
        <v>9258</v>
      </c>
      <c r="F432" s="2047" t="s">
        <v>9258</v>
      </c>
      <c r="G432">
        <v>16</v>
      </c>
      <c r="H432" t="s">
        <v>5036</v>
      </c>
      <c r="J432" t="s">
        <v>5046</v>
      </c>
      <c r="K432" s="2059">
        <v>3.6999999999999998E-2</v>
      </c>
      <c r="L432" t="s">
        <v>5045</v>
      </c>
      <c r="M432">
        <v>0.4</v>
      </c>
      <c r="N432">
        <v>1450</v>
      </c>
      <c r="O432">
        <v>150</v>
      </c>
      <c r="P432">
        <v>150</v>
      </c>
      <c r="U432" t="s">
        <v>1678</v>
      </c>
      <c r="V432">
        <v>42916</v>
      </c>
      <c r="W432" t="s">
        <v>5039</v>
      </c>
      <c r="X432" t="s">
        <v>5040</v>
      </c>
    </row>
    <row r="433" spans="1:24">
      <c r="A433">
        <v>27</v>
      </c>
      <c r="B433">
        <v>15090071</v>
      </c>
      <c r="C433" t="s">
        <v>4974</v>
      </c>
      <c r="D433" t="s">
        <v>4975</v>
      </c>
      <c r="E433" s="2047" t="s">
        <v>9259</v>
      </c>
      <c r="F433" s="2047" t="s">
        <v>9259</v>
      </c>
      <c r="G433">
        <v>16</v>
      </c>
      <c r="H433" t="s">
        <v>5036</v>
      </c>
      <c r="J433" t="s">
        <v>5047</v>
      </c>
      <c r="K433" s="2059">
        <v>3.4000000000000002E-2</v>
      </c>
      <c r="L433" t="s">
        <v>5041</v>
      </c>
      <c r="M433">
        <v>0.4</v>
      </c>
      <c r="N433">
        <v>1450</v>
      </c>
      <c r="O433">
        <v>150</v>
      </c>
      <c r="P433">
        <v>150</v>
      </c>
      <c r="U433" t="s">
        <v>1678</v>
      </c>
      <c r="V433">
        <v>43100</v>
      </c>
      <c r="W433" t="s">
        <v>5039</v>
      </c>
      <c r="X433" t="s">
        <v>5040</v>
      </c>
    </row>
    <row r="434" spans="1:24">
      <c r="A434">
        <v>27</v>
      </c>
      <c r="B434">
        <v>15090072</v>
      </c>
      <c r="C434" t="s">
        <v>4974</v>
      </c>
      <c r="D434" t="s">
        <v>4975</v>
      </c>
      <c r="E434" s="2047" t="s">
        <v>9260</v>
      </c>
      <c r="F434" s="2047" t="s">
        <v>9260</v>
      </c>
      <c r="G434">
        <v>16</v>
      </c>
      <c r="H434" t="s">
        <v>5036</v>
      </c>
      <c r="J434" t="s">
        <v>5047</v>
      </c>
      <c r="K434" s="2059">
        <v>3.5999999999999997E-2</v>
      </c>
      <c r="L434">
        <v>80</v>
      </c>
      <c r="M434">
        <v>0.4</v>
      </c>
      <c r="N434">
        <v>1450</v>
      </c>
      <c r="O434">
        <v>150</v>
      </c>
      <c r="P434">
        <v>150</v>
      </c>
      <c r="U434" t="s">
        <v>1678</v>
      </c>
      <c r="V434">
        <v>43100</v>
      </c>
      <c r="W434" t="s">
        <v>5039</v>
      </c>
      <c r="X434" t="s">
        <v>5040</v>
      </c>
    </row>
    <row r="435" spans="1:24">
      <c r="A435">
        <v>27</v>
      </c>
      <c r="B435">
        <v>15090081</v>
      </c>
      <c r="C435" t="s">
        <v>4974</v>
      </c>
      <c r="D435" t="s">
        <v>4975</v>
      </c>
      <c r="E435" s="2047" t="s">
        <v>9261</v>
      </c>
      <c r="F435" s="2047" t="s">
        <v>9261</v>
      </c>
      <c r="G435">
        <v>16</v>
      </c>
      <c r="H435" t="s">
        <v>5036</v>
      </c>
      <c r="J435" t="s">
        <v>5025</v>
      </c>
      <c r="K435" s="2059">
        <v>3.4000000000000002E-2</v>
      </c>
      <c r="L435" t="s">
        <v>5041</v>
      </c>
      <c r="M435">
        <v>0.4</v>
      </c>
      <c r="N435">
        <v>1450</v>
      </c>
      <c r="O435">
        <v>150</v>
      </c>
      <c r="P435">
        <v>150</v>
      </c>
      <c r="U435" t="s">
        <v>1678</v>
      </c>
      <c r="V435">
        <v>43100</v>
      </c>
      <c r="W435" t="s">
        <v>5039</v>
      </c>
      <c r="X435" t="s">
        <v>5040</v>
      </c>
    </row>
    <row r="436" spans="1:24">
      <c r="A436">
        <v>27</v>
      </c>
      <c r="B436">
        <v>15090082</v>
      </c>
      <c r="C436" t="s">
        <v>4974</v>
      </c>
      <c r="D436" t="s">
        <v>4975</v>
      </c>
      <c r="E436" s="2047" t="s">
        <v>9262</v>
      </c>
      <c r="F436" s="2047" t="s">
        <v>9262</v>
      </c>
      <c r="G436">
        <v>16</v>
      </c>
      <c r="H436" t="s">
        <v>5036</v>
      </c>
      <c r="J436" t="s">
        <v>5025</v>
      </c>
      <c r="K436" s="2059">
        <v>3.5000000000000003E-2</v>
      </c>
      <c r="L436" t="s">
        <v>5048</v>
      </c>
      <c r="M436">
        <v>0.4</v>
      </c>
      <c r="N436">
        <v>1450</v>
      </c>
      <c r="O436">
        <v>150</v>
      </c>
      <c r="P436">
        <v>150</v>
      </c>
      <c r="U436" t="s">
        <v>1678</v>
      </c>
      <c r="V436">
        <v>43100</v>
      </c>
      <c r="W436" t="s">
        <v>5039</v>
      </c>
      <c r="X436" t="s">
        <v>5040</v>
      </c>
    </row>
    <row r="437" spans="1:24">
      <c r="A437">
        <v>27</v>
      </c>
      <c r="B437">
        <v>15090083</v>
      </c>
      <c r="C437" t="s">
        <v>4974</v>
      </c>
      <c r="D437" t="s">
        <v>4975</v>
      </c>
      <c r="E437" s="2047" t="s">
        <v>9263</v>
      </c>
      <c r="F437" s="2047" t="s">
        <v>9263</v>
      </c>
      <c r="G437">
        <v>16</v>
      </c>
      <c r="H437" t="s">
        <v>5036</v>
      </c>
      <c r="J437" t="s">
        <v>5025</v>
      </c>
      <c r="K437" s="2059">
        <v>3.5999999999999997E-2</v>
      </c>
      <c r="L437" t="s">
        <v>5049</v>
      </c>
      <c r="M437">
        <v>0.4</v>
      </c>
      <c r="N437">
        <v>1450</v>
      </c>
      <c r="O437">
        <v>150</v>
      </c>
      <c r="P437">
        <v>150</v>
      </c>
      <c r="U437" t="s">
        <v>1678</v>
      </c>
      <c r="V437">
        <v>43100</v>
      </c>
      <c r="W437" t="s">
        <v>5039</v>
      </c>
      <c r="X437" t="s">
        <v>5040</v>
      </c>
    </row>
    <row r="438" spans="1:24">
      <c r="A438">
        <v>27</v>
      </c>
      <c r="B438">
        <v>15090084</v>
      </c>
      <c r="C438" t="s">
        <v>4974</v>
      </c>
      <c r="D438" t="s">
        <v>4975</v>
      </c>
      <c r="E438" s="2047" t="s">
        <v>9264</v>
      </c>
      <c r="F438" s="2047" t="s">
        <v>9264</v>
      </c>
      <c r="G438">
        <v>16</v>
      </c>
      <c r="H438" t="s">
        <v>5036</v>
      </c>
      <c r="J438" t="s">
        <v>5025</v>
      </c>
      <c r="K438" s="2059">
        <v>3.6999999999999998E-2</v>
      </c>
      <c r="L438" t="s">
        <v>5050</v>
      </c>
      <c r="M438">
        <v>0.4</v>
      </c>
      <c r="N438">
        <v>1450</v>
      </c>
      <c r="O438">
        <v>150</v>
      </c>
      <c r="P438">
        <v>150</v>
      </c>
      <c r="U438" t="s">
        <v>1678</v>
      </c>
      <c r="V438">
        <v>43100</v>
      </c>
      <c r="W438" t="s">
        <v>5039</v>
      </c>
      <c r="X438" t="s">
        <v>5040</v>
      </c>
    </row>
    <row r="439" spans="1:24">
      <c r="A439">
        <v>27</v>
      </c>
      <c r="B439">
        <v>15090091</v>
      </c>
      <c r="C439" t="s">
        <v>4974</v>
      </c>
      <c r="D439" t="s">
        <v>4975</v>
      </c>
      <c r="E439" s="2047" t="s">
        <v>9265</v>
      </c>
      <c r="F439" s="2047" t="s">
        <v>9265</v>
      </c>
      <c r="G439">
        <v>16</v>
      </c>
      <c r="H439" t="s">
        <v>5036</v>
      </c>
      <c r="J439" t="s">
        <v>5025</v>
      </c>
      <c r="K439" s="2059">
        <v>3.4000000000000002E-2</v>
      </c>
      <c r="L439" t="s">
        <v>5041</v>
      </c>
      <c r="M439">
        <v>0.4</v>
      </c>
      <c r="N439">
        <v>1450</v>
      </c>
      <c r="O439">
        <v>150</v>
      </c>
      <c r="P439">
        <v>150</v>
      </c>
      <c r="U439" t="s">
        <v>1678</v>
      </c>
      <c r="V439">
        <v>43100</v>
      </c>
      <c r="W439" t="s">
        <v>5039</v>
      </c>
      <c r="X439" t="s">
        <v>5040</v>
      </c>
    </row>
    <row r="440" spans="1:24">
      <c r="A440">
        <v>27</v>
      </c>
      <c r="B440">
        <v>15090092</v>
      </c>
      <c r="C440" t="s">
        <v>4974</v>
      </c>
      <c r="D440" t="s">
        <v>4975</v>
      </c>
      <c r="E440" s="2047" t="s">
        <v>9266</v>
      </c>
      <c r="F440" s="2047" t="s">
        <v>9266</v>
      </c>
      <c r="G440">
        <v>16</v>
      </c>
      <c r="H440" t="s">
        <v>5036</v>
      </c>
      <c r="J440" t="s">
        <v>5025</v>
      </c>
      <c r="K440" s="2059">
        <v>3.5000000000000003E-2</v>
      </c>
      <c r="L440" t="s">
        <v>5051</v>
      </c>
      <c r="M440">
        <v>0.4</v>
      </c>
      <c r="N440">
        <v>1450</v>
      </c>
      <c r="O440">
        <v>150</v>
      </c>
      <c r="P440">
        <v>150</v>
      </c>
      <c r="U440" t="s">
        <v>1678</v>
      </c>
      <c r="V440">
        <v>43100</v>
      </c>
      <c r="W440" t="s">
        <v>5039</v>
      </c>
      <c r="X440" t="s">
        <v>5040</v>
      </c>
    </row>
    <row r="441" spans="1:24">
      <c r="A441">
        <v>27</v>
      </c>
      <c r="B441">
        <v>16060021</v>
      </c>
      <c r="C441" t="s">
        <v>4974</v>
      </c>
      <c r="D441" t="s">
        <v>4975</v>
      </c>
      <c r="E441" s="2047" t="s">
        <v>9267</v>
      </c>
      <c r="F441" s="2047" t="s">
        <v>9267</v>
      </c>
      <c r="G441">
        <v>66</v>
      </c>
      <c r="H441" t="s">
        <v>4881</v>
      </c>
      <c r="J441" t="s">
        <v>5052</v>
      </c>
      <c r="K441" s="2059">
        <v>3.4000000000000002E-2</v>
      </c>
      <c r="L441" t="s">
        <v>4991</v>
      </c>
      <c r="M441">
        <v>0.4</v>
      </c>
      <c r="N441">
        <v>1450</v>
      </c>
      <c r="O441">
        <v>150</v>
      </c>
      <c r="P441">
        <v>150</v>
      </c>
      <c r="U441" t="s">
        <v>1678</v>
      </c>
      <c r="V441">
        <v>43465</v>
      </c>
    </row>
    <row r="442" spans="1:24">
      <c r="A442">
        <v>27</v>
      </c>
      <c r="B442">
        <v>16060022</v>
      </c>
      <c r="C442" t="s">
        <v>4974</v>
      </c>
      <c r="D442" t="s">
        <v>4975</v>
      </c>
      <c r="E442" s="2047" t="s">
        <v>9268</v>
      </c>
      <c r="F442" s="2047" t="s">
        <v>9268</v>
      </c>
      <c r="G442">
        <v>66</v>
      </c>
      <c r="H442" t="s">
        <v>4881</v>
      </c>
      <c r="J442" t="s">
        <v>5052</v>
      </c>
      <c r="K442" s="2059">
        <v>3.5999999999999997E-2</v>
      </c>
      <c r="L442" t="s">
        <v>4300</v>
      </c>
      <c r="M442">
        <v>0.4</v>
      </c>
      <c r="N442">
        <v>1450</v>
      </c>
      <c r="O442">
        <v>150</v>
      </c>
      <c r="P442">
        <v>150</v>
      </c>
      <c r="U442" t="s">
        <v>1678</v>
      </c>
      <c r="V442">
        <v>43465</v>
      </c>
    </row>
    <row r="443" spans="1:24">
      <c r="A443">
        <v>27</v>
      </c>
      <c r="B443">
        <v>16090011</v>
      </c>
      <c r="C443" t="s">
        <v>4974</v>
      </c>
      <c r="D443" t="s">
        <v>4975</v>
      </c>
      <c r="E443" s="2047" t="s">
        <v>9269</v>
      </c>
      <c r="F443" s="2047" t="s">
        <v>9269</v>
      </c>
      <c r="G443">
        <v>66</v>
      </c>
      <c r="H443" t="s">
        <v>4881</v>
      </c>
      <c r="J443" t="s">
        <v>5022</v>
      </c>
      <c r="K443" s="2059">
        <v>3.3000000000000002E-2</v>
      </c>
      <c r="L443" t="s">
        <v>4159</v>
      </c>
      <c r="M443">
        <v>0.4</v>
      </c>
      <c r="N443">
        <v>1450</v>
      </c>
      <c r="O443">
        <v>150</v>
      </c>
      <c r="P443">
        <v>150</v>
      </c>
      <c r="U443" t="s">
        <v>1678</v>
      </c>
      <c r="V443">
        <v>43465</v>
      </c>
    </row>
    <row r="444" spans="1:24">
      <c r="A444">
        <v>27</v>
      </c>
      <c r="B444">
        <v>16090012</v>
      </c>
      <c r="C444" t="s">
        <v>4974</v>
      </c>
      <c r="D444" t="s">
        <v>4975</v>
      </c>
      <c r="E444" s="2047" t="s">
        <v>9270</v>
      </c>
      <c r="F444" s="2047" t="s">
        <v>9270</v>
      </c>
      <c r="G444">
        <v>66</v>
      </c>
      <c r="H444" t="s">
        <v>4881</v>
      </c>
      <c r="J444" t="s">
        <v>5022</v>
      </c>
      <c r="K444" s="2059">
        <v>3.4000000000000002E-2</v>
      </c>
      <c r="L444" t="s">
        <v>4991</v>
      </c>
      <c r="M444">
        <v>0.4</v>
      </c>
      <c r="N444">
        <v>1450</v>
      </c>
      <c r="O444">
        <v>150</v>
      </c>
      <c r="P444">
        <v>150</v>
      </c>
      <c r="U444" t="s">
        <v>1678</v>
      </c>
      <c r="V444">
        <v>43465</v>
      </c>
    </row>
    <row r="445" spans="1:24">
      <c r="A445">
        <v>27</v>
      </c>
      <c r="B445">
        <v>16090013</v>
      </c>
      <c r="C445" t="s">
        <v>4974</v>
      </c>
      <c r="D445" t="s">
        <v>4975</v>
      </c>
      <c r="E445" s="2047" t="s">
        <v>9271</v>
      </c>
      <c r="F445" s="2047" t="s">
        <v>9271</v>
      </c>
      <c r="G445">
        <v>66</v>
      </c>
      <c r="H445" t="s">
        <v>4881</v>
      </c>
      <c r="J445" t="s">
        <v>5022</v>
      </c>
      <c r="K445" s="2059">
        <v>3.5999999999999997E-2</v>
      </c>
      <c r="L445" t="s">
        <v>4625</v>
      </c>
      <c r="M445">
        <v>0.4</v>
      </c>
      <c r="N445">
        <v>1450</v>
      </c>
      <c r="O445">
        <v>150</v>
      </c>
      <c r="P445">
        <v>150</v>
      </c>
      <c r="U445" t="s">
        <v>1678</v>
      </c>
      <c r="V445">
        <v>43465</v>
      </c>
    </row>
    <row r="446" spans="1:24">
      <c r="A446">
        <v>27</v>
      </c>
      <c r="B446">
        <v>16090021</v>
      </c>
      <c r="C446" t="s">
        <v>4974</v>
      </c>
      <c r="D446" t="s">
        <v>4975</v>
      </c>
      <c r="E446" s="2047" t="s">
        <v>9272</v>
      </c>
      <c r="F446" s="2047" t="s">
        <v>9272</v>
      </c>
      <c r="G446">
        <v>66</v>
      </c>
      <c r="H446" t="s">
        <v>4881</v>
      </c>
      <c r="J446" t="s">
        <v>5053</v>
      </c>
      <c r="K446" s="2059">
        <v>3.4000000000000002E-2</v>
      </c>
      <c r="L446" t="s">
        <v>4991</v>
      </c>
      <c r="M446">
        <v>0.4</v>
      </c>
      <c r="N446">
        <v>1450</v>
      </c>
      <c r="O446">
        <v>150</v>
      </c>
      <c r="P446">
        <v>150</v>
      </c>
      <c r="U446" t="s">
        <v>1678</v>
      </c>
      <c r="V446">
        <v>43465</v>
      </c>
    </row>
    <row r="447" spans="1:24">
      <c r="A447">
        <v>27</v>
      </c>
      <c r="B447">
        <v>16090022</v>
      </c>
      <c r="C447" t="s">
        <v>4974</v>
      </c>
      <c r="D447" t="s">
        <v>4975</v>
      </c>
      <c r="E447" s="2047" t="s">
        <v>9273</v>
      </c>
      <c r="F447" s="2047" t="s">
        <v>9273</v>
      </c>
      <c r="G447">
        <v>66</v>
      </c>
      <c r="H447" t="s">
        <v>4881</v>
      </c>
      <c r="J447" t="s">
        <v>5053</v>
      </c>
      <c r="K447" s="2059">
        <v>3.5999999999999997E-2</v>
      </c>
      <c r="L447" t="s">
        <v>4625</v>
      </c>
      <c r="M447">
        <v>0.4</v>
      </c>
      <c r="N447">
        <v>1450</v>
      </c>
      <c r="O447">
        <v>150</v>
      </c>
      <c r="P447">
        <v>150</v>
      </c>
      <c r="U447" t="s">
        <v>1678</v>
      </c>
      <c r="V447">
        <v>43465</v>
      </c>
    </row>
    <row r="448" spans="1:24">
      <c r="A448">
        <v>27</v>
      </c>
      <c r="B448">
        <v>15090031</v>
      </c>
      <c r="C448" t="s">
        <v>4974</v>
      </c>
      <c r="D448" t="s">
        <v>4975</v>
      </c>
      <c r="E448" s="2047" t="s">
        <v>9274</v>
      </c>
      <c r="F448" s="2047" t="s">
        <v>9274</v>
      </c>
      <c r="G448">
        <v>66</v>
      </c>
      <c r="H448" t="s">
        <v>4881</v>
      </c>
      <c r="J448" t="s">
        <v>5054</v>
      </c>
      <c r="K448" s="2059">
        <v>3.4000000000000002E-2</v>
      </c>
      <c r="L448" t="s">
        <v>4991</v>
      </c>
      <c r="M448">
        <v>0.4</v>
      </c>
      <c r="N448">
        <v>1450</v>
      </c>
      <c r="O448">
        <v>150</v>
      </c>
      <c r="P448">
        <v>150</v>
      </c>
      <c r="U448" t="s">
        <v>1678</v>
      </c>
      <c r="V448">
        <v>43100</v>
      </c>
      <c r="W448" t="s">
        <v>5055</v>
      </c>
    </row>
    <row r="449" spans="1:23">
      <c r="A449">
        <v>27</v>
      </c>
      <c r="B449">
        <v>15090032</v>
      </c>
      <c r="C449" t="s">
        <v>4974</v>
      </c>
      <c r="D449" t="s">
        <v>4975</v>
      </c>
      <c r="E449" s="2047" t="s">
        <v>9275</v>
      </c>
      <c r="F449" s="2047" t="s">
        <v>9275</v>
      </c>
      <c r="G449">
        <v>66</v>
      </c>
      <c r="H449" t="s">
        <v>4881</v>
      </c>
      <c r="J449" t="s">
        <v>5054</v>
      </c>
      <c r="K449" s="2059">
        <v>3.5999999999999997E-2</v>
      </c>
      <c r="L449" t="s">
        <v>4625</v>
      </c>
      <c r="M449">
        <v>0.4</v>
      </c>
      <c r="N449">
        <v>1450</v>
      </c>
      <c r="O449">
        <v>150</v>
      </c>
      <c r="P449">
        <v>150</v>
      </c>
      <c r="U449" t="s">
        <v>1678</v>
      </c>
      <c r="V449">
        <v>43100</v>
      </c>
      <c r="W449" t="s">
        <v>5055</v>
      </c>
    </row>
    <row r="450" spans="1:23">
      <c r="A450">
        <v>27</v>
      </c>
      <c r="B450">
        <v>16030071</v>
      </c>
      <c r="C450" t="s">
        <v>4974</v>
      </c>
      <c r="D450" t="s">
        <v>4975</v>
      </c>
      <c r="E450" t="s">
        <v>5056</v>
      </c>
      <c r="F450" t="s">
        <v>5056</v>
      </c>
      <c r="G450">
        <v>133</v>
      </c>
      <c r="H450" t="s">
        <v>5057</v>
      </c>
      <c r="J450">
        <v>33</v>
      </c>
      <c r="K450" s="2059">
        <v>3.5999999999999997E-2</v>
      </c>
      <c r="L450" t="s">
        <v>4148</v>
      </c>
      <c r="M450">
        <v>0.4</v>
      </c>
      <c r="N450">
        <v>1450</v>
      </c>
      <c r="O450">
        <v>150</v>
      </c>
      <c r="P450">
        <v>150</v>
      </c>
      <c r="U450" t="s">
        <v>1678</v>
      </c>
      <c r="V450">
        <v>43281</v>
      </c>
      <c r="W450" t="s">
        <v>5058</v>
      </c>
    </row>
    <row r="451" spans="1:23">
      <c r="A451">
        <v>27</v>
      </c>
      <c r="B451">
        <v>16100071</v>
      </c>
      <c r="C451" t="s">
        <v>4974</v>
      </c>
      <c r="D451" t="s">
        <v>4975</v>
      </c>
      <c r="E451" t="s">
        <v>5059</v>
      </c>
      <c r="F451" t="s">
        <v>5059</v>
      </c>
      <c r="G451">
        <v>17</v>
      </c>
      <c r="H451" t="s">
        <v>4275</v>
      </c>
      <c r="J451" t="s">
        <v>4993</v>
      </c>
      <c r="K451" s="2059">
        <v>2.7E-2</v>
      </c>
      <c r="L451" t="s">
        <v>4178</v>
      </c>
      <c r="M451">
        <v>0.4</v>
      </c>
      <c r="N451">
        <v>1450</v>
      </c>
      <c r="O451">
        <v>150</v>
      </c>
      <c r="P451">
        <v>150</v>
      </c>
      <c r="V451">
        <v>43465</v>
      </c>
    </row>
    <row r="452" spans="1:23">
      <c r="A452">
        <v>27</v>
      </c>
      <c r="B452">
        <v>15100161</v>
      </c>
      <c r="C452" t="s">
        <v>4974</v>
      </c>
      <c r="D452" t="s">
        <v>4975</v>
      </c>
      <c r="E452" s="2047" t="s">
        <v>9276</v>
      </c>
      <c r="F452" s="2047" t="s">
        <v>9276</v>
      </c>
      <c r="G452">
        <v>17</v>
      </c>
      <c r="H452" t="s">
        <v>4275</v>
      </c>
      <c r="J452" t="s">
        <v>4993</v>
      </c>
      <c r="K452" s="2059">
        <v>3.3000000000000002E-2</v>
      </c>
      <c r="L452" t="s">
        <v>4356</v>
      </c>
      <c r="M452">
        <v>0.4</v>
      </c>
      <c r="N452">
        <v>1450</v>
      </c>
      <c r="O452">
        <v>150</v>
      </c>
      <c r="P452">
        <v>150</v>
      </c>
      <c r="U452" t="s">
        <v>1678</v>
      </c>
      <c r="V452">
        <v>43100</v>
      </c>
    </row>
    <row r="453" spans="1:23">
      <c r="A453">
        <v>27</v>
      </c>
      <c r="B453">
        <v>15100162</v>
      </c>
      <c r="C453" t="s">
        <v>4974</v>
      </c>
      <c r="D453" t="s">
        <v>4975</v>
      </c>
      <c r="E453" s="2047" t="s">
        <v>9277</v>
      </c>
      <c r="F453" s="2047" t="s">
        <v>9277</v>
      </c>
      <c r="G453">
        <v>17</v>
      </c>
      <c r="H453" t="s">
        <v>4275</v>
      </c>
      <c r="J453" t="s">
        <v>4993</v>
      </c>
      <c r="K453" s="2059">
        <v>3.5000000000000003E-2</v>
      </c>
      <c r="L453" t="s">
        <v>5060</v>
      </c>
      <c r="M453">
        <v>0.4</v>
      </c>
      <c r="N453">
        <v>1450</v>
      </c>
      <c r="O453">
        <v>150</v>
      </c>
      <c r="P453">
        <v>150</v>
      </c>
      <c r="U453" t="s">
        <v>1678</v>
      </c>
      <c r="V453">
        <v>43100</v>
      </c>
    </row>
    <row r="454" spans="1:23">
      <c r="A454">
        <v>27</v>
      </c>
      <c r="B454">
        <v>15100164</v>
      </c>
      <c r="C454" t="s">
        <v>4974</v>
      </c>
      <c r="D454" t="s">
        <v>4975</v>
      </c>
      <c r="E454" t="s">
        <v>5061</v>
      </c>
      <c r="F454" t="s">
        <v>5061</v>
      </c>
      <c r="G454">
        <v>17</v>
      </c>
      <c r="H454" t="s">
        <v>4275</v>
      </c>
      <c r="J454" t="s">
        <v>4993</v>
      </c>
      <c r="K454" s="2059">
        <v>3.2000000000000001E-2</v>
      </c>
      <c r="L454" t="s">
        <v>4178</v>
      </c>
      <c r="M454">
        <v>0.4</v>
      </c>
      <c r="N454">
        <v>1450</v>
      </c>
      <c r="O454">
        <v>150</v>
      </c>
      <c r="P454">
        <v>150</v>
      </c>
      <c r="U454" t="s">
        <v>1678</v>
      </c>
      <c r="V454">
        <v>43100</v>
      </c>
      <c r="W454" t="s">
        <v>5062</v>
      </c>
    </row>
    <row r="455" spans="1:23">
      <c r="A455">
        <v>27</v>
      </c>
      <c r="B455">
        <v>15060151</v>
      </c>
      <c r="C455" t="s">
        <v>4974</v>
      </c>
      <c r="D455" t="s">
        <v>4975</v>
      </c>
      <c r="E455" s="2047" t="s">
        <v>9278</v>
      </c>
      <c r="F455" s="2047" t="s">
        <v>9278</v>
      </c>
      <c r="G455">
        <v>52</v>
      </c>
      <c r="H455" t="s">
        <v>4506</v>
      </c>
      <c r="J455" t="s">
        <v>5063</v>
      </c>
      <c r="K455" s="2059">
        <v>3.4000000000000002E-2</v>
      </c>
      <c r="L455" t="s">
        <v>5041</v>
      </c>
      <c r="M455">
        <v>0.4</v>
      </c>
      <c r="N455">
        <v>1450</v>
      </c>
      <c r="O455">
        <v>150</v>
      </c>
      <c r="P455">
        <v>150</v>
      </c>
      <c r="U455" t="s">
        <v>1678</v>
      </c>
      <c r="V455">
        <v>43100</v>
      </c>
    </row>
    <row r="456" spans="1:23">
      <c r="A456">
        <v>27</v>
      </c>
      <c r="B456">
        <v>15060152</v>
      </c>
      <c r="C456" t="s">
        <v>4974</v>
      </c>
      <c r="D456" t="s">
        <v>4975</v>
      </c>
      <c r="E456" s="2047" t="s">
        <v>9279</v>
      </c>
      <c r="F456" s="2047" t="s">
        <v>9279</v>
      </c>
      <c r="G456">
        <v>52</v>
      </c>
      <c r="H456" t="s">
        <v>4506</v>
      </c>
      <c r="J456" t="s">
        <v>5063</v>
      </c>
      <c r="K456" s="2059">
        <v>3.5999999999999997E-2</v>
      </c>
      <c r="L456" t="s">
        <v>5064</v>
      </c>
      <c r="M456">
        <v>0.4</v>
      </c>
      <c r="N456">
        <v>1450</v>
      </c>
      <c r="O456">
        <v>150</v>
      </c>
      <c r="P456">
        <v>150</v>
      </c>
      <c r="U456" t="s">
        <v>1678</v>
      </c>
      <c r="V456">
        <v>43100</v>
      </c>
    </row>
    <row r="457" spans="1:23">
      <c r="A457">
        <v>27</v>
      </c>
      <c r="B457">
        <v>15060153</v>
      </c>
      <c r="C457" t="s">
        <v>4974</v>
      </c>
      <c r="D457" t="s">
        <v>4975</v>
      </c>
      <c r="E457" s="2047" t="s">
        <v>9280</v>
      </c>
      <c r="F457" s="2047" t="s">
        <v>9280</v>
      </c>
      <c r="G457">
        <v>52</v>
      </c>
      <c r="H457" t="s">
        <v>4506</v>
      </c>
      <c r="J457" t="s">
        <v>5063</v>
      </c>
      <c r="K457" s="2059">
        <v>3.6999999999999998E-2</v>
      </c>
      <c r="L457" t="s">
        <v>5065</v>
      </c>
      <c r="M457">
        <v>0.4</v>
      </c>
      <c r="N457">
        <v>1450</v>
      </c>
      <c r="O457">
        <v>150</v>
      </c>
      <c r="P457">
        <v>150</v>
      </c>
      <c r="U457" t="s">
        <v>1678</v>
      </c>
      <c r="V457">
        <v>43100</v>
      </c>
    </row>
    <row r="458" spans="1:23">
      <c r="A458">
        <v>27</v>
      </c>
      <c r="B458">
        <v>15060161</v>
      </c>
      <c r="C458" t="s">
        <v>4974</v>
      </c>
      <c r="D458" t="s">
        <v>4975</v>
      </c>
      <c r="E458" s="2047" t="s">
        <v>9281</v>
      </c>
      <c r="F458" s="2047" t="s">
        <v>9281</v>
      </c>
      <c r="G458">
        <v>52</v>
      </c>
      <c r="H458" t="s">
        <v>4506</v>
      </c>
      <c r="J458" t="s">
        <v>5063</v>
      </c>
      <c r="K458" s="2059">
        <v>3.4000000000000002E-2</v>
      </c>
      <c r="L458" t="s">
        <v>5041</v>
      </c>
      <c r="M458">
        <v>0.4</v>
      </c>
      <c r="N458">
        <v>1450</v>
      </c>
      <c r="O458">
        <v>150</v>
      </c>
      <c r="P458">
        <v>150</v>
      </c>
      <c r="U458" t="s">
        <v>1678</v>
      </c>
      <c r="V458">
        <v>43100</v>
      </c>
    </row>
    <row r="459" spans="1:23">
      <c r="A459">
        <v>27</v>
      </c>
      <c r="B459">
        <v>15060162</v>
      </c>
      <c r="C459" t="s">
        <v>4974</v>
      </c>
      <c r="D459" t="s">
        <v>4975</v>
      </c>
      <c r="E459" s="2047" t="s">
        <v>9282</v>
      </c>
      <c r="F459" s="2047" t="s">
        <v>9282</v>
      </c>
      <c r="G459">
        <v>52</v>
      </c>
      <c r="H459" t="s">
        <v>4506</v>
      </c>
      <c r="J459" t="s">
        <v>5063</v>
      </c>
      <c r="K459" s="2059">
        <v>3.5999999999999997E-2</v>
      </c>
      <c r="L459" t="s">
        <v>5064</v>
      </c>
      <c r="M459">
        <v>0.4</v>
      </c>
      <c r="N459">
        <v>1450</v>
      </c>
      <c r="O459">
        <v>150</v>
      </c>
      <c r="P459">
        <v>150</v>
      </c>
      <c r="U459" t="s">
        <v>1678</v>
      </c>
      <c r="V459">
        <v>43100</v>
      </c>
    </row>
    <row r="460" spans="1:23">
      <c r="A460">
        <v>27</v>
      </c>
      <c r="B460">
        <v>15060171</v>
      </c>
      <c r="C460" t="s">
        <v>4974</v>
      </c>
      <c r="D460" t="s">
        <v>4975</v>
      </c>
      <c r="E460" s="2047" t="s">
        <v>9283</v>
      </c>
      <c r="F460" s="2047" t="s">
        <v>9283</v>
      </c>
      <c r="G460">
        <v>52</v>
      </c>
      <c r="H460" t="s">
        <v>4506</v>
      </c>
      <c r="J460" t="s">
        <v>5063</v>
      </c>
      <c r="K460" s="2059">
        <v>3.5999999999999997E-2</v>
      </c>
      <c r="L460">
        <v>60</v>
      </c>
      <c r="M460">
        <v>0.4</v>
      </c>
      <c r="N460">
        <v>1450</v>
      </c>
      <c r="O460">
        <v>150</v>
      </c>
      <c r="P460">
        <v>150</v>
      </c>
      <c r="U460" t="s">
        <v>1678</v>
      </c>
      <c r="V460">
        <v>43100</v>
      </c>
    </row>
    <row r="461" spans="1:23">
      <c r="A461">
        <v>27</v>
      </c>
      <c r="B461">
        <v>15060172</v>
      </c>
      <c r="C461" t="s">
        <v>4974</v>
      </c>
      <c r="D461" t="s">
        <v>4975</v>
      </c>
      <c r="E461" s="2047" t="s">
        <v>9284</v>
      </c>
      <c r="F461" s="2047" t="s">
        <v>9284</v>
      </c>
      <c r="G461">
        <v>52</v>
      </c>
      <c r="H461" t="s">
        <v>4506</v>
      </c>
      <c r="J461" t="s">
        <v>5063</v>
      </c>
      <c r="K461" s="2059">
        <v>3.6999999999999998E-2</v>
      </c>
      <c r="L461" t="s">
        <v>5064</v>
      </c>
      <c r="M461">
        <v>0.4</v>
      </c>
      <c r="N461">
        <v>1450</v>
      </c>
      <c r="O461">
        <v>150</v>
      </c>
      <c r="P461">
        <v>150</v>
      </c>
      <c r="U461" t="s">
        <v>1678</v>
      </c>
      <c r="V461">
        <v>43100</v>
      </c>
    </row>
    <row r="462" spans="1:23">
      <c r="A462">
        <v>27</v>
      </c>
      <c r="B462">
        <v>15060181</v>
      </c>
      <c r="C462" t="s">
        <v>4974</v>
      </c>
      <c r="D462" t="s">
        <v>4975</v>
      </c>
      <c r="E462" t="s">
        <v>5066</v>
      </c>
      <c r="F462" t="s">
        <v>5066</v>
      </c>
      <c r="G462">
        <v>52</v>
      </c>
      <c r="H462" t="s">
        <v>4506</v>
      </c>
      <c r="J462" t="s">
        <v>5063</v>
      </c>
      <c r="K462" s="2059">
        <v>3.2000000000000001E-2</v>
      </c>
      <c r="L462">
        <v>20</v>
      </c>
      <c r="M462">
        <v>0.4</v>
      </c>
      <c r="N462">
        <v>1450</v>
      </c>
      <c r="O462">
        <v>150</v>
      </c>
      <c r="P462">
        <v>150</v>
      </c>
      <c r="U462" t="s">
        <v>1678</v>
      </c>
      <c r="V462">
        <v>43100</v>
      </c>
    </row>
    <row r="463" spans="1:23">
      <c r="A463">
        <v>27</v>
      </c>
      <c r="B463">
        <v>16050071</v>
      </c>
      <c r="C463" t="s">
        <v>4974</v>
      </c>
      <c r="D463" t="s">
        <v>4975</v>
      </c>
      <c r="E463" s="2047" t="s">
        <v>9285</v>
      </c>
      <c r="F463" s="2047" t="s">
        <v>9285</v>
      </c>
      <c r="G463">
        <v>52</v>
      </c>
      <c r="H463" t="s">
        <v>4506</v>
      </c>
      <c r="J463" t="s">
        <v>5067</v>
      </c>
      <c r="K463" s="2059">
        <v>3.4000000000000002E-2</v>
      </c>
      <c r="L463" t="s">
        <v>5002</v>
      </c>
      <c r="M463">
        <v>0.4</v>
      </c>
      <c r="N463">
        <v>1450</v>
      </c>
      <c r="O463">
        <v>150</v>
      </c>
      <c r="P463">
        <v>150</v>
      </c>
      <c r="U463" t="s">
        <v>1678</v>
      </c>
      <c r="V463">
        <v>43281</v>
      </c>
      <c r="W463" t="s">
        <v>5068</v>
      </c>
    </row>
    <row r="464" spans="1:23">
      <c r="A464">
        <v>27</v>
      </c>
      <c r="B464">
        <v>16050072</v>
      </c>
      <c r="C464" t="s">
        <v>4974</v>
      </c>
      <c r="D464" t="s">
        <v>4975</v>
      </c>
      <c r="E464" s="2047" t="s">
        <v>9286</v>
      </c>
      <c r="F464" s="2047" t="s">
        <v>9286</v>
      </c>
      <c r="G464">
        <v>52</v>
      </c>
      <c r="H464" t="s">
        <v>4506</v>
      </c>
      <c r="J464" t="s">
        <v>5067</v>
      </c>
      <c r="K464" s="2059">
        <v>3.5999999999999997E-2</v>
      </c>
      <c r="L464" t="s">
        <v>5069</v>
      </c>
      <c r="M464">
        <v>0.4</v>
      </c>
      <c r="N464">
        <v>1450</v>
      </c>
      <c r="O464">
        <v>150</v>
      </c>
      <c r="P464">
        <v>150</v>
      </c>
      <c r="U464" t="s">
        <v>1678</v>
      </c>
      <c r="V464">
        <v>43281</v>
      </c>
      <c r="W464" t="s">
        <v>5068</v>
      </c>
    </row>
    <row r="465" spans="1:24">
      <c r="A465">
        <v>27</v>
      </c>
      <c r="B465">
        <v>15040031</v>
      </c>
      <c r="C465" t="s">
        <v>4974</v>
      </c>
      <c r="D465" t="s">
        <v>4975</v>
      </c>
      <c r="E465" s="2047" t="s">
        <v>9287</v>
      </c>
      <c r="F465" s="2047" t="s">
        <v>9287</v>
      </c>
      <c r="G465">
        <v>73</v>
      </c>
      <c r="H465" t="s">
        <v>5070</v>
      </c>
      <c r="J465" t="s">
        <v>5071</v>
      </c>
      <c r="K465" s="2059">
        <v>3.4000000000000002E-2</v>
      </c>
      <c r="L465" t="s">
        <v>5041</v>
      </c>
      <c r="M465">
        <v>0.4</v>
      </c>
      <c r="N465">
        <v>1450</v>
      </c>
      <c r="O465">
        <v>150</v>
      </c>
      <c r="P465">
        <v>150</v>
      </c>
      <c r="U465" t="s">
        <v>1678</v>
      </c>
      <c r="V465">
        <v>43100</v>
      </c>
    </row>
    <row r="466" spans="1:24">
      <c r="A466">
        <v>27</v>
      </c>
      <c r="B466">
        <v>15040032</v>
      </c>
      <c r="C466" t="s">
        <v>4974</v>
      </c>
      <c r="D466" t="s">
        <v>4975</v>
      </c>
      <c r="E466" s="2047" t="s">
        <v>9288</v>
      </c>
      <c r="F466" s="2047" t="s">
        <v>9288</v>
      </c>
      <c r="G466">
        <v>73</v>
      </c>
      <c r="H466" t="s">
        <v>5070</v>
      </c>
      <c r="J466" t="s">
        <v>5071</v>
      </c>
      <c r="K466" s="2059">
        <v>3.5999999999999997E-2</v>
      </c>
      <c r="L466" t="s">
        <v>5072</v>
      </c>
      <c r="M466">
        <v>0.4</v>
      </c>
      <c r="N466">
        <v>1450</v>
      </c>
      <c r="O466">
        <v>150</v>
      </c>
      <c r="P466">
        <v>150</v>
      </c>
      <c r="U466" t="s">
        <v>1678</v>
      </c>
      <c r="V466">
        <v>43100</v>
      </c>
    </row>
    <row r="467" spans="1:24" s="2058" customFormat="1">
      <c r="A467" s="2058">
        <v>28</v>
      </c>
      <c r="B467" s="2058">
        <v>28.01</v>
      </c>
      <c r="C467" s="2058" t="s">
        <v>5073</v>
      </c>
      <c r="D467" s="2058" t="s">
        <v>5074</v>
      </c>
      <c r="E467" s="2058" t="s">
        <v>5075</v>
      </c>
      <c r="F467" s="2058" t="s">
        <v>5076</v>
      </c>
      <c r="I467" s="2058" t="s">
        <v>5077</v>
      </c>
      <c r="K467" s="2060">
        <v>0.03</v>
      </c>
      <c r="M467" s="2058">
        <v>0.39</v>
      </c>
      <c r="N467" s="2058">
        <v>1400</v>
      </c>
      <c r="O467" s="2058">
        <v>60</v>
      </c>
      <c r="P467" s="2058">
        <v>60</v>
      </c>
      <c r="R467" s="2058" t="s">
        <v>1678</v>
      </c>
      <c r="T467" s="2058" t="s">
        <v>1678</v>
      </c>
      <c r="W467" s="2058" t="s">
        <v>5078</v>
      </c>
      <c r="X467" s="2058" t="s">
        <v>5079</v>
      </c>
    </row>
    <row r="468" spans="1:24" s="2058" customFormat="1">
      <c r="A468" s="2058">
        <v>28</v>
      </c>
      <c r="B468" s="2058">
        <v>28.03</v>
      </c>
      <c r="C468" s="2058" t="s">
        <v>5073</v>
      </c>
      <c r="D468" s="2058" t="s">
        <v>5074</v>
      </c>
      <c r="E468" s="2058" t="s">
        <v>5080</v>
      </c>
      <c r="F468" s="2058" t="s">
        <v>5081</v>
      </c>
      <c r="I468" s="2058" t="s">
        <v>5077</v>
      </c>
      <c r="K468" s="2060">
        <v>3.5000000000000003E-2</v>
      </c>
      <c r="M468" s="2058">
        <v>0.39</v>
      </c>
      <c r="N468" s="2058">
        <v>1400</v>
      </c>
      <c r="O468" s="2058">
        <v>60</v>
      </c>
      <c r="P468" s="2058">
        <v>60</v>
      </c>
      <c r="R468" s="2058" t="s">
        <v>1678</v>
      </c>
      <c r="T468" s="2058" t="s">
        <v>1678</v>
      </c>
      <c r="W468" s="2058" t="s">
        <v>5078</v>
      </c>
      <c r="X468" s="2058" t="s">
        <v>5079</v>
      </c>
    </row>
    <row r="469" spans="1:24">
      <c r="A469">
        <v>28</v>
      </c>
      <c r="B469">
        <v>16030021</v>
      </c>
      <c r="C469" t="s">
        <v>5082</v>
      </c>
      <c r="D469" t="s">
        <v>5083</v>
      </c>
      <c r="E469" t="s">
        <v>5084</v>
      </c>
      <c r="F469" t="s">
        <v>5084</v>
      </c>
      <c r="G469">
        <v>121</v>
      </c>
      <c r="H469" t="s">
        <v>4628</v>
      </c>
      <c r="J469">
        <v>30</v>
      </c>
      <c r="K469" s="2059">
        <v>2.1999999999999999E-2</v>
      </c>
      <c r="L469" t="s">
        <v>5085</v>
      </c>
      <c r="M469">
        <v>0.39</v>
      </c>
      <c r="N469">
        <v>1400</v>
      </c>
      <c r="O469">
        <v>60</v>
      </c>
      <c r="P469">
        <v>60</v>
      </c>
      <c r="U469" t="s">
        <v>1678</v>
      </c>
      <c r="V469">
        <v>43281</v>
      </c>
    </row>
    <row r="470" spans="1:24">
      <c r="A470">
        <v>28</v>
      </c>
      <c r="B470">
        <v>16030031</v>
      </c>
      <c r="C470" t="s">
        <v>5082</v>
      </c>
      <c r="D470" t="s">
        <v>5083</v>
      </c>
      <c r="E470" s="2047" t="s">
        <v>9289</v>
      </c>
      <c r="F470" s="2047" t="s">
        <v>9289</v>
      </c>
      <c r="G470">
        <v>121</v>
      </c>
      <c r="H470" t="s">
        <v>4633</v>
      </c>
      <c r="J470">
        <v>30</v>
      </c>
      <c r="K470" s="2059">
        <v>2.7E-2</v>
      </c>
      <c r="L470" t="s">
        <v>5086</v>
      </c>
      <c r="M470">
        <v>0.39</v>
      </c>
      <c r="N470">
        <v>1400</v>
      </c>
      <c r="O470">
        <v>60</v>
      </c>
      <c r="P470">
        <v>60</v>
      </c>
      <c r="U470" t="s">
        <v>1678</v>
      </c>
      <c r="V470">
        <v>43281</v>
      </c>
    </row>
    <row r="471" spans="1:24">
      <c r="A471">
        <v>28</v>
      </c>
      <c r="B471">
        <v>16030032</v>
      </c>
      <c r="C471" t="s">
        <v>5082</v>
      </c>
      <c r="D471" t="s">
        <v>5083</v>
      </c>
      <c r="E471" s="2047" t="s">
        <v>9290</v>
      </c>
      <c r="F471" s="2047" t="s">
        <v>9290</v>
      </c>
      <c r="G471">
        <v>121</v>
      </c>
      <c r="H471" t="s">
        <v>4633</v>
      </c>
      <c r="J471">
        <v>30</v>
      </c>
      <c r="K471" s="2059">
        <v>2.5999999999999999E-2</v>
      </c>
      <c r="L471" t="s">
        <v>5087</v>
      </c>
      <c r="M471">
        <v>0.39</v>
      </c>
      <c r="N471">
        <v>1400</v>
      </c>
      <c r="O471">
        <v>60</v>
      </c>
      <c r="P471">
        <v>60</v>
      </c>
      <c r="U471" t="s">
        <v>1678</v>
      </c>
      <c r="V471">
        <v>43281</v>
      </c>
    </row>
    <row r="472" spans="1:24">
      <c r="A472">
        <v>28</v>
      </c>
      <c r="B472">
        <v>16030033</v>
      </c>
      <c r="C472" t="s">
        <v>5082</v>
      </c>
      <c r="D472" t="s">
        <v>5083</v>
      </c>
      <c r="E472" s="2047" t="s">
        <v>9291</v>
      </c>
      <c r="F472" s="2047" t="s">
        <v>9291</v>
      </c>
      <c r="G472">
        <v>121</v>
      </c>
      <c r="H472" t="s">
        <v>4633</v>
      </c>
      <c r="J472">
        <v>30</v>
      </c>
      <c r="K472" s="2059">
        <v>2.5000000000000001E-2</v>
      </c>
      <c r="L472" t="s">
        <v>5088</v>
      </c>
      <c r="M472">
        <v>0.39</v>
      </c>
      <c r="N472">
        <v>1400</v>
      </c>
      <c r="O472">
        <v>60</v>
      </c>
      <c r="P472">
        <v>60</v>
      </c>
      <c r="U472" t="s">
        <v>1678</v>
      </c>
      <c r="V472">
        <v>43281</v>
      </c>
    </row>
    <row r="473" spans="1:24">
      <c r="A473">
        <v>28</v>
      </c>
      <c r="B473">
        <v>16080041</v>
      </c>
      <c r="C473" t="s">
        <v>5082</v>
      </c>
      <c r="D473" t="s">
        <v>5083</v>
      </c>
      <c r="E473" t="s">
        <v>5089</v>
      </c>
      <c r="F473" t="s">
        <v>5089</v>
      </c>
      <c r="G473">
        <v>62</v>
      </c>
      <c r="H473" t="s">
        <v>5090</v>
      </c>
      <c r="J473" t="s">
        <v>5091</v>
      </c>
      <c r="K473" s="2059">
        <v>2.1999999999999999E-2</v>
      </c>
      <c r="L473" t="s">
        <v>5092</v>
      </c>
      <c r="M473">
        <v>0.39</v>
      </c>
      <c r="N473">
        <v>1400</v>
      </c>
      <c r="O473">
        <v>60</v>
      </c>
      <c r="P473">
        <v>60</v>
      </c>
      <c r="V473">
        <v>43465</v>
      </c>
      <c r="W473" t="s">
        <v>5093</v>
      </c>
      <c r="X473" t="s">
        <v>5094</v>
      </c>
    </row>
    <row r="474" spans="1:24">
      <c r="A474">
        <v>28</v>
      </c>
      <c r="B474">
        <v>15060111</v>
      </c>
      <c r="C474" t="s">
        <v>5082</v>
      </c>
      <c r="D474" t="s">
        <v>5083</v>
      </c>
      <c r="E474" t="s">
        <v>5095</v>
      </c>
      <c r="F474" t="s">
        <v>5096</v>
      </c>
      <c r="G474">
        <v>86</v>
      </c>
      <c r="H474" t="s">
        <v>5097</v>
      </c>
      <c r="J474" t="s">
        <v>5098</v>
      </c>
      <c r="K474" s="2059" t="s">
        <v>5099</v>
      </c>
      <c r="L474" t="s">
        <v>4259</v>
      </c>
      <c r="M474">
        <v>0.39</v>
      </c>
      <c r="N474">
        <v>1400</v>
      </c>
      <c r="O474">
        <v>60</v>
      </c>
      <c r="P474">
        <v>60</v>
      </c>
      <c r="U474" t="s">
        <v>1678</v>
      </c>
      <c r="V474">
        <v>42916</v>
      </c>
      <c r="W474" t="s">
        <v>5100</v>
      </c>
    </row>
    <row r="475" spans="1:24">
      <c r="A475">
        <v>28</v>
      </c>
      <c r="B475">
        <v>15070031</v>
      </c>
      <c r="C475" t="s">
        <v>5082</v>
      </c>
      <c r="D475" t="s">
        <v>5083</v>
      </c>
      <c r="E475" t="s">
        <v>210</v>
      </c>
      <c r="F475" t="s">
        <v>5101</v>
      </c>
      <c r="G475">
        <v>40</v>
      </c>
      <c r="H475" t="s">
        <v>5102</v>
      </c>
      <c r="J475" t="s">
        <v>4518</v>
      </c>
      <c r="K475" s="2059">
        <v>2.1999999999999999E-2</v>
      </c>
      <c r="L475" t="s">
        <v>5085</v>
      </c>
      <c r="M475">
        <v>0.39</v>
      </c>
      <c r="N475">
        <v>1400</v>
      </c>
      <c r="O475">
        <v>60</v>
      </c>
      <c r="P475">
        <v>60</v>
      </c>
      <c r="U475" t="s">
        <v>1678</v>
      </c>
      <c r="V475">
        <v>43100</v>
      </c>
      <c r="W475" t="s">
        <v>5103</v>
      </c>
      <c r="X475" t="s">
        <v>5104</v>
      </c>
    </row>
    <row r="476" spans="1:24">
      <c r="A476">
        <v>28</v>
      </c>
      <c r="B476">
        <v>15070041</v>
      </c>
      <c r="C476" t="s">
        <v>5082</v>
      </c>
      <c r="D476" t="s">
        <v>5083</v>
      </c>
      <c r="E476" s="2047" t="s">
        <v>9292</v>
      </c>
      <c r="F476" s="2047" t="s">
        <v>9297</v>
      </c>
      <c r="G476">
        <v>40</v>
      </c>
      <c r="H476" t="s">
        <v>5102</v>
      </c>
      <c r="J476" t="s">
        <v>4518</v>
      </c>
      <c r="K476" s="2059">
        <v>2.7E-2</v>
      </c>
      <c r="L476" t="s">
        <v>5086</v>
      </c>
      <c r="M476">
        <v>0.39</v>
      </c>
      <c r="N476">
        <v>1400</v>
      </c>
      <c r="O476">
        <v>60</v>
      </c>
      <c r="P476">
        <v>60</v>
      </c>
      <c r="U476" t="s">
        <v>1678</v>
      </c>
      <c r="V476">
        <v>43100</v>
      </c>
      <c r="W476" t="s">
        <v>5105</v>
      </c>
      <c r="X476" t="s">
        <v>5106</v>
      </c>
    </row>
    <row r="477" spans="1:24">
      <c r="A477">
        <v>28</v>
      </c>
      <c r="B477">
        <v>15070042</v>
      </c>
      <c r="C477" t="s">
        <v>5082</v>
      </c>
      <c r="D477" t="s">
        <v>5083</v>
      </c>
      <c r="E477" s="2047" t="s">
        <v>9293</v>
      </c>
      <c r="F477" s="2047" t="s">
        <v>9298</v>
      </c>
      <c r="G477">
        <v>40</v>
      </c>
      <c r="H477" t="s">
        <v>5102</v>
      </c>
      <c r="J477" t="s">
        <v>4518</v>
      </c>
      <c r="K477" s="2059">
        <v>2.5999999999999999E-2</v>
      </c>
      <c r="L477" t="s">
        <v>5087</v>
      </c>
      <c r="M477">
        <v>0.39</v>
      </c>
      <c r="N477">
        <v>1400</v>
      </c>
      <c r="O477">
        <v>60</v>
      </c>
      <c r="P477">
        <v>60</v>
      </c>
      <c r="U477" t="s">
        <v>1678</v>
      </c>
      <c r="V477">
        <v>43100</v>
      </c>
      <c r="W477" t="s">
        <v>5105</v>
      </c>
      <c r="X477" t="s">
        <v>5106</v>
      </c>
    </row>
    <row r="478" spans="1:24">
      <c r="A478">
        <v>28</v>
      </c>
      <c r="B478">
        <v>15070043</v>
      </c>
      <c r="C478" t="s">
        <v>5082</v>
      </c>
      <c r="D478" t="s">
        <v>5083</v>
      </c>
      <c r="E478" s="2047" t="s">
        <v>9294</v>
      </c>
      <c r="F478" s="2047" t="s">
        <v>9299</v>
      </c>
      <c r="G478">
        <v>40</v>
      </c>
      <c r="H478" t="s">
        <v>5102</v>
      </c>
      <c r="J478" t="s">
        <v>4518</v>
      </c>
      <c r="K478" s="2059">
        <v>2.5000000000000001E-2</v>
      </c>
      <c r="L478" t="s">
        <v>5088</v>
      </c>
      <c r="M478">
        <v>0.39</v>
      </c>
      <c r="N478">
        <v>1400</v>
      </c>
      <c r="O478">
        <v>60</v>
      </c>
      <c r="P478">
        <v>60</v>
      </c>
      <c r="U478" t="s">
        <v>1678</v>
      </c>
      <c r="V478">
        <v>43100</v>
      </c>
      <c r="W478" t="s">
        <v>5105</v>
      </c>
      <c r="X478" t="s">
        <v>5106</v>
      </c>
    </row>
    <row r="479" spans="1:24">
      <c r="A479">
        <v>28</v>
      </c>
      <c r="B479">
        <v>16090071</v>
      </c>
      <c r="C479" t="s">
        <v>5082</v>
      </c>
      <c r="D479" t="s">
        <v>5083</v>
      </c>
      <c r="E479" t="s">
        <v>5107</v>
      </c>
      <c r="F479" t="s">
        <v>5107</v>
      </c>
      <c r="G479">
        <v>5</v>
      </c>
      <c r="H479" t="s">
        <v>5108</v>
      </c>
      <c r="J479">
        <v>33</v>
      </c>
      <c r="K479" s="2059">
        <v>2.1999999999999999E-2</v>
      </c>
      <c r="L479" t="s">
        <v>5109</v>
      </c>
      <c r="M479">
        <v>0.39</v>
      </c>
      <c r="N479">
        <v>1400</v>
      </c>
      <c r="O479">
        <v>60</v>
      </c>
      <c r="P479">
        <v>60</v>
      </c>
      <c r="U479" t="s">
        <v>1678</v>
      </c>
      <c r="V479">
        <v>43465</v>
      </c>
      <c r="W479" t="s">
        <v>5110</v>
      </c>
      <c r="X479" t="s">
        <v>5111</v>
      </c>
    </row>
    <row r="480" spans="1:24">
      <c r="A480">
        <v>28</v>
      </c>
      <c r="B480">
        <v>16090076</v>
      </c>
      <c r="C480" t="s">
        <v>5082</v>
      </c>
      <c r="D480" t="s">
        <v>5083</v>
      </c>
      <c r="E480" s="2047" t="s">
        <v>9295</v>
      </c>
      <c r="F480" s="2047" t="s">
        <v>9295</v>
      </c>
      <c r="G480">
        <v>5</v>
      </c>
      <c r="H480" t="s">
        <v>5108</v>
      </c>
      <c r="J480">
        <v>33</v>
      </c>
      <c r="K480" s="2059">
        <v>2.5999999999999999E-2</v>
      </c>
      <c r="L480" t="s">
        <v>5087</v>
      </c>
      <c r="M480">
        <v>0.39</v>
      </c>
      <c r="N480">
        <v>1400</v>
      </c>
      <c r="O480">
        <v>60</v>
      </c>
      <c r="P480">
        <v>60</v>
      </c>
      <c r="U480" t="s">
        <v>1678</v>
      </c>
      <c r="V480">
        <v>43465</v>
      </c>
      <c r="W480" t="s">
        <v>5112</v>
      </c>
      <c r="X480" t="s">
        <v>5113</v>
      </c>
    </row>
    <row r="481" spans="1:24">
      <c r="A481">
        <v>28</v>
      </c>
      <c r="B481">
        <v>16090077</v>
      </c>
      <c r="C481" t="s">
        <v>5082</v>
      </c>
      <c r="D481" t="s">
        <v>5083</v>
      </c>
      <c r="E481" s="2047" t="s">
        <v>9296</v>
      </c>
      <c r="F481" s="2047" t="s">
        <v>9296</v>
      </c>
      <c r="G481">
        <v>5</v>
      </c>
      <c r="H481" t="s">
        <v>5108</v>
      </c>
      <c r="J481">
        <v>33</v>
      </c>
      <c r="K481" s="2059">
        <v>2.5000000000000001E-2</v>
      </c>
      <c r="L481" t="s">
        <v>5114</v>
      </c>
      <c r="M481">
        <v>0.39</v>
      </c>
      <c r="N481">
        <v>1400</v>
      </c>
      <c r="O481">
        <v>60</v>
      </c>
      <c r="P481">
        <v>60</v>
      </c>
      <c r="U481" t="s">
        <v>1678</v>
      </c>
      <c r="V481">
        <v>43465</v>
      </c>
      <c r="W481" t="s">
        <v>5112</v>
      </c>
      <c r="X481" t="s">
        <v>5113</v>
      </c>
    </row>
    <row r="482" spans="1:24">
      <c r="A482">
        <v>28</v>
      </c>
      <c r="B482">
        <v>16090078</v>
      </c>
      <c r="C482" t="s">
        <v>5082</v>
      </c>
      <c r="D482" t="s">
        <v>5083</v>
      </c>
      <c r="E482" t="s">
        <v>5115</v>
      </c>
      <c r="F482" t="s">
        <v>5115</v>
      </c>
      <c r="G482">
        <v>5</v>
      </c>
      <c r="H482" t="s">
        <v>5108</v>
      </c>
      <c r="J482">
        <v>33</v>
      </c>
      <c r="K482" s="2059">
        <v>2.8000000000000001E-2</v>
      </c>
      <c r="L482" t="s">
        <v>4991</v>
      </c>
      <c r="M482">
        <v>0.39</v>
      </c>
      <c r="N482">
        <v>1400</v>
      </c>
      <c r="O482">
        <v>60</v>
      </c>
      <c r="P482">
        <v>60</v>
      </c>
      <c r="U482" t="s">
        <v>1678</v>
      </c>
      <c r="V482">
        <v>43465</v>
      </c>
      <c r="W482" t="s">
        <v>5112</v>
      </c>
      <c r="X482" t="s">
        <v>5113</v>
      </c>
    </row>
    <row r="483" spans="1:24">
      <c r="A483">
        <v>28</v>
      </c>
      <c r="B483">
        <v>16090081</v>
      </c>
      <c r="C483" t="s">
        <v>5082</v>
      </c>
      <c r="D483" t="s">
        <v>5083</v>
      </c>
      <c r="E483" s="2047" t="s">
        <v>9300</v>
      </c>
      <c r="F483" s="2047" t="s">
        <v>9305</v>
      </c>
      <c r="G483">
        <v>5</v>
      </c>
      <c r="H483" t="s">
        <v>5108</v>
      </c>
      <c r="J483" t="s">
        <v>5116</v>
      </c>
      <c r="K483" s="2059">
        <v>2.3E-2</v>
      </c>
      <c r="L483" t="s">
        <v>5086</v>
      </c>
      <c r="M483">
        <v>0.39</v>
      </c>
      <c r="N483">
        <v>1400</v>
      </c>
      <c r="O483">
        <v>60</v>
      </c>
      <c r="P483">
        <v>60</v>
      </c>
      <c r="U483" t="s">
        <v>1678</v>
      </c>
      <c r="V483">
        <v>43465</v>
      </c>
      <c r="W483" t="s">
        <v>5117</v>
      </c>
      <c r="X483" t="s">
        <v>5118</v>
      </c>
    </row>
    <row r="484" spans="1:24">
      <c r="A484">
        <v>28</v>
      </c>
      <c r="B484">
        <v>16090082</v>
      </c>
      <c r="C484" t="s">
        <v>5082</v>
      </c>
      <c r="D484" t="s">
        <v>5083</v>
      </c>
      <c r="E484" s="2047" t="s">
        <v>9301</v>
      </c>
      <c r="F484" s="2047" t="s">
        <v>9306</v>
      </c>
      <c r="G484">
        <v>5</v>
      </c>
      <c r="H484" t="s">
        <v>5108</v>
      </c>
      <c r="J484" t="s">
        <v>5116</v>
      </c>
      <c r="K484" s="2059">
        <v>2.1999999999999999E-2</v>
      </c>
      <c r="L484" t="s">
        <v>4195</v>
      </c>
      <c r="M484">
        <v>0.39</v>
      </c>
      <c r="N484">
        <v>1400</v>
      </c>
      <c r="O484">
        <v>60</v>
      </c>
      <c r="P484">
        <v>60</v>
      </c>
      <c r="U484" t="s">
        <v>1678</v>
      </c>
      <c r="V484">
        <v>43465</v>
      </c>
      <c r="W484" t="s">
        <v>5117</v>
      </c>
      <c r="X484" t="s">
        <v>5118</v>
      </c>
    </row>
    <row r="485" spans="1:24">
      <c r="A485">
        <v>28</v>
      </c>
      <c r="B485">
        <v>16090086</v>
      </c>
      <c r="C485" t="s">
        <v>5082</v>
      </c>
      <c r="D485" t="s">
        <v>5083</v>
      </c>
      <c r="E485" s="2047" t="s">
        <v>9302</v>
      </c>
      <c r="F485" s="2047" t="s">
        <v>9307</v>
      </c>
      <c r="G485">
        <v>5</v>
      </c>
      <c r="H485" t="s">
        <v>5108</v>
      </c>
      <c r="J485" t="s">
        <v>5116</v>
      </c>
      <c r="K485" s="2059">
        <v>2.8000000000000001E-2</v>
      </c>
      <c r="L485" t="s">
        <v>5086</v>
      </c>
      <c r="M485">
        <v>0.39</v>
      </c>
      <c r="N485">
        <v>1400</v>
      </c>
      <c r="O485">
        <v>60</v>
      </c>
      <c r="P485">
        <v>60</v>
      </c>
      <c r="U485" t="s">
        <v>1678</v>
      </c>
      <c r="V485">
        <v>43465</v>
      </c>
      <c r="W485" t="s">
        <v>5119</v>
      </c>
      <c r="X485" t="s">
        <v>5120</v>
      </c>
    </row>
    <row r="486" spans="1:24">
      <c r="A486">
        <v>28</v>
      </c>
      <c r="B486">
        <v>16090087</v>
      </c>
      <c r="C486" t="s">
        <v>5082</v>
      </c>
      <c r="D486" t="s">
        <v>5083</v>
      </c>
      <c r="E486" s="2047" t="s">
        <v>9303</v>
      </c>
      <c r="F486" s="2047" t="s">
        <v>9308</v>
      </c>
      <c r="G486">
        <v>5</v>
      </c>
      <c r="H486" t="s">
        <v>5108</v>
      </c>
      <c r="J486" t="s">
        <v>5116</v>
      </c>
      <c r="K486" s="2059">
        <v>2.5999999999999999E-2</v>
      </c>
      <c r="L486" t="s">
        <v>5087</v>
      </c>
      <c r="M486">
        <v>0.39</v>
      </c>
      <c r="N486">
        <v>1400</v>
      </c>
      <c r="O486">
        <v>60</v>
      </c>
      <c r="P486">
        <v>60</v>
      </c>
      <c r="U486" t="s">
        <v>1678</v>
      </c>
      <c r="V486">
        <v>43465</v>
      </c>
      <c r="W486" t="s">
        <v>5119</v>
      </c>
      <c r="X486" t="s">
        <v>5120</v>
      </c>
    </row>
    <row r="487" spans="1:24">
      <c r="A487">
        <v>28</v>
      </c>
      <c r="B487">
        <v>16090088</v>
      </c>
      <c r="C487" t="s">
        <v>5082</v>
      </c>
      <c r="D487" t="s">
        <v>5083</v>
      </c>
      <c r="E487" s="2047" t="s">
        <v>9304</v>
      </c>
      <c r="F487" s="2047" t="s">
        <v>9309</v>
      </c>
      <c r="G487">
        <v>5</v>
      </c>
      <c r="H487" t="s">
        <v>5108</v>
      </c>
      <c r="J487" t="s">
        <v>5116</v>
      </c>
      <c r="K487" s="2059">
        <v>2.5000000000000001E-2</v>
      </c>
      <c r="L487" t="s">
        <v>5121</v>
      </c>
      <c r="M487">
        <v>0.39</v>
      </c>
      <c r="N487">
        <v>1400</v>
      </c>
      <c r="O487">
        <v>60</v>
      </c>
      <c r="P487">
        <v>60</v>
      </c>
      <c r="U487" t="s">
        <v>1678</v>
      </c>
      <c r="V487">
        <v>43465</v>
      </c>
      <c r="W487" t="s">
        <v>5119</v>
      </c>
      <c r="X487" t="s">
        <v>5120</v>
      </c>
    </row>
    <row r="488" spans="1:24">
      <c r="A488">
        <v>28</v>
      </c>
      <c r="B488">
        <v>16040061</v>
      </c>
      <c r="C488" t="s">
        <v>5082</v>
      </c>
      <c r="D488" t="s">
        <v>5083</v>
      </c>
      <c r="E488" s="2047" t="s">
        <v>9310</v>
      </c>
      <c r="F488" s="2047" t="s">
        <v>9310</v>
      </c>
      <c r="G488">
        <v>5</v>
      </c>
      <c r="H488" t="s">
        <v>5108</v>
      </c>
      <c r="J488" t="s">
        <v>5116</v>
      </c>
      <c r="K488" s="2059">
        <v>2.7E-2</v>
      </c>
      <c r="L488" t="s">
        <v>5086</v>
      </c>
      <c r="M488">
        <v>0.39</v>
      </c>
      <c r="N488">
        <v>1400</v>
      </c>
      <c r="O488">
        <v>60</v>
      </c>
      <c r="P488">
        <v>60</v>
      </c>
      <c r="U488" t="s">
        <v>1678</v>
      </c>
      <c r="V488">
        <v>43281</v>
      </c>
      <c r="W488" t="s">
        <v>5122</v>
      </c>
      <c r="X488" t="s">
        <v>5123</v>
      </c>
    </row>
    <row r="489" spans="1:24">
      <c r="A489">
        <v>28</v>
      </c>
      <c r="B489">
        <v>16040062</v>
      </c>
      <c r="C489" t="s">
        <v>5082</v>
      </c>
      <c r="D489" t="s">
        <v>5083</v>
      </c>
      <c r="E489" s="2047" t="s">
        <v>9311</v>
      </c>
      <c r="F489" s="2047" t="s">
        <v>9311</v>
      </c>
      <c r="G489">
        <v>5</v>
      </c>
      <c r="H489" t="s">
        <v>5108</v>
      </c>
      <c r="J489" t="s">
        <v>5116</v>
      </c>
      <c r="K489" s="2059">
        <v>2.5999999999999999E-2</v>
      </c>
      <c r="L489" t="s">
        <v>5087</v>
      </c>
      <c r="M489">
        <v>0.39</v>
      </c>
      <c r="N489">
        <v>1400</v>
      </c>
      <c r="O489">
        <v>60</v>
      </c>
      <c r="P489">
        <v>60</v>
      </c>
      <c r="U489" t="s">
        <v>1678</v>
      </c>
      <c r="V489">
        <v>43281</v>
      </c>
      <c r="W489" t="s">
        <v>5122</v>
      </c>
      <c r="X489" t="s">
        <v>5123</v>
      </c>
    </row>
    <row r="490" spans="1:24">
      <c r="A490">
        <v>28</v>
      </c>
      <c r="B490">
        <v>16040063</v>
      </c>
      <c r="C490" t="s">
        <v>5082</v>
      </c>
      <c r="D490" t="s">
        <v>5083</v>
      </c>
      <c r="E490" s="2047" t="s">
        <v>9312</v>
      </c>
      <c r="F490" s="2047" t="s">
        <v>9312</v>
      </c>
      <c r="G490">
        <v>5</v>
      </c>
      <c r="H490" t="s">
        <v>5108</v>
      </c>
      <c r="J490" t="s">
        <v>5116</v>
      </c>
      <c r="K490" s="2059">
        <v>2.5000000000000001E-2</v>
      </c>
      <c r="L490" t="s">
        <v>5124</v>
      </c>
      <c r="M490">
        <v>0.39</v>
      </c>
      <c r="N490">
        <v>1400</v>
      </c>
      <c r="O490">
        <v>60</v>
      </c>
      <c r="P490">
        <v>60</v>
      </c>
      <c r="U490" t="s">
        <v>1678</v>
      </c>
      <c r="V490">
        <v>43281</v>
      </c>
      <c r="W490" t="s">
        <v>5122</v>
      </c>
      <c r="X490" t="s">
        <v>5123</v>
      </c>
    </row>
    <row r="491" spans="1:24">
      <c r="A491">
        <v>28</v>
      </c>
      <c r="B491">
        <v>16090121</v>
      </c>
      <c r="C491" t="s">
        <v>5082</v>
      </c>
      <c r="D491" t="s">
        <v>5083</v>
      </c>
      <c r="E491" s="2047" t="s">
        <v>9313</v>
      </c>
      <c r="F491" s="2047" t="s">
        <v>9313</v>
      </c>
      <c r="G491">
        <v>5</v>
      </c>
      <c r="H491" t="s">
        <v>5108</v>
      </c>
      <c r="J491">
        <v>33</v>
      </c>
      <c r="K491" s="2059">
        <v>2.5000000000000001E-2</v>
      </c>
      <c r="L491" t="s">
        <v>5086</v>
      </c>
      <c r="M491">
        <v>0.39</v>
      </c>
      <c r="N491">
        <v>1400</v>
      </c>
      <c r="O491">
        <v>60</v>
      </c>
      <c r="P491">
        <v>60</v>
      </c>
      <c r="U491" t="s">
        <v>1678</v>
      </c>
      <c r="V491">
        <v>43465</v>
      </c>
      <c r="W491" t="s">
        <v>5125</v>
      </c>
      <c r="X491" t="s">
        <v>5126</v>
      </c>
    </row>
    <row r="492" spans="1:24">
      <c r="A492">
        <v>28</v>
      </c>
      <c r="B492">
        <v>16090122</v>
      </c>
      <c r="C492" t="s">
        <v>5082</v>
      </c>
      <c r="D492" t="s">
        <v>5083</v>
      </c>
      <c r="E492" s="2047" t="s">
        <v>9314</v>
      </c>
      <c r="F492" s="2047" t="s">
        <v>9314</v>
      </c>
      <c r="G492">
        <v>5</v>
      </c>
      <c r="H492" t="s">
        <v>5108</v>
      </c>
      <c r="J492">
        <v>33</v>
      </c>
      <c r="K492" s="2059">
        <v>2.4E-2</v>
      </c>
      <c r="L492" t="s">
        <v>5087</v>
      </c>
      <c r="M492">
        <v>0.39</v>
      </c>
      <c r="N492">
        <v>1400</v>
      </c>
      <c r="O492">
        <v>60</v>
      </c>
      <c r="P492">
        <v>60</v>
      </c>
      <c r="U492" t="s">
        <v>1678</v>
      </c>
      <c r="V492">
        <v>43465</v>
      </c>
      <c r="W492" t="s">
        <v>5125</v>
      </c>
      <c r="X492" t="s">
        <v>5126</v>
      </c>
    </row>
    <row r="493" spans="1:24">
      <c r="A493">
        <v>28</v>
      </c>
      <c r="B493">
        <v>16090123</v>
      </c>
      <c r="C493" t="s">
        <v>5082</v>
      </c>
      <c r="D493" t="s">
        <v>5083</v>
      </c>
      <c r="E493" s="2047" t="s">
        <v>9315</v>
      </c>
      <c r="F493" s="2047" t="s">
        <v>9315</v>
      </c>
      <c r="G493">
        <v>5</v>
      </c>
      <c r="H493" t="s">
        <v>5108</v>
      </c>
      <c r="J493">
        <v>33</v>
      </c>
      <c r="K493" s="2059">
        <v>2.3E-2</v>
      </c>
      <c r="L493" t="s">
        <v>5124</v>
      </c>
      <c r="M493">
        <v>0.39</v>
      </c>
      <c r="N493">
        <v>1400</v>
      </c>
      <c r="O493">
        <v>60</v>
      </c>
      <c r="P493">
        <v>60</v>
      </c>
      <c r="U493" t="s">
        <v>1678</v>
      </c>
      <c r="V493">
        <v>43465</v>
      </c>
      <c r="W493" t="s">
        <v>5125</v>
      </c>
      <c r="X493" t="s">
        <v>5126</v>
      </c>
    </row>
    <row r="494" spans="1:24">
      <c r="A494">
        <v>28</v>
      </c>
      <c r="B494">
        <v>15090051</v>
      </c>
      <c r="C494" t="s">
        <v>5082</v>
      </c>
      <c r="D494" t="s">
        <v>5083</v>
      </c>
      <c r="E494" t="s">
        <v>5127</v>
      </c>
      <c r="F494" t="s">
        <v>5127</v>
      </c>
      <c r="G494">
        <v>5</v>
      </c>
      <c r="H494" t="s">
        <v>5108</v>
      </c>
      <c r="J494">
        <v>33</v>
      </c>
      <c r="K494" s="2059">
        <v>2.1000000000000001E-2</v>
      </c>
      <c r="L494" t="s">
        <v>4189</v>
      </c>
      <c r="M494">
        <v>0.39</v>
      </c>
      <c r="N494">
        <v>1400</v>
      </c>
      <c r="O494">
        <v>60</v>
      </c>
      <c r="P494">
        <v>60</v>
      </c>
      <c r="U494" t="s">
        <v>1678</v>
      </c>
      <c r="V494">
        <v>43100</v>
      </c>
      <c r="W494" t="s">
        <v>5128</v>
      </c>
    </row>
    <row r="495" spans="1:24">
      <c r="A495">
        <v>28</v>
      </c>
      <c r="B495">
        <v>14100241</v>
      </c>
      <c r="C495" t="s">
        <v>5082</v>
      </c>
      <c r="D495" t="s">
        <v>5083</v>
      </c>
      <c r="E495" t="s">
        <v>5129</v>
      </c>
      <c r="F495" t="s">
        <v>5129</v>
      </c>
      <c r="G495">
        <v>81</v>
      </c>
      <c r="H495" t="s">
        <v>5130</v>
      </c>
      <c r="J495">
        <v>30</v>
      </c>
      <c r="K495" s="2059" t="s">
        <v>5131</v>
      </c>
      <c r="L495" t="s">
        <v>5132</v>
      </c>
      <c r="M495" t="s">
        <v>5133</v>
      </c>
      <c r="N495">
        <v>1400</v>
      </c>
      <c r="O495">
        <v>60</v>
      </c>
      <c r="P495">
        <v>60</v>
      </c>
      <c r="U495" t="s">
        <v>1678</v>
      </c>
      <c r="V495">
        <v>42735</v>
      </c>
      <c r="W495" t="s">
        <v>5134</v>
      </c>
      <c r="X495" t="s">
        <v>5135</v>
      </c>
    </row>
    <row r="496" spans="1:24">
      <c r="A496">
        <v>28</v>
      </c>
      <c r="B496">
        <v>14100242</v>
      </c>
      <c r="C496" t="s">
        <v>5082</v>
      </c>
      <c r="D496" t="s">
        <v>5083</v>
      </c>
      <c r="E496" t="s">
        <v>5136</v>
      </c>
      <c r="F496" t="s">
        <v>5136</v>
      </c>
      <c r="G496">
        <v>81</v>
      </c>
      <c r="H496" t="s">
        <v>5130</v>
      </c>
      <c r="J496">
        <v>30</v>
      </c>
      <c r="K496" s="2059" t="s">
        <v>5131</v>
      </c>
      <c r="L496" t="s">
        <v>5137</v>
      </c>
      <c r="M496" t="s">
        <v>5133</v>
      </c>
      <c r="N496">
        <v>1400</v>
      </c>
      <c r="O496">
        <v>60</v>
      </c>
      <c r="P496">
        <v>60</v>
      </c>
      <c r="U496" t="s">
        <v>1678</v>
      </c>
      <c r="V496">
        <v>42735</v>
      </c>
    </row>
    <row r="497" spans="1:24">
      <c r="A497">
        <v>28</v>
      </c>
      <c r="B497">
        <v>14100243</v>
      </c>
      <c r="C497" t="s">
        <v>5082</v>
      </c>
      <c r="D497" t="s">
        <v>5083</v>
      </c>
      <c r="E497" t="s">
        <v>5138</v>
      </c>
      <c r="F497" t="s">
        <v>5138</v>
      </c>
      <c r="G497">
        <v>81</v>
      </c>
      <c r="H497" t="s">
        <v>5130</v>
      </c>
      <c r="J497">
        <v>30</v>
      </c>
      <c r="K497" s="2059" t="s">
        <v>5139</v>
      </c>
      <c r="L497" t="s">
        <v>5137</v>
      </c>
      <c r="M497" t="s">
        <v>5133</v>
      </c>
      <c r="N497">
        <v>1400</v>
      </c>
      <c r="O497">
        <v>60</v>
      </c>
      <c r="P497">
        <v>60</v>
      </c>
      <c r="U497" t="s">
        <v>1678</v>
      </c>
      <c r="V497">
        <v>42735</v>
      </c>
      <c r="W497" t="s">
        <v>5140</v>
      </c>
      <c r="X497" t="s">
        <v>5141</v>
      </c>
    </row>
    <row r="498" spans="1:24">
      <c r="A498">
        <v>28</v>
      </c>
      <c r="B498">
        <v>16090091</v>
      </c>
      <c r="C498" t="s">
        <v>5082</v>
      </c>
      <c r="D498" t="s">
        <v>5083</v>
      </c>
      <c r="E498" s="2047" t="s">
        <v>9316</v>
      </c>
      <c r="F498" s="2047" t="s">
        <v>9321</v>
      </c>
      <c r="G498">
        <v>6</v>
      </c>
      <c r="H498" t="s">
        <v>4871</v>
      </c>
      <c r="J498" t="s">
        <v>5116</v>
      </c>
      <c r="K498" s="2059">
        <v>2.3E-2</v>
      </c>
      <c r="L498" t="s">
        <v>5086</v>
      </c>
      <c r="M498">
        <v>0.39</v>
      </c>
      <c r="N498">
        <v>1400</v>
      </c>
      <c r="O498">
        <v>60</v>
      </c>
      <c r="P498">
        <v>60</v>
      </c>
      <c r="U498" t="s">
        <v>1678</v>
      </c>
      <c r="V498">
        <v>43465</v>
      </c>
      <c r="W498" t="s">
        <v>5117</v>
      </c>
      <c r="X498" t="s">
        <v>5118</v>
      </c>
    </row>
    <row r="499" spans="1:24">
      <c r="A499">
        <v>28</v>
      </c>
      <c r="B499">
        <v>16090092</v>
      </c>
      <c r="C499" t="s">
        <v>5082</v>
      </c>
      <c r="D499" t="s">
        <v>5083</v>
      </c>
      <c r="E499" s="2047" t="s">
        <v>9317</v>
      </c>
      <c r="F499" s="2047" t="s">
        <v>9322</v>
      </c>
      <c r="G499">
        <v>6</v>
      </c>
      <c r="H499" t="s">
        <v>4871</v>
      </c>
      <c r="J499" t="s">
        <v>5116</v>
      </c>
      <c r="K499" s="2059">
        <v>2.1999999999999999E-2</v>
      </c>
      <c r="L499" t="s">
        <v>4195</v>
      </c>
      <c r="M499">
        <v>0.39</v>
      </c>
      <c r="N499">
        <v>1400</v>
      </c>
      <c r="O499">
        <v>60</v>
      </c>
      <c r="P499">
        <v>60</v>
      </c>
      <c r="U499" t="s">
        <v>1678</v>
      </c>
      <c r="V499">
        <v>43465</v>
      </c>
      <c r="W499" t="s">
        <v>5117</v>
      </c>
      <c r="X499" t="s">
        <v>5118</v>
      </c>
    </row>
    <row r="500" spans="1:24">
      <c r="A500">
        <v>28</v>
      </c>
      <c r="B500">
        <v>16090096</v>
      </c>
      <c r="C500" t="s">
        <v>5082</v>
      </c>
      <c r="D500" t="s">
        <v>5083</v>
      </c>
      <c r="E500" s="2047" t="s">
        <v>9318</v>
      </c>
      <c r="F500" s="2047" t="s">
        <v>9323</v>
      </c>
      <c r="G500">
        <v>6</v>
      </c>
      <c r="H500" t="s">
        <v>4871</v>
      </c>
      <c r="J500" t="s">
        <v>5116</v>
      </c>
      <c r="K500" s="2059">
        <v>2.8000000000000001E-2</v>
      </c>
      <c r="L500" t="s">
        <v>5086</v>
      </c>
      <c r="M500">
        <v>0.39</v>
      </c>
      <c r="N500">
        <v>1400</v>
      </c>
      <c r="O500">
        <v>60</v>
      </c>
      <c r="P500">
        <v>60</v>
      </c>
      <c r="U500" t="s">
        <v>1678</v>
      </c>
      <c r="V500">
        <v>43465</v>
      </c>
      <c r="W500" t="s">
        <v>5119</v>
      </c>
      <c r="X500" t="s">
        <v>5120</v>
      </c>
    </row>
    <row r="501" spans="1:24">
      <c r="A501">
        <v>28</v>
      </c>
      <c r="B501">
        <v>16090097</v>
      </c>
      <c r="C501" t="s">
        <v>5082</v>
      </c>
      <c r="D501" t="s">
        <v>5083</v>
      </c>
      <c r="E501" s="2047" t="s">
        <v>9319</v>
      </c>
      <c r="F501" s="2047" t="s">
        <v>9324</v>
      </c>
      <c r="G501">
        <v>6</v>
      </c>
      <c r="H501" t="s">
        <v>4871</v>
      </c>
      <c r="J501" t="s">
        <v>5116</v>
      </c>
      <c r="K501" s="2059">
        <v>2.5999999999999999E-2</v>
      </c>
      <c r="L501" t="s">
        <v>5087</v>
      </c>
      <c r="M501">
        <v>0.39</v>
      </c>
      <c r="N501">
        <v>1400</v>
      </c>
      <c r="O501">
        <v>60</v>
      </c>
      <c r="P501">
        <v>60</v>
      </c>
      <c r="U501" t="s">
        <v>1678</v>
      </c>
      <c r="V501">
        <v>43465</v>
      </c>
      <c r="W501" t="s">
        <v>5119</v>
      </c>
      <c r="X501" t="s">
        <v>5120</v>
      </c>
    </row>
    <row r="502" spans="1:24">
      <c r="A502">
        <v>28</v>
      </c>
      <c r="B502">
        <v>16090098</v>
      </c>
      <c r="C502" t="s">
        <v>5082</v>
      </c>
      <c r="D502" t="s">
        <v>5083</v>
      </c>
      <c r="E502" s="2047" t="s">
        <v>9320</v>
      </c>
      <c r="F502" s="2047" t="s">
        <v>9325</v>
      </c>
      <c r="G502">
        <v>6</v>
      </c>
      <c r="H502" t="s">
        <v>4871</v>
      </c>
      <c r="J502" t="s">
        <v>5116</v>
      </c>
      <c r="K502" s="2059">
        <v>2.5000000000000001E-2</v>
      </c>
      <c r="L502" t="s">
        <v>5121</v>
      </c>
      <c r="M502">
        <v>0.39</v>
      </c>
      <c r="N502">
        <v>1400</v>
      </c>
      <c r="O502">
        <v>60</v>
      </c>
      <c r="P502">
        <v>60</v>
      </c>
      <c r="U502" t="s">
        <v>1678</v>
      </c>
      <c r="V502">
        <v>43465</v>
      </c>
      <c r="W502" t="s">
        <v>5119</v>
      </c>
      <c r="X502" t="s">
        <v>5120</v>
      </c>
    </row>
    <row r="503" spans="1:24">
      <c r="A503">
        <v>28</v>
      </c>
      <c r="B503">
        <v>15090061</v>
      </c>
      <c r="C503" t="s">
        <v>5082</v>
      </c>
      <c r="D503" t="s">
        <v>5083</v>
      </c>
      <c r="E503" t="s">
        <v>5142</v>
      </c>
      <c r="F503" t="s">
        <v>5142</v>
      </c>
      <c r="G503">
        <v>6</v>
      </c>
      <c r="H503" t="s">
        <v>4871</v>
      </c>
      <c r="J503">
        <v>33</v>
      </c>
      <c r="K503" s="2059">
        <v>2.1000000000000001E-2</v>
      </c>
      <c r="L503" t="s">
        <v>4189</v>
      </c>
      <c r="M503">
        <v>0.39</v>
      </c>
      <c r="N503">
        <v>1400</v>
      </c>
      <c r="O503">
        <v>60</v>
      </c>
      <c r="P503">
        <v>60</v>
      </c>
      <c r="U503" t="s">
        <v>1678</v>
      </c>
      <c r="V503">
        <v>43100</v>
      </c>
      <c r="W503" t="s">
        <v>5128</v>
      </c>
    </row>
    <row r="504" spans="1:24">
      <c r="A504">
        <v>28</v>
      </c>
      <c r="B504">
        <v>15100011</v>
      </c>
      <c r="C504" t="s">
        <v>5082</v>
      </c>
      <c r="D504" t="s">
        <v>5083</v>
      </c>
      <c r="E504" t="s">
        <v>5143</v>
      </c>
      <c r="F504" t="s">
        <v>5143</v>
      </c>
      <c r="G504">
        <v>87</v>
      </c>
      <c r="H504" t="s">
        <v>4896</v>
      </c>
      <c r="J504" t="s">
        <v>5144</v>
      </c>
      <c r="K504" s="2059">
        <v>2.3E-2</v>
      </c>
      <c r="L504" t="s">
        <v>4189</v>
      </c>
      <c r="M504">
        <v>0.39</v>
      </c>
      <c r="N504">
        <v>1400</v>
      </c>
      <c r="O504">
        <v>60</v>
      </c>
      <c r="P504">
        <v>60</v>
      </c>
      <c r="U504" t="s">
        <v>1678</v>
      </c>
      <c r="V504">
        <v>43100</v>
      </c>
      <c r="W504" t="s">
        <v>5145</v>
      </c>
      <c r="X504" t="s">
        <v>5141</v>
      </c>
    </row>
    <row r="505" spans="1:24">
      <c r="A505">
        <v>28</v>
      </c>
      <c r="B505">
        <v>15100022</v>
      </c>
      <c r="C505" t="s">
        <v>5082</v>
      </c>
      <c r="D505" t="s">
        <v>5083</v>
      </c>
      <c r="E505" t="s">
        <v>5146</v>
      </c>
      <c r="F505" t="s">
        <v>5146</v>
      </c>
      <c r="G505">
        <v>87</v>
      </c>
      <c r="H505" t="s">
        <v>4896</v>
      </c>
      <c r="J505" t="s">
        <v>5147</v>
      </c>
      <c r="K505" s="2059">
        <v>2.1999999999999999E-2</v>
      </c>
      <c r="L505" t="s">
        <v>4195</v>
      </c>
      <c r="M505">
        <v>0.39</v>
      </c>
      <c r="N505">
        <v>1400</v>
      </c>
      <c r="O505">
        <v>60</v>
      </c>
      <c r="P505">
        <v>60</v>
      </c>
      <c r="U505" t="s">
        <v>1678</v>
      </c>
      <c r="V505">
        <v>43100</v>
      </c>
      <c r="W505" t="s">
        <v>5145</v>
      </c>
      <c r="X505" t="s">
        <v>5141</v>
      </c>
    </row>
    <row r="506" spans="1:24">
      <c r="A506">
        <v>28</v>
      </c>
      <c r="B506">
        <v>15100023</v>
      </c>
      <c r="C506" t="s">
        <v>5082</v>
      </c>
      <c r="D506" t="s">
        <v>5083</v>
      </c>
      <c r="E506" t="s">
        <v>5148</v>
      </c>
      <c r="F506" t="s">
        <v>5148</v>
      </c>
      <c r="G506">
        <v>87</v>
      </c>
      <c r="H506" t="s">
        <v>4896</v>
      </c>
      <c r="J506" t="s">
        <v>5147</v>
      </c>
      <c r="K506" s="2059">
        <v>2.5000000000000001E-2</v>
      </c>
      <c r="L506" t="s">
        <v>5121</v>
      </c>
      <c r="M506">
        <v>0.39</v>
      </c>
      <c r="N506">
        <v>1400</v>
      </c>
      <c r="O506">
        <v>60</v>
      </c>
      <c r="P506">
        <v>60</v>
      </c>
      <c r="U506" t="s">
        <v>1678</v>
      </c>
      <c r="V506">
        <v>43100</v>
      </c>
      <c r="W506" t="s">
        <v>5149</v>
      </c>
      <c r="X506" t="s">
        <v>5150</v>
      </c>
    </row>
    <row r="507" spans="1:24">
      <c r="A507">
        <v>28</v>
      </c>
      <c r="B507">
        <v>15100024</v>
      </c>
      <c r="C507" t="s">
        <v>5082</v>
      </c>
      <c r="D507" t="s">
        <v>5083</v>
      </c>
      <c r="E507" t="s">
        <v>5151</v>
      </c>
      <c r="F507" t="s">
        <v>5151</v>
      </c>
      <c r="G507">
        <v>87</v>
      </c>
      <c r="H507" t="s">
        <v>4896</v>
      </c>
      <c r="J507" t="s">
        <v>5147</v>
      </c>
      <c r="K507" s="2059">
        <v>2.5999999999999999E-2</v>
      </c>
      <c r="L507" t="s">
        <v>5087</v>
      </c>
      <c r="M507">
        <v>0.39</v>
      </c>
      <c r="N507">
        <v>1400</v>
      </c>
      <c r="O507">
        <v>60</v>
      </c>
      <c r="P507">
        <v>60</v>
      </c>
      <c r="U507" t="s">
        <v>1678</v>
      </c>
      <c r="V507">
        <v>43100</v>
      </c>
      <c r="W507" t="s">
        <v>5149</v>
      </c>
      <c r="X507" t="s">
        <v>5150</v>
      </c>
    </row>
    <row r="508" spans="1:24">
      <c r="A508">
        <v>28</v>
      </c>
      <c r="B508">
        <v>15100025</v>
      </c>
      <c r="C508" t="s">
        <v>5082</v>
      </c>
      <c r="D508" t="s">
        <v>5083</v>
      </c>
      <c r="E508" t="s">
        <v>5152</v>
      </c>
      <c r="F508" t="s">
        <v>5152</v>
      </c>
      <c r="G508">
        <v>87</v>
      </c>
      <c r="H508" t="s">
        <v>4896</v>
      </c>
      <c r="J508" t="s">
        <v>5144</v>
      </c>
      <c r="K508" s="2059">
        <v>2.3E-2</v>
      </c>
      <c r="L508" t="s">
        <v>5086</v>
      </c>
      <c r="M508">
        <v>0.39</v>
      </c>
      <c r="N508">
        <v>1400</v>
      </c>
      <c r="O508">
        <v>60</v>
      </c>
      <c r="P508">
        <v>60</v>
      </c>
      <c r="U508" t="s">
        <v>1678</v>
      </c>
      <c r="V508">
        <v>43100</v>
      </c>
      <c r="W508" t="s">
        <v>5145</v>
      </c>
      <c r="X508" t="s">
        <v>5141</v>
      </c>
    </row>
    <row r="509" spans="1:24">
      <c r="A509">
        <v>28</v>
      </c>
      <c r="B509">
        <v>15100026</v>
      </c>
      <c r="C509" t="s">
        <v>5082</v>
      </c>
      <c r="D509" t="s">
        <v>5083</v>
      </c>
      <c r="E509" t="s">
        <v>5153</v>
      </c>
      <c r="F509" t="s">
        <v>5153</v>
      </c>
      <c r="G509">
        <v>87</v>
      </c>
      <c r="H509" t="s">
        <v>4896</v>
      </c>
      <c r="J509" t="s">
        <v>5144</v>
      </c>
      <c r="K509" s="2059">
        <v>2.8000000000000001E-2</v>
      </c>
      <c r="L509" t="s">
        <v>5154</v>
      </c>
      <c r="M509">
        <v>0.39</v>
      </c>
      <c r="N509">
        <v>1400</v>
      </c>
      <c r="O509">
        <v>60</v>
      </c>
      <c r="P509">
        <v>60</v>
      </c>
      <c r="U509" t="s">
        <v>1678</v>
      </c>
      <c r="V509">
        <v>43100</v>
      </c>
      <c r="W509" t="s">
        <v>5149</v>
      </c>
      <c r="X509" t="s">
        <v>5150</v>
      </c>
    </row>
    <row r="510" spans="1:24">
      <c r="A510">
        <v>28</v>
      </c>
      <c r="B510">
        <v>15060081</v>
      </c>
      <c r="C510" t="s">
        <v>5082</v>
      </c>
      <c r="D510" t="s">
        <v>5083</v>
      </c>
      <c r="E510" t="s">
        <v>5155</v>
      </c>
      <c r="F510" t="s">
        <v>5155</v>
      </c>
      <c r="G510">
        <v>17</v>
      </c>
      <c r="H510" t="s">
        <v>4275</v>
      </c>
      <c r="J510">
        <v>30</v>
      </c>
      <c r="K510" s="2059">
        <v>2.1999999999999999E-2</v>
      </c>
      <c r="L510" t="s">
        <v>5085</v>
      </c>
      <c r="M510">
        <v>0.39</v>
      </c>
      <c r="N510">
        <v>1400</v>
      </c>
      <c r="O510">
        <v>60</v>
      </c>
      <c r="P510">
        <v>60</v>
      </c>
      <c r="U510" t="s">
        <v>1678</v>
      </c>
      <c r="V510">
        <v>42916</v>
      </c>
      <c r="W510" t="s">
        <v>5156</v>
      </c>
      <c r="X510" t="s">
        <v>5157</v>
      </c>
    </row>
    <row r="511" spans="1:24">
      <c r="A511">
        <v>28</v>
      </c>
      <c r="B511">
        <v>16120011</v>
      </c>
      <c r="C511" t="s">
        <v>5082</v>
      </c>
      <c r="D511" t="s">
        <v>5083</v>
      </c>
      <c r="E511" t="s">
        <v>5158</v>
      </c>
      <c r="F511" t="s">
        <v>5158</v>
      </c>
      <c r="G511">
        <v>17</v>
      </c>
      <c r="H511" t="s">
        <v>4275</v>
      </c>
      <c r="J511">
        <v>30</v>
      </c>
      <c r="K511" s="2059">
        <v>2.1999999999999999E-2</v>
      </c>
      <c r="L511" t="s">
        <v>5085</v>
      </c>
      <c r="M511">
        <v>0.39</v>
      </c>
      <c r="N511">
        <v>1400</v>
      </c>
      <c r="O511">
        <v>60</v>
      </c>
      <c r="P511">
        <v>60</v>
      </c>
      <c r="U511" t="s">
        <v>1678</v>
      </c>
      <c r="V511">
        <v>42916</v>
      </c>
      <c r="W511" t="s">
        <v>5159</v>
      </c>
      <c r="X511" t="s">
        <v>5157</v>
      </c>
    </row>
    <row r="512" spans="1:24">
      <c r="A512">
        <v>28</v>
      </c>
      <c r="B512">
        <v>15060091</v>
      </c>
      <c r="C512" t="s">
        <v>5082</v>
      </c>
      <c r="D512" t="s">
        <v>5083</v>
      </c>
      <c r="E512" s="2047" t="s">
        <v>9326</v>
      </c>
      <c r="F512" s="2047" t="s">
        <v>9326</v>
      </c>
      <c r="G512">
        <v>17</v>
      </c>
      <c r="H512" t="s">
        <v>4275</v>
      </c>
      <c r="J512">
        <v>30</v>
      </c>
      <c r="K512" s="2059">
        <v>2.3E-2</v>
      </c>
      <c r="L512" t="s">
        <v>5024</v>
      </c>
      <c r="M512">
        <v>0.39</v>
      </c>
      <c r="N512">
        <v>1400</v>
      </c>
      <c r="O512">
        <v>60</v>
      </c>
      <c r="P512">
        <v>60</v>
      </c>
      <c r="U512" t="s">
        <v>1678</v>
      </c>
      <c r="V512">
        <v>42916</v>
      </c>
      <c r="W512" t="s">
        <v>5156</v>
      </c>
      <c r="X512" t="s">
        <v>5157</v>
      </c>
    </row>
    <row r="513" spans="1:24">
      <c r="A513">
        <v>28</v>
      </c>
      <c r="B513">
        <v>15060092</v>
      </c>
      <c r="C513" t="s">
        <v>5082</v>
      </c>
      <c r="D513" t="s">
        <v>5083</v>
      </c>
      <c r="E513" s="2047" t="s">
        <v>9327</v>
      </c>
      <c r="F513" s="2047" t="s">
        <v>9327</v>
      </c>
      <c r="G513">
        <v>17</v>
      </c>
      <c r="H513" t="s">
        <v>4275</v>
      </c>
      <c r="J513">
        <v>30</v>
      </c>
      <c r="K513" s="2059">
        <v>2.1999999999999999E-2</v>
      </c>
      <c r="L513" t="s">
        <v>5026</v>
      </c>
      <c r="M513">
        <v>0.39</v>
      </c>
      <c r="N513">
        <v>1400</v>
      </c>
      <c r="O513">
        <v>60</v>
      </c>
      <c r="P513">
        <v>60</v>
      </c>
      <c r="U513" t="s">
        <v>1678</v>
      </c>
      <c r="V513">
        <v>42916</v>
      </c>
      <c r="W513" t="s">
        <v>5156</v>
      </c>
      <c r="X513" t="s">
        <v>5157</v>
      </c>
    </row>
    <row r="514" spans="1:24">
      <c r="A514">
        <v>28</v>
      </c>
      <c r="B514">
        <v>15060101</v>
      </c>
      <c r="C514" t="s">
        <v>5082</v>
      </c>
      <c r="D514" t="s">
        <v>5083</v>
      </c>
      <c r="E514" s="2047" t="s">
        <v>9328</v>
      </c>
      <c r="F514" s="2047" t="s">
        <v>9328</v>
      </c>
      <c r="G514">
        <v>17</v>
      </c>
      <c r="H514" t="s">
        <v>4275</v>
      </c>
      <c r="J514">
        <v>30</v>
      </c>
      <c r="K514" s="2059">
        <v>2.7E-2</v>
      </c>
      <c r="L514" t="s">
        <v>4994</v>
      </c>
      <c r="M514">
        <v>0.39</v>
      </c>
      <c r="N514">
        <v>1400</v>
      </c>
      <c r="O514">
        <v>60</v>
      </c>
      <c r="P514">
        <v>60</v>
      </c>
      <c r="U514" t="s">
        <v>1678</v>
      </c>
      <c r="V514">
        <v>42916</v>
      </c>
      <c r="W514" t="s">
        <v>5160</v>
      </c>
      <c r="X514" t="s">
        <v>5161</v>
      </c>
    </row>
    <row r="515" spans="1:24">
      <c r="A515">
        <v>28</v>
      </c>
      <c r="B515">
        <v>15060102</v>
      </c>
      <c r="C515" t="s">
        <v>5082</v>
      </c>
      <c r="D515" t="s">
        <v>5083</v>
      </c>
      <c r="E515" s="2047" t="s">
        <v>9329</v>
      </c>
      <c r="F515" s="2047" t="s">
        <v>9329</v>
      </c>
      <c r="G515">
        <v>17</v>
      </c>
      <c r="H515" t="s">
        <v>4275</v>
      </c>
      <c r="J515">
        <v>30</v>
      </c>
      <c r="K515" s="2059">
        <v>2.5999999999999999E-2</v>
      </c>
      <c r="L515" t="s">
        <v>5162</v>
      </c>
      <c r="M515">
        <v>0.39</v>
      </c>
      <c r="N515">
        <v>1400</v>
      </c>
      <c r="O515">
        <v>60</v>
      </c>
      <c r="P515">
        <v>60</v>
      </c>
      <c r="U515" t="s">
        <v>1678</v>
      </c>
      <c r="V515">
        <v>42916</v>
      </c>
      <c r="W515" t="s">
        <v>5160</v>
      </c>
      <c r="X515" t="s">
        <v>5161</v>
      </c>
    </row>
    <row r="516" spans="1:24">
      <c r="A516">
        <v>28</v>
      </c>
      <c r="B516">
        <v>15060103</v>
      </c>
      <c r="C516" t="s">
        <v>5082</v>
      </c>
      <c r="D516" t="s">
        <v>5083</v>
      </c>
      <c r="E516" s="2047" t="s">
        <v>9330</v>
      </c>
      <c r="F516" s="2047" t="s">
        <v>9330</v>
      </c>
      <c r="G516">
        <v>17</v>
      </c>
      <c r="H516" t="s">
        <v>4275</v>
      </c>
      <c r="J516">
        <v>30</v>
      </c>
      <c r="K516" s="2059">
        <v>2.5000000000000001E-2</v>
      </c>
      <c r="L516" t="s">
        <v>5026</v>
      </c>
      <c r="M516">
        <v>0.39</v>
      </c>
      <c r="N516">
        <v>1400</v>
      </c>
      <c r="O516">
        <v>60</v>
      </c>
      <c r="P516">
        <v>60</v>
      </c>
      <c r="U516" t="s">
        <v>1678</v>
      </c>
      <c r="V516">
        <v>42916</v>
      </c>
      <c r="W516" t="s">
        <v>5160</v>
      </c>
      <c r="X516" t="s">
        <v>5161</v>
      </c>
    </row>
    <row r="517" spans="1:24">
      <c r="A517">
        <v>28</v>
      </c>
      <c r="B517">
        <v>16100041</v>
      </c>
      <c r="C517" t="s">
        <v>5082</v>
      </c>
      <c r="D517" t="s">
        <v>5083</v>
      </c>
      <c r="E517" s="2047" t="s">
        <v>9331</v>
      </c>
      <c r="F517" s="2047" t="s">
        <v>9331</v>
      </c>
      <c r="G517">
        <v>17</v>
      </c>
      <c r="H517" t="s">
        <v>4275</v>
      </c>
      <c r="J517">
        <v>35</v>
      </c>
      <c r="K517" s="2059">
        <v>2.5000000000000001E-2</v>
      </c>
      <c r="L517">
        <v>60</v>
      </c>
      <c r="M517">
        <v>0.39</v>
      </c>
      <c r="N517">
        <v>1400</v>
      </c>
      <c r="O517">
        <v>60</v>
      </c>
      <c r="P517">
        <v>60</v>
      </c>
      <c r="U517" t="s">
        <v>1678</v>
      </c>
      <c r="V517">
        <v>43465</v>
      </c>
      <c r="W517" t="s">
        <v>5163</v>
      </c>
      <c r="X517" t="s">
        <v>5106</v>
      </c>
    </row>
    <row r="518" spans="1:24">
      <c r="A518">
        <v>28</v>
      </c>
      <c r="B518">
        <v>16100042</v>
      </c>
      <c r="C518" t="s">
        <v>5082</v>
      </c>
      <c r="D518" t="s">
        <v>5083</v>
      </c>
      <c r="E518" s="2047" t="s">
        <v>9332</v>
      </c>
      <c r="F518" s="2047" t="s">
        <v>9332</v>
      </c>
      <c r="G518">
        <v>17</v>
      </c>
      <c r="H518" t="s">
        <v>4275</v>
      </c>
      <c r="J518">
        <v>35</v>
      </c>
      <c r="K518" s="2059">
        <v>2.4E-2</v>
      </c>
      <c r="L518" t="s">
        <v>4994</v>
      </c>
      <c r="M518">
        <v>0.39</v>
      </c>
      <c r="N518">
        <v>1400</v>
      </c>
      <c r="O518">
        <v>60</v>
      </c>
      <c r="P518">
        <v>60</v>
      </c>
      <c r="U518" t="s">
        <v>1678</v>
      </c>
      <c r="V518">
        <v>43465</v>
      </c>
      <c r="W518" t="s">
        <v>5163</v>
      </c>
      <c r="X518" t="s">
        <v>5106</v>
      </c>
    </row>
    <row r="519" spans="1:24">
      <c r="A519">
        <v>28</v>
      </c>
      <c r="B519">
        <v>16100043</v>
      </c>
      <c r="C519" t="s">
        <v>5082</v>
      </c>
      <c r="D519" t="s">
        <v>5083</v>
      </c>
      <c r="E519" s="2047" t="s">
        <v>9333</v>
      </c>
      <c r="F519" s="2047" t="s">
        <v>9333</v>
      </c>
      <c r="G519">
        <v>17</v>
      </c>
      <c r="H519" t="s">
        <v>4275</v>
      </c>
      <c r="J519">
        <v>35</v>
      </c>
      <c r="K519" s="2059">
        <v>2.3E-2</v>
      </c>
      <c r="L519" t="s">
        <v>5088</v>
      </c>
      <c r="M519">
        <v>0.39</v>
      </c>
      <c r="N519">
        <v>1400</v>
      </c>
      <c r="O519">
        <v>60</v>
      </c>
      <c r="P519">
        <v>60</v>
      </c>
      <c r="U519" t="s">
        <v>1678</v>
      </c>
      <c r="V519">
        <v>43465</v>
      </c>
      <c r="W519" t="s">
        <v>5163</v>
      </c>
      <c r="X519" t="s">
        <v>5106</v>
      </c>
    </row>
    <row r="520" spans="1:24">
      <c r="A520">
        <v>28</v>
      </c>
      <c r="B520">
        <v>16100045</v>
      </c>
      <c r="C520" t="s">
        <v>5082</v>
      </c>
      <c r="D520" t="s">
        <v>5083</v>
      </c>
      <c r="E520" t="s">
        <v>5164</v>
      </c>
      <c r="F520" t="s">
        <v>5165</v>
      </c>
      <c r="G520">
        <v>17</v>
      </c>
      <c r="H520" t="s">
        <v>4275</v>
      </c>
      <c r="J520">
        <v>30</v>
      </c>
      <c r="K520" s="2059">
        <v>2.8000000000000001E-2</v>
      </c>
      <c r="L520" t="s">
        <v>4160</v>
      </c>
      <c r="M520">
        <v>0.39</v>
      </c>
      <c r="N520">
        <v>1400</v>
      </c>
      <c r="O520">
        <v>60</v>
      </c>
      <c r="P520">
        <v>60</v>
      </c>
      <c r="U520" t="s">
        <v>1678</v>
      </c>
      <c r="V520">
        <v>43465</v>
      </c>
    </row>
    <row r="521" spans="1:24">
      <c r="A521">
        <v>28</v>
      </c>
      <c r="B521">
        <v>15100171</v>
      </c>
      <c r="C521" t="s">
        <v>5082</v>
      </c>
      <c r="D521" t="s">
        <v>5083</v>
      </c>
      <c r="E521" s="2047" t="s">
        <v>9334</v>
      </c>
      <c r="F521" s="2047" t="s">
        <v>9337</v>
      </c>
      <c r="G521">
        <v>17</v>
      </c>
      <c r="H521" t="s">
        <v>4275</v>
      </c>
      <c r="J521">
        <v>30</v>
      </c>
      <c r="K521" s="2059">
        <v>2.7E-2</v>
      </c>
      <c r="L521" t="s">
        <v>5086</v>
      </c>
      <c r="M521">
        <v>0.39</v>
      </c>
      <c r="N521">
        <v>1400</v>
      </c>
      <c r="O521">
        <v>60</v>
      </c>
      <c r="P521">
        <v>60</v>
      </c>
      <c r="U521" t="s">
        <v>1678</v>
      </c>
      <c r="V521">
        <v>43100</v>
      </c>
      <c r="W521" t="s">
        <v>5166</v>
      </c>
      <c r="X521" t="s">
        <v>5161</v>
      </c>
    </row>
    <row r="522" spans="1:24">
      <c r="A522">
        <v>28</v>
      </c>
      <c r="B522">
        <v>15100172</v>
      </c>
      <c r="C522" t="s">
        <v>5082</v>
      </c>
      <c r="D522" t="s">
        <v>5083</v>
      </c>
      <c r="E522" s="2047" t="s">
        <v>9335</v>
      </c>
      <c r="F522" s="2047" t="s">
        <v>9338</v>
      </c>
      <c r="G522">
        <v>17</v>
      </c>
      <c r="H522" t="s">
        <v>4275</v>
      </c>
      <c r="J522">
        <v>30</v>
      </c>
      <c r="K522" s="2059">
        <v>2.5999999999999999E-2</v>
      </c>
      <c r="L522" t="s">
        <v>5087</v>
      </c>
      <c r="M522">
        <v>0.39</v>
      </c>
      <c r="N522">
        <v>1400</v>
      </c>
      <c r="O522">
        <v>60</v>
      </c>
      <c r="P522">
        <v>60</v>
      </c>
      <c r="U522" t="s">
        <v>1678</v>
      </c>
      <c r="V522">
        <v>43100</v>
      </c>
      <c r="W522" t="s">
        <v>5166</v>
      </c>
      <c r="X522" t="s">
        <v>5161</v>
      </c>
    </row>
    <row r="523" spans="1:24">
      <c r="A523">
        <v>28</v>
      </c>
      <c r="B523">
        <v>15100173</v>
      </c>
      <c r="C523" t="s">
        <v>5082</v>
      </c>
      <c r="D523" t="s">
        <v>5083</v>
      </c>
      <c r="E523" s="2047" t="s">
        <v>9336</v>
      </c>
      <c r="F523" s="2047" t="s">
        <v>9339</v>
      </c>
      <c r="G523">
        <v>17</v>
      </c>
      <c r="H523" t="s">
        <v>4275</v>
      </c>
      <c r="J523">
        <v>30</v>
      </c>
      <c r="K523" s="2059">
        <v>2.5000000000000001E-2</v>
      </c>
      <c r="L523" t="s">
        <v>5088</v>
      </c>
      <c r="M523">
        <v>0.39</v>
      </c>
      <c r="N523">
        <v>1400</v>
      </c>
      <c r="O523">
        <v>60</v>
      </c>
      <c r="P523">
        <v>60</v>
      </c>
      <c r="U523" t="s">
        <v>1678</v>
      </c>
      <c r="V523">
        <v>43100</v>
      </c>
      <c r="W523" t="s">
        <v>5166</v>
      </c>
      <c r="X523" t="s">
        <v>5161</v>
      </c>
    </row>
    <row r="524" spans="1:24">
      <c r="A524">
        <v>28</v>
      </c>
      <c r="B524">
        <v>15100175</v>
      </c>
      <c r="C524" t="s">
        <v>5082</v>
      </c>
      <c r="D524" t="s">
        <v>5083</v>
      </c>
      <c r="E524" t="s">
        <v>5167</v>
      </c>
      <c r="F524" t="s">
        <v>5167</v>
      </c>
      <c r="G524">
        <v>17</v>
      </c>
      <c r="H524" t="s">
        <v>4275</v>
      </c>
      <c r="J524">
        <v>35</v>
      </c>
      <c r="K524" s="2059" t="s">
        <v>5168</v>
      </c>
      <c r="L524" t="s">
        <v>5169</v>
      </c>
      <c r="M524">
        <v>0.39</v>
      </c>
      <c r="N524">
        <v>1400</v>
      </c>
      <c r="O524">
        <v>60</v>
      </c>
      <c r="P524">
        <v>60</v>
      </c>
      <c r="U524" t="s">
        <v>1678</v>
      </c>
      <c r="V524">
        <v>43100</v>
      </c>
      <c r="W524" t="s">
        <v>5170</v>
      </c>
    </row>
    <row r="525" spans="1:24">
      <c r="A525">
        <v>28</v>
      </c>
      <c r="B525">
        <v>15100176</v>
      </c>
      <c r="C525" t="s">
        <v>5082</v>
      </c>
      <c r="D525" t="s">
        <v>5083</v>
      </c>
      <c r="E525" t="s">
        <v>5171</v>
      </c>
      <c r="F525" t="s">
        <v>5171</v>
      </c>
      <c r="G525">
        <v>17</v>
      </c>
      <c r="H525" t="s">
        <v>4275</v>
      </c>
      <c r="J525">
        <v>30</v>
      </c>
      <c r="K525" s="2059">
        <v>0.02</v>
      </c>
      <c r="L525" t="s">
        <v>5085</v>
      </c>
      <c r="M525">
        <v>0.39</v>
      </c>
      <c r="N525">
        <v>1400</v>
      </c>
      <c r="O525">
        <v>60</v>
      </c>
      <c r="P525">
        <v>60</v>
      </c>
      <c r="U525" t="s">
        <v>1678</v>
      </c>
      <c r="V525">
        <v>43100</v>
      </c>
      <c r="W525" t="s">
        <v>5156</v>
      </c>
      <c r="X525" t="s">
        <v>5157</v>
      </c>
    </row>
    <row r="526" spans="1:24">
      <c r="A526">
        <v>28</v>
      </c>
      <c r="B526">
        <v>16050081</v>
      </c>
      <c r="C526" t="s">
        <v>5082</v>
      </c>
      <c r="D526" t="s">
        <v>5083</v>
      </c>
      <c r="E526" t="s">
        <v>5172</v>
      </c>
      <c r="F526" t="s">
        <v>5173</v>
      </c>
      <c r="G526">
        <v>17</v>
      </c>
      <c r="H526" t="s">
        <v>4275</v>
      </c>
      <c r="J526">
        <v>30</v>
      </c>
      <c r="K526" s="2059">
        <v>2.7E-2</v>
      </c>
      <c r="L526" t="s">
        <v>5174</v>
      </c>
      <c r="M526">
        <v>0.39</v>
      </c>
      <c r="N526">
        <v>1400</v>
      </c>
      <c r="O526">
        <v>60</v>
      </c>
      <c r="P526">
        <v>60</v>
      </c>
      <c r="U526" t="s">
        <v>1678</v>
      </c>
      <c r="V526">
        <v>43100</v>
      </c>
      <c r="W526" t="s">
        <v>5166</v>
      </c>
      <c r="X526" t="s">
        <v>5161</v>
      </c>
    </row>
    <row r="527" spans="1:24">
      <c r="A527">
        <v>28</v>
      </c>
      <c r="B527">
        <v>16110041</v>
      </c>
      <c r="C527" t="s">
        <v>5082</v>
      </c>
      <c r="D527" t="s">
        <v>5083</v>
      </c>
      <c r="E527" t="s">
        <v>5175</v>
      </c>
      <c r="F527" t="s">
        <v>5175</v>
      </c>
      <c r="G527">
        <v>155</v>
      </c>
      <c r="H527" t="s">
        <v>5176</v>
      </c>
      <c r="J527">
        <v>32</v>
      </c>
      <c r="K527" s="2059">
        <v>2.1999999999999999E-2</v>
      </c>
      <c r="L527" t="s">
        <v>5132</v>
      </c>
      <c r="M527">
        <v>0.39</v>
      </c>
      <c r="N527">
        <v>1400</v>
      </c>
      <c r="O527">
        <v>60</v>
      </c>
      <c r="P527">
        <v>60</v>
      </c>
      <c r="V527">
        <v>43465</v>
      </c>
    </row>
    <row r="528" spans="1:24">
      <c r="A528">
        <v>28</v>
      </c>
      <c r="B528">
        <v>16110042</v>
      </c>
      <c r="C528" t="s">
        <v>5082</v>
      </c>
      <c r="D528" t="s">
        <v>5083</v>
      </c>
      <c r="E528" t="s">
        <v>5177</v>
      </c>
      <c r="F528" t="s">
        <v>5177</v>
      </c>
      <c r="G528">
        <v>155</v>
      </c>
      <c r="H528" t="s">
        <v>5176</v>
      </c>
      <c r="J528">
        <v>32</v>
      </c>
      <c r="K528" s="2059">
        <v>2.1999999999999999E-2</v>
      </c>
      <c r="L528" t="s">
        <v>4154</v>
      </c>
      <c r="M528">
        <v>0.39</v>
      </c>
      <c r="N528">
        <v>1400</v>
      </c>
      <c r="O528">
        <v>60</v>
      </c>
      <c r="P528">
        <v>60</v>
      </c>
      <c r="V528">
        <v>43465</v>
      </c>
    </row>
    <row r="529" spans="1:24">
      <c r="A529">
        <v>28</v>
      </c>
      <c r="B529">
        <v>16110043</v>
      </c>
      <c r="C529" t="s">
        <v>5082</v>
      </c>
      <c r="D529" t="s">
        <v>5083</v>
      </c>
      <c r="E529" t="s">
        <v>5178</v>
      </c>
      <c r="F529" t="s">
        <v>5178</v>
      </c>
      <c r="G529">
        <v>155</v>
      </c>
      <c r="H529" t="s">
        <v>5176</v>
      </c>
      <c r="J529">
        <v>32</v>
      </c>
      <c r="K529" s="2059">
        <v>2.1999999999999999E-2</v>
      </c>
      <c r="L529" t="s">
        <v>4154</v>
      </c>
      <c r="M529">
        <v>0.39</v>
      </c>
      <c r="N529">
        <v>1400</v>
      </c>
      <c r="O529">
        <v>60</v>
      </c>
      <c r="P529">
        <v>60</v>
      </c>
      <c r="V529">
        <v>43465</v>
      </c>
    </row>
    <row r="530" spans="1:24">
      <c r="A530">
        <v>36</v>
      </c>
      <c r="B530">
        <v>36.01</v>
      </c>
      <c r="C530" t="s">
        <v>5179</v>
      </c>
      <c r="D530" t="s">
        <v>5180</v>
      </c>
      <c r="E530" t="s">
        <v>5181</v>
      </c>
      <c r="F530" t="s">
        <v>5182</v>
      </c>
      <c r="I530" t="s">
        <v>5183</v>
      </c>
      <c r="K530" s="2059">
        <v>0.03</v>
      </c>
      <c r="M530">
        <v>0.39</v>
      </c>
      <c r="N530">
        <v>1400</v>
      </c>
      <c r="O530">
        <v>50</v>
      </c>
      <c r="P530">
        <v>50</v>
      </c>
      <c r="R530" t="s">
        <v>1678</v>
      </c>
    </row>
    <row r="531" spans="1:24">
      <c r="A531">
        <v>36</v>
      </c>
      <c r="B531">
        <v>14070052</v>
      </c>
      <c r="C531" t="s">
        <v>5179</v>
      </c>
      <c r="D531" t="s">
        <v>5180</v>
      </c>
      <c r="E531" t="s">
        <v>5184</v>
      </c>
      <c r="F531" t="s">
        <v>5184</v>
      </c>
      <c r="G531">
        <v>49</v>
      </c>
      <c r="H531" t="s">
        <v>4617</v>
      </c>
      <c r="J531">
        <v>35</v>
      </c>
      <c r="K531" s="2059" t="s">
        <v>5131</v>
      </c>
      <c r="L531" t="s">
        <v>4373</v>
      </c>
      <c r="M531" t="s">
        <v>5133</v>
      </c>
      <c r="N531">
        <v>1400</v>
      </c>
      <c r="O531">
        <v>50</v>
      </c>
      <c r="P531">
        <v>50</v>
      </c>
      <c r="U531" t="s">
        <v>1678</v>
      </c>
      <c r="V531">
        <v>42735</v>
      </c>
    </row>
    <row r="532" spans="1:24">
      <c r="A532">
        <v>36</v>
      </c>
      <c r="B532">
        <v>15040011</v>
      </c>
      <c r="C532" t="s">
        <v>5179</v>
      </c>
      <c r="D532" t="s">
        <v>5180</v>
      </c>
      <c r="E532" s="2047" t="s">
        <v>9340</v>
      </c>
      <c r="F532" s="2047" t="s">
        <v>9340</v>
      </c>
      <c r="G532">
        <v>62</v>
      </c>
      <c r="H532" t="s">
        <v>5090</v>
      </c>
      <c r="J532" t="s">
        <v>5043</v>
      </c>
      <c r="K532" s="2059">
        <v>2.1000000000000001E-2</v>
      </c>
      <c r="L532" t="s">
        <v>5185</v>
      </c>
      <c r="M532">
        <v>0.39</v>
      </c>
      <c r="N532">
        <v>1400</v>
      </c>
      <c r="O532">
        <v>50</v>
      </c>
      <c r="P532">
        <v>50</v>
      </c>
      <c r="U532" t="s">
        <v>1678</v>
      </c>
      <c r="V532">
        <v>42916</v>
      </c>
      <c r="W532" t="s">
        <v>5179</v>
      </c>
      <c r="X532" t="s">
        <v>5186</v>
      </c>
    </row>
    <row r="533" spans="1:24">
      <c r="A533">
        <v>36</v>
      </c>
      <c r="B533">
        <v>15040012</v>
      </c>
      <c r="C533" t="s">
        <v>5179</v>
      </c>
      <c r="D533" t="s">
        <v>5180</v>
      </c>
      <c r="E533" s="2047" t="s">
        <v>9341</v>
      </c>
      <c r="F533" s="2047" t="s">
        <v>9341</v>
      </c>
      <c r="G533">
        <v>62</v>
      </c>
      <c r="H533" t="s">
        <v>5090</v>
      </c>
      <c r="J533" t="s">
        <v>5043</v>
      </c>
      <c r="K533" s="2059">
        <v>0.02</v>
      </c>
      <c r="L533" t="s">
        <v>5187</v>
      </c>
      <c r="M533">
        <v>0.39</v>
      </c>
      <c r="N533">
        <v>1400</v>
      </c>
      <c r="O533">
        <v>50</v>
      </c>
      <c r="P533">
        <v>50</v>
      </c>
      <c r="U533" t="s">
        <v>1678</v>
      </c>
      <c r="V533">
        <v>42916</v>
      </c>
      <c r="W533" t="s">
        <v>5179</v>
      </c>
      <c r="X533" t="s">
        <v>5186</v>
      </c>
    </row>
    <row r="534" spans="1:24">
      <c r="A534">
        <v>36</v>
      </c>
      <c r="B534">
        <v>15040013</v>
      </c>
      <c r="C534" t="s">
        <v>5179</v>
      </c>
      <c r="D534" t="s">
        <v>5180</v>
      </c>
      <c r="E534" s="2047" t="s">
        <v>9342</v>
      </c>
      <c r="F534" s="2047" t="s">
        <v>9342</v>
      </c>
      <c r="G534">
        <v>62</v>
      </c>
      <c r="H534" t="s">
        <v>5090</v>
      </c>
      <c r="J534" t="s">
        <v>5043</v>
      </c>
      <c r="K534" s="2059">
        <v>2.1000000000000001E-2</v>
      </c>
      <c r="L534" t="s">
        <v>5188</v>
      </c>
      <c r="M534">
        <v>0.39</v>
      </c>
      <c r="N534">
        <v>1400</v>
      </c>
      <c r="O534">
        <v>50</v>
      </c>
      <c r="P534">
        <v>50</v>
      </c>
      <c r="U534" t="s">
        <v>1678</v>
      </c>
      <c r="V534">
        <v>42916</v>
      </c>
      <c r="W534" t="s">
        <v>5179</v>
      </c>
      <c r="X534" t="s">
        <v>5186</v>
      </c>
    </row>
    <row r="535" spans="1:24" s="2058" customFormat="1">
      <c r="A535" s="2058">
        <v>29</v>
      </c>
      <c r="B535" s="2058">
        <v>29.01</v>
      </c>
      <c r="C535" s="2058" t="s">
        <v>5189</v>
      </c>
      <c r="D535" s="2058" t="s">
        <v>3827</v>
      </c>
      <c r="E535" s="2058" t="s">
        <v>5190</v>
      </c>
      <c r="F535" s="2058" t="s">
        <v>5191</v>
      </c>
      <c r="I535" s="2058" t="s">
        <v>5192</v>
      </c>
      <c r="K535" s="2060">
        <v>5.5E-2</v>
      </c>
      <c r="M535" s="2058">
        <v>0.43</v>
      </c>
      <c r="N535" s="2058">
        <v>1560</v>
      </c>
      <c r="O535" s="2058">
        <v>10</v>
      </c>
      <c r="P535" s="2058">
        <v>5</v>
      </c>
      <c r="R535" s="2058" t="s">
        <v>1678</v>
      </c>
      <c r="T535" s="2058" t="s">
        <v>1678</v>
      </c>
    </row>
    <row r="536" spans="1:24" s="2058" customFormat="1">
      <c r="A536" s="2058">
        <v>38</v>
      </c>
      <c r="B536" s="2058">
        <v>38.01</v>
      </c>
      <c r="C536" s="2058" t="s">
        <v>5193</v>
      </c>
      <c r="D536" s="2058" t="s">
        <v>5194</v>
      </c>
      <c r="I536" s="2058" t="s">
        <v>5195</v>
      </c>
      <c r="K536" s="2060">
        <v>0.13</v>
      </c>
      <c r="M536" s="2058">
        <v>0.44</v>
      </c>
      <c r="N536" s="2058">
        <v>1600</v>
      </c>
      <c r="O536" s="2058">
        <v>50</v>
      </c>
      <c r="P536" s="2058">
        <v>20</v>
      </c>
      <c r="R536" s="2058" t="s">
        <v>1678</v>
      </c>
    </row>
    <row r="537" spans="1:24" s="2058" customFormat="1">
      <c r="A537" s="2058">
        <v>30</v>
      </c>
      <c r="B537" s="2058">
        <v>30.01</v>
      </c>
      <c r="C537" s="2058" t="s">
        <v>5196</v>
      </c>
      <c r="D537" s="2058" t="s">
        <v>5197</v>
      </c>
      <c r="E537" s="2058" t="s">
        <v>5198</v>
      </c>
      <c r="F537" s="2058" t="s">
        <v>5199</v>
      </c>
      <c r="I537" s="2058" t="s">
        <v>5200</v>
      </c>
      <c r="K537" s="2060">
        <v>0.11</v>
      </c>
      <c r="M537" s="2058">
        <v>0.41</v>
      </c>
      <c r="N537" s="2058">
        <v>1470</v>
      </c>
      <c r="O537" s="2058">
        <v>5</v>
      </c>
      <c r="P537" s="2058">
        <v>3</v>
      </c>
      <c r="R537" s="2058" t="s">
        <v>1678</v>
      </c>
      <c r="T537" s="2058" t="s">
        <v>1678</v>
      </c>
    </row>
    <row r="538" spans="1:24" s="2058" customFormat="1">
      <c r="A538" s="2058">
        <v>30</v>
      </c>
      <c r="B538" s="2058">
        <v>30.05</v>
      </c>
      <c r="C538" s="2058" t="s">
        <v>5201</v>
      </c>
      <c r="D538" s="2058" t="s">
        <v>5202</v>
      </c>
      <c r="E538" s="2058" t="s">
        <v>5203</v>
      </c>
      <c r="F538" s="2058" t="s">
        <v>5204</v>
      </c>
      <c r="I538" s="2058" t="s">
        <v>5205</v>
      </c>
      <c r="J538" s="2058" t="s">
        <v>4135</v>
      </c>
      <c r="K538" s="2060">
        <v>0.15</v>
      </c>
      <c r="M538" s="2058">
        <v>0.41</v>
      </c>
      <c r="N538" s="2058">
        <v>1470</v>
      </c>
      <c r="O538" s="2058">
        <v>5</v>
      </c>
      <c r="P538" s="2058">
        <v>3</v>
      </c>
      <c r="R538" s="2058" t="s">
        <v>1678</v>
      </c>
      <c r="T538" s="2058" t="s">
        <v>1678</v>
      </c>
      <c r="W538" s="2058" t="s">
        <v>5206</v>
      </c>
      <c r="X538" s="2058" t="s">
        <v>5207</v>
      </c>
    </row>
    <row r="539" spans="1:24" s="2058" customFormat="1">
      <c r="A539" s="2058">
        <v>30</v>
      </c>
      <c r="B539" s="2058">
        <v>30.06</v>
      </c>
      <c r="C539" s="2058" t="s">
        <v>5201</v>
      </c>
      <c r="D539" s="2058" t="s">
        <v>5202</v>
      </c>
      <c r="E539" s="2058" t="s">
        <v>5208</v>
      </c>
      <c r="F539" s="2058" t="s">
        <v>5209</v>
      </c>
      <c r="I539" s="2058" t="s">
        <v>5205</v>
      </c>
      <c r="J539" s="2058" t="s">
        <v>4135</v>
      </c>
      <c r="K539" s="2060">
        <v>0.13</v>
      </c>
      <c r="M539" s="2058">
        <v>0.41</v>
      </c>
      <c r="N539" s="2058">
        <v>1470</v>
      </c>
      <c r="O539" s="2058">
        <v>5</v>
      </c>
      <c r="P539" s="2058">
        <v>3</v>
      </c>
      <c r="R539" s="2058" t="s">
        <v>1678</v>
      </c>
      <c r="T539" s="2058" t="s">
        <v>1678</v>
      </c>
      <c r="W539" s="2058" t="s">
        <v>5206</v>
      </c>
      <c r="X539" s="2058" t="s">
        <v>5207</v>
      </c>
    </row>
    <row r="540" spans="1:24" s="2058" customFormat="1">
      <c r="A540" s="2058">
        <v>30</v>
      </c>
      <c r="B540" s="2058">
        <v>30.07</v>
      </c>
      <c r="C540" s="2058" t="s">
        <v>5201</v>
      </c>
      <c r="D540" s="2058" t="s">
        <v>5202</v>
      </c>
      <c r="E540" s="2058" t="s">
        <v>5210</v>
      </c>
      <c r="F540" s="2058" t="s">
        <v>5211</v>
      </c>
      <c r="I540" s="2058" t="s">
        <v>5205</v>
      </c>
      <c r="J540" s="2058" t="s">
        <v>4135</v>
      </c>
      <c r="K540" s="2060">
        <v>0.11</v>
      </c>
      <c r="M540" s="2058">
        <v>0.41</v>
      </c>
      <c r="N540" s="2058">
        <v>1470</v>
      </c>
      <c r="O540" s="2058">
        <v>5</v>
      </c>
      <c r="P540" s="2058">
        <v>3</v>
      </c>
      <c r="R540" s="2058" t="s">
        <v>1678</v>
      </c>
      <c r="T540" s="2058" t="s">
        <v>1678</v>
      </c>
      <c r="W540" s="2058" t="s">
        <v>5206</v>
      </c>
      <c r="X540" s="2058" t="s">
        <v>5207</v>
      </c>
    </row>
    <row r="541" spans="1:24">
      <c r="A541">
        <v>30</v>
      </c>
      <c r="B541">
        <v>14120091</v>
      </c>
      <c r="C541" t="s">
        <v>5201</v>
      </c>
      <c r="D541" t="s">
        <v>5212</v>
      </c>
      <c r="E541" t="s">
        <v>5213</v>
      </c>
      <c r="F541" t="s">
        <v>5213</v>
      </c>
      <c r="G541">
        <v>138</v>
      </c>
      <c r="H541" t="s">
        <v>5214</v>
      </c>
      <c r="J541" t="s">
        <v>5215</v>
      </c>
      <c r="K541" s="2059">
        <v>0.09</v>
      </c>
      <c r="L541" t="s">
        <v>4257</v>
      </c>
      <c r="M541">
        <v>0.41</v>
      </c>
      <c r="N541">
        <v>1470</v>
      </c>
      <c r="O541">
        <v>5</v>
      </c>
      <c r="P541">
        <v>3</v>
      </c>
      <c r="U541" t="s">
        <v>1678</v>
      </c>
      <c r="V541">
        <v>43100</v>
      </c>
    </row>
    <row r="542" spans="1:24">
      <c r="A542">
        <v>30</v>
      </c>
      <c r="B542">
        <v>15110051</v>
      </c>
      <c r="C542" t="s">
        <v>5201</v>
      </c>
      <c r="D542" t="s">
        <v>5212</v>
      </c>
      <c r="E542" t="s">
        <v>5216</v>
      </c>
      <c r="F542" t="s">
        <v>5216</v>
      </c>
      <c r="G542">
        <v>93</v>
      </c>
      <c r="H542" t="s">
        <v>4215</v>
      </c>
      <c r="J542" t="s">
        <v>5217</v>
      </c>
      <c r="K542" s="2059">
        <v>8.1000000000000003E-2</v>
      </c>
      <c r="L542" t="s">
        <v>5218</v>
      </c>
      <c r="M542">
        <v>0.41</v>
      </c>
      <c r="N542">
        <v>1470</v>
      </c>
      <c r="O542">
        <v>5</v>
      </c>
      <c r="P542">
        <v>3</v>
      </c>
      <c r="U542" t="s">
        <v>1678</v>
      </c>
      <c r="V542">
        <v>43100</v>
      </c>
      <c r="W542" t="s">
        <v>5219</v>
      </c>
      <c r="X542" t="s">
        <v>5220</v>
      </c>
    </row>
    <row r="543" spans="1:24">
      <c r="A543">
        <v>30</v>
      </c>
      <c r="B543">
        <v>15110052</v>
      </c>
      <c r="C543" t="s">
        <v>5201</v>
      </c>
      <c r="D543" t="s">
        <v>5212</v>
      </c>
      <c r="E543" t="s">
        <v>5221</v>
      </c>
      <c r="F543" t="s">
        <v>5221</v>
      </c>
      <c r="G543">
        <v>93</v>
      </c>
      <c r="H543" t="s">
        <v>4215</v>
      </c>
      <c r="J543" t="s">
        <v>5217</v>
      </c>
      <c r="K543" s="2059">
        <v>8.1000000000000003E-2</v>
      </c>
      <c r="L543" t="s">
        <v>5218</v>
      </c>
      <c r="M543">
        <v>0.41</v>
      </c>
      <c r="N543">
        <v>1470</v>
      </c>
      <c r="O543">
        <v>5</v>
      </c>
      <c r="P543">
        <v>3</v>
      </c>
      <c r="U543" t="s">
        <v>1678</v>
      </c>
      <c r="V543">
        <v>43100</v>
      </c>
      <c r="W543" t="s">
        <v>5219</v>
      </c>
      <c r="X543" t="s">
        <v>5220</v>
      </c>
    </row>
    <row r="544" spans="1:24">
      <c r="A544">
        <v>30</v>
      </c>
      <c r="B544">
        <v>15110053</v>
      </c>
      <c r="C544" t="s">
        <v>5201</v>
      </c>
      <c r="D544" t="s">
        <v>5212</v>
      </c>
      <c r="E544" t="s">
        <v>5222</v>
      </c>
      <c r="F544" t="s">
        <v>5222</v>
      </c>
      <c r="G544">
        <v>93</v>
      </c>
      <c r="H544" t="s">
        <v>4215</v>
      </c>
      <c r="J544">
        <v>460</v>
      </c>
      <c r="K544" s="2059">
        <v>8.1000000000000003E-2</v>
      </c>
      <c r="L544">
        <v>25</v>
      </c>
      <c r="M544">
        <v>0.41</v>
      </c>
      <c r="N544">
        <v>1470</v>
      </c>
      <c r="O544">
        <v>5</v>
      </c>
      <c r="P544">
        <v>3</v>
      </c>
      <c r="U544" t="s">
        <v>1678</v>
      </c>
      <c r="V544">
        <v>43100</v>
      </c>
    </row>
    <row r="545" spans="1:24">
      <c r="A545">
        <v>30</v>
      </c>
      <c r="B545">
        <v>15110054</v>
      </c>
      <c r="C545" t="s">
        <v>5201</v>
      </c>
      <c r="D545" t="s">
        <v>5212</v>
      </c>
      <c r="E545" t="s">
        <v>5223</v>
      </c>
      <c r="F545" t="s">
        <v>5223</v>
      </c>
      <c r="G545">
        <v>93</v>
      </c>
      <c r="H545" t="s">
        <v>4215</v>
      </c>
      <c r="J545" t="s">
        <v>5224</v>
      </c>
      <c r="K545" s="2059">
        <v>8.1000000000000003E-2</v>
      </c>
      <c r="L545" t="s">
        <v>5218</v>
      </c>
      <c r="M545">
        <v>0.41</v>
      </c>
      <c r="N545">
        <v>1470</v>
      </c>
      <c r="O545">
        <v>5</v>
      </c>
      <c r="P545">
        <v>3</v>
      </c>
      <c r="U545" t="s">
        <v>1678</v>
      </c>
      <c r="V545">
        <v>43100</v>
      </c>
      <c r="W545" t="s">
        <v>5219</v>
      </c>
      <c r="X545" t="s">
        <v>5220</v>
      </c>
    </row>
    <row r="546" spans="1:24">
      <c r="A546">
        <v>31</v>
      </c>
      <c r="B546">
        <v>31.01</v>
      </c>
      <c r="C546" t="s">
        <v>5225</v>
      </c>
      <c r="D546" t="s">
        <v>5226</v>
      </c>
      <c r="E546" t="s">
        <v>5227</v>
      </c>
      <c r="F546" t="s">
        <v>5228</v>
      </c>
      <c r="I546" t="s">
        <v>4414</v>
      </c>
      <c r="K546" s="2059">
        <v>0.05</v>
      </c>
      <c r="M546">
        <v>0.39</v>
      </c>
      <c r="N546">
        <v>1400</v>
      </c>
      <c r="O546">
        <v>5</v>
      </c>
      <c r="P546">
        <v>3</v>
      </c>
      <c r="R546" t="s">
        <v>1678</v>
      </c>
      <c r="T546" t="s">
        <v>1678</v>
      </c>
    </row>
    <row r="547" spans="1:24">
      <c r="A547">
        <v>31</v>
      </c>
      <c r="B547">
        <v>31.02</v>
      </c>
      <c r="C547" t="s">
        <v>5225</v>
      </c>
      <c r="D547" t="s">
        <v>5226</v>
      </c>
      <c r="E547" t="s">
        <v>5227</v>
      </c>
      <c r="F547" t="s">
        <v>5228</v>
      </c>
      <c r="I547" t="s">
        <v>5229</v>
      </c>
      <c r="K547" s="2059">
        <v>0.06</v>
      </c>
      <c r="M547">
        <v>0.39</v>
      </c>
      <c r="N547">
        <v>1400</v>
      </c>
      <c r="O547">
        <v>5</v>
      </c>
      <c r="P547">
        <v>3</v>
      </c>
      <c r="R547" t="s">
        <v>1678</v>
      </c>
      <c r="T547" t="s">
        <v>1678</v>
      </c>
    </row>
    <row r="548" spans="1:24">
      <c r="A548">
        <v>31</v>
      </c>
      <c r="B548">
        <v>16090201</v>
      </c>
      <c r="C548" t="s">
        <v>5225</v>
      </c>
      <c r="D548" t="s">
        <v>5226</v>
      </c>
      <c r="E548" t="s">
        <v>5230</v>
      </c>
      <c r="F548" t="s">
        <v>5230</v>
      </c>
      <c r="G548">
        <v>76</v>
      </c>
      <c r="H548" t="s">
        <v>5231</v>
      </c>
      <c r="J548">
        <v>200</v>
      </c>
      <c r="K548" s="2059">
        <v>4.7E-2</v>
      </c>
      <c r="L548" t="s">
        <v>5232</v>
      </c>
      <c r="M548">
        <v>0.39</v>
      </c>
      <c r="N548">
        <v>1400</v>
      </c>
      <c r="O548">
        <v>5</v>
      </c>
      <c r="P548">
        <v>3</v>
      </c>
      <c r="U548" t="s">
        <v>1678</v>
      </c>
      <c r="V548">
        <v>43465</v>
      </c>
    </row>
    <row r="549" spans="1:24">
      <c r="A549">
        <v>31</v>
      </c>
      <c r="B549">
        <v>16090202</v>
      </c>
      <c r="C549" t="s">
        <v>5225</v>
      </c>
      <c r="D549" t="s">
        <v>5226</v>
      </c>
      <c r="E549" t="s">
        <v>5233</v>
      </c>
      <c r="F549" t="s">
        <v>5233</v>
      </c>
      <c r="G549">
        <v>76</v>
      </c>
      <c r="H549" t="s">
        <v>5231</v>
      </c>
      <c r="J549">
        <v>140</v>
      </c>
      <c r="K549" s="2059">
        <v>4.2000000000000003E-2</v>
      </c>
      <c r="L549" t="s">
        <v>4414</v>
      </c>
      <c r="M549">
        <v>0.39</v>
      </c>
      <c r="N549">
        <v>1400</v>
      </c>
      <c r="O549">
        <v>5</v>
      </c>
      <c r="P549">
        <v>3</v>
      </c>
      <c r="U549" t="s">
        <v>1678</v>
      </c>
      <c r="V549">
        <v>43465</v>
      </c>
    </row>
    <row r="550" spans="1:24">
      <c r="A550">
        <v>31</v>
      </c>
      <c r="B550">
        <v>16090203</v>
      </c>
      <c r="C550" t="s">
        <v>5225</v>
      </c>
      <c r="D550" t="s">
        <v>5226</v>
      </c>
      <c r="E550" t="s">
        <v>5234</v>
      </c>
      <c r="F550" t="s">
        <v>5234</v>
      </c>
      <c r="G550">
        <v>76</v>
      </c>
      <c r="H550" t="s">
        <v>5231</v>
      </c>
      <c r="J550">
        <v>130</v>
      </c>
      <c r="K550" s="2059">
        <v>4.1000000000000002E-2</v>
      </c>
      <c r="L550" t="s">
        <v>4425</v>
      </c>
      <c r="M550">
        <v>0.39</v>
      </c>
      <c r="N550">
        <v>1400</v>
      </c>
      <c r="O550">
        <v>5</v>
      </c>
      <c r="P550">
        <v>3</v>
      </c>
      <c r="U550" t="s">
        <v>1678</v>
      </c>
      <c r="V550">
        <v>43465</v>
      </c>
    </row>
    <row r="551" spans="1:24">
      <c r="A551">
        <v>31</v>
      </c>
      <c r="B551">
        <v>16090204</v>
      </c>
      <c r="C551" t="s">
        <v>5225</v>
      </c>
      <c r="D551" t="s">
        <v>5226</v>
      </c>
      <c r="E551" t="s">
        <v>5235</v>
      </c>
      <c r="F551" t="s">
        <v>5235</v>
      </c>
      <c r="G551">
        <v>76</v>
      </c>
      <c r="H551" t="s">
        <v>5231</v>
      </c>
      <c r="J551">
        <v>110</v>
      </c>
      <c r="K551" s="2059">
        <v>0.04</v>
      </c>
      <c r="L551" t="s">
        <v>5085</v>
      </c>
      <c r="M551">
        <v>0.39</v>
      </c>
      <c r="N551">
        <v>1400</v>
      </c>
      <c r="O551">
        <v>5</v>
      </c>
      <c r="P551">
        <v>3</v>
      </c>
      <c r="U551" t="s">
        <v>1678</v>
      </c>
      <c r="V551">
        <v>43465</v>
      </c>
    </row>
    <row r="552" spans="1:24">
      <c r="A552">
        <v>31</v>
      </c>
      <c r="B552">
        <v>16090205</v>
      </c>
      <c r="C552" t="s">
        <v>5225</v>
      </c>
      <c r="D552" t="s">
        <v>5226</v>
      </c>
      <c r="E552" t="s">
        <v>5236</v>
      </c>
      <c r="F552" t="s">
        <v>5236</v>
      </c>
      <c r="G552">
        <v>76</v>
      </c>
      <c r="H552" t="s">
        <v>5231</v>
      </c>
      <c r="J552">
        <v>140</v>
      </c>
      <c r="K552" s="2059">
        <v>0.04</v>
      </c>
      <c r="L552">
        <v>40</v>
      </c>
      <c r="M552">
        <v>0.39</v>
      </c>
      <c r="N552">
        <v>1400</v>
      </c>
      <c r="O552">
        <v>5</v>
      </c>
      <c r="P552">
        <v>3</v>
      </c>
      <c r="U552" t="s">
        <v>1678</v>
      </c>
      <c r="V552">
        <v>43465</v>
      </c>
    </row>
    <row r="553" spans="1:24">
      <c r="A553">
        <v>31</v>
      </c>
      <c r="B553">
        <v>16090206</v>
      </c>
      <c r="C553" t="s">
        <v>5225</v>
      </c>
      <c r="D553" t="s">
        <v>5226</v>
      </c>
      <c r="E553" t="s">
        <v>5237</v>
      </c>
      <c r="F553" t="s">
        <v>5237</v>
      </c>
      <c r="G553">
        <v>76</v>
      </c>
      <c r="H553" t="s">
        <v>5231</v>
      </c>
      <c r="J553">
        <v>140</v>
      </c>
      <c r="K553" s="2059">
        <v>4.1000000000000002E-2</v>
      </c>
      <c r="L553" t="s">
        <v>4984</v>
      </c>
      <c r="M553">
        <v>0.39</v>
      </c>
      <c r="N553">
        <v>1400</v>
      </c>
      <c r="O553">
        <v>5</v>
      </c>
      <c r="P553">
        <v>3</v>
      </c>
      <c r="U553" t="s">
        <v>1678</v>
      </c>
      <c r="V553">
        <v>43465</v>
      </c>
    </row>
    <row r="554" spans="1:24">
      <c r="A554">
        <v>31</v>
      </c>
      <c r="B554">
        <v>16090207</v>
      </c>
      <c r="C554" t="s">
        <v>5225</v>
      </c>
      <c r="D554" t="s">
        <v>5226</v>
      </c>
      <c r="E554" t="s">
        <v>5238</v>
      </c>
      <c r="F554" t="s">
        <v>5238</v>
      </c>
      <c r="G554">
        <v>76</v>
      </c>
      <c r="H554" t="s">
        <v>5231</v>
      </c>
      <c r="J554">
        <v>160</v>
      </c>
      <c r="K554" s="2059">
        <v>4.1000000000000002E-2</v>
      </c>
      <c r="L554" t="s">
        <v>5239</v>
      </c>
      <c r="M554">
        <v>0.39</v>
      </c>
      <c r="N554">
        <v>1400</v>
      </c>
      <c r="O554">
        <v>5</v>
      </c>
      <c r="P554">
        <v>3</v>
      </c>
      <c r="U554" t="s">
        <v>1678</v>
      </c>
      <c r="V554">
        <v>43465</v>
      </c>
    </row>
    <row r="555" spans="1:24">
      <c r="A555">
        <v>31</v>
      </c>
      <c r="B555">
        <v>16090208</v>
      </c>
      <c r="C555" t="s">
        <v>5225</v>
      </c>
      <c r="D555" t="s">
        <v>5226</v>
      </c>
      <c r="E555" t="s">
        <v>5240</v>
      </c>
      <c r="F555" t="s">
        <v>5240</v>
      </c>
      <c r="G555">
        <v>76</v>
      </c>
      <c r="H555" t="s">
        <v>5231</v>
      </c>
      <c r="J555">
        <v>185</v>
      </c>
      <c r="K555" s="2059">
        <v>4.5999999999999999E-2</v>
      </c>
      <c r="L555" t="s">
        <v>4482</v>
      </c>
      <c r="M555">
        <v>0.39</v>
      </c>
      <c r="N555">
        <v>1400</v>
      </c>
      <c r="O555">
        <v>5</v>
      </c>
      <c r="P555">
        <v>3</v>
      </c>
      <c r="U555" t="s">
        <v>1678</v>
      </c>
      <c r="V555">
        <v>43465</v>
      </c>
    </row>
    <row r="556" spans="1:24">
      <c r="A556">
        <v>31</v>
      </c>
      <c r="B556">
        <v>16090209</v>
      </c>
      <c r="C556" t="s">
        <v>5225</v>
      </c>
      <c r="D556" t="s">
        <v>5226</v>
      </c>
      <c r="E556" t="s">
        <v>5241</v>
      </c>
      <c r="F556" t="s">
        <v>5241</v>
      </c>
      <c r="G556">
        <v>76</v>
      </c>
      <c r="H556" t="s">
        <v>5231</v>
      </c>
      <c r="J556">
        <v>180</v>
      </c>
      <c r="K556" s="2059">
        <v>4.4999999999999998E-2</v>
      </c>
      <c r="L556" t="s">
        <v>4539</v>
      </c>
      <c r="M556">
        <v>0.39</v>
      </c>
      <c r="N556">
        <v>1400</v>
      </c>
      <c r="O556">
        <v>5</v>
      </c>
      <c r="P556">
        <v>3</v>
      </c>
      <c r="U556" t="s">
        <v>1678</v>
      </c>
      <c r="V556">
        <v>43465</v>
      </c>
    </row>
    <row r="557" spans="1:24">
      <c r="A557">
        <v>31</v>
      </c>
      <c r="B557">
        <v>15090111</v>
      </c>
      <c r="C557" t="s">
        <v>5225</v>
      </c>
      <c r="D557" t="s">
        <v>5226</v>
      </c>
      <c r="E557" t="s">
        <v>5242</v>
      </c>
      <c r="F557" t="s">
        <v>5242</v>
      </c>
      <c r="G557">
        <v>76</v>
      </c>
      <c r="H557" t="s">
        <v>5231</v>
      </c>
      <c r="J557">
        <v>150</v>
      </c>
      <c r="K557" s="2059">
        <v>4.2000000000000003E-2</v>
      </c>
      <c r="L557" t="s">
        <v>4216</v>
      </c>
      <c r="M557">
        <v>0.39</v>
      </c>
      <c r="N557">
        <v>1400</v>
      </c>
      <c r="O557">
        <v>5</v>
      </c>
      <c r="P557">
        <v>3</v>
      </c>
      <c r="U557" t="s">
        <v>1678</v>
      </c>
      <c r="V557">
        <v>43100</v>
      </c>
    </row>
    <row r="558" spans="1:24">
      <c r="A558">
        <v>31</v>
      </c>
      <c r="B558">
        <v>15090112</v>
      </c>
      <c r="C558" t="s">
        <v>5225</v>
      </c>
      <c r="D558" t="s">
        <v>5226</v>
      </c>
      <c r="E558" t="s">
        <v>5243</v>
      </c>
      <c r="F558" t="s">
        <v>5243</v>
      </c>
      <c r="G558">
        <v>76</v>
      </c>
      <c r="H558" t="s">
        <v>5231</v>
      </c>
      <c r="J558">
        <v>160</v>
      </c>
      <c r="K558" s="2059">
        <v>4.2000000000000003E-2</v>
      </c>
      <c r="L558" t="s">
        <v>5032</v>
      </c>
      <c r="M558">
        <v>0.39</v>
      </c>
      <c r="N558">
        <v>1400</v>
      </c>
      <c r="O558">
        <v>5</v>
      </c>
      <c r="P558">
        <v>3</v>
      </c>
      <c r="U558" t="s">
        <v>1678</v>
      </c>
      <c r="V558">
        <v>43100</v>
      </c>
    </row>
    <row r="559" spans="1:24">
      <c r="A559">
        <v>31</v>
      </c>
      <c r="B559">
        <v>15090113</v>
      </c>
      <c r="C559" t="s">
        <v>5225</v>
      </c>
      <c r="D559" t="s">
        <v>5226</v>
      </c>
      <c r="E559" t="s">
        <v>5244</v>
      </c>
      <c r="F559" t="s">
        <v>5244</v>
      </c>
      <c r="G559">
        <v>76</v>
      </c>
      <c r="H559" t="s">
        <v>5231</v>
      </c>
      <c r="J559">
        <v>140</v>
      </c>
      <c r="K559" s="2059">
        <v>4.1000000000000002E-2</v>
      </c>
      <c r="L559" t="s">
        <v>4984</v>
      </c>
      <c r="M559">
        <v>0.39</v>
      </c>
      <c r="N559">
        <v>1400</v>
      </c>
      <c r="O559">
        <v>5</v>
      </c>
      <c r="P559">
        <v>3</v>
      </c>
      <c r="U559" t="s">
        <v>1678</v>
      </c>
      <c r="V559">
        <v>43100</v>
      </c>
    </row>
    <row r="560" spans="1:24">
      <c r="A560">
        <v>31</v>
      </c>
      <c r="B560">
        <v>16020021</v>
      </c>
      <c r="C560" t="s">
        <v>5225</v>
      </c>
      <c r="D560" t="s">
        <v>5226</v>
      </c>
      <c r="E560" t="s">
        <v>5245</v>
      </c>
      <c r="F560" t="s">
        <v>5245</v>
      </c>
      <c r="G560">
        <v>76</v>
      </c>
      <c r="H560" t="s">
        <v>5231</v>
      </c>
      <c r="J560">
        <v>150</v>
      </c>
      <c r="K560" s="2059">
        <v>4.2000000000000003E-2</v>
      </c>
      <c r="L560" t="s">
        <v>4216</v>
      </c>
      <c r="M560">
        <v>0.39</v>
      </c>
      <c r="N560">
        <v>1400</v>
      </c>
      <c r="O560">
        <v>5</v>
      </c>
      <c r="P560">
        <v>3</v>
      </c>
      <c r="U560" t="s">
        <v>1678</v>
      </c>
      <c r="V560">
        <v>43100</v>
      </c>
    </row>
    <row r="561" spans="1:24">
      <c r="A561">
        <v>31</v>
      </c>
      <c r="B561">
        <v>16100101</v>
      </c>
      <c r="C561" t="s">
        <v>5225</v>
      </c>
      <c r="D561" t="s">
        <v>5226</v>
      </c>
      <c r="E561" t="s">
        <v>5246</v>
      </c>
      <c r="F561" t="s">
        <v>5246</v>
      </c>
      <c r="G561">
        <v>113</v>
      </c>
      <c r="H561" t="s">
        <v>5247</v>
      </c>
      <c r="J561">
        <v>50</v>
      </c>
      <c r="K561" s="2059">
        <v>3.7999999999999999E-2</v>
      </c>
      <c r="L561" t="s">
        <v>4202</v>
      </c>
      <c r="M561">
        <v>0.39</v>
      </c>
      <c r="N561">
        <v>1400</v>
      </c>
      <c r="O561">
        <v>5</v>
      </c>
      <c r="P561">
        <v>3</v>
      </c>
      <c r="U561" t="s">
        <v>1678</v>
      </c>
      <c r="V561">
        <v>43465</v>
      </c>
      <c r="W561" t="s">
        <v>5248</v>
      </c>
      <c r="X561" t="s">
        <v>5249</v>
      </c>
    </row>
    <row r="562" spans="1:24">
      <c r="A562">
        <v>31</v>
      </c>
      <c r="B562">
        <v>16100102</v>
      </c>
      <c r="C562" t="s">
        <v>5225</v>
      </c>
      <c r="D562" t="s">
        <v>5226</v>
      </c>
      <c r="E562" t="s">
        <v>5250</v>
      </c>
      <c r="F562" t="s">
        <v>5250</v>
      </c>
      <c r="G562">
        <v>113</v>
      </c>
      <c r="H562" t="s">
        <v>5247</v>
      </c>
      <c r="J562">
        <v>140</v>
      </c>
      <c r="K562" s="2059">
        <v>4.2000000000000003E-2</v>
      </c>
      <c r="L562" t="s">
        <v>4191</v>
      </c>
      <c r="M562">
        <v>0.39</v>
      </c>
      <c r="N562">
        <v>1400</v>
      </c>
      <c r="O562">
        <v>5</v>
      </c>
      <c r="P562">
        <v>3</v>
      </c>
      <c r="U562" t="s">
        <v>1678</v>
      </c>
      <c r="V562">
        <v>43465</v>
      </c>
      <c r="W562" t="s">
        <v>5251</v>
      </c>
      <c r="X562" t="s">
        <v>5252</v>
      </c>
    </row>
    <row r="563" spans="1:24">
      <c r="A563">
        <v>31</v>
      </c>
      <c r="B563">
        <v>16100103</v>
      </c>
      <c r="C563" t="s">
        <v>5225</v>
      </c>
      <c r="D563" t="s">
        <v>5226</v>
      </c>
      <c r="E563" t="s">
        <v>5253</v>
      </c>
      <c r="F563" t="s">
        <v>5253</v>
      </c>
      <c r="G563">
        <v>113</v>
      </c>
      <c r="H563" t="s">
        <v>5247</v>
      </c>
      <c r="J563">
        <v>110</v>
      </c>
      <c r="K563" s="2059">
        <v>0.04</v>
      </c>
      <c r="L563" t="s">
        <v>5085</v>
      </c>
      <c r="M563">
        <v>0.39</v>
      </c>
      <c r="N563">
        <v>1400</v>
      </c>
      <c r="O563">
        <v>5</v>
      </c>
      <c r="P563">
        <v>3</v>
      </c>
      <c r="U563" t="s">
        <v>1678</v>
      </c>
      <c r="V563">
        <v>43465</v>
      </c>
      <c r="W563" t="s">
        <v>5251</v>
      </c>
      <c r="X563" t="s">
        <v>5252</v>
      </c>
    </row>
    <row r="564" spans="1:24">
      <c r="A564">
        <v>31</v>
      </c>
      <c r="B564">
        <v>16100104</v>
      </c>
      <c r="C564" t="s">
        <v>5225</v>
      </c>
      <c r="D564" t="s">
        <v>5226</v>
      </c>
      <c r="E564" t="s">
        <v>5254</v>
      </c>
      <c r="F564" t="s">
        <v>5254</v>
      </c>
      <c r="G564">
        <v>113</v>
      </c>
      <c r="H564" t="s">
        <v>5247</v>
      </c>
      <c r="J564">
        <v>140</v>
      </c>
      <c r="K564" s="2059">
        <v>4.2000000000000003E-2</v>
      </c>
      <c r="L564" t="s">
        <v>5085</v>
      </c>
      <c r="M564">
        <v>0.39</v>
      </c>
      <c r="N564">
        <v>1400</v>
      </c>
      <c r="O564">
        <v>5</v>
      </c>
      <c r="P564">
        <v>3</v>
      </c>
      <c r="U564" t="s">
        <v>1678</v>
      </c>
      <c r="V564">
        <v>43465</v>
      </c>
      <c r="W564" t="s">
        <v>5251</v>
      </c>
      <c r="X564" t="s">
        <v>5252</v>
      </c>
    </row>
    <row r="565" spans="1:24">
      <c r="A565">
        <v>31</v>
      </c>
      <c r="B565">
        <v>16100105</v>
      </c>
      <c r="C565" t="s">
        <v>5225</v>
      </c>
      <c r="D565" t="s">
        <v>5226</v>
      </c>
      <c r="E565" t="s">
        <v>5255</v>
      </c>
      <c r="F565" t="s">
        <v>5255</v>
      </c>
      <c r="G565">
        <v>113</v>
      </c>
      <c r="H565" t="s">
        <v>5247</v>
      </c>
      <c r="J565">
        <v>140</v>
      </c>
      <c r="K565" s="2059">
        <v>4.2000000000000003E-2</v>
      </c>
      <c r="L565" t="s">
        <v>4425</v>
      </c>
      <c r="M565">
        <v>0.39</v>
      </c>
      <c r="N565">
        <v>1400</v>
      </c>
      <c r="O565">
        <v>5</v>
      </c>
      <c r="P565">
        <v>3</v>
      </c>
      <c r="U565" t="s">
        <v>1678</v>
      </c>
      <c r="V565">
        <v>43465</v>
      </c>
      <c r="W565" t="s">
        <v>5251</v>
      </c>
      <c r="X565" t="s">
        <v>5252</v>
      </c>
    </row>
    <row r="566" spans="1:24">
      <c r="A566">
        <v>31</v>
      </c>
      <c r="B566">
        <v>16100106</v>
      </c>
      <c r="C566" t="s">
        <v>5225</v>
      </c>
      <c r="D566" t="s">
        <v>5226</v>
      </c>
      <c r="E566" t="s">
        <v>5256</v>
      </c>
      <c r="F566" t="s">
        <v>5256</v>
      </c>
      <c r="G566">
        <v>113</v>
      </c>
      <c r="H566" t="s">
        <v>5247</v>
      </c>
      <c r="J566">
        <v>140</v>
      </c>
      <c r="K566" s="2059">
        <v>4.2000000000000003E-2</v>
      </c>
      <c r="L566" t="s">
        <v>5257</v>
      </c>
      <c r="M566">
        <v>0.39</v>
      </c>
      <c r="N566">
        <v>1400</v>
      </c>
      <c r="O566">
        <v>5</v>
      </c>
      <c r="P566">
        <v>3</v>
      </c>
      <c r="U566" t="s">
        <v>1678</v>
      </c>
      <c r="V566">
        <v>43465</v>
      </c>
      <c r="W566" t="s">
        <v>5258</v>
      </c>
    </row>
    <row r="567" spans="1:24">
      <c r="A567">
        <v>31</v>
      </c>
      <c r="B567">
        <v>16100107</v>
      </c>
      <c r="C567" t="s">
        <v>5225</v>
      </c>
      <c r="D567" t="s">
        <v>5226</v>
      </c>
      <c r="E567" t="s">
        <v>5259</v>
      </c>
      <c r="F567" t="s">
        <v>5259</v>
      </c>
      <c r="G567">
        <v>113</v>
      </c>
      <c r="H567" t="s">
        <v>5247</v>
      </c>
      <c r="J567">
        <v>160</v>
      </c>
      <c r="K567" s="2059">
        <v>4.2000000000000003E-2</v>
      </c>
      <c r="L567" t="s">
        <v>4243</v>
      </c>
      <c r="M567">
        <v>0.39</v>
      </c>
      <c r="N567">
        <v>1400</v>
      </c>
      <c r="O567">
        <v>5</v>
      </c>
      <c r="P567">
        <v>3</v>
      </c>
      <c r="U567" t="s">
        <v>1678</v>
      </c>
      <c r="V567">
        <v>43465</v>
      </c>
      <c r="W567" t="s">
        <v>5260</v>
      </c>
      <c r="X567" t="s">
        <v>5261</v>
      </c>
    </row>
    <row r="568" spans="1:24">
      <c r="A568">
        <v>31</v>
      </c>
      <c r="B568">
        <v>16100108</v>
      </c>
      <c r="C568" t="s">
        <v>5225</v>
      </c>
      <c r="D568" t="s">
        <v>5226</v>
      </c>
      <c r="E568" t="s">
        <v>5262</v>
      </c>
      <c r="F568" t="s">
        <v>5262</v>
      </c>
      <c r="G568">
        <v>113</v>
      </c>
      <c r="H568" t="s">
        <v>5247</v>
      </c>
      <c r="J568">
        <v>180</v>
      </c>
      <c r="K568" s="2059">
        <v>4.3999999999999997E-2</v>
      </c>
      <c r="L568" t="s">
        <v>5263</v>
      </c>
      <c r="M568">
        <v>0.39</v>
      </c>
      <c r="N568">
        <v>1400</v>
      </c>
      <c r="O568">
        <v>5</v>
      </c>
      <c r="P568">
        <v>3</v>
      </c>
      <c r="U568" t="s">
        <v>1678</v>
      </c>
      <c r="V568">
        <v>43465</v>
      </c>
      <c r="W568" t="s">
        <v>5258</v>
      </c>
    </row>
    <row r="569" spans="1:24">
      <c r="A569">
        <v>31</v>
      </c>
      <c r="B569">
        <v>16100109</v>
      </c>
      <c r="C569" t="s">
        <v>5225</v>
      </c>
      <c r="D569" t="s">
        <v>5226</v>
      </c>
      <c r="E569" t="s">
        <v>5264</v>
      </c>
      <c r="F569" t="s">
        <v>5264</v>
      </c>
      <c r="G569">
        <v>113</v>
      </c>
      <c r="H569" t="s">
        <v>5247</v>
      </c>
      <c r="J569">
        <v>220</v>
      </c>
      <c r="K569" s="2059">
        <v>4.7E-2</v>
      </c>
      <c r="L569" t="s">
        <v>5265</v>
      </c>
      <c r="M569">
        <v>0.39</v>
      </c>
      <c r="N569">
        <v>1400</v>
      </c>
      <c r="O569">
        <v>5</v>
      </c>
      <c r="P569">
        <v>3</v>
      </c>
      <c r="U569" t="s">
        <v>1678</v>
      </c>
      <c r="V569">
        <v>43465</v>
      </c>
      <c r="W569" t="s">
        <v>5260</v>
      </c>
      <c r="X569" t="s">
        <v>5261</v>
      </c>
    </row>
    <row r="570" spans="1:24">
      <c r="A570">
        <v>31</v>
      </c>
      <c r="B570">
        <v>16100110</v>
      </c>
      <c r="C570" t="s">
        <v>5225</v>
      </c>
      <c r="D570" t="s">
        <v>5226</v>
      </c>
      <c r="E570" t="s">
        <v>5266</v>
      </c>
      <c r="F570" t="s">
        <v>5266</v>
      </c>
      <c r="G570">
        <v>113</v>
      </c>
      <c r="H570" t="s">
        <v>5247</v>
      </c>
      <c r="J570">
        <v>140</v>
      </c>
      <c r="K570" s="2059">
        <v>4.2000000000000003E-2</v>
      </c>
      <c r="L570" t="s">
        <v>5085</v>
      </c>
      <c r="M570">
        <v>0.39</v>
      </c>
      <c r="N570">
        <v>1400</v>
      </c>
      <c r="O570">
        <v>5</v>
      </c>
      <c r="P570">
        <v>3</v>
      </c>
      <c r="U570" t="s">
        <v>1678</v>
      </c>
      <c r="V570">
        <v>43465</v>
      </c>
      <c r="W570" t="s">
        <v>5260</v>
      </c>
      <c r="X570" t="s">
        <v>5261</v>
      </c>
    </row>
    <row r="571" spans="1:24">
      <c r="A571">
        <v>31</v>
      </c>
      <c r="B571">
        <v>16100111</v>
      </c>
      <c r="C571" t="s">
        <v>5225</v>
      </c>
      <c r="D571" t="s">
        <v>5226</v>
      </c>
      <c r="E571" t="s">
        <v>5267</v>
      </c>
      <c r="F571" t="s">
        <v>5267</v>
      </c>
      <c r="G571">
        <v>113</v>
      </c>
      <c r="H571" t="s">
        <v>5247</v>
      </c>
      <c r="J571">
        <v>180</v>
      </c>
      <c r="K571" s="2059">
        <v>4.3999999999999997E-2</v>
      </c>
      <c r="L571" t="s">
        <v>5085</v>
      </c>
      <c r="M571">
        <v>0.39</v>
      </c>
      <c r="N571">
        <v>1400</v>
      </c>
      <c r="O571">
        <v>5</v>
      </c>
      <c r="P571">
        <v>3</v>
      </c>
      <c r="U571" t="s">
        <v>1678</v>
      </c>
      <c r="V571">
        <v>43465</v>
      </c>
      <c r="W571" t="s">
        <v>5260</v>
      </c>
      <c r="X571" t="s">
        <v>5261</v>
      </c>
    </row>
    <row r="572" spans="1:24">
      <c r="A572">
        <v>31</v>
      </c>
      <c r="B572">
        <v>16100121</v>
      </c>
      <c r="C572" t="s">
        <v>5225</v>
      </c>
      <c r="D572" t="s">
        <v>5226</v>
      </c>
      <c r="E572" t="s">
        <v>5268</v>
      </c>
      <c r="F572" t="s">
        <v>5268</v>
      </c>
      <c r="G572">
        <v>32</v>
      </c>
      <c r="H572" t="s">
        <v>5269</v>
      </c>
      <c r="J572">
        <v>50</v>
      </c>
      <c r="K572" s="2059">
        <v>3.7999999999999999E-2</v>
      </c>
      <c r="L572" t="s">
        <v>4237</v>
      </c>
      <c r="M572">
        <v>0.39</v>
      </c>
      <c r="N572">
        <v>1400</v>
      </c>
      <c r="O572">
        <v>5</v>
      </c>
      <c r="P572">
        <v>3</v>
      </c>
      <c r="U572" t="s">
        <v>1678</v>
      </c>
      <c r="V572">
        <v>43465</v>
      </c>
      <c r="W572" t="s">
        <v>5270</v>
      </c>
      <c r="X572" t="s">
        <v>5271</v>
      </c>
    </row>
    <row r="573" spans="1:24">
      <c r="A573">
        <v>31</v>
      </c>
      <c r="B573">
        <v>15090011</v>
      </c>
      <c r="C573" t="s">
        <v>5225</v>
      </c>
      <c r="D573" t="s">
        <v>5226</v>
      </c>
      <c r="E573" t="s">
        <v>5272</v>
      </c>
      <c r="F573" t="s">
        <v>5272</v>
      </c>
      <c r="G573">
        <v>32</v>
      </c>
      <c r="H573" t="s">
        <v>5269</v>
      </c>
      <c r="J573" t="s">
        <v>5273</v>
      </c>
      <c r="K573" s="2059">
        <v>3.7999999999999999E-2</v>
      </c>
      <c r="L573" t="s">
        <v>4202</v>
      </c>
      <c r="M573">
        <v>0.39</v>
      </c>
      <c r="N573">
        <v>1400</v>
      </c>
      <c r="O573">
        <v>5</v>
      </c>
      <c r="P573">
        <v>3</v>
      </c>
      <c r="U573" t="s">
        <v>1678</v>
      </c>
      <c r="V573">
        <v>43100</v>
      </c>
    </row>
    <row r="574" spans="1:24">
      <c r="A574">
        <v>31</v>
      </c>
      <c r="B574">
        <v>15090012</v>
      </c>
      <c r="C574" t="s">
        <v>5225</v>
      </c>
      <c r="D574" t="s">
        <v>5226</v>
      </c>
      <c r="E574" t="s">
        <v>5274</v>
      </c>
      <c r="F574" t="s">
        <v>5274</v>
      </c>
      <c r="G574">
        <v>32</v>
      </c>
      <c r="H574" t="s">
        <v>5269</v>
      </c>
      <c r="J574" t="s">
        <v>5275</v>
      </c>
      <c r="K574" s="2059">
        <v>0.04</v>
      </c>
      <c r="L574" t="s">
        <v>4202</v>
      </c>
      <c r="M574">
        <v>0.39</v>
      </c>
      <c r="N574">
        <v>1400</v>
      </c>
      <c r="O574">
        <v>5</v>
      </c>
      <c r="P574">
        <v>3</v>
      </c>
      <c r="U574" t="s">
        <v>1678</v>
      </c>
      <c r="V574">
        <v>43100</v>
      </c>
    </row>
    <row r="575" spans="1:24">
      <c r="A575">
        <v>31</v>
      </c>
      <c r="B575">
        <v>15090013</v>
      </c>
      <c r="C575" t="s">
        <v>5225</v>
      </c>
      <c r="D575" t="s">
        <v>5226</v>
      </c>
      <c r="E575" t="s">
        <v>5276</v>
      </c>
      <c r="F575" t="s">
        <v>5276</v>
      </c>
      <c r="G575">
        <v>32</v>
      </c>
      <c r="H575" t="s">
        <v>5269</v>
      </c>
      <c r="J575" t="s">
        <v>5275</v>
      </c>
      <c r="K575" s="2059">
        <v>0.04</v>
      </c>
      <c r="L575" t="s">
        <v>5277</v>
      </c>
      <c r="M575">
        <v>0.39</v>
      </c>
      <c r="N575">
        <v>1400</v>
      </c>
      <c r="O575">
        <v>5</v>
      </c>
      <c r="P575">
        <v>3</v>
      </c>
      <c r="U575" t="s">
        <v>1678</v>
      </c>
      <c r="V575">
        <v>43100</v>
      </c>
      <c r="W575" t="s">
        <v>5278</v>
      </c>
      <c r="X575" t="s">
        <v>5279</v>
      </c>
    </row>
    <row r="576" spans="1:24">
      <c r="A576">
        <v>31</v>
      </c>
      <c r="B576">
        <v>15090014</v>
      </c>
      <c r="C576" t="s">
        <v>5225</v>
      </c>
      <c r="D576" t="s">
        <v>5226</v>
      </c>
      <c r="E576" t="s">
        <v>5280</v>
      </c>
      <c r="F576" t="s">
        <v>5280</v>
      </c>
      <c r="G576">
        <v>32</v>
      </c>
      <c r="H576" t="s">
        <v>5269</v>
      </c>
      <c r="J576" t="s">
        <v>5281</v>
      </c>
      <c r="K576" s="2059">
        <v>4.3999999999999997E-2</v>
      </c>
      <c r="L576" t="s">
        <v>5282</v>
      </c>
      <c r="M576">
        <v>0.39</v>
      </c>
      <c r="N576">
        <v>1400</v>
      </c>
      <c r="O576">
        <v>5</v>
      </c>
      <c r="P576">
        <v>3</v>
      </c>
      <c r="U576" t="s">
        <v>1678</v>
      </c>
      <c r="V576">
        <v>43100</v>
      </c>
      <c r="W576" t="s">
        <v>5283</v>
      </c>
    </row>
    <row r="577" spans="1:24">
      <c r="A577">
        <v>31</v>
      </c>
      <c r="B577">
        <v>15090015</v>
      </c>
      <c r="C577" t="s">
        <v>5225</v>
      </c>
      <c r="D577" t="s">
        <v>5226</v>
      </c>
      <c r="E577" t="s">
        <v>5284</v>
      </c>
      <c r="F577" t="s">
        <v>5284</v>
      </c>
      <c r="G577">
        <v>32</v>
      </c>
      <c r="H577" t="s">
        <v>5269</v>
      </c>
      <c r="J577" t="s">
        <v>5275</v>
      </c>
      <c r="K577" s="2059">
        <v>0.04</v>
      </c>
      <c r="L577" t="s">
        <v>4202</v>
      </c>
      <c r="M577">
        <v>0.39</v>
      </c>
      <c r="N577">
        <v>1400</v>
      </c>
      <c r="O577">
        <v>5</v>
      </c>
      <c r="P577">
        <v>3</v>
      </c>
      <c r="U577" t="s">
        <v>1678</v>
      </c>
      <c r="V577">
        <v>43100</v>
      </c>
      <c r="W577" t="s">
        <v>5285</v>
      </c>
      <c r="X577" t="s">
        <v>4197</v>
      </c>
    </row>
    <row r="578" spans="1:24">
      <c r="A578">
        <v>31</v>
      </c>
      <c r="B578">
        <v>15090016</v>
      </c>
      <c r="C578" t="s">
        <v>5225</v>
      </c>
      <c r="D578" t="s">
        <v>5226</v>
      </c>
      <c r="E578" t="s">
        <v>5286</v>
      </c>
      <c r="F578" t="s">
        <v>5286</v>
      </c>
      <c r="G578">
        <v>32</v>
      </c>
      <c r="H578" t="s">
        <v>5269</v>
      </c>
      <c r="J578" t="s">
        <v>5287</v>
      </c>
      <c r="K578" s="2059">
        <v>4.3999999999999997E-2</v>
      </c>
      <c r="L578" t="s">
        <v>5041</v>
      </c>
      <c r="M578">
        <v>0.39</v>
      </c>
      <c r="N578">
        <v>1400</v>
      </c>
      <c r="O578">
        <v>5</v>
      </c>
      <c r="P578">
        <v>3</v>
      </c>
      <c r="U578" t="s">
        <v>1678</v>
      </c>
      <c r="V578">
        <v>43100</v>
      </c>
      <c r="W578" t="s">
        <v>5285</v>
      </c>
      <c r="X578" t="s">
        <v>4197</v>
      </c>
    </row>
    <row r="579" spans="1:24">
      <c r="A579">
        <v>31</v>
      </c>
      <c r="B579">
        <v>16090051</v>
      </c>
      <c r="C579" t="s">
        <v>5225</v>
      </c>
      <c r="D579" t="s">
        <v>5226</v>
      </c>
      <c r="E579" t="s">
        <v>5288</v>
      </c>
      <c r="F579" t="s">
        <v>5288</v>
      </c>
      <c r="G579">
        <v>7</v>
      </c>
      <c r="H579" t="s">
        <v>5289</v>
      </c>
      <c r="J579">
        <v>135</v>
      </c>
      <c r="K579" s="2059">
        <v>3.7999999999999999E-2</v>
      </c>
      <c r="L579" t="s">
        <v>5290</v>
      </c>
      <c r="M579">
        <v>0.39</v>
      </c>
      <c r="N579">
        <v>1400</v>
      </c>
      <c r="O579">
        <v>5</v>
      </c>
      <c r="P579">
        <v>3</v>
      </c>
      <c r="U579" t="s">
        <v>1678</v>
      </c>
      <c r="V579">
        <v>43465</v>
      </c>
    </row>
    <row r="580" spans="1:24">
      <c r="A580">
        <v>31</v>
      </c>
      <c r="B580">
        <v>16090052</v>
      </c>
      <c r="C580" t="s">
        <v>5225</v>
      </c>
      <c r="D580" t="s">
        <v>5226</v>
      </c>
      <c r="E580" t="s">
        <v>5291</v>
      </c>
      <c r="F580" t="s">
        <v>5291</v>
      </c>
      <c r="G580">
        <v>7</v>
      </c>
      <c r="H580" t="s">
        <v>5289</v>
      </c>
      <c r="J580">
        <v>150</v>
      </c>
      <c r="K580" s="2059">
        <v>3.9E-2</v>
      </c>
      <c r="L580" t="s">
        <v>4403</v>
      </c>
      <c r="M580">
        <v>0.39</v>
      </c>
      <c r="N580">
        <v>1400</v>
      </c>
      <c r="O580">
        <v>5</v>
      </c>
      <c r="P580">
        <v>3</v>
      </c>
      <c r="U580" t="s">
        <v>1678</v>
      </c>
      <c r="V580">
        <v>43465</v>
      </c>
    </row>
    <row r="581" spans="1:24">
      <c r="A581">
        <v>31</v>
      </c>
      <c r="B581">
        <v>16090053</v>
      </c>
      <c r="C581" t="s">
        <v>5225</v>
      </c>
      <c r="D581" t="s">
        <v>5226</v>
      </c>
      <c r="E581" t="s">
        <v>5292</v>
      </c>
      <c r="F581" t="s">
        <v>5292</v>
      </c>
      <c r="G581">
        <v>7</v>
      </c>
      <c r="H581" t="s">
        <v>5289</v>
      </c>
      <c r="J581">
        <v>175</v>
      </c>
      <c r="K581" s="2059">
        <v>4.2999999999999997E-2</v>
      </c>
      <c r="L581" t="s">
        <v>4216</v>
      </c>
      <c r="M581">
        <v>0.39</v>
      </c>
      <c r="N581">
        <v>1400</v>
      </c>
      <c r="O581">
        <v>5</v>
      </c>
      <c r="P581">
        <v>3</v>
      </c>
      <c r="U581" t="s">
        <v>1678</v>
      </c>
      <c r="V581">
        <v>43465</v>
      </c>
    </row>
    <row r="582" spans="1:24">
      <c r="A582">
        <v>31</v>
      </c>
      <c r="B582">
        <v>16090054</v>
      </c>
      <c r="C582" t="s">
        <v>5225</v>
      </c>
      <c r="D582" t="s">
        <v>5226</v>
      </c>
      <c r="E582" t="s">
        <v>5293</v>
      </c>
      <c r="F582" t="s">
        <v>5293</v>
      </c>
      <c r="G582">
        <v>7</v>
      </c>
      <c r="H582" t="s">
        <v>5289</v>
      </c>
      <c r="J582">
        <v>175</v>
      </c>
      <c r="K582" s="2059">
        <v>4.2999999999999997E-2</v>
      </c>
      <c r="L582" t="s">
        <v>4216</v>
      </c>
      <c r="M582">
        <v>0.39</v>
      </c>
      <c r="N582">
        <v>1400</v>
      </c>
      <c r="O582">
        <v>5</v>
      </c>
      <c r="P582">
        <v>3</v>
      </c>
      <c r="U582" t="s">
        <v>1678</v>
      </c>
      <c r="V582">
        <v>43465</v>
      </c>
    </row>
    <row r="583" spans="1:24">
      <c r="A583">
        <v>31</v>
      </c>
      <c r="B583">
        <v>16090055</v>
      </c>
      <c r="C583" t="s">
        <v>5225</v>
      </c>
      <c r="D583" t="s">
        <v>5226</v>
      </c>
      <c r="E583" t="s">
        <v>5294</v>
      </c>
      <c r="F583" t="s">
        <v>5294</v>
      </c>
      <c r="G583">
        <v>7</v>
      </c>
      <c r="H583" t="s">
        <v>5289</v>
      </c>
      <c r="J583">
        <v>190</v>
      </c>
      <c r="K583" s="2059">
        <v>4.2999999999999997E-2</v>
      </c>
      <c r="L583" t="s">
        <v>4265</v>
      </c>
      <c r="M583">
        <v>0.39</v>
      </c>
      <c r="N583">
        <v>1400</v>
      </c>
      <c r="O583">
        <v>5</v>
      </c>
      <c r="P583">
        <v>3</v>
      </c>
      <c r="U583" t="s">
        <v>1678</v>
      </c>
      <c r="V583">
        <v>43465</v>
      </c>
    </row>
    <row r="584" spans="1:24">
      <c r="A584">
        <v>31</v>
      </c>
      <c r="B584">
        <v>16090056</v>
      </c>
      <c r="C584" t="s">
        <v>5225</v>
      </c>
      <c r="D584" t="s">
        <v>5226</v>
      </c>
      <c r="E584" t="s">
        <v>5295</v>
      </c>
      <c r="F584" t="s">
        <v>5295</v>
      </c>
      <c r="G584">
        <v>7</v>
      </c>
      <c r="H584" t="s">
        <v>5289</v>
      </c>
      <c r="J584">
        <v>180</v>
      </c>
      <c r="K584" s="2059">
        <v>4.2999999999999997E-2</v>
      </c>
      <c r="L584" t="s">
        <v>4473</v>
      </c>
      <c r="M584">
        <v>0.39</v>
      </c>
      <c r="N584">
        <v>1400</v>
      </c>
      <c r="O584">
        <v>5</v>
      </c>
      <c r="P584">
        <v>3</v>
      </c>
      <c r="U584" t="s">
        <v>1678</v>
      </c>
      <c r="V584">
        <v>43465</v>
      </c>
    </row>
    <row r="585" spans="1:24">
      <c r="A585">
        <v>31</v>
      </c>
      <c r="B585">
        <v>16090057</v>
      </c>
      <c r="C585" t="s">
        <v>5225</v>
      </c>
      <c r="D585" t="s">
        <v>5226</v>
      </c>
      <c r="E585" t="s">
        <v>5296</v>
      </c>
      <c r="F585" t="s">
        <v>5296</v>
      </c>
      <c r="G585">
        <v>7</v>
      </c>
      <c r="H585" t="s">
        <v>5289</v>
      </c>
      <c r="J585">
        <v>230</v>
      </c>
      <c r="K585" s="2059">
        <v>4.5999999999999999E-2</v>
      </c>
      <c r="L585" t="s">
        <v>5041</v>
      </c>
      <c r="M585">
        <v>0.39</v>
      </c>
      <c r="N585">
        <v>1400</v>
      </c>
      <c r="O585">
        <v>5</v>
      </c>
      <c r="P585">
        <v>3</v>
      </c>
      <c r="U585" t="s">
        <v>1678</v>
      </c>
      <c r="V585">
        <v>43465</v>
      </c>
    </row>
    <row r="586" spans="1:24">
      <c r="A586">
        <v>31</v>
      </c>
      <c r="B586">
        <v>16090058</v>
      </c>
      <c r="C586" t="s">
        <v>5225</v>
      </c>
      <c r="D586" t="s">
        <v>5226</v>
      </c>
      <c r="E586" t="s">
        <v>5297</v>
      </c>
      <c r="F586" t="s">
        <v>5297</v>
      </c>
      <c r="G586">
        <v>7</v>
      </c>
      <c r="H586" t="s">
        <v>5289</v>
      </c>
      <c r="J586">
        <v>230</v>
      </c>
      <c r="K586" s="2059">
        <v>4.5999999999999999E-2</v>
      </c>
      <c r="L586" t="s">
        <v>5041</v>
      </c>
      <c r="M586">
        <v>0.39</v>
      </c>
      <c r="N586">
        <v>1400</v>
      </c>
      <c r="O586">
        <v>5</v>
      </c>
      <c r="P586">
        <v>3</v>
      </c>
      <c r="U586" t="s">
        <v>1678</v>
      </c>
      <c r="V586">
        <v>43465</v>
      </c>
    </row>
    <row r="587" spans="1:24">
      <c r="A587">
        <v>31</v>
      </c>
      <c r="B587">
        <v>16090059</v>
      </c>
      <c r="C587" t="s">
        <v>5225</v>
      </c>
      <c r="D587" t="s">
        <v>5226</v>
      </c>
      <c r="E587" t="s">
        <v>5298</v>
      </c>
      <c r="F587" t="s">
        <v>5298</v>
      </c>
      <c r="G587">
        <v>7</v>
      </c>
      <c r="H587" t="s">
        <v>5289</v>
      </c>
      <c r="J587">
        <v>230</v>
      </c>
      <c r="K587" s="2059">
        <v>4.5999999999999999E-2</v>
      </c>
      <c r="L587" t="s">
        <v>5041</v>
      </c>
      <c r="M587">
        <v>0.39</v>
      </c>
      <c r="N587">
        <v>1400</v>
      </c>
      <c r="O587">
        <v>5</v>
      </c>
      <c r="P587">
        <v>3</v>
      </c>
      <c r="U587" t="s">
        <v>1678</v>
      </c>
      <c r="V587">
        <v>43465</v>
      </c>
    </row>
    <row r="588" spans="1:24">
      <c r="A588">
        <v>31</v>
      </c>
      <c r="B588">
        <v>16090060</v>
      </c>
      <c r="C588" t="s">
        <v>5225</v>
      </c>
      <c r="D588" t="s">
        <v>5226</v>
      </c>
      <c r="E588" t="s">
        <v>5299</v>
      </c>
      <c r="F588" t="s">
        <v>5299</v>
      </c>
      <c r="G588">
        <v>7</v>
      </c>
      <c r="H588" t="s">
        <v>5289</v>
      </c>
      <c r="J588">
        <v>240</v>
      </c>
      <c r="K588" s="2059">
        <v>4.7E-2</v>
      </c>
      <c r="L588" t="s">
        <v>5300</v>
      </c>
      <c r="M588">
        <v>0.39</v>
      </c>
      <c r="N588">
        <v>1400</v>
      </c>
      <c r="O588">
        <v>5</v>
      </c>
      <c r="P588">
        <v>3</v>
      </c>
      <c r="U588" t="s">
        <v>1678</v>
      </c>
      <c r="V588">
        <v>43465</v>
      </c>
    </row>
    <row r="589" spans="1:24">
      <c r="A589">
        <v>31</v>
      </c>
      <c r="B589">
        <v>16110061</v>
      </c>
      <c r="C589" t="s">
        <v>5225</v>
      </c>
      <c r="D589" t="s">
        <v>5226</v>
      </c>
      <c r="E589" t="s">
        <v>5301</v>
      </c>
      <c r="F589" t="s">
        <v>5301</v>
      </c>
      <c r="G589">
        <v>7</v>
      </c>
      <c r="H589" t="s">
        <v>5289</v>
      </c>
      <c r="J589">
        <v>55</v>
      </c>
      <c r="K589" s="2059">
        <v>3.7999999999999999E-2</v>
      </c>
      <c r="L589" t="s">
        <v>4230</v>
      </c>
      <c r="M589">
        <v>0.39</v>
      </c>
      <c r="N589">
        <v>1400</v>
      </c>
      <c r="O589">
        <v>5</v>
      </c>
      <c r="P589">
        <v>3</v>
      </c>
      <c r="V589">
        <v>43465</v>
      </c>
    </row>
    <row r="590" spans="1:24">
      <c r="A590">
        <v>31</v>
      </c>
      <c r="B590">
        <v>15100091</v>
      </c>
      <c r="C590" t="s">
        <v>5225</v>
      </c>
      <c r="D590" t="s">
        <v>5226</v>
      </c>
      <c r="E590" t="s">
        <v>5302</v>
      </c>
      <c r="F590" t="s">
        <v>5302</v>
      </c>
      <c r="G590">
        <v>7</v>
      </c>
      <c r="H590" t="s">
        <v>5289</v>
      </c>
      <c r="J590">
        <v>200</v>
      </c>
      <c r="K590" s="2059">
        <v>4.3999999999999997E-2</v>
      </c>
      <c r="L590" t="s">
        <v>5303</v>
      </c>
      <c r="M590">
        <v>0.39</v>
      </c>
      <c r="N590">
        <v>1400</v>
      </c>
      <c r="O590">
        <v>5</v>
      </c>
      <c r="P590">
        <v>3</v>
      </c>
      <c r="U590" t="s">
        <v>1678</v>
      </c>
      <c r="V590">
        <v>43100</v>
      </c>
    </row>
    <row r="591" spans="1:24">
      <c r="A591">
        <v>31</v>
      </c>
      <c r="B591">
        <v>15100092</v>
      </c>
      <c r="C591" t="s">
        <v>5225</v>
      </c>
      <c r="D591" t="s">
        <v>5226</v>
      </c>
      <c r="E591" t="s">
        <v>5304</v>
      </c>
      <c r="F591" t="s">
        <v>5304</v>
      </c>
      <c r="G591">
        <v>7</v>
      </c>
      <c r="H591" t="s">
        <v>5289</v>
      </c>
      <c r="J591">
        <v>200</v>
      </c>
      <c r="K591" s="2059">
        <v>4.3999999999999997E-2</v>
      </c>
      <c r="L591" t="s">
        <v>4482</v>
      </c>
      <c r="M591">
        <v>0.39</v>
      </c>
      <c r="N591">
        <v>1400</v>
      </c>
      <c r="O591">
        <v>5</v>
      </c>
      <c r="P591">
        <v>3</v>
      </c>
      <c r="U591" t="s">
        <v>1678</v>
      </c>
      <c r="V591">
        <v>43100</v>
      </c>
    </row>
    <row r="592" spans="1:24">
      <c r="A592">
        <v>31</v>
      </c>
      <c r="B592">
        <v>15100093</v>
      </c>
      <c r="C592" t="s">
        <v>5225</v>
      </c>
      <c r="D592" t="s">
        <v>5226</v>
      </c>
      <c r="E592" t="s">
        <v>5305</v>
      </c>
      <c r="F592" t="s">
        <v>5305</v>
      </c>
      <c r="G592">
        <v>7</v>
      </c>
      <c r="H592" t="s">
        <v>5289</v>
      </c>
      <c r="J592">
        <v>130</v>
      </c>
      <c r="K592" s="2059">
        <v>0.04</v>
      </c>
      <c r="L592" t="s">
        <v>4263</v>
      </c>
      <c r="M592">
        <v>0.39</v>
      </c>
      <c r="N592">
        <v>1400</v>
      </c>
      <c r="O592">
        <v>5</v>
      </c>
      <c r="P592">
        <v>3</v>
      </c>
      <c r="U592" t="s">
        <v>1678</v>
      </c>
      <c r="V592">
        <v>43100</v>
      </c>
    </row>
    <row r="593" spans="1:24">
      <c r="A593">
        <v>31</v>
      </c>
      <c r="B593">
        <v>15100094</v>
      </c>
      <c r="C593" t="s">
        <v>5225</v>
      </c>
      <c r="D593" t="s">
        <v>5226</v>
      </c>
      <c r="E593" t="s">
        <v>5306</v>
      </c>
      <c r="F593" t="s">
        <v>5306</v>
      </c>
      <c r="G593">
        <v>7</v>
      </c>
      <c r="H593" t="s">
        <v>5289</v>
      </c>
      <c r="J593">
        <v>110</v>
      </c>
      <c r="K593" s="2059">
        <v>3.7999999999999999E-2</v>
      </c>
      <c r="L593" t="s">
        <v>4250</v>
      </c>
      <c r="M593">
        <v>0.39</v>
      </c>
      <c r="N593">
        <v>1400</v>
      </c>
      <c r="O593">
        <v>5</v>
      </c>
      <c r="P593">
        <v>3</v>
      </c>
      <c r="U593" t="s">
        <v>1678</v>
      </c>
      <c r="V593">
        <v>43100</v>
      </c>
    </row>
    <row r="594" spans="1:24">
      <c r="A594">
        <v>31</v>
      </c>
      <c r="B594">
        <v>16040051</v>
      </c>
      <c r="C594" t="s">
        <v>5225</v>
      </c>
      <c r="D594" t="s">
        <v>5226</v>
      </c>
      <c r="E594" t="s">
        <v>5307</v>
      </c>
      <c r="F594" t="s">
        <v>5307</v>
      </c>
      <c r="G594">
        <v>7</v>
      </c>
      <c r="H594" t="s">
        <v>5289</v>
      </c>
      <c r="J594">
        <v>140</v>
      </c>
      <c r="K594" s="2059">
        <v>4.1000000000000002E-2</v>
      </c>
      <c r="L594" t="s">
        <v>4259</v>
      </c>
      <c r="M594">
        <v>0.39</v>
      </c>
      <c r="N594">
        <v>1400</v>
      </c>
      <c r="O594">
        <v>5</v>
      </c>
      <c r="P594">
        <v>3</v>
      </c>
      <c r="U594" t="s">
        <v>1678</v>
      </c>
      <c r="V594">
        <v>43281</v>
      </c>
    </row>
    <row r="595" spans="1:24">
      <c r="A595">
        <v>31</v>
      </c>
      <c r="B595">
        <v>15060211</v>
      </c>
      <c r="C595" t="s">
        <v>5225</v>
      </c>
      <c r="D595" t="s">
        <v>5226</v>
      </c>
      <c r="E595" t="s">
        <v>5308</v>
      </c>
      <c r="F595" t="s">
        <v>5308</v>
      </c>
      <c r="G595">
        <v>4</v>
      </c>
      <c r="H595" t="s">
        <v>4398</v>
      </c>
      <c r="J595">
        <v>180</v>
      </c>
      <c r="K595" s="2059">
        <v>4.3999999999999997E-2</v>
      </c>
      <c r="L595" t="s">
        <v>5309</v>
      </c>
      <c r="M595">
        <v>0.39</v>
      </c>
      <c r="N595">
        <v>1400</v>
      </c>
      <c r="O595">
        <v>5</v>
      </c>
      <c r="P595">
        <v>3</v>
      </c>
      <c r="U595" t="s">
        <v>1678</v>
      </c>
      <c r="V595">
        <v>43100</v>
      </c>
    </row>
    <row r="596" spans="1:24">
      <c r="A596">
        <v>31</v>
      </c>
      <c r="B596">
        <v>15060212</v>
      </c>
      <c r="C596" t="s">
        <v>5225</v>
      </c>
      <c r="D596" t="s">
        <v>5226</v>
      </c>
      <c r="E596" t="s">
        <v>5308</v>
      </c>
      <c r="F596" t="s">
        <v>5308</v>
      </c>
      <c r="G596">
        <v>4</v>
      </c>
      <c r="H596" t="s">
        <v>4398</v>
      </c>
      <c r="J596">
        <v>180</v>
      </c>
      <c r="K596" s="2059">
        <v>4.5999999999999999E-2</v>
      </c>
      <c r="L596" t="s">
        <v>5002</v>
      </c>
      <c r="M596">
        <v>0.39</v>
      </c>
      <c r="N596">
        <v>1400</v>
      </c>
      <c r="O596">
        <v>5</v>
      </c>
      <c r="P596">
        <v>3</v>
      </c>
      <c r="U596" t="s">
        <v>1678</v>
      </c>
      <c r="V596">
        <v>43100</v>
      </c>
    </row>
    <row r="597" spans="1:24">
      <c r="A597">
        <v>31</v>
      </c>
      <c r="B597">
        <v>16080031</v>
      </c>
      <c r="C597" t="s">
        <v>5225</v>
      </c>
      <c r="D597" t="s">
        <v>5226</v>
      </c>
      <c r="E597" t="s">
        <v>5310</v>
      </c>
      <c r="F597" t="s">
        <v>5310</v>
      </c>
      <c r="G597">
        <v>63</v>
      </c>
      <c r="H597" t="s">
        <v>5311</v>
      </c>
      <c r="J597">
        <v>50</v>
      </c>
      <c r="K597" s="2059">
        <v>3.7999999999999999E-2</v>
      </c>
      <c r="L597" t="s">
        <v>5085</v>
      </c>
      <c r="M597">
        <v>0.39</v>
      </c>
      <c r="N597">
        <v>1400</v>
      </c>
      <c r="O597">
        <v>5</v>
      </c>
      <c r="P597">
        <v>3</v>
      </c>
      <c r="U597" t="s">
        <v>1678</v>
      </c>
      <c r="V597">
        <v>43465</v>
      </c>
      <c r="W597" t="s">
        <v>5312</v>
      </c>
      <c r="X597" t="s">
        <v>5313</v>
      </c>
    </row>
    <row r="598" spans="1:24">
      <c r="A598">
        <v>31</v>
      </c>
      <c r="B598">
        <v>16080032</v>
      </c>
      <c r="C598" t="s">
        <v>5225</v>
      </c>
      <c r="D598" t="s">
        <v>5226</v>
      </c>
      <c r="E598" t="s">
        <v>5314</v>
      </c>
      <c r="F598" t="s">
        <v>5314</v>
      </c>
      <c r="G598">
        <v>63</v>
      </c>
      <c r="H598" t="s">
        <v>5311</v>
      </c>
      <c r="J598">
        <v>160</v>
      </c>
      <c r="K598" s="2059">
        <v>3.7999999999999999E-2</v>
      </c>
      <c r="L598" t="s">
        <v>4250</v>
      </c>
      <c r="M598">
        <v>0.39</v>
      </c>
      <c r="N598">
        <v>1400</v>
      </c>
      <c r="O598">
        <v>5</v>
      </c>
      <c r="P598">
        <v>3</v>
      </c>
      <c r="U598" t="s">
        <v>1678</v>
      </c>
      <c r="V598">
        <v>43465</v>
      </c>
      <c r="W598" t="s">
        <v>5315</v>
      </c>
      <c r="X598" t="s">
        <v>5316</v>
      </c>
    </row>
    <row r="599" spans="1:24">
      <c r="A599">
        <v>31</v>
      </c>
      <c r="B599">
        <v>16080033</v>
      </c>
      <c r="C599" t="s">
        <v>5225</v>
      </c>
      <c r="D599" t="s">
        <v>5226</v>
      </c>
      <c r="E599" t="s">
        <v>5317</v>
      </c>
      <c r="F599" t="s">
        <v>5317</v>
      </c>
      <c r="G599">
        <v>63</v>
      </c>
      <c r="H599" t="s">
        <v>5311</v>
      </c>
      <c r="J599">
        <v>270</v>
      </c>
      <c r="K599" s="2059">
        <v>4.8000000000000001E-2</v>
      </c>
      <c r="L599" t="s">
        <v>5318</v>
      </c>
      <c r="M599">
        <v>0.39</v>
      </c>
      <c r="N599">
        <v>1400</v>
      </c>
      <c r="O599">
        <v>5</v>
      </c>
      <c r="P599">
        <v>3</v>
      </c>
      <c r="U599" t="s">
        <v>1678</v>
      </c>
      <c r="V599">
        <v>43465</v>
      </c>
      <c r="W599" t="s">
        <v>5319</v>
      </c>
      <c r="X599" t="s">
        <v>5320</v>
      </c>
    </row>
    <row r="600" spans="1:24">
      <c r="A600">
        <v>31</v>
      </c>
      <c r="B600">
        <v>16040082</v>
      </c>
      <c r="C600" t="s">
        <v>5225</v>
      </c>
      <c r="D600" t="s">
        <v>5226</v>
      </c>
      <c r="E600" t="s">
        <v>5321</v>
      </c>
      <c r="F600" t="s">
        <v>5321</v>
      </c>
      <c r="G600">
        <v>63</v>
      </c>
      <c r="H600" t="s">
        <v>5311</v>
      </c>
      <c r="J600">
        <v>230</v>
      </c>
      <c r="K600" s="2059">
        <v>4.5999999999999999E-2</v>
      </c>
      <c r="L600" t="s">
        <v>4984</v>
      </c>
      <c r="M600">
        <v>0.39</v>
      </c>
      <c r="N600">
        <v>1400</v>
      </c>
      <c r="O600">
        <v>5</v>
      </c>
      <c r="P600">
        <v>3</v>
      </c>
      <c r="U600" t="s">
        <v>1678</v>
      </c>
      <c r="V600">
        <v>43281</v>
      </c>
      <c r="W600" t="s">
        <v>5322</v>
      </c>
      <c r="X600" t="s">
        <v>5323</v>
      </c>
    </row>
    <row r="601" spans="1:24">
      <c r="A601">
        <v>31</v>
      </c>
      <c r="B601">
        <v>16040083</v>
      </c>
      <c r="C601" t="s">
        <v>5225</v>
      </c>
      <c r="D601" t="s">
        <v>5226</v>
      </c>
      <c r="E601" t="s">
        <v>5324</v>
      </c>
      <c r="F601" t="s">
        <v>5324</v>
      </c>
      <c r="G601">
        <v>63</v>
      </c>
      <c r="H601" t="s">
        <v>5311</v>
      </c>
      <c r="J601">
        <v>110</v>
      </c>
      <c r="K601" s="2059">
        <v>3.6999999999999998E-2</v>
      </c>
      <c r="L601" t="s">
        <v>4202</v>
      </c>
      <c r="M601">
        <v>0.39</v>
      </c>
      <c r="N601">
        <v>1400</v>
      </c>
      <c r="O601">
        <v>5</v>
      </c>
      <c r="P601">
        <v>3</v>
      </c>
      <c r="U601" t="s">
        <v>1678</v>
      </c>
      <c r="V601">
        <v>43281</v>
      </c>
      <c r="W601" t="s">
        <v>5325</v>
      </c>
      <c r="X601" t="s">
        <v>5326</v>
      </c>
    </row>
    <row r="602" spans="1:24">
      <c r="A602">
        <v>31</v>
      </c>
      <c r="B602">
        <v>16040084</v>
      </c>
      <c r="C602" t="s">
        <v>5225</v>
      </c>
      <c r="D602" t="s">
        <v>5226</v>
      </c>
      <c r="E602" t="s">
        <v>5327</v>
      </c>
      <c r="F602" t="s">
        <v>5327</v>
      </c>
      <c r="G602">
        <v>63</v>
      </c>
      <c r="H602" t="s">
        <v>5311</v>
      </c>
      <c r="J602">
        <v>140</v>
      </c>
      <c r="K602" s="2059">
        <v>0.04</v>
      </c>
      <c r="L602" t="s">
        <v>4263</v>
      </c>
      <c r="M602">
        <v>0.39</v>
      </c>
      <c r="N602">
        <v>1400</v>
      </c>
      <c r="O602">
        <v>5</v>
      </c>
      <c r="P602">
        <v>3</v>
      </c>
      <c r="U602" t="s">
        <v>1678</v>
      </c>
      <c r="V602">
        <v>43281</v>
      </c>
      <c r="W602" t="s">
        <v>5328</v>
      </c>
      <c r="X602" t="s">
        <v>5329</v>
      </c>
    </row>
    <row r="603" spans="1:24">
      <c r="A603">
        <v>31</v>
      </c>
      <c r="B603">
        <v>16040085</v>
      </c>
      <c r="C603" t="s">
        <v>5225</v>
      </c>
      <c r="D603" t="s">
        <v>5226</v>
      </c>
      <c r="E603" t="s">
        <v>5330</v>
      </c>
      <c r="F603" t="s">
        <v>5330</v>
      </c>
      <c r="G603">
        <v>63</v>
      </c>
      <c r="H603" t="s">
        <v>5311</v>
      </c>
      <c r="J603">
        <v>210</v>
      </c>
      <c r="K603" s="2059">
        <v>4.4999999999999998E-2</v>
      </c>
      <c r="L603" t="s">
        <v>5331</v>
      </c>
      <c r="M603">
        <v>0.39</v>
      </c>
      <c r="N603">
        <v>1400</v>
      </c>
      <c r="O603">
        <v>5</v>
      </c>
      <c r="P603">
        <v>3</v>
      </c>
      <c r="U603" t="s">
        <v>1678</v>
      </c>
      <c r="V603">
        <v>43281</v>
      </c>
      <c r="W603" t="s">
        <v>5332</v>
      </c>
      <c r="X603" t="s">
        <v>5333</v>
      </c>
    </row>
    <row r="604" spans="1:24">
      <c r="A604">
        <v>31</v>
      </c>
      <c r="B604">
        <v>16040086</v>
      </c>
      <c r="C604" t="s">
        <v>5225</v>
      </c>
      <c r="D604" t="s">
        <v>5226</v>
      </c>
      <c r="E604" t="s">
        <v>5330</v>
      </c>
      <c r="F604" t="s">
        <v>5330</v>
      </c>
      <c r="G604">
        <v>63</v>
      </c>
      <c r="H604" t="s">
        <v>5311</v>
      </c>
      <c r="J604">
        <v>180</v>
      </c>
      <c r="K604" s="2059">
        <v>4.2999999999999997E-2</v>
      </c>
      <c r="L604" t="s">
        <v>5334</v>
      </c>
      <c r="M604">
        <v>0.39</v>
      </c>
      <c r="N604">
        <v>1400</v>
      </c>
      <c r="O604">
        <v>5</v>
      </c>
      <c r="P604">
        <v>3</v>
      </c>
      <c r="U604" t="s">
        <v>1678</v>
      </c>
      <c r="V604">
        <v>43281</v>
      </c>
      <c r="W604" t="s">
        <v>5332</v>
      </c>
      <c r="X604" t="s">
        <v>5333</v>
      </c>
    </row>
    <row r="605" spans="1:24" s="2058" customFormat="1">
      <c r="A605" s="2058">
        <v>48</v>
      </c>
      <c r="B605" s="2058">
        <v>48.01</v>
      </c>
      <c r="C605" s="2058" t="s">
        <v>5335</v>
      </c>
      <c r="D605" s="2058" t="s">
        <v>5336</v>
      </c>
      <c r="E605" s="2058" t="s">
        <v>5337</v>
      </c>
      <c r="F605" s="2058" t="s">
        <v>5338</v>
      </c>
      <c r="I605" s="2058" t="s">
        <v>5303</v>
      </c>
      <c r="K605" s="2060" t="s">
        <v>5339</v>
      </c>
      <c r="T605" s="2058" t="s">
        <v>1678</v>
      </c>
    </row>
    <row r="606" spans="1:24">
      <c r="A606">
        <v>48</v>
      </c>
      <c r="B606">
        <v>15090115</v>
      </c>
      <c r="C606" t="s">
        <v>5340</v>
      </c>
      <c r="D606" t="s">
        <v>5341</v>
      </c>
      <c r="E606" t="s">
        <v>5342</v>
      </c>
      <c r="F606" t="s">
        <v>5342</v>
      </c>
      <c r="G606">
        <v>76</v>
      </c>
      <c r="H606" t="s">
        <v>5231</v>
      </c>
      <c r="J606" t="s">
        <v>5343</v>
      </c>
      <c r="K606" s="2059">
        <v>3.7999999999999999E-2</v>
      </c>
      <c r="L606" t="s">
        <v>4293</v>
      </c>
      <c r="U606" t="s">
        <v>1678</v>
      </c>
      <c r="V606">
        <v>43100</v>
      </c>
      <c r="W606" t="s">
        <v>5340</v>
      </c>
      <c r="X606" t="s">
        <v>5344</v>
      </c>
    </row>
    <row r="607" spans="1:24">
      <c r="A607">
        <v>48</v>
      </c>
      <c r="B607">
        <v>16100112</v>
      </c>
      <c r="C607" t="s">
        <v>5340</v>
      </c>
      <c r="D607" t="s">
        <v>5341</v>
      </c>
      <c r="E607" t="s">
        <v>5345</v>
      </c>
      <c r="F607" t="s">
        <v>5345</v>
      </c>
      <c r="G607">
        <v>113</v>
      </c>
      <c r="H607" t="s">
        <v>5247</v>
      </c>
      <c r="J607" t="s">
        <v>5346</v>
      </c>
      <c r="K607" s="2059">
        <v>3.9E-2</v>
      </c>
      <c r="L607" t="s">
        <v>4293</v>
      </c>
      <c r="U607" t="s">
        <v>1678</v>
      </c>
      <c r="V607">
        <v>43465</v>
      </c>
      <c r="W607" t="s">
        <v>5347</v>
      </c>
    </row>
    <row r="608" spans="1:24">
      <c r="A608">
        <v>48</v>
      </c>
      <c r="B608">
        <v>16040101</v>
      </c>
      <c r="C608" t="s">
        <v>5340</v>
      </c>
      <c r="D608" t="s">
        <v>5341</v>
      </c>
      <c r="E608" t="s">
        <v>5348</v>
      </c>
      <c r="F608" t="s">
        <v>5348</v>
      </c>
      <c r="G608">
        <v>10</v>
      </c>
      <c r="H608" t="s">
        <v>4970</v>
      </c>
      <c r="J608" t="s">
        <v>4989</v>
      </c>
      <c r="K608" s="2059">
        <v>3.7999999999999999E-2</v>
      </c>
      <c r="L608" t="s">
        <v>4293</v>
      </c>
      <c r="U608" t="s">
        <v>1678</v>
      </c>
      <c r="V608">
        <v>43281</v>
      </c>
      <c r="W608" t="s">
        <v>5349</v>
      </c>
      <c r="X608" t="s">
        <v>5344</v>
      </c>
    </row>
    <row r="609" spans="1:24">
      <c r="A609">
        <v>48</v>
      </c>
      <c r="B609">
        <v>16040081</v>
      </c>
      <c r="C609" t="s">
        <v>5340</v>
      </c>
      <c r="D609" t="s">
        <v>5341</v>
      </c>
      <c r="E609" t="s">
        <v>5350</v>
      </c>
      <c r="F609" t="s">
        <v>5350</v>
      </c>
      <c r="G609">
        <v>63</v>
      </c>
      <c r="H609" t="s">
        <v>5311</v>
      </c>
      <c r="J609" t="s">
        <v>4989</v>
      </c>
      <c r="K609" s="2059">
        <v>3.7999999999999999E-2</v>
      </c>
      <c r="L609" t="s">
        <v>4293</v>
      </c>
      <c r="U609" t="s">
        <v>1678</v>
      </c>
      <c r="V609">
        <v>43281</v>
      </c>
      <c r="W609" t="s">
        <v>5349</v>
      </c>
      <c r="X609" t="s">
        <v>5344</v>
      </c>
    </row>
    <row r="610" spans="1:24" s="2058" customFormat="1">
      <c r="A610" s="2058">
        <v>43</v>
      </c>
      <c r="B610" s="2058">
        <v>43.01</v>
      </c>
      <c r="C610" s="2058" t="s">
        <v>5351</v>
      </c>
      <c r="D610" s="2058" t="s">
        <v>5352</v>
      </c>
      <c r="K610" s="2060"/>
      <c r="M610" s="2058" t="s">
        <v>506</v>
      </c>
      <c r="N610" s="2058" t="s">
        <v>506</v>
      </c>
      <c r="O610" s="2058" t="s">
        <v>506</v>
      </c>
      <c r="P610" s="2058" t="s">
        <v>506</v>
      </c>
    </row>
    <row r="611" spans="1:24">
      <c r="A611">
        <v>43</v>
      </c>
      <c r="B611">
        <v>16100081</v>
      </c>
      <c r="C611" t="s">
        <v>5353</v>
      </c>
      <c r="D611" t="s">
        <v>5354</v>
      </c>
      <c r="E611" t="s">
        <v>5355</v>
      </c>
      <c r="F611" t="s">
        <v>5355</v>
      </c>
      <c r="G611">
        <v>120</v>
      </c>
      <c r="H611" t="s">
        <v>5356</v>
      </c>
      <c r="J611" t="s">
        <v>5357</v>
      </c>
      <c r="K611" s="2059">
        <v>4.7E-2</v>
      </c>
      <c r="L611" t="s">
        <v>4293</v>
      </c>
      <c r="U611" t="s">
        <v>1678</v>
      </c>
      <c r="V611">
        <v>43465</v>
      </c>
      <c r="W611" t="s">
        <v>5358</v>
      </c>
      <c r="X611" t="s">
        <v>5359</v>
      </c>
    </row>
    <row r="612" spans="1:24" s="2058" customFormat="1">
      <c r="A612" s="2058">
        <v>45</v>
      </c>
      <c r="B612" s="2058">
        <v>45.01</v>
      </c>
      <c r="C612" s="2058" t="s">
        <v>5360</v>
      </c>
      <c r="D612" s="2058" t="s">
        <v>5361</v>
      </c>
      <c r="E612" s="2058" t="s">
        <v>5362</v>
      </c>
      <c r="F612" s="2058" t="s">
        <v>5363</v>
      </c>
      <c r="I612" s="2058" t="s">
        <v>5174</v>
      </c>
      <c r="K612" s="2060">
        <v>0.05</v>
      </c>
      <c r="O612" s="2058">
        <v>0</v>
      </c>
      <c r="P612" s="2058">
        <v>0</v>
      </c>
      <c r="T612" s="2058" t="s">
        <v>1678</v>
      </c>
    </row>
    <row r="613" spans="1:24">
      <c r="A613">
        <v>45</v>
      </c>
      <c r="B613">
        <v>16100122</v>
      </c>
      <c r="C613" t="s">
        <v>5360</v>
      </c>
      <c r="D613" t="s">
        <v>5361</v>
      </c>
      <c r="E613" t="s">
        <v>5364</v>
      </c>
      <c r="F613" t="s">
        <v>5364</v>
      </c>
      <c r="G613">
        <v>32</v>
      </c>
      <c r="H613" t="s">
        <v>5269</v>
      </c>
      <c r="J613" t="s">
        <v>5365</v>
      </c>
      <c r="K613" s="2059">
        <v>3.9E-2</v>
      </c>
      <c r="L613" t="s">
        <v>5366</v>
      </c>
      <c r="U613" t="s">
        <v>1678</v>
      </c>
      <c r="V613">
        <v>43465</v>
      </c>
      <c r="W613" t="s">
        <v>5270</v>
      </c>
      <c r="X613" t="s">
        <v>5367</v>
      </c>
    </row>
    <row r="614" spans="1:24">
      <c r="A614">
        <v>32</v>
      </c>
      <c r="B614">
        <v>32.01</v>
      </c>
      <c r="C614" t="s">
        <v>5368</v>
      </c>
      <c r="D614" t="s">
        <v>5369</v>
      </c>
      <c r="E614" t="s">
        <v>5370</v>
      </c>
      <c r="F614" t="s">
        <v>5371</v>
      </c>
      <c r="I614" t="s">
        <v>5372</v>
      </c>
      <c r="K614" s="2059">
        <v>0.05</v>
      </c>
      <c r="M614">
        <v>0.44</v>
      </c>
      <c r="N614">
        <v>1600</v>
      </c>
      <c r="O614">
        <v>2</v>
      </c>
      <c r="P614">
        <v>2</v>
      </c>
      <c r="R614" t="s">
        <v>1678</v>
      </c>
      <c r="T614" t="s">
        <v>1678</v>
      </c>
      <c r="W614" t="s">
        <v>4149</v>
      </c>
      <c r="X614" t="s">
        <v>4150</v>
      </c>
    </row>
    <row r="615" spans="1:24">
      <c r="A615">
        <v>32</v>
      </c>
      <c r="B615">
        <v>16040071</v>
      </c>
      <c r="C615" t="s">
        <v>5373</v>
      </c>
      <c r="D615" t="s">
        <v>5374</v>
      </c>
      <c r="E615" t="s">
        <v>5375</v>
      </c>
      <c r="F615" t="s">
        <v>5375</v>
      </c>
      <c r="G615">
        <v>109</v>
      </c>
      <c r="H615" t="s">
        <v>5376</v>
      </c>
      <c r="J615" t="s">
        <v>5377</v>
      </c>
      <c r="K615" s="2059">
        <v>3.7999999999999999E-2</v>
      </c>
      <c r="L615" t="s">
        <v>4293</v>
      </c>
      <c r="M615">
        <v>0.44</v>
      </c>
      <c r="N615">
        <v>1600</v>
      </c>
      <c r="O615">
        <v>2</v>
      </c>
      <c r="P615">
        <v>2</v>
      </c>
      <c r="U615" t="s">
        <v>1678</v>
      </c>
      <c r="V615">
        <v>43281</v>
      </c>
      <c r="W615" t="s">
        <v>5378</v>
      </c>
      <c r="X615" t="s">
        <v>5379</v>
      </c>
    </row>
    <row r="616" spans="1:24">
      <c r="A616">
        <v>32</v>
      </c>
      <c r="B616">
        <v>16030051</v>
      </c>
      <c r="C616" t="s">
        <v>5373</v>
      </c>
      <c r="D616" t="s">
        <v>5374</v>
      </c>
      <c r="E616" t="s">
        <v>5380</v>
      </c>
      <c r="F616" t="s">
        <v>5380</v>
      </c>
      <c r="G616">
        <v>78</v>
      </c>
      <c r="H616" t="s">
        <v>5381</v>
      </c>
      <c r="J616" t="s">
        <v>5382</v>
      </c>
      <c r="K616" s="2059">
        <v>3.7999999999999999E-2</v>
      </c>
      <c r="L616" t="s">
        <v>4293</v>
      </c>
      <c r="M616">
        <v>0.44</v>
      </c>
      <c r="N616">
        <v>1600</v>
      </c>
      <c r="O616">
        <v>2</v>
      </c>
      <c r="P616">
        <v>2</v>
      </c>
      <c r="U616" t="s">
        <v>1678</v>
      </c>
      <c r="V616">
        <v>43281</v>
      </c>
      <c r="W616" t="s">
        <v>5383</v>
      </c>
      <c r="X616" t="s">
        <v>5384</v>
      </c>
    </row>
    <row r="617" spans="1:24">
      <c r="A617">
        <v>32</v>
      </c>
      <c r="B617">
        <v>16030052</v>
      </c>
      <c r="C617" t="s">
        <v>5373</v>
      </c>
      <c r="D617" t="s">
        <v>5374</v>
      </c>
      <c r="E617" t="s">
        <v>5385</v>
      </c>
      <c r="F617" t="s">
        <v>5385</v>
      </c>
      <c r="G617">
        <v>78</v>
      </c>
      <c r="H617" t="s">
        <v>5381</v>
      </c>
      <c r="J617" t="s">
        <v>5382</v>
      </c>
      <c r="K617" s="2059">
        <v>3.7999999999999999E-2</v>
      </c>
      <c r="L617" t="s">
        <v>4293</v>
      </c>
      <c r="M617">
        <v>0.44</v>
      </c>
      <c r="N617">
        <v>1600</v>
      </c>
      <c r="O617">
        <v>2</v>
      </c>
      <c r="P617">
        <v>2</v>
      </c>
      <c r="U617" t="s">
        <v>1678</v>
      </c>
      <c r="V617">
        <v>43281</v>
      </c>
      <c r="W617" t="s">
        <v>5383</v>
      </c>
      <c r="X617" t="s">
        <v>5384</v>
      </c>
    </row>
    <row r="618" spans="1:24">
      <c r="A618">
        <v>32</v>
      </c>
      <c r="B618">
        <v>16030053</v>
      </c>
      <c r="C618" t="s">
        <v>5373</v>
      </c>
      <c r="D618" t="s">
        <v>5374</v>
      </c>
      <c r="E618" t="s">
        <v>5386</v>
      </c>
      <c r="F618" t="s">
        <v>5386</v>
      </c>
      <c r="G618">
        <v>78</v>
      </c>
      <c r="H618" t="s">
        <v>5381</v>
      </c>
      <c r="J618" t="s">
        <v>5382</v>
      </c>
      <c r="K618" s="2059">
        <v>3.7999999999999999E-2</v>
      </c>
      <c r="L618" t="s">
        <v>4293</v>
      </c>
      <c r="M618">
        <v>0.44</v>
      </c>
      <c r="N618">
        <v>1600</v>
      </c>
      <c r="O618">
        <v>2</v>
      </c>
      <c r="P618">
        <v>2</v>
      </c>
      <c r="U618" t="s">
        <v>1678</v>
      </c>
      <c r="V618">
        <v>43281</v>
      </c>
      <c r="W618" t="s">
        <v>5383</v>
      </c>
      <c r="X618" t="s">
        <v>5384</v>
      </c>
    </row>
    <row r="619" spans="1:24">
      <c r="A619">
        <v>32</v>
      </c>
      <c r="B619">
        <v>16030054</v>
      </c>
      <c r="C619" t="s">
        <v>5373</v>
      </c>
      <c r="D619" t="s">
        <v>5374</v>
      </c>
      <c r="E619" t="s">
        <v>5387</v>
      </c>
      <c r="F619" t="s">
        <v>5387</v>
      </c>
      <c r="G619">
        <v>78</v>
      </c>
      <c r="H619" t="s">
        <v>5381</v>
      </c>
      <c r="J619" t="s">
        <v>5382</v>
      </c>
      <c r="K619" s="2059">
        <v>3.7999999999999999E-2</v>
      </c>
      <c r="L619" t="s">
        <v>4293</v>
      </c>
      <c r="M619">
        <v>0.44</v>
      </c>
      <c r="N619">
        <v>1600</v>
      </c>
      <c r="O619">
        <v>2</v>
      </c>
      <c r="P619">
        <v>2</v>
      </c>
      <c r="U619" t="s">
        <v>1678</v>
      </c>
      <c r="V619">
        <v>43281</v>
      </c>
      <c r="W619" t="s">
        <v>5383</v>
      </c>
      <c r="X619" t="s">
        <v>5384</v>
      </c>
    </row>
    <row r="620" spans="1:24">
      <c r="A620">
        <v>32</v>
      </c>
      <c r="B620">
        <v>16100011</v>
      </c>
      <c r="C620" t="s">
        <v>5373</v>
      </c>
      <c r="D620" t="s">
        <v>5374</v>
      </c>
      <c r="E620" t="s">
        <v>5388</v>
      </c>
      <c r="F620" t="s">
        <v>5388</v>
      </c>
      <c r="G620">
        <v>10</v>
      </c>
      <c r="H620" t="s">
        <v>4970</v>
      </c>
      <c r="J620" t="s">
        <v>5389</v>
      </c>
      <c r="K620" s="2059">
        <v>3.7999999999999999E-2</v>
      </c>
      <c r="L620" t="s">
        <v>4293</v>
      </c>
      <c r="M620">
        <v>0.44</v>
      </c>
      <c r="N620">
        <v>1600</v>
      </c>
      <c r="O620">
        <v>2</v>
      </c>
      <c r="P620">
        <v>2</v>
      </c>
      <c r="U620" t="s">
        <v>1678</v>
      </c>
      <c r="V620">
        <v>43465</v>
      </c>
      <c r="W620" t="s">
        <v>5390</v>
      </c>
      <c r="X620" t="s">
        <v>5391</v>
      </c>
    </row>
    <row r="621" spans="1:24">
      <c r="A621">
        <v>32</v>
      </c>
      <c r="B621">
        <v>16100012</v>
      </c>
      <c r="C621" t="s">
        <v>5373</v>
      </c>
      <c r="D621" t="s">
        <v>5374</v>
      </c>
      <c r="E621" t="s">
        <v>5392</v>
      </c>
      <c r="F621" t="s">
        <v>5392</v>
      </c>
      <c r="G621">
        <v>10</v>
      </c>
      <c r="H621" t="s">
        <v>4970</v>
      </c>
      <c r="J621" t="s">
        <v>5389</v>
      </c>
      <c r="K621" s="2059">
        <v>3.7999999999999999E-2</v>
      </c>
      <c r="L621" t="s">
        <v>4293</v>
      </c>
      <c r="M621">
        <v>0.44</v>
      </c>
      <c r="N621">
        <v>1600</v>
      </c>
      <c r="O621">
        <v>2</v>
      </c>
      <c r="P621">
        <v>2</v>
      </c>
      <c r="U621" t="s">
        <v>1678</v>
      </c>
      <c r="V621">
        <v>43465</v>
      </c>
      <c r="W621" t="s">
        <v>5390</v>
      </c>
      <c r="X621" t="s">
        <v>5391</v>
      </c>
    </row>
    <row r="622" spans="1:24" s="2058" customFormat="1">
      <c r="A622" s="2058">
        <v>33</v>
      </c>
      <c r="B622" s="2058">
        <v>33.01</v>
      </c>
      <c r="C622" s="2058" t="s">
        <v>5393</v>
      </c>
      <c r="D622" s="2058" t="s">
        <v>5394</v>
      </c>
      <c r="E622" s="2058" t="s">
        <v>5395</v>
      </c>
      <c r="F622" s="2058" t="s">
        <v>5396</v>
      </c>
      <c r="I622" s="2058" t="s">
        <v>5218</v>
      </c>
      <c r="K622" s="2060">
        <v>0.05</v>
      </c>
      <c r="T622" s="2058" t="s">
        <v>1678</v>
      </c>
    </row>
    <row r="623" spans="1:24" s="2058" customFormat="1">
      <c r="A623" s="2058">
        <v>33</v>
      </c>
      <c r="B623" s="2058">
        <v>33.020000000000003</v>
      </c>
      <c r="C623" s="2058" t="s">
        <v>5393</v>
      </c>
      <c r="D623" s="2058" t="s">
        <v>5394</v>
      </c>
      <c r="E623" s="2058" t="s">
        <v>5397</v>
      </c>
      <c r="F623" s="2058" t="s">
        <v>5398</v>
      </c>
      <c r="I623" s="2058" t="s">
        <v>5303</v>
      </c>
      <c r="K623" s="2060">
        <v>0.05</v>
      </c>
      <c r="T623" s="2058" t="s">
        <v>1678</v>
      </c>
    </row>
    <row r="624" spans="1:24" s="2058" customFormat="1">
      <c r="A624" s="2058">
        <v>33</v>
      </c>
      <c r="B624" s="2058">
        <v>33.03</v>
      </c>
      <c r="C624" s="2058" t="s">
        <v>5393</v>
      </c>
      <c r="D624" s="2058" t="s">
        <v>5394</v>
      </c>
      <c r="E624" s="2058" t="s">
        <v>5399</v>
      </c>
      <c r="F624" s="2058" t="s">
        <v>5400</v>
      </c>
      <c r="I624" s="2058" t="s">
        <v>5218</v>
      </c>
      <c r="K624" s="2060">
        <v>0.05</v>
      </c>
      <c r="T624" s="2058" t="s">
        <v>1678</v>
      </c>
    </row>
    <row r="625" spans="1:24" s="2058" customFormat="1">
      <c r="A625" s="2058">
        <v>33</v>
      </c>
      <c r="B625" s="2058">
        <v>33.04</v>
      </c>
      <c r="C625" s="2058" t="s">
        <v>5393</v>
      </c>
      <c r="D625" s="2058" t="s">
        <v>5394</v>
      </c>
      <c r="E625" s="2058" t="s">
        <v>5401</v>
      </c>
      <c r="F625" s="2058" t="s">
        <v>5402</v>
      </c>
      <c r="I625" s="2058" t="s">
        <v>5041</v>
      </c>
      <c r="K625" s="2060">
        <v>0.05</v>
      </c>
      <c r="T625" s="2058" t="s">
        <v>1678</v>
      </c>
    </row>
    <row r="626" spans="1:24" s="2058" customFormat="1">
      <c r="A626" s="2058">
        <v>33</v>
      </c>
      <c r="B626" s="2058">
        <v>33.049999999999997</v>
      </c>
      <c r="C626" s="2058" t="s">
        <v>5393</v>
      </c>
      <c r="D626" s="2058" t="s">
        <v>5394</v>
      </c>
      <c r="E626" s="2058" t="s">
        <v>5403</v>
      </c>
      <c r="F626" s="2058" t="s">
        <v>5404</v>
      </c>
      <c r="I626" s="2058" t="s">
        <v>4912</v>
      </c>
      <c r="K626" s="2060">
        <v>7.0000000000000007E-2</v>
      </c>
      <c r="T626" s="2058" t="s">
        <v>1678</v>
      </c>
    </row>
    <row r="627" spans="1:24">
      <c r="A627">
        <v>33</v>
      </c>
      <c r="B627">
        <v>16090211</v>
      </c>
      <c r="C627" t="s">
        <v>5393</v>
      </c>
      <c r="D627" t="s">
        <v>5394</v>
      </c>
      <c r="E627" t="s">
        <v>5405</v>
      </c>
      <c r="F627" t="s">
        <v>5405</v>
      </c>
      <c r="G627">
        <v>74</v>
      </c>
      <c r="H627" t="s">
        <v>5406</v>
      </c>
      <c r="J627" t="s">
        <v>5407</v>
      </c>
      <c r="K627" s="2059">
        <v>4.4999999999999998E-2</v>
      </c>
      <c r="L627" t="s">
        <v>4293</v>
      </c>
      <c r="U627" t="s">
        <v>1678</v>
      </c>
      <c r="V627">
        <v>43100</v>
      </c>
      <c r="W627" t="s">
        <v>5408</v>
      </c>
      <c r="X627" t="s">
        <v>5409</v>
      </c>
    </row>
    <row r="628" spans="1:24" s="2058" customFormat="1">
      <c r="A628" s="2058">
        <v>34</v>
      </c>
      <c r="B628" s="2058">
        <v>34.01</v>
      </c>
      <c r="C628" s="2058" t="s">
        <v>5410</v>
      </c>
      <c r="D628" s="2058" t="s">
        <v>5411</v>
      </c>
      <c r="E628" s="2058" t="s">
        <v>5412</v>
      </c>
      <c r="F628" s="2058" t="s">
        <v>5413</v>
      </c>
      <c r="I628" s="2058" t="s">
        <v>5041</v>
      </c>
      <c r="K628" s="2060">
        <v>0.05</v>
      </c>
      <c r="T628" s="2058" t="s">
        <v>1678</v>
      </c>
    </row>
    <row r="629" spans="1:24">
      <c r="A629">
        <v>34</v>
      </c>
      <c r="B629">
        <v>14100231</v>
      </c>
      <c r="C629" t="s">
        <v>5410</v>
      </c>
      <c r="D629" t="s">
        <v>5411</v>
      </c>
      <c r="E629" t="s">
        <v>5414</v>
      </c>
      <c r="F629" t="s">
        <v>5414</v>
      </c>
      <c r="G629">
        <v>115</v>
      </c>
      <c r="H629" t="s">
        <v>5415</v>
      </c>
      <c r="J629">
        <v>30</v>
      </c>
      <c r="K629" s="2059">
        <v>3.6999999999999998E-2</v>
      </c>
      <c r="L629" t="s">
        <v>4321</v>
      </c>
      <c r="U629" t="s">
        <v>1678</v>
      </c>
      <c r="V629">
        <v>42735</v>
      </c>
      <c r="W629" t="s">
        <v>5416</v>
      </c>
      <c r="X629" t="s">
        <v>5417</v>
      </c>
    </row>
    <row r="630" spans="1:24">
      <c r="A630">
        <v>34</v>
      </c>
      <c r="B630">
        <v>14100232</v>
      </c>
      <c r="C630" t="s">
        <v>5410</v>
      </c>
      <c r="D630" t="s">
        <v>5411</v>
      </c>
      <c r="E630" t="s">
        <v>5418</v>
      </c>
      <c r="F630" t="s">
        <v>5418</v>
      </c>
      <c r="G630">
        <v>115</v>
      </c>
      <c r="H630" t="s">
        <v>5415</v>
      </c>
      <c r="J630">
        <v>30</v>
      </c>
      <c r="K630" s="2059">
        <v>3.6999999999999998E-2</v>
      </c>
      <c r="L630" t="s">
        <v>4293</v>
      </c>
      <c r="U630" t="s">
        <v>1678</v>
      </c>
      <c r="V630">
        <v>42735</v>
      </c>
      <c r="W630" t="s">
        <v>5419</v>
      </c>
      <c r="X630" t="s">
        <v>5417</v>
      </c>
    </row>
    <row r="631" spans="1:24">
      <c r="A631">
        <v>34</v>
      </c>
      <c r="B631">
        <v>14100233</v>
      </c>
      <c r="C631" t="s">
        <v>5410</v>
      </c>
      <c r="D631" t="s">
        <v>5411</v>
      </c>
      <c r="E631" t="s">
        <v>5420</v>
      </c>
      <c r="F631" t="s">
        <v>5420</v>
      </c>
      <c r="G631">
        <v>115</v>
      </c>
      <c r="H631" t="s">
        <v>5415</v>
      </c>
      <c r="J631">
        <v>20</v>
      </c>
      <c r="K631" s="2059">
        <v>0.04</v>
      </c>
      <c r="L631" t="s">
        <v>4625</v>
      </c>
      <c r="U631" t="s">
        <v>1678</v>
      </c>
      <c r="V631">
        <v>42735</v>
      </c>
      <c r="W631" t="s">
        <v>5416</v>
      </c>
      <c r="X631" t="s">
        <v>5417</v>
      </c>
    </row>
    <row r="632" spans="1:24">
      <c r="A632">
        <v>35</v>
      </c>
      <c r="B632">
        <v>35.01</v>
      </c>
      <c r="C632" t="s">
        <v>5421</v>
      </c>
      <c r="D632" t="s">
        <v>5422</v>
      </c>
    </row>
    <row r="633" spans="1:24">
      <c r="A633">
        <v>35</v>
      </c>
      <c r="B633">
        <v>14120051</v>
      </c>
      <c r="C633" t="s">
        <v>5421</v>
      </c>
      <c r="D633" t="s">
        <v>5422</v>
      </c>
      <c r="E633" t="s">
        <v>5423</v>
      </c>
      <c r="F633" t="s">
        <v>5424</v>
      </c>
      <c r="G633">
        <v>138</v>
      </c>
      <c r="H633" t="s">
        <v>5214</v>
      </c>
      <c r="J633">
        <v>18</v>
      </c>
      <c r="K633" s="2059">
        <v>3.7999999999999999E-2</v>
      </c>
      <c r="L633" t="s">
        <v>5425</v>
      </c>
      <c r="U633" t="s">
        <v>1678</v>
      </c>
      <c r="V633">
        <v>43100</v>
      </c>
      <c r="W633" t="s">
        <v>5426</v>
      </c>
      <c r="X633" t="s">
        <v>5427</v>
      </c>
    </row>
    <row r="634" spans="1:24">
      <c r="A634">
        <v>35</v>
      </c>
      <c r="B634">
        <v>14120052</v>
      </c>
      <c r="C634" t="s">
        <v>5421</v>
      </c>
      <c r="D634" t="s">
        <v>5422</v>
      </c>
      <c r="E634" t="s">
        <v>5428</v>
      </c>
      <c r="F634" t="s">
        <v>5429</v>
      </c>
      <c r="G634">
        <v>138</v>
      </c>
      <c r="H634" t="s">
        <v>5214</v>
      </c>
      <c r="J634" t="s">
        <v>5430</v>
      </c>
      <c r="K634" s="2059">
        <v>7.4999999999999997E-2</v>
      </c>
      <c r="L634" t="s">
        <v>5431</v>
      </c>
      <c r="U634" t="s">
        <v>1678</v>
      </c>
      <c r="V634">
        <v>43100</v>
      </c>
      <c r="W634" t="s">
        <v>5426</v>
      </c>
      <c r="X634" t="s">
        <v>5427</v>
      </c>
    </row>
    <row r="635" spans="1:24">
      <c r="A635">
        <v>35</v>
      </c>
      <c r="B635">
        <v>14120054</v>
      </c>
      <c r="C635" t="s">
        <v>5421</v>
      </c>
      <c r="D635" t="s">
        <v>5422</v>
      </c>
      <c r="E635" t="s">
        <v>5432</v>
      </c>
      <c r="F635" t="s">
        <v>5433</v>
      </c>
      <c r="G635">
        <v>138</v>
      </c>
      <c r="H635" t="s">
        <v>5214</v>
      </c>
      <c r="J635">
        <v>30</v>
      </c>
      <c r="K635" s="2059">
        <v>3.4000000000000002E-2</v>
      </c>
      <c r="L635" t="s">
        <v>5425</v>
      </c>
      <c r="U635" t="s">
        <v>1678</v>
      </c>
      <c r="V635">
        <v>43100</v>
      </c>
      <c r="W635" t="s">
        <v>5426</v>
      </c>
      <c r="X635" t="s">
        <v>5427</v>
      </c>
    </row>
    <row r="636" spans="1:24">
      <c r="A636">
        <v>35</v>
      </c>
      <c r="B636">
        <v>14120055</v>
      </c>
      <c r="C636" t="s">
        <v>5421</v>
      </c>
      <c r="D636" t="s">
        <v>5422</v>
      </c>
      <c r="E636" t="s">
        <v>5434</v>
      </c>
      <c r="F636" t="s">
        <v>5435</v>
      </c>
      <c r="G636">
        <v>138</v>
      </c>
      <c r="H636" t="s">
        <v>5214</v>
      </c>
      <c r="J636" t="s">
        <v>5430</v>
      </c>
      <c r="K636" s="2059">
        <v>7.4999999999999997E-2</v>
      </c>
      <c r="L636" t="s">
        <v>5431</v>
      </c>
      <c r="U636" t="s">
        <v>1678</v>
      </c>
      <c r="V636">
        <v>43100</v>
      </c>
      <c r="W636" t="s">
        <v>5426</v>
      </c>
      <c r="X636" t="s">
        <v>5427</v>
      </c>
    </row>
    <row r="637" spans="1:24">
      <c r="A637">
        <v>35</v>
      </c>
      <c r="B637">
        <v>14120057</v>
      </c>
      <c r="C637" t="s">
        <v>5421</v>
      </c>
      <c r="D637" t="s">
        <v>5422</v>
      </c>
      <c r="E637" t="s">
        <v>5436</v>
      </c>
      <c r="F637" t="s">
        <v>5437</v>
      </c>
      <c r="G637">
        <v>138</v>
      </c>
      <c r="H637" t="s">
        <v>5214</v>
      </c>
      <c r="J637">
        <v>18</v>
      </c>
      <c r="K637" s="2059">
        <v>3.1E-2</v>
      </c>
      <c r="L637" t="s">
        <v>5438</v>
      </c>
      <c r="U637" t="s">
        <v>1678</v>
      </c>
      <c r="V637">
        <v>43100</v>
      </c>
      <c r="W637" t="s">
        <v>5439</v>
      </c>
      <c r="X637" t="s">
        <v>5440</v>
      </c>
    </row>
    <row r="638" spans="1:24">
      <c r="A638">
        <v>35</v>
      </c>
      <c r="B638">
        <v>14120058</v>
      </c>
      <c r="C638" t="s">
        <v>5421</v>
      </c>
      <c r="D638" t="s">
        <v>5422</v>
      </c>
      <c r="E638" t="s">
        <v>5441</v>
      </c>
      <c r="F638" t="s">
        <v>5442</v>
      </c>
      <c r="G638">
        <v>138</v>
      </c>
      <c r="H638" t="s">
        <v>5214</v>
      </c>
      <c r="J638" t="s">
        <v>5430</v>
      </c>
      <c r="K638" s="2059">
        <v>7.4999999999999997E-2</v>
      </c>
      <c r="L638">
        <v>5</v>
      </c>
      <c r="U638" t="s">
        <v>1678</v>
      </c>
      <c r="V638">
        <v>43100</v>
      </c>
      <c r="W638" t="s">
        <v>5439</v>
      </c>
      <c r="X638" t="s">
        <v>5440</v>
      </c>
    </row>
    <row r="639" spans="1:24">
      <c r="A639">
        <v>35</v>
      </c>
      <c r="B639">
        <v>14120060</v>
      </c>
      <c r="C639" t="s">
        <v>5421</v>
      </c>
      <c r="D639" t="s">
        <v>5422</v>
      </c>
      <c r="E639" t="s">
        <v>5443</v>
      </c>
      <c r="F639" t="s">
        <v>5444</v>
      </c>
      <c r="G639">
        <v>138</v>
      </c>
      <c r="H639" t="s">
        <v>5214</v>
      </c>
      <c r="J639">
        <v>18</v>
      </c>
      <c r="K639" s="2059">
        <v>3.1E-2</v>
      </c>
      <c r="L639" t="s">
        <v>5425</v>
      </c>
      <c r="U639" t="s">
        <v>1678</v>
      </c>
      <c r="V639">
        <v>43100</v>
      </c>
      <c r="W639" t="s">
        <v>5426</v>
      </c>
      <c r="X639" t="s">
        <v>5427</v>
      </c>
    </row>
    <row r="640" spans="1:24">
      <c r="A640">
        <v>35</v>
      </c>
      <c r="B640">
        <v>14120061</v>
      </c>
      <c r="C640" t="s">
        <v>5421</v>
      </c>
      <c r="D640" t="s">
        <v>5422</v>
      </c>
      <c r="E640" t="s">
        <v>5445</v>
      </c>
      <c r="F640" t="s">
        <v>5446</v>
      </c>
      <c r="G640">
        <v>138</v>
      </c>
      <c r="H640" t="s">
        <v>5214</v>
      </c>
      <c r="J640" t="s">
        <v>5430</v>
      </c>
      <c r="K640" s="2059">
        <v>7.4999999999999997E-2</v>
      </c>
      <c r="L640" t="s">
        <v>5431</v>
      </c>
      <c r="U640" t="s">
        <v>1678</v>
      </c>
      <c r="V640">
        <v>43100</v>
      </c>
      <c r="W640" t="s">
        <v>5426</v>
      </c>
      <c r="X640" t="s">
        <v>5427</v>
      </c>
    </row>
    <row r="641" spans="1:24">
      <c r="A641">
        <v>35</v>
      </c>
      <c r="B641">
        <v>15110061</v>
      </c>
      <c r="C641" t="s">
        <v>5421</v>
      </c>
      <c r="D641" t="s">
        <v>5422</v>
      </c>
      <c r="E641" t="s">
        <v>5447</v>
      </c>
      <c r="F641" t="s">
        <v>5448</v>
      </c>
      <c r="G641">
        <v>93</v>
      </c>
      <c r="H641" t="s">
        <v>4215</v>
      </c>
      <c r="J641" t="s">
        <v>4157</v>
      </c>
      <c r="K641" s="2059">
        <v>3.1E-2</v>
      </c>
      <c r="L641" t="s">
        <v>5449</v>
      </c>
      <c r="U641" t="s">
        <v>1678</v>
      </c>
      <c r="V641">
        <v>43100</v>
      </c>
      <c r="W641" t="s">
        <v>5450</v>
      </c>
      <c r="X641" t="s">
        <v>5451</v>
      </c>
    </row>
    <row r="642" spans="1:24">
      <c r="A642">
        <v>35</v>
      </c>
      <c r="B642">
        <v>15110062</v>
      </c>
      <c r="C642" t="s">
        <v>5421</v>
      </c>
      <c r="D642" t="s">
        <v>5422</v>
      </c>
      <c r="E642" t="s">
        <v>5452</v>
      </c>
      <c r="F642" t="s">
        <v>5453</v>
      </c>
      <c r="G642">
        <v>93</v>
      </c>
      <c r="H642" t="s">
        <v>4215</v>
      </c>
      <c r="J642">
        <v>550</v>
      </c>
      <c r="K642" s="2059">
        <v>8.1000000000000003E-2</v>
      </c>
      <c r="L642" t="s">
        <v>5454</v>
      </c>
      <c r="U642" t="s">
        <v>1678</v>
      </c>
      <c r="V642">
        <v>43100</v>
      </c>
      <c r="W642" t="s">
        <v>5450</v>
      </c>
      <c r="X642" t="s">
        <v>5451</v>
      </c>
    </row>
    <row r="643" spans="1:24">
      <c r="A643">
        <v>35</v>
      </c>
      <c r="B643">
        <v>15110066</v>
      </c>
      <c r="C643" t="s">
        <v>5421</v>
      </c>
      <c r="D643" t="s">
        <v>5422</v>
      </c>
      <c r="E643" t="s">
        <v>5455</v>
      </c>
      <c r="F643" t="s">
        <v>5456</v>
      </c>
      <c r="G643">
        <v>93</v>
      </c>
      <c r="H643" t="s">
        <v>4215</v>
      </c>
      <c r="J643" t="s">
        <v>4157</v>
      </c>
      <c r="K643" s="2059">
        <v>3.1E-2</v>
      </c>
      <c r="L643" t="s">
        <v>5457</v>
      </c>
      <c r="U643" t="s">
        <v>1678</v>
      </c>
      <c r="V643">
        <v>43100</v>
      </c>
      <c r="W643" t="s">
        <v>5458</v>
      </c>
      <c r="X643" t="s">
        <v>5459</v>
      </c>
    </row>
    <row r="644" spans="1:24">
      <c r="A644">
        <v>35</v>
      </c>
      <c r="B644">
        <v>15110067</v>
      </c>
      <c r="C644" t="s">
        <v>5421</v>
      </c>
      <c r="D644" t="s">
        <v>5422</v>
      </c>
      <c r="E644" t="s">
        <v>5460</v>
      </c>
      <c r="F644" t="s">
        <v>5461</v>
      </c>
      <c r="G644">
        <v>93</v>
      </c>
      <c r="H644" t="s">
        <v>4215</v>
      </c>
      <c r="J644">
        <v>550</v>
      </c>
      <c r="K644" s="2059">
        <v>8.1000000000000003E-2</v>
      </c>
      <c r="L644">
        <v>5</v>
      </c>
      <c r="U644" t="s">
        <v>1678</v>
      </c>
      <c r="V644">
        <v>43100</v>
      </c>
      <c r="W644" t="s">
        <v>5458</v>
      </c>
      <c r="X644" t="s">
        <v>5459</v>
      </c>
    </row>
    <row r="645" spans="1:24">
      <c r="A645">
        <v>35</v>
      </c>
      <c r="B645">
        <v>15110071</v>
      </c>
      <c r="C645" t="s">
        <v>5421</v>
      </c>
      <c r="D645" t="s">
        <v>5422</v>
      </c>
      <c r="E645" t="s">
        <v>5462</v>
      </c>
      <c r="F645" t="s">
        <v>5463</v>
      </c>
      <c r="G645">
        <v>93</v>
      </c>
      <c r="H645" t="s">
        <v>4215</v>
      </c>
      <c r="J645">
        <v>130</v>
      </c>
      <c r="K645" s="2059">
        <v>3.9E-2</v>
      </c>
      <c r="L645" t="s">
        <v>5464</v>
      </c>
      <c r="U645" t="s">
        <v>1678</v>
      </c>
      <c r="V645">
        <v>43100</v>
      </c>
      <c r="W645" t="s">
        <v>5465</v>
      </c>
      <c r="X645" t="s">
        <v>5466</v>
      </c>
    </row>
    <row r="646" spans="1:24">
      <c r="A646">
        <v>35</v>
      </c>
      <c r="B646">
        <v>15110072</v>
      </c>
      <c r="C646" t="s">
        <v>5421</v>
      </c>
      <c r="D646" t="s">
        <v>5422</v>
      </c>
      <c r="E646" t="s">
        <v>5467</v>
      </c>
      <c r="F646" t="s">
        <v>5468</v>
      </c>
      <c r="G646">
        <v>93</v>
      </c>
      <c r="H646" t="s">
        <v>4215</v>
      </c>
      <c r="J646">
        <v>550</v>
      </c>
      <c r="K646" s="2059">
        <v>8.1000000000000003E-2</v>
      </c>
      <c r="L646" t="s">
        <v>5454</v>
      </c>
      <c r="U646" t="s">
        <v>1678</v>
      </c>
      <c r="V646">
        <v>43100</v>
      </c>
      <c r="W646" t="s">
        <v>5465</v>
      </c>
      <c r="X646" t="s">
        <v>5466</v>
      </c>
    </row>
    <row r="647" spans="1:24">
      <c r="A647">
        <v>35</v>
      </c>
      <c r="B647">
        <v>15110076</v>
      </c>
      <c r="C647" t="s">
        <v>5421</v>
      </c>
      <c r="D647" t="s">
        <v>5422</v>
      </c>
      <c r="E647" t="s">
        <v>5469</v>
      </c>
      <c r="F647" t="s">
        <v>5470</v>
      </c>
      <c r="G647">
        <v>93</v>
      </c>
      <c r="H647" t="s">
        <v>4215</v>
      </c>
      <c r="J647">
        <v>130</v>
      </c>
      <c r="K647" s="2059">
        <v>3.9E-2</v>
      </c>
      <c r="L647" t="s">
        <v>4202</v>
      </c>
      <c r="U647" t="s">
        <v>1678</v>
      </c>
      <c r="V647">
        <v>43100</v>
      </c>
      <c r="W647" t="s">
        <v>5471</v>
      </c>
      <c r="X647" t="s">
        <v>5472</v>
      </c>
    </row>
    <row r="648" spans="1:24">
      <c r="A648">
        <v>35</v>
      </c>
      <c r="B648">
        <v>15110077</v>
      </c>
      <c r="C648" t="s">
        <v>5421</v>
      </c>
      <c r="D648" t="s">
        <v>5422</v>
      </c>
      <c r="E648" t="s">
        <v>5473</v>
      </c>
      <c r="F648" t="s">
        <v>5474</v>
      </c>
      <c r="G648">
        <v>93</v>
      </c>
      <c r="H648" t="s">
        <v>4215</v>
      </c>
      <c r="J648">
        <v>550</v>
      </c>
      <c r="K648" s="2059">
        <v>8.1000000000000003E-2</v>
      </c>
      <c r="L648" t="s">
        <v>5454</v>
      </c>
      <c r="U648" t="s">
        <v>1678</v>
      </c>
      <c r="V648">
        <v>43100</v>
      </c>
      <c r="W648" t="s">
        <v>5471</v>
      </c>
      <c r="X648" t="s">
        <v>5472</v>
      </c>
    </row>
    <row r="649" spans="1:24">
      <c r="A649">
        <v>35</v>
      </c>
      <c r="B649">
        <v>15110081</v>
      </c>
      <c r="C649" t="s">
        <v>5421</v>
      </c>
      <c r="D649" t="s">
        <v>5422</v>
      </c>
      <c r="E649" t="s">
        <v>5475</v>
      </c>
      <c r="F649" t="s">
        <v>5476</v>
      </c>
      <c r="G649">
        <v>93</v>
      </c>
      <c r="H649" t="s">
        <v>4215</v>
      </c>
      <c r="J649">
        <v>120</v>
      </c>
      <c r="K649" s="2059">
        <v>3.4000000000000002E-2</v>
      </c>
      <c r="L649" t="s">
        <v>5477</v>
      </c>
      <c r="U649" t="s">
        <v>1678</v>
      </c>
      <c r="V649">
        <v>43100</v>
      </c>
      <c r="W649" t="s">
        <v>5478</v>
      </c>
      <c r="X649" t="s">
        <v>5479</v>
      </c>
    </row>
    <row r="650" spans="1:24">
      <c r="A650">
        <v>35</v>
      </c>
      <c r="B650">
        <v>15110082</v>
      </c>
      <c r="C650" t="s">
        <v>5421</v>
      </c>
      <c r="D650" t="s">
        <v>5422</v>
      </c>
      <c r="E650" t="s">
        <v>5480</v>
      </c>
      <c r="F650" t="s">
        <v>5481</v>
      </c>
      <c r="G650">
        <v>93</v>
      </c>
      <c r="H650" t="s">
        <v>4215</v>
      </c>
      <c r="J650">
        <v>550</v>
      </c>
      <c r="K650" s="2059">
        <v>8.1000000000000003E-2</v>
      </c>
      <c r="L650">
        <v>10</v>
      </c>
      <c r="U650" t="s">
        <v>1678</v>
      </c>
      <c r="V650">
        <v>43100</v>
      </c>
      <c r="W650" t="s">
        <v>5482</v>
      </c>
      <c r="X650" t="s">
        <v>5479</v>
      </c>
    </row>
    <row r="651" spans="1:24">
      <c r="A651">
        <v>35</v>
      </c>
      <c r="B651">
        <v>15110086</v>
      </c>
      <c r="C651" t="s">
        <v>5421</v>
      </c>
      <c r="D651" t="s">
        <v>5422</v>
      </c>
      <c r="E651" t="s">
        <v>5483</v>
      </c>
      <c r="F651" t="s">
        <v>5484</v>
      </c>
      <c r="G651">
        <v>93</v>
      </c>
      <c r="H651" t="s">
        <v>4215</v>
      </c>
      <c r="J651">
        <v>120</v>
      </c>
      <c r="K651" s="2059">
        <v>3.4000000000000002E-2</v>
      </c>
      <c r="L651" t="s">
        <v>5477</v>
      </c>
      <c r="U651" t="s">
        <v>1678</v>
      </c>
      <c r="V651">
        <v>43100</v>
      </c>
      <c r="W651" t="s">
        <v>5478</v>
      </c>
      <c r="X651" t="s">
        <v>5479</v>
      </c>
    </row>
    <row r="652" spans="1:24">
      <c r="A652">
        <v>35</v>
      </c>
      <c r="B652">
        <v>15110087</v>
      </c>
      <c r="C652" t="s">
        <v>5421</v>
      </c>
      <c r="D652" t="s">
        <v>5422</v>
      </c>
      <c r="E652" t="s">
        <v>5485</v>
      </c>
      <c r="F652" t="s">
        <v>5486</v>
      </c>
      <c r="G652">
        <v>93</v>
      </c>
      <c r="H652" t="s">
        <v>4215</v>
      </c>
      <c r="J652">
        <v>550</v>
      </c>
      <c r="K652" s="2059">
        <v>8.1000000000000003E-2</v>
      </c>
      <c r="L652">
        <v>10</v>
      </c>
      <c r="U652" t="s">
        <v>1678</v>
      </c>
      <c r="V652">
        <v>43100</v>
      </c>
      <c r="W652" t="s">
        <v>5478</v>
      </c>
      <c r="X652" t="s">
        <v>5479</v>
      </c>
    </row>
    <row r="653" spans="1:24">
      <c r="A653">
        <v>35</v>
      </c>
      <c r="B653">
        <v>15110091</v>
      </c>
      <c r="C653" t="s">
        <v>5421</v>
      </c>
      <c r="D653" t="s">
        <v>5422</v>
      </c>
      <c r="E653" t="s">
        <v>5487</v>
      </c>
      <c r="F653" t="s">
        <v>5488</v>
      </c>
      <c r="G653">
        <v>93</v>
      </c>
      <c r="H653" t="s">
        <v>4215</v>
      </c>
      <c r="J653">
        <v>150</v>
      </c>
      <c r="K653" s="2059">
        <v>4.4999999999999998E-2</v>
      </c>
      <c r="L653" t="s">
        <v>5489</v>
      </c>
      <c r="U653" t="s">
        <v>1678</v>
      </c>
      <c r="V653">
        <v>43100</v>
      </c>
      <c r="W653" t="s">
        <v>5490</v>
      </c>
      <c r="X653" t="s">
        <v>5491</v>
      </c>
    </row>
    <row r="654" spans="1:24">
      <c r="A654">
        <v>35</v>
      </c>
      <c r="B654">
        <v>15110092</v>
      </c>
      <c r="C654" t="s">
        <v>5421</v>
      </c>
      <c r="D654" t="s">
        <v>5422</v>
      </c>
      <c r="E654" t="s">
        <v>5492</v>
      </c>
      <c r="F654" t="s">
        <v>5493</v>
      </c>
      <c r="G654">
        <v>93</v>
      </c>
      <c r="H654" t="s">
        <v>4215</v>
      </c>
      <c r="J654">
        <v>550</v>
      </c>
      <c r="K654" s="2059">
        <v>0.09</v>
      </c>
      <c r="L654" t="s">
        <v>5454</v>
      </c>
      <c r="U654" t="s">
        <v>1678</v>
      </c>
      <c r="V654">
        <v>43100</v>
      </c>
      <c r="W654" t="s">
        <v>5490</v>
      </c>
      <c r="X654" t="s">
        <v>5491</v>
      </c>
    </row>
    <row r="655" spans="1:24">
      <c r="A655">
        <v>35</v>
      </c>
      <c r="B655">
        <v>15110096</v>
      </c>
      <c r="C655" t="s">
        <v>5421</v>
      </c>
      <c r="D655" t="s">
        <v>5422</v>
      </c>
      <c r="E655" t="s">
        <v>5494</v>
      </c>
      <c r="F655" t="s">
        <v>5495</v>
      </c>
      <c r="G655">
        <v>93</v>
      </c>
      <c r="H655" t="s">
        <v>4215</v>
      </c>
      <c r="J655">
        <v>120</v>
      </c>
      <c r="K655" s="2059">
        <v>3.4000000000000002E-2</v>
      </c>
      <c r="L655" t="s">
        <v>5477</v>
      </c>
      <c r="U655" t="s">
        <v>1678</v>
      </c>
      <c r="V655">
        <v>43100</v>
      </c>
      <c r="W655" t="s">
        <v>5478</v>
      </c>
      <c r="X655" t="s">
        <v>5479</v>
      </c>
    </row>
    <row r="656" spans="1:24">
      <c r="A656">
        <v>35</v>
      </c>
      <c r="B656">
        <v>15110097</v>
      </c>
      <c r="C656" t="s">
        <v>5421</v>
      </c>
      <c r="D656" t="s">
        <v>5422</v>
      </c>
      <c r="E656" t="s">
        <v>5496</v>
      </c>
      <c r="F656" t="s">
        <v>5497</v>
      </c>
      <c r="G656">
        <v>93</v>
      </c>
      <c r="H656" t="s">
        <v>4215</v>
      </c>
      <c r="J656">
        <v>550</v>
      </c>
      <c r="K656" s="2059">
        <v>8.1000000000000003E-2</v>
      </c>
      <c r="L656">
        <v>10</v>
      </c>
      <c r="U656" t="s">
        <v>1678</v>
      </c>
      <c r="V656">
        <v>43100</v>
      </c>
      <c r="W656" t="s">
        <v>5482</v>
      </c>
      <c r="X656" t="s">
        <v>5479</v>
      </c>
    </row>
    <row r="657" spans="1:24">
      <c r="A657">
        <v>35</v>
      </c>
      <c r="B657">
        <v>15120012</v>
      </c>
      <c r="C657" t="s">
        <v>5421</v>
      </c>
      <c r="D657" t="s">
        <v>5422</v>
      </c>
      <c r="E657" t="s">
        <v>5498</v>
      </c>
      <c r="F657" t="s">
        <v>5498</v>
      </c>
      <c r="G657">
        <v>114</v>
      </c>
      <c r="H657" t="s">
        <v>4215</v>
      </c>
      <c r="J657" t="s">
        <v>4267</v>
      </c>
      <c r="K657" s="2059" t="s">
        <v>5499</v>
      </c>
      <c r="L657" t="s">
        <v>4265</v>
      </c>
      <c r="U657" t="s">
        <v>1678</v>
      </c>
      <c r="V657">
        <v>43100</v>
      </c>
      <c r="W657" t="s">
        <v>5500</v>
      </c>
      <c r="X657" t="s">
        <v>5501</v>
      </c>
    </row>
    <row r="658" spans="1:24" s="2058" customFormat="1">
      <c r="A658" s="2058">
        <v>40</v>
      </c>
      <c r="B658" s="2058">
        <v>40.01</v>
      </c>
      <c r="C658" s="2058" t="s">
        <v>5502</v>
      </c>
      <c r="D658" s="2058" t="s">
        <v>5503</v>
      </c>
      <c r="E658" s="2058" t="s">
        <v>5504</v>
      </c>
      <c r="F658" s="2058" t="s">
        <v>5505</v>
      </c>
      <c r="I658" s="2058" t="s">
        <v>5506</v>
      </c>
      <c r="K658" s="2060">
        <v>0.02</v>
      </c>
      <c r="T658" s="2058" t="s">
        <v>1678</v>
      </c>
    </row>
    <row r="659" spans="1:24">
      <c r="A659">
        <v>40</v>
      </c>
      <c r="B659">
        <v>14100301</v>
      </c>
      <c r="C659" t="s">
        <v>5502</v>
      </c>
      <c r="D659" t="s">
        <v>5503</v>
      </c>
      <c r="E659" t="s">
        <v>5507</v>
      </c>
      <c r="F659" t="s">
        <v>5507</v>
      </c>
      <c r="G659">
        <v>128</v>
      </c>
      <c r="H659" t="s">
        <v>5508</v>
      </c>
      <c r="J659">
        <v>180</v>
      </c>
      <c r="K659" s="2059" t="s">
        <v>5509</v>
      </c>
      <c r="L659" t="s">
        <v>4475</v>
      </c>
      <c r="U659" t="s">
        <v>1678</v>
      </c>
      <c r="V659">
        <v>42735</v>
      </c>
      <c r="W659" t="s">
        <v>5510</v>
      </c>
      <c r="X659" t="s">
        <v>5511</v>
      </c>
    </row>
    <row r="660" spans="1:24">
      <c r="A660">
        <v>40</v>
      </c>
      <c r="B660">
        <v>14100161</v>
      </c>
      <c r="C660" t="s">
        <v>5502</v>
      </c>
      <c r="D660" t="s">
        <v>5503</v>
      </c>
      <c r="E660" t="s">
        <v>5512</v>
      </c>
      <c r="F660" t="s">
        <v>5512</v>
      </c>
      <c r="G660">
        <v>17</v>
      </c>
      <c r="H660" t="s">
        <v>4275</v>
      </c>
      <c r="J660">
        <v>180</v>
      </c>
      <c r="K660" s="2059" t="s">
        <v>5509</v>
      </c>
      <c r="L660" t="s">
        <v>4475</v>
      </c>
      <c r="U660" t="s">
        <v>1678</v>
      </c>
      <c r="V660">
        <v>42735</v>
      </c>
      <c r="W660" t="s">
        <v>5510</v>
      </c>
      <c r="X660" t="s">
        <v>5511</v>
      </c>
    </row>
    <row r="661" spans="1:24">
      <c r="A661">
        <v>40</v>
      </c>
      <c r="B661">
        <v>15120031</v>
      </c>
      <c r="C661" t="s">
        <v>5502</v>
      </c>
      <c r="D661" t="s">
        <v>5503</v>
      </c>
      <c r="E661" t="s">
        <v>5513</v>
      </c>
      <c r="F661" t="s">
        <v>5513</v>
      </c>
      <c r="G661">
        <v>71</v>
      </c>
      <c r="H661" t="s">
        <v>5514</v>
      </c>
      <c r="J661" t="s">
        <v>5515</v>
      </c>
      <c r="K661" s="2059" t="s">
        <v>5509</v>
      </c>
      <c r="L661" t="s">
        <v>5516</v>
      </c>
      <c r="U661" t="s">
        <v>1678</v>
      </c>
      <c r="V661">
        <v>43100</v>
      </c>
      <c r="W661" t="s">
        <v>5510</v>
      </c>
      <c r="X661" t="s">
        <v>5511</v>
      </c>
    </row>
    <row r="662" spans="1:24">
      <c r="A662">
        <v>40</v>
      </c>
      <c r="B662">
        <v>15060061</v>
      </c>
      <c r="C662" t="s">
        <v>5502</v>
      </c>
      <c r="D662" t="s">
        <v>5503</v>
      </c>
      <c r="E662" t="s">
        <v>5517</v>
      </c>
      <c r="F662" t="s">
        <v>5517</v>
      </c>
      <c r="G662">
        <v>12</v>
      </c>
      <c r="H662" t="s">
        <v>5518</v>
      </c>
      <c r="J662" t="s">
        <v>5519</v>
      </c>
      <c r="K662" s="2059" t="s">
        <v>5509</v>
      </c>
      <c r="L662" t="s">
        <v>4280</v>
      </c>
      <c r="U662" t="s">
        <v>1678</v>
      </c>
      <c r="V662">
        <v>42916</v>
      </c>
      <c r="W662" t="s">
        <v>5520</v>
      </c>
      <c r="X662" t="s">
        <v>5521</v>
      </c>
    </row>
    <row r="663" spans="1:24">
      <c r="A663">
        <v>40</v>
      </c>
      <c r="B663">
        <v>15060062</v>
      </c>
      <c r="C663" t="s">
        <v>5502</v>
      </c>
      <c r="D663" t="s">
        <v>5503</v>
      </c>
      <c r="E663" t="s">
        <v>5517</v>
      </c>
      <c r="F663" t="s">
        <v>5517</v>
      </c>
      <c r="G663">
        <v>12</v>
      </c>
      <c r="H663" t="s">
        <v>5518</v>
      </c>
      <c r="J663" t="s">
        <v>5519</v>
      </c>
      <c r="K663" s="2059" t="s">
        <v>5522</v>
      </c>
      <c r="L663" t="s">
        <v>4280</v>
      </c>
      <c r="U663" t="s">
        <v>1678</v>
      </c>
      <c r="V663">
        <v>42916</v>
      </c>
      <c r="W663" t="s">
        <v>5523</v>
      </c>
      <c r="X663" t="s">
        <v>5524</v>
      </c>
    </row>
    <row r="664" spans="1:24">
      <c r="A664">
        <v>40</v>
      </c>
      <c r="B664">
        <v>15060071</v>
      </c>
      <c r="C664" t="s">
        <v>5502</v>
      </c>
      <c r="D664" t="s">
        <v>5503</v>
      </c>
      <c r="E664" t="s">
        <v>5525</v>
      </c>
      <c r="F664" t="s">
        <v>5525</v>
      </c>
      <c r="G664">
        <v>12</v>
      </c>
      <c r="H664" t="s">
        <v>5518</v>
      </c>
      <c r="J664" t="s">
        <v>5519</v>
      </c>
      <c r="K664" s="2059" t="s">
        <v>5509</v>
      </c>
      <c r="L664" t="s">
        <v>4157</v>
      </c>
      <c r="U664" t="s">
        <v>1678</v>
      </c>
      <c r="V664">
        <v>42916</v>
      </c>
      <c r="W664" t="s">
        <v>5520</v>
      </c>
      <c r="X664" t="s">
        <v>5521</v>
      </c>
    </row>
    <row r="665" spans="1:24">
      <c r="A665">
        <v>40</v>
      </c>
      <c r="B665">
        <v>15060072</v>
      </c>
      <c r="C665" t="s">
        <v>5502</v>
      </c>
      <c r="D665" t="s">
        <v>5503</v>
      </c>
      <c r="E665" t="s">
        <v>5525</v>
      </c>
      <c r="F665" t="s">
        <v>5525</v>
      </c>
      <c r="G665">
        <v>12</v>
      </c>
      <c r="H665" t="s">
        <v>5518</v>
      </c>
      <c r="J665" t="s">
        <v>5519</v>
      </c>
      <c r="K665" s="2059" t="s">
        <v>5522</v>
      </c>
      <c r="L665" t="s">
        <v>4157</v>
      </c>
      <c r="U665" t="s">
        <v>1678</v>
      </c>
      <c r="V665">
        <v>42916</v>
      </c>
      <c r="W665" t="s">
        <v>5523</v>
      </c>
      <c r="X665" t="s">
        <v>5524</v>
      </c>
    </row>
    <row r="666" spans="1:24">
      <c r="A666">
        <v>37</v>
      </c>
      <c r="B666">
        <v>37.01</v>
      </c>
      <c r="C666" t="s">
        <v>5526</v>
      </c>
      <c r="D666" t="s">
        <v>5527</v>
      </c>
    </row>
    <row r="667" spans="1:24">
      <c r="A667">
        <v>42</v>
      </c>
      <c r="B667">
        <v>42.01</v>
      </c>
      <c r="C667" t="s">
        <v>5528</v>
      </c>
      <c r="D667" t="s">
        <v>5529</v>
      </c>
      <c r="E667" t="s">
        <v>4607</v>
      </c>
      <c r="F667" t="s">
        <v>4608</v>
      </c>
      <c r="I667" t="s">
        <v>5530</v>
      </c>
      <c r="K667" s="2059">
        <v>5.5E-2</v>
      </c>
      <c r="T667" t="s">
        <v>1678</v>
      </c>
    </row>
    <row r="668" spans="1:24" s="2058" customFormat="1">
      <c r="A668" s="2058">
        <v>42</v>
      </c>
      <c r="B668" s="2058">
        <v>42.03</v>
      </c>
      <c r="C668" s="2058" t="s">
        <v>5531</v>
      </c>
      <c r="D668" s="2058" t="s">
        <v>5532</v>
      </c>
      <c r="K668" s="2060"/>
    </row>
    <row r="669" spans="1:24">
      <c r="A669">
        <v>42</v>
      </c>
      <c r="B669">
        <v>14120021</v>
      </c>
      <c r="C669" t="s">
        <v>5531</v>
      </c>
      <c r="D669" t="s">
        <v>5532</v>
      </c>
      <c r="E669" t="s">
        <v>5533</v>
      </c>
      <c r="F669" t="s">
        <v>5533</v>
      </c>
      <c r="G669">
        <v>77</v>
      </c>
      <c r="H669" t="s">
        <v>5534</v>
      </c>
      <c r="J669">
        <v>95</v>
      </c>
      <c r="K669" s="2059">
        <v>4.2000000000000003E-2</v>
      </c>
      <c r="L669" t="s">
        <v>4314</v>
      </c>
      <c r="U669" t="s">
        <v>1678</v>
      </c>
      <c r="V669">
        <v>42735</v>
      </c>
    </row>
    <row r="670" spans="1:24">
      <c r="A670">
        <v>42</v>
      </c>
      <c r="B670">
        <v>15020011</v>
      </c>
      <c r="C670" t="s">
        <v>5531</v>
      </c>
      <c r="D670" t="s">
        <v>5532</v>
      </c>
      <c r="E670" t="s">
        <v>5535</v>
      </c>
      <c r="F670" t="s">
        <v>5535</v>
      </c>
      <c r="G670">
        <v>77</v>
      </c>
      <c r="H670" t="s">
        <v>5534</v>
      </c>
      <c r="J670">
        <v>115</v>
      </c>
      <c r="K670" s="2059">
        <v>4.4999999999999998E-2</v>
      </c>
      <c r="L670" t="s">
        <v>4314</v>
      </c>
      <c r="U670" t="s">
        <v>1678</v>
      </c>
      <c r="V670">
        <v>42735</v>
      </c>
    </row>
    <row r="671" spans="1:24">
      <c r="A671">
        <v>44</v>
      </c>
      <c r="B671">
        <v>44.01</v>
      </c>
      <c r="C671" t="s">
        <v>5536</v>
      </c>
      <c r="D671" t="s">
        <v>5537</v>
      </c>
      <c r="W671" t="s">
        <v>506</v>
      </c>
      <c r="X671" t="s">
        <v>506</v>
      </c>
    </row>
    <row r="672" spans="1:24">
      <c r="A672">
        <v>44</v>
      </c>
      <c r="B672">
        <v>15070021</v>
      </c>
      <c r="C672" t="s">
        <v>5536</v>
      </c>
      <c r="D672" t="s">
        <v>5538</v>
      </c>
      <c r="E672" t="s">
        <v>5539</v>
      </c>
      <c r="F672" t="s">
        <v>5539</v>
      </c>
      <c r="G672">
        <v>84</v>
      </c>
      <c r="H672" t="s">
        <v>5540</v>
      </c>
      <c r="J672">
        <v>200</v>
      </c>
      <c r="K672" s="2059">
        <v>6.0999999999999999E-2</v>
      </c>
      <c r="L672" t="s">
        <v>4314</v>
      </c>
      <c r="U672" t="s">
        <v>1678</v>
      </c>
      <c r="V672">
        <v>43100</v>
      </c>
    </row>
    <row r="673" spans="1:24">
      <c r="A673">
        <v>44</v>
      </c>
      <c r="B673">
        <v>15070011</v>
      </c>
      <c r="C673" t="s">
        <v>5536</v>
      </c>
      <c r="D673" t="s">
        <v>5538</v>
      </c>
      <c r="E673" t="s">
        <v>5541</v>
      </c>
      <c r="F673" t="s">
        <v>5542</v>
      </c>
      <c r="G673">
        <v>92</v>
      </c>
      <c r="H673" t="s">
        <v>5543</v>
      </c>
      <c r="J673">
        <v>200</v>
      </c>
      <c r="K673" s="2059">
        <v>0.06</v>
      </c>
      <c r="L673" t="s">
        <v>4314</v>
      </c>
      <c r="U673" t="s">
        <v>1678</v>
      </c>
      <c r="V673">
        <v>43100</v>
      </c>
      <c r="W673" t="s">
        <v>5544</v>
      </c>
    </row>
    <row r="674" spans="1:24" s="2058" customFormat="1">
      <c r="A674" s="2058">
        <v>46</v>
      </c>
      <c r="B674" s="2058">
        <v>46.01</v>
      </c>
      <c r="C674" s="2058" t="s">
        <v>5545</v>
      </c>
      <c r="D674" s="2058" t="s">
        <v>5546</v>
      </c>
      <c r="E674" s="2058" t="s">
        <v>5547</v>
      </c>
      <c r="F674" s="2058" t="s">
        <v>5548</v>
      </c>
      <c r="I674" s="2058" t="s">
        <v>5506</v>
      </c>
      <c r="K674" s="2060" t="s">
        <v>5549</v>
      </c>
      <c r="T674" s="2058" t="s">
        <v>1678</v>
      </c>
    </row>
    <row r="675" spans="1:24">
      <c r="A675">
        <v>54</v>
      </c>
      <c r="B675">
        <v>54.01</v>
      </c>
      <c r="C675" t="s">
        <v>5550</v>
      </c>
      <c r="D675" t="s">
        <v>5551</v>
      </c>
    </row>
    <row r="676" spans="1:24">
      <c r="A676">
        <v>54</v>
      </c>
      <c r="B676">
        <v>15040061</v>
      </c>
      <c r="C676" t="s">
        <v>5550</v>
      </c>
      <c r="D676" t="s">
        <v>5551</v>
      </c>
      <c r="E676" t="s">
        <v>5552</v>
      </c>
      <c r="F676" t="s">
        <v>5552</v>
      </c>
      <c r="G676">
        <v>106</v>
      </c>
      <c r="H676" t="s">
        <v>5553</v>
      </c>
      <c r="J676" t="s">
        <v>506</v>
      </c>
      <c r="K676" s="2059" t="s">
        <v>5168</v>
      </c>
      <c r="L676" t="s">
        <v>5554</v>
      </c>
      <c r="M676" t="s">
        <v>506</v>
      </c>
      <c r="N676" t="s">
        <v>506</v>
      </c>
      <c r="O676" t="s">
        <v>506</v>
      </c>
      <c r="P676" t="s">
        <v>506</v>
      </c>
      <c r="U676" t="s">
        <v>1678</v>
      </c>
      <c r="V676">
        <v>42916</v>
      </c>
      <c r="W676" t="s">
        <v>5555</v>
      </c>
      <c r="X676" t="s">
        <v>506</v>
      </c>
    </row>
    <row r="677" spans="1:24">
      <c r="A677">
        <v>54</v>
      </c>
      <c r="B677">
        <v>15100211</v>
      </c>
      <c r="C677" t="s">
        <v>5550</v>
      </c>
      <c r="D677" t="s">
        <v>5551</v>
      </c>
      <c r="E677" t="s">
        <v>5556</v>
      </c>
      <c r="F677" t="s">
        <v>5556</v>
      </c>
      <c r="G677">
        <v>127</v>
      </c>
      <c r="H677" t="s">
        <v>5557</v>
      </c>
      <c r="J677" t="s">
        <v>506</v>
      </c>
      <c r="K677" s="2059" t="s">
        <v>5168</v>
      </c>
      <c r="L677">
        <v>7</v>
      </c>
      <c r="M677" t="s">
        <v>506</v>
      </c>
      <c r="N677" t="s">
        <v>506</v>
      </c>
      <c r="O677" t="s">
        <v>506</v>
      </c>
      <c r="P677" t="s">
        <v>506</v>
      </c>
      <c r="U677" t="s">
        <v>1678</v>
      </c>
      <c r="V677">
        <v>43100</v>
      </c>
      <c r="W677" t="s">
        <v>5558</v>
      </c>
      <c r="X677" t="s">
        <v>506</v>
      </c>
    </row>
    <row r="678" spans="1:24">
      <c r="A678">
        <v>54</v>
      </c>
      <c r="B678">
        <v>16080181</v>
      </c>
      <c r="C678" t="s">
        <v>5550</v>
      </c>
      <c r="D678" t="s">
        <v>5551</v>
      </c>
      <c r="E678" t="s">
        <v>5559</v>
      </c>
      <c r="F678" t="s">
        <v>5559</v>
      </c>
      <c r="G678">
        <v>106</v>
      </c>
      <c r="H678" t="s">
        <v>5553</v>
      </c>
      <c r="J678" t="s">
        <v>5560</v>
      </c>
      <c r="K678" s="2059" t="s">
        <v>5168</v>
      </c>
      <c r="L678">
        <v>51</v>
      </c>
      <c r="U678" t="s">
        <v>1678</v>
      </c>
      <c r="V678">
        <v>43465</v>
      </c>
      <c r="W678" t="s">
        <v>5561</v>
      </c>
    </row>
    <row r="679" spans="1:24">
      <c r="A679">
        <v>54</v>
      </c>
      <c r="B679">
        <v>16080182</v>
      </c>
      <c r="C679" t="s">
        <v>5550</v>
      </c>
      <c r="D679" t="s">
        <v>5551</v>
      </c>
      <c r="E679" t="s">
        <v>5562</v>
      </c>
      <c r="F679" t="s">
        <v>5562</v>
      </c>
      <c r="G679">
        <v>106</v>
      </c>
      <c r="H679" t="s">
        <v>5553</v>
      </c>
      <c r="J679" t="s">
        <v>5563</v>
      </c>
      <c r="K679" s="2059" t="s">
        <v>5168</v>
      </c>
      <c r="L679">
        <v>47</v>
      </c>
      <c r="U679" t="s">
        <v>1678</v>
      </c>
      <c r="V679">
        <v>43465</v>
      </c>
      <c r="W679" t="s">
        <v>5564</v>
      </c>
    </row>
    <row r="680" spans="1:24">
      <c r="A680">
        <v>54</v>
      </c>
      <c r="B680">
        <v>16080183</v>
      </c>
      <c r="C680" t="s">
        <v>5550</v>
      </c>
      <c r="D680" t="s">
        <v>5551</v>
      </c>
      <c r="E680" t="s">
        <v>5565</v>
      </c>
      <c r="F680" t="s">
        <v>5565</v>
      </c>
      <c r="G680">
        <v>106</v>
      </c>
      <c r="H680" t="s">
        <v>5553</v>
      </c>
      <c r="J680" t="s">
        <v>5566</v>
      </c>
      <c r="K680" s="2059" t="s">
        <v>5168</v>
      </c>
      <c r="U680" t="s">
        <v>1678</v>
      </c>
      <c r="V680">
        <v>43465</v>
      </c>
      <c r="W680" t="s">
        <v>5567</v>
      </c>
    </row>
    <row r="681" spans="1:24">
      <c r="A681">
        <v>55</v>
      </c>
      <c r="C681" t="s">
        <v>5568</v>
      </c>
    </row>
    <row r="682" spans="1:24">
      <c r="A682">
        <v>55</v>
      </c>
      <c r="B682">
        <v>16110031</v>
      </c>
      <c r="C682" t="s">
        <v>5568</v>
      </c>
      <c r="D682" t="s">
        <v>5569</v>
      </c>
      <c r="E682" t="s">
        <v>5570</v>
      </c>
      <c r="F682" t="s">
        <v>5570</v>
      </c>
      <c r="G682">
        <v>55</v>
      </c>
      <c r="H682" t="s">
        <v>5571</v>
      </c>
      <c r="J682" t="s">
        <v>5572</v>
      </c>
      <c r="K682" s="2059">
        <v>2.8000000000000001E-2</v>
      </c>
      <c r="L682" t="s">
        <v>4293</v>
      </c>
      <c r="U682" t="s">
        <v>1678</v>
      </c>
      <c r="V682">
        <v>43100</v>
      </c>
      <c r="W682" t="s">
        <v>5573</v>
      </c>
    </row>
    <row r="683" spans="1:24">
      <c r="A683">
        <v>56</v>
      </c>
      <c r="C683" t="s">
        <v>5574</v>
      </c>
      <c r="D683" t="s">
        <v>5575</v>
      </c>
    </row>
    <row r="684" spans="1:24">
      <c r="A684">
        <v>56</v>
      </c>
      <c r="B684">
        <v>15110121</v>
      </c>
      <c r="C684" t="s">
        <v>5574</v>
      </c>
      <c r="D684" t="s">
        <v>5575</v>
      </c>
      <c r="E684" t="s">
        <v>5576</v>
      </c>
      <c r="F684" t="s">
        <v>5576</v>
      </c>
      <c r="G684">
        <v>148</v>
      </c>
      <c r="H684" t="s">
        <v>5577</v>
      </c>
      <c r="J684" t="s">
        <v>5578</v>
      </c>
      <c r="K684" s="2059">
        <v>2.7E-2</v>
      </c>
      <c r="L684" t="s">
        <v>5183</v>
      </c>
      <c r="U684" t="s">
        <v>1678</v>
      </c>
      <c r="V684">
        <v>43100</v>
      </c>
      <c r="W684" t="s">
        <v>5579</v>
      </c>
      <c r="X684" t="s">
        <v>5580</v>
      </c>
    </row>
    <row r="685" spans="1:24">
      <c r="A685">
        <v>56</v>
      </c>
      <c r="B685">
        <v>15110122</v>
      </c>
      <c r="C685" t="s">
        <v>5574</v>
      </c>
      <c r="D685" t="s">
        <v>5575</v>
      </c>
      <c r="E685" t="s">
        <v>5576</v>
      </c>
      <c r="F685" t="s">
        <v>5576</v>
      </c>
      <c r="G685">
        <v>148</v>
      </c>
      <c r="H685" t="s">
        <v>5577</v>
      </c>
      <c r="J685" t="s">
        <v>5578</v>
      </c>
      <c r="K685" s="2059">
        <v>2.5999999999999999E-2</v>
      </c>
      <c r="L685">
        <v>80</v>
      </c>
      <c r="U685" t="s">
        <v>1678</v>
      </c>
      <c r="V685">
        <v>43100</v>
      </c>
      <c r="W685" t="s">
        <v>5579</v>
      </c>
      <c r="X685" t="s">
        <v>5580</v>
      </c>
    </row>
    <row r="686" spans="1:24">
      <c r="A686">
        <v>56</v>
      </c>
      <c r="B686">
        <v>15110123</v>
      </c>
      <c r="C686" t="s">
        <v>5574</v>
      </c>
      <c r="D686" t="s">
        <v>5575</v>
      </c>
      <c r="E686" t="s">
        <v>5576</v>
      </c>
      <c r="F686" t="s">
        <v>5576</v>
      </c>
      <c r="G686">
        <v>148</v>
      </c>
      <c r="H686" t="s">
        <v>5577</v>
      </c>
      <c r="J686" t="s">
        <v>5578</v>
      </c>
      <c r="K686" s="2059">
        <v>2.5000000000000001E-2</v>
      </c>
      <c r="L686">
        <v>120</v>
      </c>
      <c r="U686" t="s">
        <v>1678</v>
      </c>
      <c r="V686">
        <v>43100</v>
      </c>
      <c r="W686" t="s">
        <v>5579</v>
      </c>
      <c r="X686" t="s">
        <v>5580</v>
      </c>
    </row>
    <row r="688" spans="1:24">
      <c r="A688">
        <v>99</v>
      </c>
      <c r="B688">
        <v>99000099</v>
      </c>
      <c r="C688" t="s">
        <v>5581</v>
      </c>
      <c r="G688">
        <v>999</v>
      </c>
      <c r="I688">
        <v>99</v>
      </c>
      <c r="J688" t="s">
        <v>5582</v>
      </c>
      <c r="K688" s="2059">
        <v>99</v>
      </c>
      <c r="L688" t="s">
        <v>5582</v>
      </c>
      <c r="M688">
        <v>99</v>
      </c>
      <c r="N688">
        <v>99</v>
      </c>
      <c r="O688">
        <v>999</v>
      </c>
      <c r="P688">
        <v>999</v>
      </c>
    </row>
  </sheetData>
  <sheetProtection password="C9AE" sheet="1" objects="1" scenarios="1"/>
  <mergeCells count="1">
    <mergeCell ref="H1:P1"/>
  </mergeCells>
  <hyperlinks>
    <hyperlink ref="H1" r:id="rId1"/>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Z362"/>
  <sheetViews>
    <sheetView showZeros="0" zoomScaleNormal="100" workbookViewId="0"/>
  </sheetViews>
  <sheetFormatPr baseColWidth="10" defaultRowHeight="12.75"/>
  <cols>
    <col min="1" max="1" width="3.7109375" customWidth="1"/>
    <col min="2" max="2" width="1.7109375" customWidth="1"/>
    <col min="3" max="3" width="2.85546875" customWidth="1"/>
    <col min="4" max="4" width="6.7109375" customWidth="1"/>
    <col min="5" max="6" width="3.5703125" customWidth="1"/>
    <col min="8" max="8" width="6.7109375" customWidth="1"/>
    <col min="9" max="9" width="5.5703125" customWidth="1"/>
    <col min="10" max="10" width="1.7109375" customWidth="1"/>
    <col min="11" max="11" width="3" customWidth="1"/>
    <col min="12" max="12" width="4.5703125" customWidth="1"/>
    <col min="13" max="13" width="8.28515625" customWidth="1"/>
    <col min="14" max="14" width="3.7109375" customWidth="1"/>
    <col min="15" max="15" width="5.42578125" customWidth="1"/>
    <col min="16" max="16" width="8.5703125" customWidth="1"/>
    <col min="17" max="17" width="5.7109375" customWidth="1"/>
    <col min="18" max="19" width="1.7109375" customWidth="1"/>
    <col min="20" max="20" width="2.85546875" customWidth="1"/>
    <col min="21" max="21" width="9.140625" customWidth="1"/>
    <col min="22" max="22" width="1.7109375" customWidth="1"/>
    <col min="23" max="23" width="8.7109375" customWidth="1"/>
    <col min="24" max="24" width="6.42578125" customWidth="1"/>
    <col min="25" max="25" width="3.85546875" customWidth="1"/>
    <col min="26" max="26" width="3.28515625" style="1349" customWidth="1"/>
    <col min="27" max="27" width="4.7109375" style="1456" customWidth="1"/>
    <col min="28" max="28" width="4.42578125" style="1456" customWidth="1"/>
    <col min="29" max="29" width="6.28515625" style="1456" customWidth="1"/>
    <col min="30" max="30" width="16" style="1456" customWidth="1"/>
    <col min="31" max="31" width="5.28515625" style="1456" customWidth="1"/>
    <col min="32" max="32" width="5.140625" style="1456" customWidth="1"/>
    <col min="33" max="33" width="8.5703125" style="1456" customWidth="1"/>
    <col min="34" max="34" width="6" style="1456" customWidth="1"/>
    <col min="35" max="35" width="6.140625" style="1470" customWidth="1"/>
    <col min="36" max="36" width="9.28515625" style="1456" customWidth="1"/>
    <col min="37" max="37" width="5.28515625" style="1456" customWidth="1"/>
    <col min="38" max="38" width="5.85546875" style="1456" customWidth="1"/>
    <col min="39" max="39" width="3.42578125" style="1456" customWidth="1"/>
    <col min="40" max="40" width="6.42578125" style="1456" customWidth="1"/>
    <col min="41" max="41" width="2.85546875" style="1456" customWidth="1"/>
    <col min="42" max="42" width="6" style="1456" customWidth="1"/>
    <col min="43" max="43" width="3.28515625" style="1456" customWidth="1"/>
    <col min="44" max="44" width="3" style="1456" customWidth="1"/>
    <col min="45" max="45" width="5.28515625" style="1456" customWidth="1"/>
    <col min="46" max="46" width="6.28515625" style="1456" customWidth="1"/>
    <col min="47" max="47" width="6.42578125" style="1456" customWidth="1"/>
    <col min="48" max="48" width="15.28515625" style="1456" customWidth="1"/>
    <col min="49" max="49" width="6.42578125" style="1456" customWidth="1"/>
    <col min="50" max="50" width="3.5703125" style="1456" customWidth="1"/>
    <col min="51" max="51" width="9.28515625" style="1456" customWidth="1"/>
    <col min="52" max="52" width="6" style="1456" customWidth="1"/>
    <col min="53" max="53" width="5.7109375" style="1456" customWidth="1"/>
    <col min="54" max="54" width="8.85546875" style="1456" customWidth="1"/>
    <col min="55" max="55" width="5.28515625" style="1456" customWidth="1"/>
    <col min="56" max="56" width="6.140625" style="1456" customWidth="1"/>
    <col min="57" max="57" width="3.7109375" style="1456" customWidth="1"/>
    <col min="58" max="58" width="5.85546875" style="1456" customWidth="1"/>
    <col min="59" max="59" width="3.5703125" style="1456" customWidth="1"/>
    <col min="60" max="60" width="5.7109375" style="1456" customWidth="1"/>
    <col min="61" max="61" width="3.5703125" style="1456" customWidth="1"/>
    <col min="62" max="62" width="11.5703125" style="1466" hidden="1" customWidth="1"/>
    <col min="63" max="63" width="5.5703125" style="1466" hidden="1" customWidth="1"/>
    <col min="64" max="64" width="27.140625" style="1466" hidden="1" customWidth="1"/>
    <col min="65" max="65" width="23.7109375" style="1466" hidden="1" customWidth="1"/>
    <col min="66" max="66" width="13.7109375" style="1466" hidden="1" customWidth="1"/>
    <col min="67" max="67" width="1.7109375" style="1466" hidden="1" customWidth="1"/>
    <col min="68" max="68" width="2" style="1466" hidden="1" customWidth="1"/>
    <col min="69" max="69" width="1.7109375" style="1466" hidden="1" customWidth="1"/>
    <col min="70" max="70" width="1.85546875" style="1466" hidden="1" customWidth="1"/>
    <col min="71" max="71" width="5.42578125" style="1466" hidden="1" customWidth="1"/>
    <col min="72" max="72" width="25.85546875" style="1466" hidden="1" customWidth="1"/>
    <col min="73" max="73" width="22.7109375" style="1466" hidden="1" customWidth="1"/>
    <col min="74" max="74" width="12.5703125" style="1466" hidden="1" customWidth="1"/>
    <col min="75" max="75" width="11.5703125" style="1466" hidden="1" customWidth="1"/>
    <col min="76" max="76" width="12.5703125" style="1466" hidden="1" customWidth="1"/>
    <col min="77" max="77" width="11.5703125" style="1466" customWidth="1"/>
    <col min="78" max="78" width="11.5703125" style="1349" customWidth="1"/>
  </cols>
  <sheetData>
    <row r="1" spans="2:78" s="477" customFormat="1" ht="13.9" customHeight="1">
      <c r="B1" s="477" t="str">
        <f>Projekt!B1</f>
        <v>Programme Entech 380/1, Ver. 6.1, BFE/EnFK-Zert.-Nr. 1639, SIA 380/1 (Edition 2016)</v>
      </c>
      <c r="D1" s="492"/>
      <c r="G1" s="492"/>
      <c r="X1" s="492" t="str">
        <f>"Qh= "&amp;ROUND(Qh,0)&amp;" MJ/m2"</f>
        <v>Qh= 0 MJ/m2</v>
      </c>
      <c r="Z1" s="1337"/>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42"/>
      <c r="AW1" s="1442"/>
      <c r="AX1" s="1442"/>
      <c r="AY1" s="1442"/>
      <c r="AZ1" s="1442"/>
      <c r="BA1" s="1442"/>
      <c r="BB1" s="1442"/>
      <c r="BC1" s="1442"/>
      <c r="BD1" s="1442"/>
      <c r="BE1" s="1442"/>
      <c r="BF1" s="1442"/>
      <c r="BG1" s="1442"/>
      <c r="BH1" s="1442"/>
      <c r="BI1" s="1442"/>
      <c r="BJ1" s="626"/>
      <c r="BK1" s="626"/>
      <c r="BL1" s="626"/>
      <c r="BM1" s="626"/>
      <c r="BN1" s="626"/>
      <c r="BO1" s="626"/>
      <c r="BP1" s="626"/>
      <c r="BQ1" s="626"/>
      <c r="BR1" s="626"/>
      <c r="BS1" s="626"/>
      <c r="BT1" s="626"/>
      <c r="BU1" s="626"/>
      <c r="BV1" s="626"/>
      <c r="BW1" s="626"/>
      <c r="BX1" s="626"/>
      <c r="BY1" s="626"/>
      <c r="BZ1" s="1337"/>
    </row>
    <row r="2" spans="2:78" s="477" customFormat="1" ht="16.149999999999999" customHeight="1">
      <c r="D2" s="492" t="str">
        <f>Bau!B2</f>
        <v>imprimé le:</v>
      </c>
      <c r="F2" s="478"/>
      <c r="G2" s="493">
        <f ca="1">NOW()</f>
        <v>43566.628989236109</v>
      </c>
      <c r="I2" s="476" t="str">
        <f>Bau!J2</f>
        <v xml:space="preserve">pour </v>
      </c>
      <c r="K2" s="478"/>
      <c r="L2" s="479"/>
      <c r="M2" s="479"/>
      <c r="Z2" s="1337"/>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1442"/>
      <c r="AZ2" s="1442"/>
      <c r="BA2" s="1442"/>
      <c r="BB2" s="1442"/>
      <c r="BC2" s="1442"/>
      <c r="BD2" s="1442"/>
      <c r="BE2" s="1442"/>
      <c r="BF2" s="1442"/>
      <c r="BG2" s="1442"/>
      <c r="BH2" s="1442"/>
      <c r="BI2" s="1442"/>
      <c r="BJ2" s="626"/>
      <c r="BK2" s="626"/>
      <c r="BL2" s="626"/>
      <c r="BM2" s="626"/>
      <c r="BN2" s="626"/>
      <c r="BO2" s="626"/>
      <c r="BP2" s="626"/>
      <c r="BQ2" s="626"/>
      <c r="BR2" s="626"/>
      <c r="BS2" s="626"/>
      <c r="BT2" s="626"/>
      <c r="BU2" s="626"/>
      <c r="BV2" s="626"/>
      <c r="BW2" s="626"/>
      <c r="BX2" s="626"/>
      <c r="BY2" s="626"/>
      <c r="BZ2" s="1337"/>
    </row>
    <row r="3" spans="2:78" s="174" customFormat="1" ht="13.9" customHeight="1">
      <c r="S3" s="2614" t="str">
        <f>Uebersetzung!D427</f>
        <v>Facteurs de la température sur les surfaces</v>
      </c>
      <c r="T3" s="2615"/>
      <c r="U3" s="2615"/>
      <c r="V3" s="2615"/>
      <c r="W3" s="2615"/>
      <c r="X3" s="2615"/>
      <c r="Y3" s="2615"/>
      <c r="Z3" s="2615"/>
      <c r="AA3" s="1443"/>
      <c r="AB3" s="1443"/>
      <c r="AC3" s="1443"/>
      <c r="AD3" s="1443"/>
      <c r="AE3" s="1443"/>
      <c r="AF3" s="1443"/>
      <c r="AG3" s="1443"/>
      <c r="AH3" s="1443"/>
      <c r="AI3" s="1444"/>
      <c r="AJ3" s="1443"/>
      <c r="AK3" s="1443"/>
      <c r="AL3" s="1443"/>
      <c r="AM3" s="1443"/>
      <c r="AN3" s="1443"/>
      <c r="AO3" s="1443"/>
      <c r="AP3" s="1443"/>
      <c r="AQ3" s="1443"/>
      <c r="AR3" s="1443"/>
      <c r="AS3" s="1443"/>
      <c r="AT3" s="1443"/>
      <c r="AU3" s="1443"/>
      <c r="AV3" s="1443"/>
      <c r="AW3" s="1443"/>
      <c r="AX3" s="1443"/>
      <c r="AY3" s="1443"/>
      <c r="AZ3" s="1443"/>
      <c r="BA3" s="1443"/>
      <c r="BB3" s="1443"/>
      <c r="BC3" s="1443"/>
      <c r="BD3" s="1443"/>
      <c r="BE3" s="1443"/>
      <c r="BF3" s="1443"/>
      <c r="BG3" s="1443"/>
      <c r="BH3" s="1443"/>
      <c r="BI3" s="1443"/>
      <c r="BJ3" s="1425"/>
      <c r="BK3" s="1425"/>
      <c r="BL3" s="1425"/>
      <c r="BM3" s="1425"/>
      <c r="BN3" s="1425"/>
      <c r="BO3" s="1425"/>
      <c r="BP3" s="1425"/>
      <c r="BQ3" s="1425"/>
      <c r="BR3" s="1425"/>
      <c r="BS3" s="1425"/>
      <c r="BT3" s="1425"/>
      <c r="BU3" s="1425"/>
      <c r="BV3" s="1425"/>
      <c r="BW3" s="1425"/>
      <c r="BX3" s="1425"/>
      <c r="BY3" s="1425"/>
      <c r="BZ3" s="1339"/>
    </row>
    <row r="4" spans="2:78" s="174" customFormat="1" ht="24.6" customHeight="1">
      <c r="C4" s="1959" t="str">
        <f>Uebersetzung!D422</f>
        <v>Condensation dans la construction</v>
      </c>
      <c r="K4" s="539"/>
      <c r="L4" s="174" t="str">
        <f>Uebersetzung!D425</f>
        <v>(ne fonçtionne qu'avec la version complète)</v>
      </c>
      <c r="S4" s="2614"/>
      <c r="T4" s="2615"/>
      <c r="U4" s="2615"/>
      <c r="V4" s="2615"/>
      <c r="W4" s="2615"/>
      <c r="X4" s="2615"/>
      <c r="Y4" s="2615"/>
      <c r="Z4" s="2615"/>
      <c r="AA4" s="1443"/>
      <c r="AB4" s="1443"/>
      <c r="AC4" s="1443"/>
      <c r="AD4" s="1443"/>
      <c r="AE4" s="1443"/>
      <c r="AF4" s="1443"/>
      <c r="AG4" s="1443"/>
      <c r="AH4" s="1443"/>
      <c r="AI4" s="1444"/>
      <c r="AJ4" s="1443"/>
      <c r="AK4" s="1443"/>
      <c r="AL4" s="1443"/>
      <c r="AM4" s="1443"/>
      <c r="AN4" s="1443"/>
      <c r="AO4" s="1443"/>
      <c r="AP4" s="1443"/>
      <c r="AQ4" s="1443"/>
      <c r="AR4" s="1443"/>
      <c r="AS4" s="1443"/>
      <c r="AT4" s="1443"/>
      <c r="AU4" s="1443"/>
      <c r="AV4" s="1443"/>
      <c r="AW4" s="1443"/>
      <c r="AX4" s="1443"/>
      <c r="AY4" s="1443"/>
      <c r="AZ4" s="1443"/>
      <c r="BA4" s="1443"/>
      <c r="BB4" s="1443"/>
      <c r="BC4" s="1443"/>
      <c r="BD4" s="1443"/>
      <c r="BE4" s="1443"/>
      <c r="BF4" s="1443"/>
      <c r="BG4" s="1443"/>
      <c r="BH4" s="1443"/>
      <c r="BI4" s="1443"/>
      <c r="BJ4" s="1425"/>
      <c r="BK4" s="1425"/>
      <c r="BL4" s="1425"/>
      <c r="BM4" s="1425"/>
      <c r="BN4" s="1425"/>
      <c r="BO4" s="1425"/>
      <c r="BP4" s="1425"/>
      <c r="BQ4" s="1425"/>
      <c r="BR4" s="1425"/>
      <c r="BS4" s="1425"/>
      <c r="BT4" s="1425"/>
      <c r="BU4" s="1425"/>
      <c r="BV4" s="1425"/>
      <c r="BW4" s="1425"/>
      <c r="BX4" s="1425"/>
      <c r="BY4" s="1425"/>
      <c r="BZ4" s="1339"/>
    </row>
    <row r="5" spans="2:78" s="174" customFormat="1" ht="9.6" customHeight="1">
      <c r="D5" s="471"/>
      <c r="S5" s="612"/>
      <c r="T5" s="574"/>
      <c r="U5" s="574"/>
      <c r="V5" s="574"/>
      <c r="W5" s="574"/>
      <c r="X5" s="574"/>
      <c r="Y5" s="574"/>
      <c r="Z5" s="1340"/>
      <c r="AA5" s="1443"/>
      <c r="AB5" s="1443"/>
      <c r="AC5" s="1443"/>
      <c r="AD5" s="1443"/>
      <c r="AE5" s="1443"/>
      <c r="AF5" s="1443"/>
      <c r="AG5" s="1443"/>
      <c r="AH5" s="1443"/>
      <c r="AI5" s="1444"/>
      <c r="AJ5" s="1443"/>
      <c r="AK5" s="1443"/>
      <c r="AL5" s="1443"/>
      <c r="AM5" s="1443"/>
      <c r="AN5" s="1443"/>
      <c r="AO5" s="1443"/>
      <c r="AP5" s="1443"/>
      <c r="AQ5" s="1443"/>
      <c r="AR5" s="1443"/>
      <c r="AS5" s="1443"/>
      <c r="AT5" s="1443"/>
      <c r="AU5" s="1443"/>
      <c r="AV5" s="1443"/>
      <c r="AW5" s="1443"/>
      <c r="AX5" s="1443"/>
      <c r="AY5" s="1443"/>
      <c r="AZ5" s="1443"/>
      <c r="BA5" s="1443"/>
      <c r="BB5" s="1443"/>
      <c r="BC5" s="1443"/>
      <c r="BD5" s="1443"/>
      <c r="BE5" s="1443"/>
      <c r="BF5" s="1443"/>
      <c r="BG5" s="1443"/>
      <c r="BH5" s="1443"/>
      <c r="BI5" s="1443"/>
      <c r="BJ5" s="1425"/>
      <c r="BK5" s="1425"/>
      <c r="BL5" s="1425"/>
      <c r="BM5" s="1425"/>
      <c r="BN5" s="1425"/>
      <c r="BO5" s="1425"/>
      <c r="BP5" s="1425"/>
      <c r="BQ5" s="1425"/>
      <c r="BR5" s="1425"/>
      <c r="BS5" s="1425"/>
      <c r="BT5" s="1425"/>
      <c r="BU5" s="1425"/>
      <c r="BV5" s="1425"/>
      <c r="BW5" s="1425"/>
      <c r="BX5" s="1425"/>
      <c r="BY5" s="1425"/>
      <c r="BZ5" s="1339"/>
    </row>
    <row r="6" spans="2:78" s="495" customFormat="1" ht="12.6" customHeight="1">
      <c r="D6" s="494" t="str">
        <f>Uebersetzung!D423</f>
        <v>T intérieur =</v>
      </c>
      <c r="E6" s="507">
        <v>20</v>
      </c>
      <c r="F6" s="496" t="s">
        <v>2324</v>
      </c>
      <c r="H6" s="509">
        <f>IF(Projekt!AE3="entech",Kondens!E6,20)</f>
        <v>20</v>
      </c>
      <c r="N6" s="494" t="str">
        <f>Uebersetzung!D441</f>
        <v>Humidité intérieur =</v>
      </c>
      <c r="O6" s="505">
        <v>0.5</v>
      </c>
      <c r="Q6" s="496"/>
      <c r="S6" s="613"/>
      <c r="T6" s="574"/>
      <c r="U6" s="2610" t="str">
        <f>Uebersetzung!D426</f>
        <v>Pas de condens sur la surface:</v>
      </c>
      <c r="V6" s="2611"/>
      <c r="W6" s="2611"/>
      <c r="X6" s="2611"/>
      <c r="Y6" s="574"/>
      <c r="Z6" s="1340"/>
      <c r="AA6" s="1444"/>
      <c r="AB6" s="1444"/>
      <c r="AC6" s="1444"/>
      <c r="AD6" s="1444"/>
      <c r="AE6" s="1444"/>
      <c r="AF6" s="1444"/>
      <c r="AG6" s="1444"/>
      <c r="AH6" s="1444"/>
      <c r="AI6" s="1444"/>
      <c r="AJ6" s="1444"/>
      <c r="AK6" s="1444"/>
      <c r="AL6" s="1444"/>
      <c r="AM6" s="1444"/>
      <c r="AN6" s="1444"/>
      <c r="AO6" s="1444"/>
      <c r="AP6" s="1444"/>
      <c r="AQ6" s="1444"/>
      <c r="AR6" s="1444"/>
      <c r="AS6" s="1444"/>
      <c r="AT6" s="1444"/>
      <c r="AU6" s="1444"/>
      <c r="AV6" s="1444"/>
      <c r="AW6" s="1444"/>
      <c r="AX6" s="1444"/>
      <c r="AY6" s="1444"/>
      <c r="AZ6" s="1444"/>
      <c r="BA6" s="1444"/>
      <c r="BB6" s="1444"/>
      <c r="BC6" s="1444"/>
      <c r="BD6" s="1444"/>
      <c r="BE6" s="1444"/>
      <c r="BF6" s="1444"/>
      <c r="BG6" s="1444"/>
      <c r="BH6" s="1444"/>
      <c r="BI6" s="1444"/>
      <c r="BJ6" s="1463"/>
      <c r="BK6" s="1463"/>
      <c r="BL6" s="1463"/>
      <c r="BM6" s="1463"/>
      <c r="BN6" s="1463"/>
      <c r="BO6" s="1463"/>
      <c r="BP6" s="1463"/>
      <c r="BQ6" s="1463"/>
      <c r="BR6" s="1463"/>
      <c r="BS6" s="1463"/>
      <c r="BT6" s="1463"/>
      <c r="BU6" s="1463"/>
      <c r="BV6" s="1463"/>
      <c r="BW6" s="1463"/>
      <c r="BX6" s="1463"/>
      <c r="BY6" s="1463"/>
      <c r="BZ6" s="1341"/>
    </row>
    <row r="7" spans="2:78" s="495" customFormat="1" ht="12.6" customHeight="1">
      <c r="D7" s="494" t="str">
        <f>Uebersetzung!D424</f>
        <v>T extérieur =</v>
      </c>
      <c r="E7" s="508"/>
      <c r="F7" s="496" t="s">
        <v>2324</v>
      </c>
      <c r="H7" s="509">
        <f>IF(Projekt!AE3="entech",E7,20)</f>
        <v>20</v>
      </c>
      <c r="N7" s="494" t="str">
        <f>Uebersetzung!D442</f>
        <v>Humidité extérieur =</v>
      </c>
      <c r="O7" s="506">
        <v>0.6</v>
      </c>
      <c r="Q7" s="496"/>
      <c r="S7" s="570"/>
      <c r="T7" s="496"/>
      <c r="U7" s="2612" t="s">
        <v>268</v>
      </c>
      <c r="V7" s="2613"/>
      <c r="W7" s="2613"/>
      <c r="X7" s="2613"/>
      <c r="Y7" s="496"/>
      <c r="Z7" s="1342"/>
      <c r="AA7" s="1444"/>
      <c r="AB7" s="1444"/>
      <c r="AC7" s="1444"/>
      <c r="AD7" s="1444"/>
      <c r="AE7" s="1444"/>
      <c r="AF7" s="1444"/>
      <c r="AG7" s="1444"/>
      <c r="AH7" s="1444"/>
      <c r="AI7" s="1444"/>
      <c r="AJ7" s="1444"/>
      <c r="AK7" s="1444"/>
      <c r="AL7" s="1444"/>
      <c r="AM7" s="1444"/>
      <c r="AN7" s="1444"/>
      <c r="AO7" s="1444"/>
      <c r="AP7" s="1444"/>
      <c r="AQ7" s="1444"/>
      <c r="AR7" s="1444"/>
      <c r="AS7" s="1444"/>
      <c r="AT7" s="1444"/>
      <c r="AU7" s="1444"/>
      <c r="AV7" s="1444"/>
      <c r="AW7" s="1444"/>
      <c r="AX7" s="1444"/>
      <c r="AY7" s="1444"/>
      <c r="AZ7" s="1444"/>
      <c r="BA7" s="1444"/>
      <c r="BB7" s="1444"/>
      <c r="BC7" s="1444"/>
      <c r="BD7" s="1444"/>
      <c r="BE7" s="1444"/>
      <c r="BF7" s="1444"/>
      <c r="BG7" s="1444"/>
      <c r="BH7" s="1444"/>
      <c r="BI7" s="1444"/>
      <c r="BJ7" s="1463"/>
      <c r="BK7" s="1463"/>
      <c r="BL7" s="1463"/>
      <c r="BM7" s="1463"/>
      <c r="BN7" s="1463"/>
      <c r="BO7" s="1463"/>
      <c r="BP7" s="1463"/>
      <c r="BQ7" s="1463"/>
      <c r="BR7" s="1463"/>
      <c r="BS7" s="1463"/>
      <c r="BT7" s="1463"/>
      <c r="BU7" s="1463"/>
      <c r="BV7" s="1463"/>
      <c r="BW7" s="1463"/>
      <c r="BX7" s="1463"/>
      <c r="BY7" s="1463"/>
      <c r="BZ7" s="1341"/>
    </row>
    <row r="8" spans="2:78" s="476" customFormat="1" ht="16.899999999999999" customHeight="1">
      <c r="C8" s="477" t="str">
        <f>Uebersetzung!D436</f>
        <v>(Valeur normative pour les endroits intérieurs: 20° / 50%)</v>
      </c>
      <c r="D8" s="480"/>
      <c r="E8" s="480"/>
      <c r="F8" s="481"/>
      <c r="K8" s="480"/>
      <c r="L8" s="480"/>
      <c r="Q8" s="481"/>
      <c r="S8" s="571"/>
      <c r="T8" s="481"/>
      <c r="U8" s="2610" t="str">
        <f>Uebersetzung!D428</f>
        <v>Pas de penicillium:</v>
      </c>
      <c r="V8" s="2611"/>
      <c r="W8" s="2611"/>
      <c r="X8" s="2611"/>
      <c r="Y8" s="2611"/>
      <c r="Z8" s="1343"/>
      <c r="AA8" s="1445"/>
      <c r="AB8" s="1445"/>
      <c r="AC8" s="1445"/>
      <c r="AD8" s="1445"/>
      <c r="AE8" s="1445"/>
      <c r="AF8" s="1445"/>
      <c r="AG8" s="1445"/>
      <c r="AH8" s="1445"/>
      <c r="AI8" s="1445"/>
      <c r="AJ8" s="1445"/>
      <c r="AK8" s="1445"/>
      <c r="AL8" s="1445"/>
      <c r="AM8" s="1445"/>
      <c r="AN8" s="1445"/>
      <c r="AO8" s="1445"/>
      <c r="AP8" s="1445"/>
      <c r="AQ8" s="1445"/>
      <c r="AR8" s="1445"/>
      <c r="AS8" s="1445"/>
      <c r="AT8" s="1445"/>
      <c r="AU8" s="1445"/>
      <c r="AV8" s="1445"/>
      <c r="AW8" s="1445"/>
      <c r="AX8" s="1445"/>
      <c r="AY8" s="1445"/>
      <c r="AZ8" s="1445"/>
      <c r="BA8" s="1445"/>
      <c r="BB8" s="1445"/>
      <c r="BC8" s="1445"/>
      <c r="BD8" s="1445"/>
      <c r="BE8" s="1445"/>
      <c r="BF8" s="1445"/>
      <c r="BG8" s="1445"/>
      <c r="BH8" s="1445"/>
      <c r="BI8" s="1445"/>
      <c r="BJ8" s="1464"/>
      <c r="BK8" s="1464"/>
      <c r="BL8" s="1464"/>
      <c r="BM8" s="1464"/>
      <c r="BN8" s="1464"/>
      <c r="BO8" s="1464"/>
      <c r="BP8" s="1464"/>
      <c r="BQ8" s="1464"/>
      <c r="BR8" s="1464"/>
      <c r="BS8" s="1464"/>
      <c r="BT8" s="1464"/>
      <c r="BU8" s="1464"/>
      <c r="BV8" s="1464"/>
      <c r="BW8" s="1464"/>
      <c r="BX8" s="1464"/>
      <c r="BY8" s="1464"/>
      <c r="BZ8" s="1344"/>
    </row>
    <row r="9" spans="2:78" s="476" customFormat="1" ht="16.899999999999999" customHeight="1">
      <c r="C9" s="482" t="str">
        <f>Uebersetzung!D437</f>
        <v>Développement de température effective</v>
      </c>
      <c r="E9" s="481"/>
      <c r="H9" s="481"/>
      <c r="I9" s="481"/>
      <c r="J9" s="481" t="str">
        <f>Uebersetzung!D440</f>
        <v xml:space="preserve">Station:  </v>
      </c>
      <c r="K9" s="481"/>
      <c r="L9" s="481"/>
      <c r="M9" s="1534" t="str">
        <f>UWert!K5&amp; "   (cf. UWert)"</f>
        <v xml:space="preserve">   (cf. UWert)</v>
      </c>
      <c r="N9" s="481"/>
      <c r="O9" s="481"/>
      <c r="P9" s="481"/>
      <c r="Q9" s="481"/>
      <c r="R9" s="481"/>
      <c r="S9" s="571"/>
      <c r="T9" s="481"/>
      <c r="U9" s="2605" t="s">
        <v>270</v>
      </c>
      <c r="V9" s="2611"/>
      <c r="W9" s="2611"/>
      <c r="X9" s="2611"/>
      <c r="Z9" s="1343"/>
      <c r="AA9" s="1445"/>
      <c r="AB9" s="1445"/>
      <c r="AC9" s="1445"/>
      <c r="AD9" s="1445"/>
      <c r="AE9" s="1445"/>
      <c r="AF9" s="1445"/>
      <c r="AG9" s="1445"/>
      <c r="AH9" s="1445"/>
      <c r="AI9" s="1445"/>
      <c r="AJ9" s="1445"/>
      <c r="AK9" s="1445"/>
      <c r="AL9" s="1445"/>
      <c r="AM9" s="1445"/>
      <c r="AN9" s="1445"/>
      <c r="AO9" s="1445"/>
      <c r="AP9" s="1445"/>
      <c r="AQ9" s="1445"/>
      <c r="AR9" s="1445"/>
      <c r="AS9" s="1445"/>
      <c r="AT9" s="1445"/>
      <c r="AU9" s="1445"/>
      <c r="AV9" s="1445"/>
      <c r="AW9" s="1445"/>
      <c r="AX9" s="1445"/>
      <c r="AY9" s="1445"/>
      <c r="AZ9" s="1445"/>
      <c r="BA9" s="1445"/>
      <c r="BB9" s="1445"/>
      <c r="BC9" s="1445"/>
      <c r="BD9" s="1445"/>
      <c r="BE9" s="1445"/>
      <c r="BF9" s="1445"/>
      <c r="BG9" s="1445"/>
      <c r="BH9" s="1445"/>
      <c r="BI9" s="1445"/>
      <c r="BJ9" s="1464"/>
      <c r="BK9" s="1464"/>
      <c r="BL9" s="1464"/>
      <c r="BM9" s="1464"/>
      <c r="BN9" s="1464"/>
      <c r="BO9" s="1464"/>
      <c r="BP9" s="1464"/>
      <c r="BQ9" s="1464"/>
      <c r="BR9" s="1464"/>
      <c r="BS9" s="1464"/>
      <c r="BT9" s="1464"/>
      <c r="BU9" s="1464"/>
      <c r="BV9" s="1464"/>
      <c r="BW9" s="1464"/>
      <c r="BX9" s="1464"/>
      <c r="BY9" s="1464"/>
      <c r="BZ9" s="1344"/>
    </row>
    <row r="10" spans="2:78" s="476" customFormat="1" ht="12.6" customHeight="1">
      <c r="C10" s="482" t="str">
        <f>Uebersetzung!D438</f>
        <v>Température de la condensation</v>
      </c>
      <c r="E10" s="481"/>
      <c r="H10" s="481"/>
      <c r="I10" s="481"/>
      <c r="J10" s="481" t="str">
        <f>Uebersetzung!D439</f>
        <v>(Station météorologique pour calculer la condensation)</v>
      </c>
      <c r="L10" s="481"/>
      <c r="N10" s="481"/>
      <c r="O10" s="481"/>
      <c r="P10" s="481"/>
      <c r="Q10" s="481"/>
      <c r="S10" s="571"/>
      <c r="T10" s="481"/>
      <c r="U10" s="496"/>
      <c r="V10" s="565"/>
      <c r="W10" s="481"/>
      <c r="X10" s="481"/>
      <c r="Y10" s="481"/>
      <c r="Z10" s="1343"/>
      <c r="AA10" s="1445"/>
      <c r="AB10" s="1445"/>
      <c r="AC10" s="1445"/>
      <c r="AD10" s="1445"/>
      <c r="AE10" s="1445"/>
      <c r="AF10" s="1445"/>
      <c r="AG10" s="1445"/>
      <c r="AH10" s="1445"/>
      <c r="AI10" s="1445"/>
      <c r="AJ10" s="1445"/>
      <c r="AK10" s="1445"/>
      <c r="AL10" s="1445"/>
      <c r="AM10" s="1445"/>
      <c r="AN10" s="1445"/>
      <c r="AO10" s="1445"/>
      <c r="AP10" s="1445"/>
      <c r="AQ10" s="1445"/>
      <c r="AR10" s="1445"/>
      <c r="AS10" s="1445"/>
      <c r="AT10" s="1445"/>
      <c r="AU10" s="1445"/>
      <c r="AV10" s="1445"/>
      <c r="AW10" s="1445"/>
      <c r="AX10" s="1445"/>
      <c r="AY10" s="1445"/>
      <c r="AZ10" s="1445"/>
      <c r="BA10" s="1445"/>
      <c r="BB10" s="1445"/>
      <c r="BC10" s="1445"/>
      <c r="BD10" s="1445"/>
      <c r="BE10" s="1445"/>
      <c r="BF10" s="1445"/>
      <c r="BG10" s="1445"/>
      <c r="BH10" s="1445"/>
      <c r="BI10" s="1445"/>
      <c r="BJ10" s="1464"/>
      <c r="BK10" s="1464"/>
      <c r="BL10" s="1464"/>
      <c r="BM10" s="1464"/>
      <c r="BN10" s="1464"/>
      <c r="BO10" s="1464"/>
      <c r="BP10" s="1464"/>
      <c r="BQ10" s="1464"/>
      <c r="BR10" s="1464"/>
      <c r="BS10" s="1464"/>
      <c r="BT10" s="1464"/>
      <c r="BU10" s="1464"/>
      <c r="BV10" s="1464"/>
      <c r="BW10" s="1464"/>
      <c r="BX10" s="1464"/>
      <c r="BY10" s="1464"/>
      <c r="BZ10" s="1344"/>
    </row>
    <row r="11" spans="2:78" s="174" customFormat="1" ht="11.45" customHeight="1">
      <c r="D11" s="475"/>
      <c r="E11" s="199"/>
      <c r="H11" s="199"/>
      <c r="I11" s="199"/>
      <c r="J11" s="199"/>
      <c r="K11" s="199"/>
      <c r="L11" s="199"/>
      <c r="N11" s="199"/>
      <c r="O11" s="199"/>
      <c r="P11" s="199"/>
      <c r="Q11" s="199"/>
      <c r="S11" s="569"/>
      <c r="T11" s="614" t="str">
        <f>Uebersetzung!D429</f>
        <v>avec alpha,i=6W/Km2 selon la norme sia 380/1</v>
      </c>
      <c r="U11" s="565"/>
      <c r="V11" s="565"/>
      <c r="W11" s="565"/>
      <c r="X11" s="565"/>
      <c r="Y11" s="565"/>
      <c r="Z11" s="1338"/>
      <c r="AA11" s="1443"/>
      <c r="AB11" s="1443"/>
      <c r="AC11" s="1443"/>
      <c r="AD11" s="1443"/>
      <c r="AE11" s="1443"/>
      <c r="AF11" s="1443"/>
      <c r="AG11" s="1443"/>
      <c r="AH11" s="1443"/>
      <c r="AI11" s="1444"/>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25"/>
      <c r="BK11" s="1425"/>
      <c r="BL11" s="1425"/>
      <c r="BM11" s="1425"/>
      <c r="BN11" s="1425"/>
      <c r="BO11" s="1425"/>
      <c r="BP11" s="1425"/>
      <c r="BQ11" s="1425"/>
      <c r="BR11" s="1425"/>
      <c r="BS11" s="1425"/>
      <c r="BT11" s="1425"/>
      <c r="BU11" s="1425"/>
      <c r="BV11" s="1425"/>
      <c r="BW11" s="1425"/>
      <c r="BX11" s="1425"/>
      <c r="BY11" s="1425"/>
      <c r="BZ11" s="1339"/>
    </row>
    <row r="12" spans="2:78" s="174" customFormat="1" ht="12.6" customHeight="1" thickBot="1">
      <c r="C12" s="483">
        <v>1</v>
      </c>
      <c r="D12" s="484">
        <f>UWert!C7</f>
        <v>0</v>
      </c>
      <c r="E12" s="484"/>
      <c r="F12" s="485"/>
      <c r="G12" s="485"/>
      <c r="H12" s="485"/>
      <c r="I12" s="486"/>
      <c r="J12" s="199"/>
      <c r="K12" s="487">
        <v>2</v>
      </c>
      <c r="L12" s="488">
        <f>UWert!K7</f>
        <v>0</v>
      </c>
      <c r="M12" s="485"/>
      <c r="N12" s="485"/>
      <c r="O12" s="485"/>
      <c r="P12" s="485"/>
      <c r="Q12" s="486"/>
      <c r="S12" s="569"/>
      <c r="T12" s="568">
        <v>1</v>
      </c>
      <c r="U12" s="488">
        <f>UWert!C7</f>
        <v>0</v>
      </c>
      <c r="V12" s="573"/>
      <c r="W12" s="488"/>
      <c r="X12" s="573"/>
      <c r="Y12" s="567"/>
      <c r="Z12" s="1338"/>
      <c r="AA12" s="1446"/>
      <c r="AB12" s="1446"/>
      <c r="AC12" s="1446"/>
      <c r="AD12" s="1446"/>
      <c r="AE12" s="1446"/>
      <c r="AF12" s="1446"/>
      <c r="AG12" s="1446"/>
      <c r="AH12" s="1446"/>
      <c r="AI12" s="1467"/>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7"/>
      <c r="BJ12" s="1425"/>
      <c r="BK12" s="1425"/>
      <c r="BL12" s="1425"/>
      <c r="BM12" s="1425"/>
      <c r="BN12" s="1425"/>
      <c r="BO12" s="1425"/>
      <c r="BP12" s="1425"/>
      <c r="BQ12" s="1425"/>
      <c r="BR12" s="1425"/>
      <c r="BS12" s="1425"/>
      <c r="BT12" s="1425"/>
      <c r="BU12" s="1425"/>
      <c r="BV12" s="1425"/>
      <c r="BW12" s="1425"/>
      <c r="BX12" s="1425"/>
      <c r="BY12" s="1425"/>
      <c r="BZ12" s="1339"/>
    </row>
    <row r="13" spans="2:78" s="174" customFormat="1" ht="12.6" customHeight="1" thickBot="1">
      <c r="C13" s="199"/>
      <c r="D13" s="199"/>
      <c r="E13" s="199"/>
      <c r="F13" s="199"/>
      <c r="G13" s="199"/>
      <c r="H13" s="199"/>
      <c r="I13" s="199"/>
      <c r="J13" s="199"/>
      <c r="K13" s="199"/>
      <c r="L13" s="199"/>
      <c r="M13" s="199"/>
      <c r="N13" s="199"/>
      <c r="O13" s="199"/>
      <c r="P13" s="199"/>
      <c r="Q13" s="199"/>
      <c r="S13" s="569"/>
      <c r="T13" s="2592" t="str">
        <f>Uebersetzung!D430</f>
        <v>valeur qui est</v>
      </c>
      <c r="U13" s="2593"/>
      <c r="V13" s="2596" t="str">
        <f>Uebersetzung!D431</f>
        <v>valeur limite</v>
      </c>
      <c r="W13" s="2597"/>
      <c r="X13" s="2596" t="str">
        <f>Uebersetzung!D431</f>
        <v>valeur limite</v>
      </c>
      <c r="Y13" s="2597"/>
      <c r="Z13" s="1345"/>
      <c r="AA13" s="1448" t="s">
        <v>1957</v>
      </c>
      <c r="AB13" s="1448" t="s">
        <v>1958</v>
      </c>
      <c r="AC13" s="1449" t="s">
        <v>2326</v>
      </c>
      <c r="AD13" s="1449" t="s">
        <v>791</v>
      </c>
      <c r="AE13" s="1449" t="s">
        <v>2327</v>
      </c>
      <c r="AF13" s="1449"/>
      <c r="AG13" s="1449" t="s">
        <v>1959</v>
      </c>
      <c r="AH13" s="1449" t="s">
        <v>106</v>
      </c>
      <c r="AI13" s="1453" t="s">
        <v>2201</v>
      </c>
      <c r="AJ13" s="1449" t="s">
        <v>108</v>
      </c>
      <c r="AK13" s="1449" t="s">
        <v>1250</v>
      </c>
      <c r="AL13" s="1449" t="s">
        <v>109</v>
      </c>
      <c r="AM13" s="1449"/>
      <c r="AN13" s="1449" t="s">
        <v>110</v>
      </c>
      <c r="AO13" s="1449"/>
      <c r="AP13" s="1449" t="s">
        <v>111</v>
      </c>
      <c r="AQ13" s="1449"/>
      <c r="AR13" s="1449"/>
      <c r="AS13" s="1448" t="s">
        <v>1957</v>
      </c>
      <c r="AT13" s="1448" t="s">
        <v>1958</v>
      </c>
      <c r="AU13" s="1449" t="s">
        <v>2326</v>
      </c>
      <c r="AV13" s="1449" t="s">
        <v>791</v>
      </c>
      <c r="AW13" s="1449" t="s">
        <v>2327</v>
      </c>
      <c r="AX13" s="1449"/>
      <c r="AY13" s="1449" t="s">
        <v>1959</v>
      </c>
      <c r="AZ13" s="1449" t="s">
        <v>106</v>
      </c>
      <c r="BA13" s="1449" t="s">
        <v>107</v>
      </c>
      <c r="BB13" s="1449" t="s">
        <v>108</v>
      </c>
      <c r="BC13" s="1449" t="s">
        <v>1250</v>
      </c>
      <c r="BD13" s="1449" t="s">
        <v>109</v>
      </c>
      <c r="BE13" s="1449"/>
      <c r="BF13" s="1449" t="s">
        <v>110</v>
      </c>
      <c r="BG13" s="1449"/>
      <c r="BH13" s="1449" t="s">
        <v>111</v>
      </c>
      <c r="BI13" s="1449"/>
      <c r="BJ13" s="1425"/>
      <c r="BK13" s="1426">
        <v>1</v>
      </c>
      <c r="BL13" s="1427" t="s">
        <v>840</v>
      </c>
      <c r="BM13" s="1428" t="s">
        <v>838</v>
      </c>
      <c r="BN13" s="1429" t="s">
        <v>839</v>
      </c>
      <c r="BO13" s="1430"/>
      <c r="BP13" s="1430"/>
      <c r="BQ13" s="1430"/>
      <c r="BR13" s="1430"/>
      <c r="BS13" s="1426">
        <v>2</v>
      </c>
      <c r="BT13" s="1427" t="s">
        <v>840</v>
      </c>
      <c r="BU13" s="1428" t="s">
        <v>838</v>
      </c>
      <c r="BV13" s="1429" t="s">
        <v>839</v>
      </c>
      <c r="BW13" s="1425"/>
      <c r="BX13" s="1425"/>
      <c r="BY13" s="1425"/>
      <c r="BZ13" s="1339"/>
    </row>
    <row r="14" spans="2:78" s="174" customFormat="1" ht="12.6" customHeight="1">
      <c r="C14" s="199"/>
      <c r="D14" s="199"/>
      <c r="E14" s="199"/>
      <c r="F14" s="199"/>
      <c r="G14" s="199"/>
      <c r="H14" s="199"/>
      <c r="I14" s="199"/>
      <c r="J14" s="199"/>
      <c r="K14" s="199"/>
      <c r="L14" s="199"/>
      <c r="M14" s="199"/>
      <c r="N14" s="199"/>
      <c r="O14" s="199"/>
      <c r="P14" s="199"/>
      <c r="Q14" s="199"/>
      <c r="S14" s="569"/>
      <c r="T14" s="2598"/>
      <c r="U14" s="2599"/>
      <c r="V14" s="2596" t="str">
        <f>Uebersetzung!D432</f>
        <v>condens.</v>
      </c>
      <c r="W14" s="2597"/>
      <c r="X14" s="2596" t="str">
        <f>Uebersetzung!D433</f>
        <v>penicillium</v>
      </c>
      <c r="Y14" s="2604"/>
      <c r="Z14" s="1347"/>
      <c r="AA14" s="1450" t="e">
        <f>Rh_innen*AH14-Rh_aussen*AH23</f>
        <v>#DIV/0!</v>
      </c>
      <c r="AB14" s="1449">
        <f>Ti_feuchte-Ta_feuchte</f>
        <v>0</v>
      </c>
      <c r="AC14" s="1451">
        <v>0.1</v>
      </c>
      <c r="AD14" s="1449">
        <v>0</v>
      </c>
      <c r="AE14" s="1450" t="e">
        <f t="shared" ref="AE14:AE22" si="0">AG15*$AB$14+AE15</f>
        <v>#DIV/0!</v>
      </c>
      <c r="AF14" s="1449" t="s">
        <v>2324</v>
      </c>
      <c r="AG14" s="1451"/>
      <c r="AH14" s="1450" t="e">
        <f>IF(AE14&gt;0,1.40574*POWER(10,10)*EXP(-3928.5/(AE14+231.667)),3.61633*POWER(10,12)*EXP(-6150.6/(AE14+273.33)))</f>
        <v>#DIV/0!</v>
      </c>
      <c r="AI14" s="1468"/>
      <c r="AJ14" s="1452"/>
      <c r="AK14" s="1450" t="e">
        <f>AH14*Rh_innen</f>
        <v>#DIV/0!</v>
      </c>
      <c r="AL14" s="1451" t="e">
        <f>(1/(LN(AK14/(3.61633*POWER(10,12))))*-6150.6)-273.33</f>
        <v>#DIV/0!</v>
      </c>
      <c r="AM14" s="1449" t="s">
        <v>2324</v>
      </c>
      <c r="AN14" s="1451" t="e">
        <f>(1/(LN(AK14/(1.40574*POWER(10,10))))*-3928.5)-231.66</f>
        <v>#DIV/0!</v>
      </c>
      <c r="AO14" s="1449" t="s">
        <v>2324</v>
      </c>
      <c r="AP14" s="1451" t="e">
        <f>IF(AN14&lt;0,AL14,AN14)</f>
        <v>#DIV/0!</v>
      </c>
      <c r="AQ14" s="1449" t="s">
        <v>2324</v>
      </c>
      <c r="AR14" s="1449"/>
      <c r="AS14" s="1450" t="e">
        <f>Rh_innen*AZ14-Rh_aussen*AZ23</f>
        <v>#DIV/0!</v>
      </c>
      <c r="AT14" s="1449">
        <f>Ti_feuchte-Ta_feuchte</f>
        <v>0</v>
      </c>
      <c r="AU14" s="1451">
        <v>0.1</v>
      </c>
      <c r="AV14" s="1449">
        <v>0</v>
      </c>
      <c r="AW14" s="1450" t="e">
        <f t="shared" ref="AW14:AW22" si="1">AY15*$AT$14+AW15</f>
        <v>#DIV/0!</v>
      </c>
      <c r="AX14" s="1449" t="s">
        <v>2324</v>
      </c>
      <c r="AY14" s="1451"/>
      <c r="AZ14" s="1450" t="e">
        <f>IF(AW14&gt;0,1.40574*POWER(10,10)*EXP(-3928.5/(AW14+231.667)),3.61633*POWER(10,12)*EXP(-6150.6/(AW14+273.33)))</f>
        <v>#DIV/0!</v>
      </c>
      <c r="BA14" s="1451"/>
      <c r="BB14" s="1451"/>
      <c r="BC14" s="1450" t="e">
        <f>AZ14*Rh_innen</f>
        <v>#DIV/0!</v>
      </c>
      <c r="BD14" s="1451" t="e">
        <f>(1/(LN(BC14/(3.61633*POWER(10,12))))*-6150.6)-273.33</f>
        <v>#DIV/0!</v>
      </c>
      <c r="BE14" s="1449" t="s">
        <v>2324</v>
      </c>
      <c r="BF14" s="1451" t="e">
        <f>(1/(LN(BC14/(1.40574*POWER(10,10))))*-3928.5)-231.66</f>
        <v>#DIV/0!</v>
      </c>
      <c r="BG14" s="1449" t="s">
        <v>2324</v>
      </c>
      <c r="BH14" s="1450" t="e">
        <f>IF(BF14&lt;0,BD14,BF14)</f>
        <v>#DIV/0!</v>
      </c>
      <c r="BI14" s="1449" t="s">
        <v>2324</v>
      </c>
      <c r="BJ14" s="1425"/>
      <c r="BK14" s="1430"/>
      <c r="BL14" s="1431" t="s">
        <v>1987</v>
      </c>
      <c r="BM14" s="1432" t="s">
        <v>1988</v>
      </c>
      <c r="BN14" s="1433" t="s">
        <v>1989</v>
      </c>
      <c r="BO14" s="1430"/>
      <c r="BP14" s="1430"/>
      <c r="BQ14" s="1430"/>
      <c r="BR14" s="1430"/>
      <c r="BS14" s="1430"/>
      <c r="BT14" s="1431" t="s">
        <v>1987</v>
      </c>
      <c r="BU14" s="1432" t="s">
        <v>1988</v>
      </c>
      <c r="BV14" s="1433" t="s">
        <v>1989</v>
      </c>
      <c r="BW14" s="1425"/>
      <c r="BX14" s="1425"/>
      <c r="BY14" s="1425"/>
      <c r="BZ14" s="1339"/>
    </row>
    <row r="15" spans="2:78" s="174" customFormat="1" ht="12.6" customHeight="1">
      <c r="C15" s="199"/>
      <c r="D15" s="199"/>
      <c r="E15" s="199"/>
      <c r="F15" s="199"/>
      <c r="G15" s="199"/>
      <c r="H15" s="199"/>
      <c r="I15" s="199"/>
      <c r="J15" s="199"/>
      <c r="K15" s="199"/>
      <c r="L15" s="199"/>
      <c r="M15" s="199"/>
      <c r="N15" s="199"/>
      <c r="O15" s="199"/>
      <c r="P15" s="199"/>
      <c r="Q15" s="199"/>
      <c r="S15" s="569"/>
      <c r="T15" s="2602" t="s">
        <v>274</v>
      </c>
      <c r="U15" s="2601"/>
      <c r="V15" s="2602" t="s">
        <v>273</v>
      </c>
      <c r="W15" s="2601"/>
      <c r="X15" s="2603" t="s">
        <v>276</v>
      </c>
      <c r="Y15" s="2601"/>
      <c r="Z15" s="1348"/>
      <c r="AA15" s="1449"/>
      <c r="AB15" s="1449"/>
      <c r="AC15" s="1451">
        <f>UWert!$F10/100</f>
        <v>0</v>
      </c>
      <c r="AD15" s="1449">
        <f>AD14+AC14</f>
        <v>0.1</v>
      </c>
      <c r="AE15" s="1450" t="e">
        <f t="shared" si="0"/>
        <v>#DIV/0!</v>
      </c>
      <c r="AF15" s="1449" t="s">
        <v>2324</v>
      </c>
      <c r="AG15" s="1451" t="e">
        <f>UWert!$H9/(SUM(UWert!$H$9:$H$18))</f>
        <v>#DIV/0!</v>
      </c>
      <c r="AH15" s="1450" t="e">
        <f>IF(AE15&gt;0,1.40574*POWER(10,10)*EXP(-3928.5/(AE15+231.667)),3.61633*POWER(10,12)*EXP(-6150.6/(AE15+273.33)))</f>
        <v>#DIV/0!</v>
      </c>
      <c r="AI15" s="1468">
        <f>INDEX(Bauteile!$I$57:$I$1152,UWert!BA10)*(AC15/0.72)</f>
        <v>0</v>
      </c>
      <c r="AJ15" s="1452" t="e">
        <f>AI15/SUM(AI14:AI23)</f>
        <v>#DIV/0!</v>
      </c>
      <c r="AK15" s="1450" t="e">
        <f t="shared" ref="AK15:AK22" si="2">AJ15*$AA$14+AK16</f>
        <v>#DIV/0!</v>
      </c>
      <c r="AL15" s="1451" t="e">
        <f t="shared" ref="AL15:AL23" si="3">(1/(LN(AK15/(3.61633*POWER(10,12))))*-6150.6)-273.33</f>
        <v>#DIV/0!</v>
      </c>
      <c r="AM15" s="1449" t="s">
        <v>2324</v>
      </c>
      <c r="AN15" s="1451" t="e">
        <f t="shared" ref="AN15:AN23" si="4">(1/(LN(AK15/(1.40574*POWER(10,10))))*-3928.5)-231.66</f>
        <v>#DIV/0!</v>
      </c>
      <c r="AO15" s="1449" t="s">
        <v>2324</v>
      </c>
      <c r="AP15" s="1451" t="e">
        <f t="shared" ref="AP15:AP23" si="5">IF(AN15&lt;0,AL15,AN15)</f>
        <v>#DIV/0!</v>
      </c>
      <c r="AQ15" s="1449" t="s">
        <v>2324</v>
      </c>
      <c r="AR15" s="1449"/>
      <c r="AS15" s="1449"/>
      <c r="AT15" s="1449"/>
      <c r="AU15" s="1451">
        <f>UWert!$N10/100</f>
        <v>0</v>
      </c>
      <c r="AV15" s="1449">
        <f>AV14+AU14</f>
        <v>0.1</v>
      </c>
      <c r="AW15" s="1450" t="e">
        <f t="shared" si="1"/>
        <v>#DIV/0!</v>
      </c>
      <c r="AX15" s="1449" t="s">
        <v>2324</v>
      </c>
      <c r="AY15" s="1451" t="e">
        <f>UWert!$P9/(SUM(UWert!$P$9:$P$18))</f>
        <v>#DIV/0!</v>
      </c>
      <c r="AZ15" s="1450" t="e">
        <f>IF(AW15&gt;0,1.40574*POWER(10,10)*EXP(-3928.5/(AW15+231.667)),3.61633*POWER(10,12)*EXP(-6150.6/(AW15+273.33)))</f>
        <v>#DIV/0!</v>
      </c>
      <c r="BA15" s="1451">
        <f>INDEX(Bauteile!$I$57:$I$1152,UWert!BB10)*(AU15/0.72)</f>
        <v>0</v>
      </c>
      <c r="BB15" s="1451" t="e">
        <f>BA15/SUM(BA14:BA23)</f>
        <v>#DIV/0!</v>
      </c>
      <c r="BC15" s="1450" t="e">
        <f t="shared" ref="BC15:BC22" si="6">BB15*$AS$14+BC16</f>
        <v>#DIV/0!</v>
      </c>
      <c r="BD15" s="1451" t="e">
        <f t="shared" ref="BD15:BD23" si="7">(1/(LN(BC15/(3.61633*POWER(10,12))))*-6150.6)-273.33</f>
        <v>#DIV/0!</v>
      </c>
      <c r="BE15" s="1449" t="s">
        <v>2324</v>
      </c>
      <c r="BF15" s="1451" t="e">
        <f t="shared" ref="BF15:BF23" si="8">(1/(LN(BC15/(1.40574*POWER(10,10))))*-3928.5)-231.66</f>
        <v>#DIV/0!</v>
      </c>
      <c r="BG15" s="1449" t="s">
        <v>2324</v>
      </c>
      <c r="BH15" s="1450" t="e">
        <f t="shared" ref="BH15:BH23" si="9">IF(BF15&lt;0,BD15,BF15)</f>
        <v>#DIV/0!</v>
      </c>
      <c r="BI15" s="1449" t="s">
        <v>2324</v>
      </c>
      <c r="BJ15" s="1425"/>
      <c r="BK15" s="1430"/>
      <c r="BL15" s="1465" t="e">
        <f>IF(BL16&gt;0,BL16*((1/BL16)-(1/6)),"")</f>
        <v>#VALUE!</v>
      </c>
      <c r="BM15" s="1435">
        <f>INDEX(Tab!$G$109:$G$192,Leistung!$L$4,1)</f>
        <v>0</v>
      </c>
      <c r="BN15" s="1436">
        <f>INDEX(Tab!$H$109:$H$192,Leistung!$L$4,1)</f>
        <v>0</v>
      </c>
      <c r="BO15" s="1430"/>
      <c r="BP15" s="1430"/>
      <c r="BQ15" s="1430"/>
      <c r="BR15" s="1430"/>
      <c r="BS15" s="1430"/>
      <c r="BT15" s="1434" t="e">
        <f>IF(BT16&gt;0,BT16*((1/BT16)-(1/6)),"")</f>
        <v>#VALUE!</v>
      </c>
      <c r="BU15" s="1435">
        <f>$BM$15</f>
        <v>0</v>
      </c>
      <c r="BV15" s="1436">
        <f>$BN$15</f>
        <v>0</v>
      </c>
      <c r="BW15" s="1425"/>
      <c r="BX15" s="1425"/>
      <c r="BY15" s="1425"/>
      <c r="BZ15" s="1339"/>
    </row>
    <row r="16" spans="2:78" s="174" customFormat="1" ht="12.6" customHeight="1" thickBot="1">
      <c r="C16" s="199"/>
      <c r="D16" s="199"/>
      <c r="E16" s="199"/>
      <c r="F16" s="199"/>
      <c r="G16" s="199"/>
      <c r="H16" s="199"/>
      <c r="I16" s="199"/>
      <c r="J16" s="199"/>
      <c r="K16" s="199"/>
      <c r="L16" s="199"/>
      <c r="M16" s="199"/>
      <c r="N16" s="199"/>
      <c r="O16" s="199"/>
      <c r="P16" s="199"/>
      <c r="Q16" s="199"/>
      <c r="S16" s="569"/>
      <c r="T16" s="2600">
        <f>IF(UWert!F7&lt;&gt;"",BL15,)</f>
        <v>0</v>
      </c>
      <c r="U16" s="2601"/>
      <c r="V16" s="2603">
        <f>BM15</f>
        <v>0</v>
      </c>
      <c r="W16" s="2601"/>
      <c r="X16" s="2603">
        <f>BN15</f>
        <v>0</v>
      </c>
      <c r="Y16" s="2601"/>
      <c r="Z16" s="1348"/>
      <c r="AA16" s="1449"/>
      <c r="AB16" s="1449"/>
      <c r="AC16" s="1451">
        <f>UWert!$F11/100</f>
        <v>0</v>
      </c>
      <c r="AD16" s="1451">
        <f>AD15+AC15</f>
        <v>0.1</v>
      </c>
      <c r="AE16" s="1450" t="e">
        <f t="shared" si="0"/>
        <v>#DIV/0!</v>
      </c>
      <c r="AF16" s="1449" t="s">
        <v>2324</v>
      </c>
      <c r="AG16" s="1451" t="e">
        <f>UWert!$H10/(SUM(UWert!$H$9:$H$18))</f>
        <v>#DIV/0!</v>
      </c>
      <c r="AH16" s="1450" t="e">
        <f t="shared" ref="AH16:AH23" si="10">IF(AE16&gt;0,1.40574*POWER(10,10)*EXP(-3928.5/(AE16+231.667)),3.61633*POWER(10,12)*EXP(-6150.6/(AE16+273.33)))</f>
        <v>#DIV/0!</v>
      </c>
      <c r="AI16" s="1468">
        <f>INDEX(Bauteile!$I$57:$I$1152,UWert!BA11)*(AC16/0.72)</f>
        <v>0</v>
      </c>
      <c r="AJ16" s="1452" t="e">
        <f>AI16/SUM(AI14:AI23)</f>
        <v>#DIV/0!</v>
      </c>
      <c r="AK16" s="1450" t="e">
        <f t="shared" si="2"/>
        <v>#DIV/0!</v>
      </c>
      <c r="AL16" s="1451" t="e">
        <f>(1/(LN(AK16/(3.61633*POWER(10,12))))*-6150.6)-273.33</f>
        <v>#DIV/0!</v>
      </c>
      <c r="AM16" s="1449" t="s">
        <v>2324</v>
      </c>
      <c r="AN16" s="1451" t="e">
        <f>(1/(LN(AK16/(1.40574*POWER(10,10))))*-3928.5)-231.66</f>
        <v>#DIV/0!</v>
      </c>
      <c r="AO16" s="1449" t="s">
        <v>2324</v>
      </c>
      <c r="AP16" s="1451" t="e">
        <f>IF(AN16&lt;0,AL16,AN16)</f>
        <v>#DIV/0!</v>
      </c>
      <c r="AQ16" s="1449" t="s">
        <v>2324</v>
      </c>
      <c r="AR16" s="1449"/>
      <c r="AS16" s="1449"/>
      <c r="AT16" s="1449"/>
      <c r="AU16" s="1451">
        <f>UWert!$N11/100</f>
        <v>0</v>
      </c>
      <c r="AV16" s="1449">
        <f t="shared" ref="AV16:AV23" si="11">AV15+AU15</f>
        <v>0.1</v>
      </c>
      <c r="AW16" s="1450" t="e">
        <f t="shared" si="1"/>
        <v>#DIV/0!</v>
      </c>
      <c r="AX16" s="1449" t="s">
        <v>2324</v>
      </c>
      <c r="AY16" s="1451" t="e">
        <f>UWert!$P10/(SUM(UWert!$P$9:$P$18))</f>
        <v>#DIV/0!</v>
      </c>
      <c r="AZ16" s="1450" t="e">
        <f t="shared" ref="AZ16:AZ23" si="12">IF(AW16&gt;0,1.40574*POWER(10,10)*EXP(-3928.5/(AW16+231.667)),3.61633*POWER(10,12)*EXP(-6150.6/(AW16+273.33)))</f>
        <v>#DIV/0!</v>
      </c>
      <c r="BA16" s="1451">
        <f>INDEX(Bauteile!$I$57:$I$1152,UWert!BB11)*(AU16/0.72)</f>
        <v>0</v>
      </c>
      <c r="BB16" s="1451" t="e">
        <f>BA16/SUM(BA14:BA23)</f>
        <v>#DIV/0!</v>
      </c>
      <c r="BC16" s="1450" t="e">
        <f t="shared" si="6"/>
        <v>#DIV/0!</v>
      </c>
      <c r="BD16" s="1451" t="e">
        <f t="shared" si="7"/>
        <v>#DIV/0!</v>
      </c>
      <c r="BE16" s="1449" t="s">
        <v>2324</v>
      </c>
      <c r="BF16" s="1451" t="e">
        <f t="shared" si="8"/>
        <v>#DIV/0!</v>
      </c>
      <c r="BG16" s="1449" t="s">
        <v>2324</v>
      </c>
      <c r="BH16" s="1450" t="e">
        <f t="shared" si="9"/>
        <v>#DIV/0!</v>
      </c>
      <c r="BI16" s="1449" t="s">
        <v>2324</v>
      </c>
      <c r="BJ16" s="1425"/>
      <c r="BK16" s="1437"/>
      <c r="BL16" s="1438" t="e">
        <f>IF(UWert!F7&gt;0,1/((1/UWert!F7)-(1/8)+(1/6)),)</f>
        <v>#VALUE!</v>
      </c>
      <c r="BM16" s="1439" t="e">
        <f>IF(BL15&gt;BM15,"","Problem !!!")</f>
        <v>#VALUE!</v>
      </c>
      <c r="BN16" s="1440" t="e">
        <f>IF(BL15&gt;BN15,"","Problem !!!")</f>
        <v>#VALUE!</v>
      </c>
      <c r="BO16" s="1437"/>
      <c r="BP16" s="1437"/>
      <c r="BQ16" s="1437"/>
      <c r="BR16" s="1437"/>
      <c r="BS16" s="1437"/>
      <c r="BT16" s="1438" t="e">
        <f>IF(UWert!N7&gt;0,1/((1/UWert!N7)-(1/8)+(1/6)),)</f>
        <v>#VALUE!</v>
      </c>
      <c r="BU16" s="1439" t="e">
        <f>IF(BT15&gt;BU15,"","Problem !!!")</f>
        <v>#VALUE!</v>
      </c>
      <c r="BV16" s="1440" t="e">
        <f>IF(BT15&gt;BV15,"","Problem !!!")</f>
        <v>#VALUE!</v>
      </c>
      <c r="BW16" s="1425"/>
      <c r="BX16" s="1425"/>
      <c r="BY16" s="1425"/>
      <c r="BZ16" s="1339"/>
    </row>
    <row r="17" spans="3:78" s="174" customFormat="1" ht="12.6" customHeight="1">
      <c r="C17" s="199"/>
      <c r="D17" s="199"/>
      <c r="E17" s="199"/>
      <c r="F17" s="199"/>
      <c r="G17" s="199"/>
      <c r="H17" s="199"/>
      <c r="I17" s="199"/>
      <c r="J17" s="199"/>
      <c r="K17" s="199"/>
      <c r="L17" s="199"/>
      <c r="M17" s="199"/>
      <c r="N17" s="199"/>
      <c r="O17" s="199"/>
      <c r="P17" s="199"/>
      <c r="Q17" s="199"/>
      <c r="S17" s="569"/>
      <c r="T17" s="615"/>
      <c r="U17" s="611"/>
      <c r="V17" s="2594">
        <f>IF(UWert!F7&lt;&gt;"",BM16,)</f>
        <v>0</v>
      </c>
      <c r="W17" s="2595"/>
      <c r="X17" s="2594">
        <f>IF(UWert!F7&lt;&gt;"",BN16,)</f>
        <v>0</v>
      </c>
      <c r="Y17" s="2595"/>
      <c r="Z17" s="1345"/>
      <c r="AA17" s="1449"/>
      <c r="AB17" s="1449"/>
      <c r="AC17" s="1451">
        <f>UWert!$F12/100</f>
        <v>0</v>
      </c>
      <c r="AD17" s="1449">
        <f>AD16+AC16</f>
        <v>0.1</v>
      </c>
      <c r="AE17" s="1450" t="e">
        <f t="shared" si="0"/>
        <v>#DIV/0!</v>
      </c>
      <c r="AF17" s="1449" t="s">
        <v>2324</v>
      </c>
      <c r="AG17" s="1451" t="e">
        <f>UWert!$H11/(SUM(UWert!$H$9:$H$18))</f>
        <v>#DIV/0!</v>
      </c>
      <c r="AH17" s="1450" t="e">
        <f t="shared" si="10"/>
        <v>#DIV/0!</v>
      </c>
      <c r="AI17" s="1468">
        <f>INDEX(Bauteile!$I$57:$I$1152,UWert!BA12)*(AC17/0.72)</f>
        <v>0</v>
      </c>
      <c r="AJ17" s="1452" t="e">
        <f>AI17/SUM(AI14:AI23)</f>
        <v>#DIV/0!</v>
      </c>
      <c r="AK17" s="1450" t="e">
        <f t="shared" si="2"/>
        <v>#DIV/0!</v>
      </c>
      <c r="AL17" s="1451" t="e">
        <f t="shared" si="3"/>
        <v>#DIV/0!</v>
      </c>
      <c r="AM17" s="1449" t="s">
        <v>2324</v>
      </c>
      <c r="AN17" s="1451" t="e">
        <f t="shared" si="4"/>
        <v>#DIV/0!</v>
      </c>
      <c r="AO17" s="1449" t="s">
        <v>2324</v>
      </c>
      <c r="AP17" s="1451" t="e">
        <f t="shared" si="5"/>
        <v>#DIV/0!</v>
      </c>
      <c r="AQ17" s="1449" t="s">
        <v>2324</v>
      </c>
      <c r="AR17" s="1449"/>
      <c r="AS17" s="1449"/>
      <c r="AT17" s="1449"/>
      <c r="AU17" s="1451">
        <f>UWert!$N12/100</f>
        <v>0</v>
      </c>
      <c r="AV17" s="1449">
        <f>AV16+AU16</f>
        <v>0.1</v>
      </c>
      <c r="AW17" s="1450" t="e">
        <f t="shared" si="1"/>
        <v>#DIV/0!</v>
      </c>
      <c r="AX17" s="1449" t="s">
        <v>2324</v>
      </c>
      <c r="AY17" s="1451" t="e">
        <f>UWert!$P11/(SUM(UWert!$P$9:$P$18))</f>
        <v>#DIV/0!</v>
      </c>
      <c r="AZ17" s="1450" t="e">
        <f t="shared" si="12"/>
        <v>#DIV/0!</v>
      </c>
      <c r="BA17" s="1451">
        <f>INDEX(Bauteile!$I$57:$I$1152,UWert!BB12)*(AU17/0.72)</f>
        <v>0</v>
      </c>
      <c r="BB17" s="1451" t="e">
        <f>BA17/SUM(BA14:BA23)</f>
        <v>#DIV/0!</v>
      </c>
      <c r="BC17" s="1450" t="e">
        <f t="shared" si="6"/>
        <v>#DIV/0!</v>
      </c>
      <c r="BD17" s="1451" t="e">
        <f t="shared" si="7"/>
        <v>#DIV/0!</v>
      </c>
      <c r="BE17" s="1449" t="s">
        <v>2324</v>
      </c>
      <c r="BF17" s="1451" t="e">
        <f t="shared" si="8"/>
        <v>#DIV/0!</v>
      </c>
      <c r="BG17" s="1449" t="s">
        <v>2324</v>
      </c>
      <c r="BH17" s="1450" t="e">
        <f t="shared" si="9"/>
        <v>#DIV/0!</v>
      </c>
      <c r="BI17" s="1449" t="s">
        <v>2324</v>
      </c>
      <c r="BJ17" s="1425"/>
      <c r="BK17" s="1425"/>
      <c r="BL17" s="1425"/>
      <c r="BM17" s="1425"/>
      <c r="BN17" s="1425"/>
      <c r="BO17" s="1425"/>
      <c r="BP17" s="1425"/>
      <c r="BQ17" s="1425"/>
      <c r="BR17" s="1425"/>
      <c r="BS17" s="1425"/>
      <c r="BT17" s="1425"/>
      <c r="BU17" s="1425"/>
      <c r="BV17" s="1425"/>
      <c r="BW17" s="1425"/>
      <c r="BX17" s="1425"/>
      <c r="BY17" s="1425"/>
      <c r="BZ17" s="1339"/>
    </row>
    <row r="18" spans="3:78" s="174" customFormat="1" ht="12.6" customHeight="1">
      <c r="C18" s="199"/>
      <c r="D18" s="199"/>
      <c r="E18" s="199"/>
      <c r="F18" s="199"/>
      <c r="G18" s="199"/>
      <c r="H18" s="199"/>
      <c r="I18" s="199"/>
      <c r="J18" s="199"/>
      <c r="K18" s="199"/>
      <c r="L18" s="199"/>
      <c r="M18" s="199"/>
      <c r="N18" s="199"/>
      <c r="O18" s="199"/>
      <c r="P18" s="199"/>
      <c r="Q18" s="199"/>
      <c r="S18" s="569"/>
      <c r="V18" s="565"/>
      <c r="W18" s="2605"/>
      <c r="X18" s="2605"/>
      <c r="Y18" s="199"/>
      <c r="Z18" s="1338"/>
      <c r="AA18" s="1449"/>
      <c r="AB18" s="1449"/>
      <c r="AC18" s="1451">
        <f>UWert!$F13/100</f>
        <v>0</v>
      </c>
      <c r="AD18" s="1449">
        <f t="shared" ref="AD18:AD23" si="13">AD17+AC17</f>
        <v>0.1</v>
      </c>
      <c r="AE18" s="1450" t="e">
        <f t="shared" si="0"/>
        <v>#DIV/0!</v>
      </c>
      <c r="AF18" s="1449" t="s">
        <v>2324</v>
      </c>
      <c r="AG18" s="1451" t="e">
        <f>UWert!$H12/(SUM(UWert!$H$9:$H$18))</f>
        <v>#DIV/0!</v>
      </c>
      <c r="AH18" s="1450" t="e">
        <f t="shared" si="10"/>
        <v>#DIV/0!</v>
      </c>
      <c r="AI18" s="1468">
        <f>INDEX(Bauteile!$I$57:$I$1152,UWert!BA13)*(AC18/0.72)</f>
        <v>0</v>
      </c>
      <c r="AJ18" s="1452" t="e">
        <f>AI18/SUM(AI14:AI23)</f>
        <v>#DIV/0!</v>
      </c>
      <c r="AK18" s="1450" t="e">
        <f t="shared" si="2"/>
        <v>#DIV/0!</v>
      </c>
      <c r="AL18" s="1451" t="e">
        <f t="shared" si="3"/>
        <v>#DIV/0!</v>
      </c>
      <c r="AM18" s="1449" t="s">
        <v>2324</v>
      </c>
      <c r="AN18" s="1451" t="e">
        <f t="shared" si="4"/>
        <v>#DIV/0!</v>
      </c>
      <c r="AO18" s="1449" t="s">
        <v>2324</v>
      </c>
      <c r="AP18" s="1451" t="e">
        <f t="shared" si="5"/>
        <v>#DIV/0!</v>
      </c>
      <c r="AQ18" s="1449" t="s">
        <v>2324</v>
      </c>
      <c r="AR18" s="1449"/>
      <c r="AS18" s="1449"/>
      <c r="AT18" s="1449"/>
      <c r="AU18" s="1451">
        <f>UWert!$N13/100</f>
        <v>0</v>
      </c>
      <c r="AV18" s="1449">
        <f t="shared" si="11"/>
        <v>0.1</v>
      </c>
      <c r="AW18" s="1450" t="e">
        <f t="shared" si="1"/>
        <v>#DIV/0!</v>
      </c>
      <c r="AX18" s="1449" t="s">
        <v>2324</v>
      </c>
      <c r="AY18" s="1451" t="e">
        <f>UWert!$P12/(SUM(UWert!$P$9:$P$18))</f>
        <v>#DIV/0!</v>
      </c>
      <c r="AZ18" s="1450" t="e">
        <f t="shared" si="12"/>
        <v>#DIV/0!</v>
      </c>
      <c r="BA18" s="1451">
        <f>INDEX(Bauteile!$I$57:$I$1152,UWert!BB13)*(AU18/0.72)</f>
        <v>0</v>
      </c>
      <c r="BB18" s="1451" t="e">
        <f>BA18/SUM(BA14:BA23)</f>
        <v>#DIV/0!</v>
      </c>
      <c r="BC18" s="1450" t="e">
        <f t="shared" si="6"/>
        <v>#DIV/0!</v>
      </c>
      <c r="BD18" s="1451" t="e">
        <f t="shared" si="7"/>
        <v>#DIV/0!</v>
      </c>
      <c r="BE18" s="1449" t="s">
        <v>2324</v>
      </c>
      <c r="BF18" s="1451" t="e">
        <f t="shared" si="8"/>
        <v>#DIV/0!</v>
      </c>
      <c r="BG18" s="1449" t="s">
        <v>2324</v>
      </c>
      <c r="BH18" s="1450" t="e">
        <f t="shared" si="9"/>
        <v>#DIV/0!</v>
      </c>
      <c r="BI18" s="1449" t="s">
        <v>2324</v>
      </c>
      <c r="BJ18" s="1425"/>
      <c r="BK18" s="1425"/>
      <c r="BL18" s="1425"/>
      <c r="BM18" s="1425"/>
      <c r="BN18" s="1425"/>
      <c r="BO18" s="1425"/>
      <c r="BP18" s="1425"/>
      <c r="BQ18" s="1425"/>
      <c r="BR18" s="1425"/>
      <c r="BS18" s="1425"/>
      <c r="BT18" s="1425"/>
      <c r="BU18" s="1425"/>
      <c r="BV18" s="1425"/>
      <c r="BW18" s="1425"/>
      <c r="BX18" s="1425"/>
      <c r="BY18" s="1425"/>
      <c r="BZ18" s="1339"/>
    </row>
    <row r="19" spans="3:78" s="174" customFormat="1" ht="12.6" customHeight="1" thickBot="1">
      <c r="C19" s="199"/>
      <c r="D19" s="199"/>
      <c r="E19" s="199"/>
      <c r="F19" s="199"/>
      <c r="G19" s="199"/>
      <c r="H19" s="199"/>
      <c r="I19" s="199"/>
      <c r="J19" s="199"/>
      <c r="K19" s="199"/>
      <c r="L19" s="199"/>
      <c r="M19" s="199"/>
      <c r="N19" s="199"/>
      <c r="O19" s="199"/>
      <c r="P19" s="199"/>
      <c r="Q19" s="199"/>
      <c r="S19" s="569"/>
      <c r="T19" s="568">
        <v>2</v>
      </c>
      <c r="U19" s="488">
        <f>UWert!K7</f>
        <v>0</v>
      </c>
      <c r="V19" s="573"/>
      <c r="W19" s="488"/>
      <c r="X19" s="573"/>
      <c r="Y19" s="567"/>
      <c r="Z19" s="1338"/>
      <c r="AA19" s="1449"/>
      <c r="AB19" s="1449"/>
      <c r="AC19" s="1451">
        <f>UWert!$F14/100</f>
        <v>0</v>
      </c>
      <c r="AD19" s="1449">
        <f t="shared" si="13"/>
        <v>0.1</v>
      </c>
      <c r="AE19" s="1450" t="e">
        <f t="shared" si="0"/>
        <v>#DIV/0!</v>
      </c>
      <c r="AF19" s="1449" t="s">
        <v>2324</v>
      </c>
      <c r="AG19" s="1451" t="e">
        <f>UWert!$H13/(SUM(UWert!$H$9:$H$18))</f>
        <v>#DIV/0!</v>
      </c>
      <c r="AH19" s="1450" t="e">
        <f t="shared" si="10"/>
        <v>#DIV/0!</v>
      </c>
      <c r="AI19" s="1468">
        <f>INDEX(Bauteile!$I$57:$I$1152,UWert!BA14)*(AC19/0.72)</f>
        <v>0</v>
      </c>
      <c r="AJ19" s="1452" t="e">
        <f>AI19/SUM(AI14:AI23)</f>
        <v>#DIV/0!</v>
      </c>
      <c r="AK19" s="1450" t="e">
        <f t="shared" si="2"/>
        <v>#DIV/0!</v>
      </c>
      <c r="AL19" s="1451" t="e">
        <f t="shared" si="3"/>
        <v>#DIV/0!</v>
      </c>
      <c r="AM19" s="1449" t="s">
        <v>2324</v>
      </c>
      <c r="AN19" s="1451" t="e">
        <f t="shared" si="4"/>
        <v>#DIV/0!</v>
      </c>
      <c r="AO19" s="1449" t="s">
        <v>2324</v>
      </c>
      <c r="AP19" s="1451" t="e">
        <f t="shared" si="5"/>
        <v>#DIV/0!</v>
      </c>
      <c r="AQ19" s="1449" t="s">
        <v>2324</v>
      </c>
      <c r="AR19" s="1449"/>
      <c r="AS19" s="1449"/>
      <c r="AT19" s="1449"/>
      <c r="AU19" s="1451">
        <f>UWert!$N14/100</f>
        <v>0</v>
      </c>
      <c r="AV19" s="1449">
        <f t="shared" si="11"/>
        <v>0.1</v>
      </c>
      <c r="AW19" s="1450" t="e">
        <f t="shared" si="1"/>
        <v>#DIV/0!</v>
      </c>
      <c r="AX19" s="1449" t="s">
        <v>2324</v>
      </c>
      <c r="AY19" s="1451" t="e">
        <f>UWert!$P13/(SUM(UWert!$P$9:$P$18))</f>
        <v>#DIV/0!</v>
      </c>
      <c r="AZ19" s="1450" t="e">
        <f t="shared" si="12"/>
        <v>#DIV/0!</v>
      </c>
      <c r="BA19" s="1451">
        <f>INDEX(Bauteile!$I$57:$I$1152,UWert!BB14)*(AU19/0.72)</f>
        <v>0</v>
      </c>
      <c r="BB19" s="1451" t="e">
        <f>BA19/SUM(BA14:BA23)</f>
        <v>#DIV/0!</v>
      </c>
      <c r="BC19" s="1450" t="e">
        <f t="shared" si="6"/>
        <v>#DIV/0!</v>
      </c>
      <c r="BD19" s="1451" t="e">
        <f t="shared" si="7"/>
        <v>#DIV/0!</v>
      </c>
      <c r="BE19" s="1449" t="s">
        <v>2324</v>
      </c>
      <c r="BF19" s="1451" t="e">
        <f t="shared" si="8"/>
        <v>#DIV/0!</v>
      </c>
      <c r="BG19" s="1449" t="s">
        <v>2324</v>
      </c>
      <c r="BH19" s="1450" t="e">
        <f t="shared" si="9"/>
        <v>#DIV/0!</v>
      </c>
      <c r="BI19" s="1449" t="s">
        <v>2324</v>
      </c>
      <c r="BJ19" s="1425"/>
      <c r="BK19" s="1425"/>
      <c r="BL19" s="1425"/>
      <c r="BM19" s="1425"/>
      <c r="BN19" s="1425"/>
      <c r="BO19" s="1425"/>
      <c r="BP19" s="1425"/>
      <c r="BQ19" s="1425"/>
      <c r="BR19" s="1425"/>
      <c r="BS19" s="1425"/>
      <c r="BT19" s="1425"/>
      <c r="BU19" s="1425"/>
      <c r="BV19" s="1425"/>
      <c r="BW19" s="1425"/>
      <c r="BX19" s="1425"/>
      <c r="BY19" s="1425"/>
      <c r="BZ19" s="1339"/>
    </row>
    <row r="20" spans="3:78" s="174" customFormat="1" ht="12.6" customHeight="1" thickBot="1">
      <c r="C20" s="199"/>
      <c r="D20" s="199"/>
      <c r="E20" s="199"/>
      <c r="F20" s="199"/>
      <c r="G20" s="199"/>
      <c r="H20" s="199"/>
      <c r="I20" s="199"/>
      <c r="J20" s="199"/>
      <c r="K20" s="199"/>
      <c r="L20" s="199"/>
      <c r="M20" s="199"/>
      <c r="N20" s="199"/>
      <c r="O20" s="199"/>
      <c r="P20" s="199"/>
      <c r="Q20" s="199"/>
      <c r="S20" s="569"/>
      <c r="T20" s="2592" t="str">
        <f>T13</f>
        <v>valeur qui est</v>
      </c>
      <c r="U20" s="2593"/>
      <c r="V20" s="2596" t="str">
        <f>V13</f>
        <v>valeur limite</v>
      </c>
      <c r="W20" s="2597"/>
      <c r="X20" s="2596" t="str">
        <f>X13</f>
        <v>valeur limite</v>
      </c>
      <c r="Y20" s="2597"/>
      <c r="Z20" s="1345"/>
      <c r="AA20" s="1448"/>
      <c r="AB20" s="1448"/>
      <c r="AC20" s="1451">
        <f>UWert!$F15/100</f>
        <v>0</v>
      </c>
      <c r="AD20" s="1449">
        <f t="shared" si="13"/>
        <v>0.1</v>
      </c>
      <c r="AE20" s="1449" t="e">
        <f t="shared" si="0"/>
        <v>#DIV/0!</v>
      </c>
      <c r="AF20" s="1449" t="s">
        <v>2324</v>
      </c>
      <c r="AG20" s="1449" t="e">
        <f>UWert!$H14/(SUM(UWert!$H$9:$H$18))</f>
        <v>#DIV/0!</v>
      </c>
      <c r="AH20" s="1449" t="e">
        <f t="shared" si="10"/>
        <v>#DIV/0!</v>
      </c>
      <c r="AI20" s="1468">
        <f>INDEX(Bauteile!$I$57:$I$1152,UWert!BA15)*(AC20/0.72)</f>
        <v>0</v>
      </c>
      <c r="AJ20" s="1449" t="e">
        <f>AI20/SUM(AI14:AI23)</f>
        <v>#DIV/0!</v>
      </c>
      <c r="AK20" s="1449" t="e">
        <f t="shared" si="2"/>
        <v>#DIV/0!</v>
      </c>
      <c r="AL20" s="1449" t="e">
        <f t="shared" si="3"/>
        <v>#DIV/0!</v>
      </c>
      <c r="AM20" s="1449" t="s">
        <v>2324</v>
      </c>
      <c r="AN20" s="1449" t="e">
        <f t="shared" si="4"/>
        <v>#DIV/0!</v>
      </c>
      <c r="AO20" s="1449" t="s">
        <v>2324</v>
      </c>
      <c r="AP20" s="1449" t="e">
        <f t="shared" si="5"/>
        <v>#DIV/0!</v>
      </c>
      <c r="AQ20" s="1449" t="s">
        <v>2324</v>
      </c>
      <c r="AR20" s="1449"/>
      <c r="AS20" s="1448"/>
      <c r="AT20" s="1448"/>
      <c r="AU20" s="1451">
        <f>UWert!$N15/100</f>
        <v>0</v>
      </c>
      <c r="AV20" s="1449">
        <f t="shared" si="11"/>
        <v>0.1</v>
      </c>
      <c r="AW20" s="1449" t="e">
        <f t="shared" si="1"/>
        <v>#DIV/0!</v>
      </c>
      <c r="AX20" s="1449" t="s">
        <v>2324</v>
      </c>
      <c r="AY20" s="1449" t="e">
        <f>UWert!$P14/(SUM(UWert!$P$9:$P$18))</f>
        <v>#DIV/0!</v>
      </c>
      <c r="AZ20" s="1449" t="e">
        <f t="shared" si="12"/>
        <v>#DIV/0!</v>
      </c>
      <c r="BA20" s="1451">
        <f>INDEX(Bauteile!$I$57:$I$1152,UWert!BB15)*(AU20/0.72)</f>
        <v>0</v>
      </c>
      <c r="BB20" s="1449" t="e">
        <f>BA20/SUM(BA14:BA23)</f>
        <v>#DIV/0!</v>
      </c>
      <c r="BC20" s="1449" t="e">
        <f t="shared" si="6"/>
        <v>#DIV/0!</v>
      </c>
      <c r="BD20" s="1449" t="e">
        <f t="shared" si="7"/>
        <v>#DIV/0!</v>
      </c>
      <c r="BE20" s="1449" t="s">
        <v>2324</v>
      </c>
      <c r="BF20" s="1449" t="e">
        <f t="shared" si="8"/>
        <v>#DIV/0!</v>
      </c>
      <c r="BG20" s="1449" t="s">
        <v>2324</v>
      </c>
      <c r="BH20" s="1449" t="e">
        <f t="shared" si="9"/>
        <v>#DIV/0!</v>
      </c>
      <c r="BI20" s="1449" t="s">
        <v>2324</v>
      </c>
      <c r="BJ20" s="1425"/>
      <c r="BK20" s="1426"/>
      <c r="BL20" s="1427"/>
      <c r="BM20" s="1428"/>
      <c r="BN20" s="1429"/>
      <c r="BO20" s="1430"/>
      <c r="BP20" s="1430"/>
      <c r="BQ20" s="1430"/>
      <c r="BR20" s="1430"/>
      <c r="BS20" s="1426"/>
      <c r="BT20" s="1427"/>
      <c r="BU20" s="1428"/>
      <c r="BV20" s="1429"/>
      <c r="BW20" s="1425"/>
      <c r="BX20" s="1425"/>
      <c r="BY20" s="1425"/>
      <c r="BZ20" s="1339"/>
    </row>
    <row r="21" spans="3:78" s="174" customFormat="1" ht="12.6" customHeight="1">
      <c r="C21" s="199"/>
      <c r="D21" s="199"/>
      <c r="E21" s="199"/>
      <c r="F21" s="199"/>
      <c r="G21" s="199"/>
      <c r="H21" s="199"/>
      <c r="I21" s="199"/>
      <c r="J21" s="199"/>
      <c r="K21" s="199"/>
      <c r="L21" s="199"/>
      <c r="M21" s="199"/>
      <c r="N21" s="199"/>
      <c r="O21" s="199"/>
      <c r="P21" s="199"/>
      <c r="Q21" s="199"/>
      <c r="S21" s="569"/>
      <c r="T21" s="2598"/>
      <c r="U21" s="2599"/>
      <c r="V21" s="2596" t="str">
        <f>V14</f>
        <v>condens.</v>
      </c>
      <c r="W21" s="2597"/>
      <c r="X21" s="2596" t="str">
        <f>X14</f>
        <v>penicillium</v>
      </c>
      <c r="Y21" s="2604"/>
      <c r="Z21" s="1347"/>
      <c r="AA21" s="1450"/>
      <c r="AB21" s="1449"/>
      <c r="AC21" s="1451">
        <f>UWert!$F16/100</f>
        <v>0</v>
      </c>
      <c r="AD21" s="1449">
        <f t="shared" si="13"/>
        <v>0.1</v>
      </c>
      <c r="AE21" s="1450" t="e">
        <f t="shared" si="0"/>
        <v>#DIV/0!</v>
      </c>
      <c r="AF21" s="1449" t="s">
        <v>2324</v>
      </c>
      <c r="AG21" s="1451" t="e">
        <f>UWert!$H15/(SUM(UWert!$H$9:$H$18))</f>
        <v>#DIV/0!</v>
      </c>
      <c r="AH21" s="1450" t="e">
        <f t="shared" si="10"/>
        <v>#DIV/0!</v>
      </c>
      <c r="AI21" s="1468">
        <f>INDEX(Bauteile!$I$57:$I$1152,UWert!BA16)*(AC21/0.72)</f>
        <v>0</v>
      </c>
      <c r="AJ21" s="1452" t="e">
        <f>AI21/SUM(AI14:AI23)</f>
        <v>#DIV/0!</v>
      </c>
      <c r="AK21" s="1450" t="e">
        <f t="shared" si="2"/>
        <v>#DIV/0!</v>
      </c>
      <c r="AL21" s="1451" t="e">
        <f t="shared" si="3"/>
        <v>#DIV/0!</v>
      </c>
      <c r="AM21" s="1449" t="s">
        <v>2324</v>
      </c>
      <c r="AN21" s="1451" t="e">
        <f t="shared" si="4"/>
        <v>#DIV/0!</v>
      </c>
      <c r="AO21" s="1449" t="s">
        <v>2324</v>
      </c>
      <c r="AP21" s="1451" t="e">
        <f t="shared" si="5"/>
        <v>#DIV/0!</v>
      </c>
      <c r="AQ21" s="1449" t="s">
        <v>2324</v>
      </c>
      <c r="AR21" s="1449"/>
      <c r="AS21" s="1450"/>
      <c r="AT21" s="1449"/>
      <c r="AU21" s="1451">
        <f>UWert!$N16/100</f>
        <v>0</v>
      </c>
      <c r="AV21" s="1449">
        <f t="shared" si="11"/>
        <v>0.1</v>
      </c>
      <c r="AW21" s="1450" t="e">
        <f t="shared" si="1"/>
        <v>#DIV/0!</v>
      </c>
      <c r="AX21" s="1449" t="s">
        <v>2324</v>
      </c>
      <c r="AY21" s="1451" t="e">
        <f>UWert!$P15/(SUM(UWert!$P$9:$P$18))</f>
        <v>#DIV/0!</v>
      </c>
      <c r="AZ21" s="1450" t="e">
        <f t="shared" si="12"/>
        <v>#DIV/0!</v>
      </c>
      <c r="BA21" s="1451">
        <f>INDEX(Bauteile!$I$57:$I$1152,UWert!BB16)*(AU21/0.72)</f>
        <v>0</v>
      </c>
      <c r="BB21" s="1451" t="e">
        <f>BA21/SUM(BA14:BA23)</f>
        <v>#DIV/0!</v>
      </c>
      <c r="BC21" s="1450" t="e">
        <f t="shared" si="6"/>
        <v>#DIV/0!</v>
      </c>
      <c r="BD21" s="1451" t="e">
        <f t="shared" si="7"/>
        <v>#DIV/0!</v>
      </c>
      <c r="BE21" s="1449" t="s">
        <v>2324</v>
      </c>
      <c r="BF21" s="1451" t="e">
        <f t="shared" si="8"/>
        <v>#DIV/0!</v>
      </c>
      <c r="BG21" s="1449" t="s">
        <v>2324</v>
      </c>
      <c r="BH21" s="1450" t="e">
        <f t="shared" si="9"/>
        <v>#DIV/0!</v>
      </c>
      <c r="BI21" s="1449" t="s">
        <v>2324</v>
      </c>
      <c r="BJ21" s="1425"/>
      <c r="BK21" s="1430"/>
      <c r="BL21" s="1431"/>
      <c r="BM21" s="1432"/>
      <c r="BN21" s="1433"/>
      <c r="BO21" s="1430"/>
      <c r="BP21" s="1430"/>
      <c r="BQ21" s="1430"/>
      <c r="BR21" s="1430"/>
      <c r="BS21" s="1430"/>
      <c r="BT21" s="1431"/>
      <c r="BU21" s="1432"/>
      <c r="BV21" s="1433"/>
      <c r="BW21" s="1425"/>
      <c r="BX21" s="1425"/>
      <c r="BY21" s="1425"/>
      <c r="BZ21" s="1339"/>
    </row>
    <row r="22" spans="3:78" s="174" customFormat="1" ht="12.6" customHeight="1">
      <c r="C22" s="199"/>
      <c r="D22" s="199"/>
      <c r="E22" s="199"/>
      <c r="F22" s="199"/>
      <c r="G22" s="199"/>
      <c r="H22" s="199"/>
      <c r="I22" s="199"/>
      <c r="J22" s="199"/>
      <c r="K22" s="199"/>
      <c r="L22" s="199"/>
      <c r="M22" s="199"/>
      <c r="N22" s="199"/>
      <c r="O22" s="199"/>
      <c r="P22" s="199"/>
      <c r="Q22" s="199"/>
      <c r="S22" s="569"/>
      <c r="T22" s="2602" t="s">
        <v>274</v>
      </c>
      <c r="U22" s="2601"/>
      <c r="V22" s="2602" t="s">
        <v>273</v>
      </c>
      <c r="W22" s="2601"/>
      <c r="X22" s="2603" t="s">
        <v>276</v>
      </c>
      <c r="Y22" s="2601"/>
      <c r="Z22" s="1348"/>
      <c r="AA22" s="1449"/>
      <c r="AB22" s="1449"/>
      <c r="AC22" s="1451">
        <v>0.1</v>
      </c>
      <c r="AD22" s="1449">
        <f t="shared" si="13"/>
        <v>0.1</v>
      </c>
      <c r="AE22" s="1450" t="e">
        <f t="shared" si="0"/>
        <v>#DIV/0!</v>
      </c>
      <c r="AF22" s="1449" t="s">
        <v>2324</v>
      </c>
      <c r="AG22" s="1451" t="e">
        <f>UWert!$H16/(SUM(UWert!$H$9:$H$18))</f>
        <v>#DIV/0!</v>
      </c>
      <c r="AH22" s="1450" t="e">
        <f>IF(AE22&gt;0,1.40574*POWER(10,10)*EXP(-3928.5/(AE22+231.667)),3.61633*POWER(10,12)*EXP(-6150.6/(AE22+273.33)))</f>
        <v>#DIV/0!</v>
      </c>
      <c r="AI22" s="1468">
        <f>0*AC22/0.72</f>
        <v>0</v>
      </c>
      <c r="AJ22" s="1452" t="e">
        <f>AI22/SUM(AI14:AI23)</f>
        <v>#DIV/0!</v>
      </c>
      <c r="AK22" s="1450" t="e">
        <f t="shared" si="2"/>
        <v>#DIV/0!</v>
      </c>
      <c r="AL22" s="1451" t="e">
        <f t="shared" si="3"/>
        <v>#DIV/0!</v>
      </c>
      <c r="AM22" s="1449" t="s">
        <v>2324</v>
      </c>
      <c r="AN22" s="1451" t="e">
        <f t="shared" si="4"/>
        <v>#DIV/0!</v>
      </c>
      <c r="AO22" s="1449" t="s">
        <v>2324</v>
      </c>
      <c r="AP22" s="1451" t="e">
        <f t="shared" si="5"/>
        <v>#DIV/0!</v>
      </c>
      <c r="AQ22" s="1449" t="s">
        <v>2324</v>
      </c>
      <c r="AR22" s="1449"/>
      <c r="AS22" s="1449"/>
      <c r="AT22" s="1449"/>
      <c r="AU22" s="1451">
        <v>0.1</v>
      </c>
      <c r="AV22" s="1449">
        <f t="shared" si="11"/>
        <v>0.1</v>
      </c>
      <c r="AW22" s="1450" t="e">
        <f t="shared" si="1"/>
        <v>#DIV/0!</v>
      </c>
      <c r="AX22" s="1449" t="s">
        <v>2324</v>
      </c>
      <c r="AY22" s="1451" t="e">
        <f>UWert!$P16/(SUM(UWert!$P$9:$P$18))</f>
        <v>#DIV/0!</v>
      </c>
      <c r="AZ22" s="1450" t="e">
        <f t="shared" si="12"/>
        <v>#DIV/0!</v>
      </c>
      <c r="BA22" s="1451">
        <f>0*AU22/0.72</f>
        <v>0</v>
      </c>
      <c r="BB22" s="1451" t="e">
        <f>BA22/SUM(BA14:BA23)</f>
        <v>#DIV/0!</v>
      </c>
      <c r="BC22" s="1450" t="e">
        <f t="shared" si="6"/>
        <v>#DIV/0!</v>
      </c>
      <c r="BD22" s="1451" t="e">
        <f t="shared" si="7"/>
        <v>#DIV/0!</v>
      </c>
      <c r="BE22" s="1449" t="s">
        <v>2324</v>
      </c>
      <c r="BF22" s="1451" t="e">
        <f t="shared" si="8"/>
        <v>#DIV/0!</v>
      </c>
      <c r="BG22" s="1449" t="s">
        <v>2324</v>
      </c>
      <c r="BH22" s="1450" t="e">
        <f t="shared" si="9"/>
        <v>#DIV/0!</v>
      </c>
      <c r="BI22" s="1449" t="s">
        <v>2324</v>
      </c>
      <c r="BJ22" s="1425"/>
      <c r="BK22" s="1430"/>
      <c r="BL22" s="1465"/>
      <c r="BM22" s="1435"/>
      <c r="BN22" s="1436"/>
      <c r="BO22" s="1430"/>
      <c r="BP22" s="1430"/>
      <c r="BQ22" s="1430"/>
      <c r="BR22" s="1430"/>
      <c r="BS22" s="1430"/>
      <c r="BT22" s="1434"/>
      <c r="BU22" s="1435"/>
      <c r="BV22" s="1436"/>
      <c r="BW22" s="1425"/>
      <c r="BX22" s="1425"/>
      <c r="BY22" s="1425"/>
      <c r="BZ22" s="1339"/>
    </row>
    <row r="23" spans="3:78" s="174" customFormat="1" ht="12.6" customHeight="1" thickBot="1">
      <c r="C23" s="199"/>
      <c r="D23" s="199"/>
      <c r="E23" s="199"/>
      <c r="F23" s="199"/>
      <c r="G23" s="199"/>
      <c r="H23" s="199"/>
      <c r="I23" s="199"/>
      <c r="J23" s="199"/>
      <c r="K23" s="199"/>
      <c r="L23" s="199"/>
      <c r="M23" s="199"/>
      <c r="N23" s="199"/>
      <c r="O23" s="199"/>
      <c r="P23" s="199"/>
      <c r="Q23" s="199"/>
      <c r="S23" s="569"/>
      <c r="T23" s="2600">
        <f>IF(UWert!N7&lt;&gt;"",BT15,)</f>
        <v>0</v>
      </c>
      <c r="U23" s="2601"/>
      <c r="V23" s="2603">
        <f>BU15</f>
        <v>0</v>
      </c>
      <c r="W23" s="2601"/>
      <c r="X23" s="2603">
        <f>BV15</f>
        <v>0</v>
      </c>
      <c r="Y23" s="2601"/>
      <c r="Z23" s="1348"/>
      <c r="AA23" s="1449"/>
      <c r="AB23" s="1449"/>
      <c r="AC23" s="1451"/>
      <c r="AD23" s="1451">
        <f t="shared" si="13"/>
        <v>0.2</v>
      </c>
      <c r="AE23" s="1450">
        <f>Ta_feuchte</f>
        <v>20</v>
      </c>
      <c r="AF23" s="1449" t="s">
        <v>2324</v>
      </c>
      <c r="AG23" s="1451" t="e">
        <f>SUM(UWert!$H17:$H18)/(SUM(UWert!$H$9:$H$18))</f>
        <v>#DIV/0!</v>
      </c>
      <c r="AH23" s="1450">
        <f t="shared" si="10"/>
        <v>2336.7157223473796</v>
      </c>
      <c r="AI23" s="1468">
        <f>0*AC23/0.72</f>
        <v>0</v>
      </c>
      <c r="AJ23" s="1452" t="e">
        <f>AI23/SUM(AI14:AI23)</f>
        <v>#DIV/0!</v>
      </c>
      <c r="AK23" s="1450">
        <f>AH23*Rh_aussen</f>
        <v>1402.0294334084276</v>
      </c>
      <c r="AL23" s="1451">
        <f t="shared" si="3"/>
        <v>10.489639823639493</v>
      </c>
      <c r="AM23" s="1449" t="s">
        <v>2324</v>
      </c>
      <c r="AN23" s="1451">
        <f t="shared" si="4"/>
        <v>12.032306379344021</v>
      </c>
      <c r="AO23" s="1449" t="s">
        <v>2324</v>
      </c>
      <c r="AP23" s="1451">
        <f t="shared" si="5"/>
        <v>12.032306379344021</v>
      </c>
      <c r="AQ23" s="1449" t="s">
        <v>2324</v>
      </c>
      <c r="AR23" s="1449"/>
      <c r="AS23" s="1449"/>
      <c r="AT23" s="1449"/>
      <c r="AU23" s="1451"/>
      <c r="AV23" s="1449">
        <f t="shared" si="11"/>
        <v>0.2</v>
      </c>
      <c r="AW23" s="1450">
        <f>Ta_feuchte</f>
        <v>20</v>
      </c>
      <c r="AX23" s="1449" t="s">
        <v>2324</v>
      </c>
      <c r="AY23" s="1451" t="e">
        <f>SUM(UWert!$P17:$P18)/(SUM(UWert!$P$9:$P$18))</f>
        <v>#DIV/0!</v>
      </c>
      <c r="AZ23" s="1450">
        <f t="shared" si="12"/>
        <v>2336.7157223473796</v>
      </c>
      <c r="BA23" s="1451">
        <f>0*AU23/0.72</f>
        <v>0</v>
      </c>
      <c r="BB23" s="1451" t="e">
        <f>BA23/SUM(BA14:BA23)</f>
        <v>#DIV/0!</v>
      </c>
      <c r="BC23" s="1450">
        <f>AZ23*Rh_aussen</f>
        <v>1402.0294334084276</v>
      </c>
      <c r="BD23" s="1451">
        <f t="shared" si="7"/>
        <v>10.489639823639493</v>
      </c>
      <c r="BE23" s="1449" t="s">
        <v>2324</v>
      </c>
      <c r="BF23" s="1451">
        <f t="shared" si="8"/>
        <v>12.032306379344021</v>
      </c>
      <c r="BG23" s="1449" t="s">
        <v>2324</v>
      </c>
      <c r="BH23" s="1450">
        <f t="shared" si="9"/>
        <v>12.032306379344021</v>
      </c>
      <c r="BI23" s="1449" t="s">
        <v>2324</v>
      </c>
      <c r="BJ23" s="1425"/>
      <c r="BK23" s="1437"/>
      <c r="BL23" s="1438"/>
      <c r="BM23" s="1439"/>
      <c r="BN23" s="1440"/>
      <c r="BO23" s="1437"/>
      <c r="BP23" s="1437"/>
      <c r="BQ23" s="1437"/>
      <c r="BR23" s="1437"/>
      <c r="BS23" s="1437"/>
      <c r="BT23" s="1438"/>
      <c r="BU23" s="1439"/>
      <c r="BV23" s="1440"/>
      <c r="BW23" s="1425"/>
      <c r="BX23" s="1425"/>
      <c r="BY23" s="1425"/>
      <c r="BZ23" s="1339"/>
    </row>
    <row r="24" spans="3:78" s="174" customFormat="1" ht="12.6" customHeight="1">
      <c r="C24" s="199"/>
      <c r="D24" s="199"/>
      <c r="E24" s="199"/>
      <c r="F24" s="199"/>
      <c r="G24" s="199"/>
      <c r="H24" s="199"/>
      <c r="I24" s="199"/>
      <c r="J24" s="199"/>
      <c r="K24" s="199"/>
      <c r="L24" s="199"/>
      <c r="M24" s="199"/>
      <c r="N24" s="199"/>
      <c r="O24" s="199"/>
      <c r="P24" s="199"/>
      <c r="Q24" s="199"/>
      <c r="S24" s="569"/>
      <c r="T24" s="615"/>
      <c r="U24" s="611"/>
      <c r="V24" s="2594">
        <f>IF(UWert!N7&lt;&gt;"",BU16,)</f>
        <v>0</v>
      </c>
      <c r="W24" s="2595"/>
      <c r="X24" s="2594">
        <f>IF(UWert!N7&lt;&gt;"",BV16,)</f>
        <v>0</v>
      </c>
      <c r="Y24" s="2595"/>
      <c r="Z24" s="1345"/>
      <c r="AA24" s="1449"/>
      <c r="AB24" s="1449"/>
      <c r="AC24" s="1451"/>
      <c r="AD24" s="1449"/>
      <c r="AE24" s="1450"/>
      <c r="AF24" s="1449"/>
      <c r="AG24" s="1451"/>
      <c r="AH24" s="1450"/>
      <c r="AI24" s="1468"/>
      <c r="AJ24" s="1452"/>
      <c r="AK24" s="1450"/>
      <c r="AL24" s="1451"/>
      <c r="AM24" s="1449"/>
      <c r="AN24" s="1451"/>
      <c r="AO24" s="1449"/>
      <c r="AP24" s="1451"/>
      <c r="AQ24" s="1449"/>
      <c r="AR24" s="1449"/>
      <c r="AS24" s="1449"/>
      <c r="AT24" s="1449"/>
      <c r="AU24" s="1451"/>
      <c r="AV24" s="1449"/>
      <c r="AW24" s="1450"/>
      <c r="AX24" s="1449"/>
      <c r="AY24" s="1451"/>
      <c r="AZ24" s="1450"/>
      <c r="BA24" s="1451"/>
      <c r="BB24" s="1451"/>
      <c r="BC24" s="1450"/>
      <c r="BD24" s="1451"/>
      <c r="BE24" s="1449"/>
      <c r="BF24" s="1451"/>
      <c r="BG24" s="1449"/>
      <c r="BH24" s="1450"/>
      <c r="BI24" s="1449"/>
      <c r="BJ24" s="1425"/>
      <c r="BK24" s="1425"/>
      <c r="BL24" s="1425"/>
      <c r="BM24" s="1425"/>
      <c r="BN24" s="1425"/>
      <c r="BO24" s="1425"/>
      <c r="BP24" s="1425"/>
      <c r="BQ24" s="1425"/>
      <c r="BR24" s="1425"/>
      <c r="BS24" s="1425"/>
      <c r="BT24" s="1425"/>
      <c r="BU24" s="1425"/>
      <c r="BV24" s="1425"/>
      <c r="BW24" s="1425"/>
      <c r="BX24" s="1425"/>
      <c r="BY24" s="1425"/>
      <c r="BZ24" s="1339"/>
    </row>
    <row r="25" spans="3:78" s="495" customFormat="1" ht="12.6" customHeight="1">
      <c r="C25" s="496"/>
      <c r="D25" s="797"/>
      <c r="E25" s="496"/>
      <c r="F25" s="496"/>
      <c r="G25" s="496"/>
      <c r="H25" s="496"/>
      <c r="I25" s="496"/>
      <c r="S25" s="570"/>
      <c r="V25" s="496"/>
      <c r="W25" s="2591"/>
      <c r="X25" s="2591"/>
      <c r="Y25" s="496"/>
      <c r="Z25" s="1342"/>
      <c r="AA25" s="1453"/>
      <c r="AB25" s="1453"/>
      <c r="AC25" s="1453"/>
      <c r="AD25" s="1453"/>
      <c r="AE25" s="1453"/>
      <c r="AF25" s="1453"/>
      <c r="AG25" s="1453"/>
      <c r="AH25" s="1453"/>
      <c r="AI25" s="1453"/>
      <c r="AJ25" s="1453"/>
      <c r="AK25" s="1453"/>
      <c r="AL25" s="1453"/>
      <c r="AM25" s="1453"/>
      <c r="AN25" s="1453"/>
      <c r="AO25" s="1453"/>
      <c r="AP25" s="1453"/>
      <c r="AQ25" s="1453"/>
      <c r="AR25" s="1453"/>
      <c r="AS25" s="1453"/>
      <c r="AT25" s="1453"/>
      <c r="AU25" s="1453"/>
      <c r="AV25" s="1453"/>
      <c r="AW25" s="1453"/>
      <c r="AX25" s="1453"/>
      <c r="AY25" s="1453"/>
      <c r="AZ25" s="1453"/>
      <c r="BA25" s="1453"/>
      <c r="BB25" s="1453"/>
      <c r="BC25" s="1453"/>
      <c r="BD25" s="1453"/>
      <c r="BE25" s="1453"/>
      <c r="BF25" s="1453"/>
      <c r="BG25" s="1453"/>
      <c r="BH25" s="1453"/>
      <c r="BI25" s="1453"/>
      <c r="BJ25" s="1463"/>
      <c r="BK25" s="1463"/>
      <c r="BL25" s="1463"/>
      <c r="BM25" s="1463"/>
      <c r="BN25" s="1463"/>
      <c r="BO25" s="1463"/>
      <c r="BP25" s="1463"/>
      <c r="BQ25" s="1463"/>
      <c r="BR25" s="1463"/>
      <c r="BS25" s="1463"/>
      <c r="BT25" s="1463"/>
      <c r="BU25" s="1463"/>
      <c r="BV25" s="1463"/>
      <c r="BW25" s="1463"/>
      <c r="BX25" s="1463"/>
      <c r="BY25" s="1463"/>
      <c r="BZ25" s="1341"/>
    </row>
    <row r="26" spans="3:78" s="495" customFormat="1" ht="12.6" customHeight="1">
      <c r="C26" s="496"/>
      <c r="D26" s="797"/>
      <c r="E26" s="496"/>
      <c r="F26" s="496"/>
      <c r="G26" s="496"/>
      <c r="H26" s="496"/>
      <c r="I26" s="496"/>
      <c r="S26" s="570"/>
      <c r="T26" s="496"/>
      <c r="U26" s="496"/>
      <c r="V26" s="496"/>
      <c r="W26" s="496"/>
      <c r="X26" s="496"/>
      <c r="Y26" s="496"/>
      <c r="Z26" s="1342"/>
      <c r="AA26" s="1453"/>
      <c r="AB26" s="1453"/>
      <c r="AC26" s="1453"/>
      <c r="AD26" s="1453"/>
      <c r="AE26" s="1453"/>
      <c r="AF26" s="1453"/>
      <c r="AG26" s="1453"/>
      <c r="AH26" s="1453"/>
      <c r="AI26" s="1453"/>
      <c r="AJ26" s="1453"/>
      <c r="AK26" s="1453"/>
      <c r="AL26" s="1453"/>
      <c r="AM26" s="1453"/>
      <c r="AN26" s="1453"/>
      <c r="AO26" s="1453"/>
      <c r="AP26" s="1453"/>
      <c r="AQ26" s="1453"/>
      <c r="AR26" s="1453"/>
      <c r="AS26" s="1453"/>
      <c r="AT26" s="1453"/>
      <c r="AU26" s="1453"/>
      <c r="AV26" s="1453"/>
      <c r="AW26" s="1453"/>
      <c r="AX26" s="1453"/>
      <c r="AY26" s="1453"/>
      <c r="AZ26" s="1453"/>
      <c r="BA26" s="1453"/>
      <c r="BB26" s="1453"/>
      <c r="BC26" s="1453"/>
      <c r="BD26" s="1453"/>
      <c r="BE26" s="1453"/>
      <c r="BF26" s="1453"/>
      <c r="BG26" s="1453"/>
      <c r="BH26" s="1453"/>
      <c r="BI26" s="1453"/>
      <c r="BJ26" s="1463"/>
      <c r="BK26" s="1463"/>
      <c r="BL26" s="1463"/>
      <c r="BM26" s="1463"/>
      <c r="BN26" s="1463"/>
      <c r="BO26" s="1463"/>
      <c r="BP26" s="1463"/>
      <c r="BQ26" s="1463"/>
      <c r="BR26" s="1463"/>
      <c r="BS26" s="1463"/>
      <c r="BT26" s="1463"/>
      <c r="BU26" s="1463"/>
      <c r="BV26" s="1463"/>
      <c r="BW26" s="1463"/>
      <c r="BX26" s="1463"/>
      <c r="BY26" s="1463"/>
      <c r="BZ26" s="1341"/>
    </row>
    <row r="27" spans="3:78" s="174" customFormat="1" ht="12.6" customHeight="1" thickBot="1">
      <c r="C27" s="489">
        <v>3</v>
      </c>
      <c r="D27" s="490">
        <f>UWert!C21</f>
        <v>0</v>
      </c>
      <c r="E27" s="485"/>
      <c r="F27" s="485"/>
      <c r="G27" s="485"/>
      <c r="H27" s="485"/>
      <c r="I27" s="486"/>
      <c r="J27" s="199"/>
      <c r="K27" s="487">
        <v>4</v>
      </c>
      <c r="L27" s="490">
        <f>UWert!K21</f>
        <v>0</v>
      </c>
      <c r="M27" s="485"/>
      <c r="N27" s="485"/>
      <c r="O27" s="485"/>
      <c r="P27" s="485"/>
      <c r="Q27" s="486"/>
      <c r="S27" s="569"/>
      <c r="T27" s="568">
        <v>3</v>
      </c>
      <c r="U27" s="488">
        <f>UWert!C21</f>
        <v>0</v>
      </c>
      <c r="V27" s="573"/>
      <c r="W27" s="488"/>
      <c r="X27" s="573"/>
      <c r="Y27" s="567"/>
      <c r="Z27" s="1338"/>
      <c r="AA27" s="1449"/>
      <c r="AB27" s="1449"/>
      <c r="AC27" s="1449"/>
      <c r="AD27" s="1449"/>
      <c r="AE27" s="1449"/>
      <c r="AF27" s="1449"/>
      <c r="AG27" s="1449"/>
      <c r="AH27" s="1449"/>
      <c r="AI27" s="1453"/>
      <c r="AJ27" s="1449"/>
      <c r="AK27" s="1449"/>
      <c r="AL27" s="1449"/>
      <c r="AM27" s="1449"/>
      <c r="AN27" s="1449"/>
      <c r="AO27" s="1449"/>
      <c r="AP27" s="1449"/>
      <c r="AQ27" s="1449"/>
      <c r="AR27" s="1449"/>
      <c r="AS27" s="1449"/>
      <c r="AT27" s="1449"/>
      <c r="AU27" s="1449"/>
      <c r="AV27" s="1449"/>
      <c r="AW27" s="1449"/>
      <c r="AX27" s="1449"/>
      <c r="AY27" s="1449"/>
      <c r="AZ27" s="1449"/>
      <c r="BA27" s="1449"/>
      <c r="BB27" s="1449"/>
      <c r="BC27" s="1449"/>
      <c r="BD27" s="1449"/>
      <c r="BE27" s="1449"/>
      <c r="BF27" s="1449"/>
      <c r="BG27" s="1449"/>
      <c r="BH27" s="1449"/>
      <c r="BI27" s="1449"/>
      <c r="BJ27" s="1425"/>
      <c r="BK27" s="1425"/>
      <c r="BL27" s="1425"/>
      <c r="BM27" s="1425"/>
      <c r="BN27" s="1425"/>
      <c r="BO27" s="1425"/>
      <c r="BP27" s="1425"/>
      <c r="BQ27" s="1425"/>
      <c r="BR27" s="1425"/>
      <c r="BS27" s="1425"/>
      <c r="BT27" s="1425"/>
      <c r="BU27" s="1425"/>
      <c r="BV27" s="1425"/>
      <c r="BW27" s="1425"/>
      <c r="BX27" s="1425"/>
      <c r="BY27" s="1425"/>
      <c r="BZ27" s="1339"/>
    </row>
    <row r="28" spans="3:78" s="174" customFormat="1" ht="12.6" customHeight="1" thickBot="1">
      <c r="D28" s="199"/>
      <c r="E28" s="199"/>
      <c r="F28" s="199"/>
      <c r="G28" s="199"/>
      <c r="H28" s="199"/>
      <c r="I28" s="199"/>
      <c r="J28" s="199"/>
      <c r="K28" s="199"/>
      <c r="L28" s="199"/>
      <c r="M28" s="199"/>
      <c r="N28" s="199"/>
      <c r="O28" s="199"/>
      <c r="P28" s="199"/>
      <c r="Q28" s="199"/>
      <c r="S28" s="569"/>
      <c r="T28" s="2592" t="str">
        <f>T20</f>
        <v>valeur qui est</v>
      </c>
      <c r="U28" s="2593"/>
      <c r="V28" s="2596" t="str">
        <f>V20</f>
        <v>valeur limite</v>
      </c>
      <c r="W28" s="2597"/>
      <c r="X28" s="2596" t="str">
        <f>X20</f>
        <v>valeur limite</v>
      </c>
      <c r="Y28" s="2597"/>
      <c r="Z28" s="1338"/>
      <c r="AA28" s="1448" t="s">
        <v>1957</v>
      </c>
      <c r="AB28" s="1448" t="s">
        <v>1958</v>
      </c>
      <c r="AC28" s="1449" t="s">
        <v>2326</v>
      </c>
      <c r="AD28" s="1449" t="s">
        <v>791</v>
      </c>
      <c r="AE28" s="1449" t="s">
        <v>2327</v>
      </c>
      <c r="AF28" s="1449"/>
      <c r="AG28" s="1449" t="s">
        <v>1959</v>
      </c>
      <c r="AH28" s="1449" t="s">
        <v>106</v>
      </c>
      <c r="AI28" s="1453" t="s">
        <v>2201</v>
      </c>
      <c r="AJ28" s="1449" t="s">
        <v>108</v>
      </c>
      <c r="AK28" s="1449" t="s">
        <v>1250</v>
      </c>
      <c r="AL28" s="1449" t="s">
        <v>109</v>
      </c>
      <c r="AM28" s="1449"/>
      <c r="AN28" s="1449" t="s">
        <v>110</v>
      </c>
      <c r="AO28" s="1449"/>
      <c r="AP28" s="1449" t="s">
        <v>111</v>
      </c>
      <c r="AQ28" s="1449"/>
      <c r="AR28" s="1449"/>
      <c r="AS28" s="1448" t="s">
        <v>1957</v>
      </c>
      <c r="AT28" s="1448" t="s">
        <v>1958</v>
      </c>
      <c r="AU28" s="1449" t="s">
        <v>2326</v>
      </c>
      <c r="AV28" s="1449" t="s">
        <v>791</v>
      </c>
      <c r="AW28" s="1449" t="s">
        <v>2327</v>
      </c>
      <c r="AX28" s="1449"/>
      <c r="AY28" s="1449" t="s">
        <v>1959</v>
      </c>
      <c r="AZ28" s="1449" t="s">
        <v>106</v>
      </c>
      <c r="BA28" s="1449" t="s">
        <v>107</v>
      </c>
      <c r="BB28" s="1449" t="s">
        <v>108</v>
      </c>
      <c r="BC28" s="1449" t="s">
        <v>1250</v>
      </c>
      <c r="BD28" s="1449" t="s">
        <v>109</v>
      </c>
      <c r="BE28" s="1449"/>
      <c r="BF28" s="1449" t="s">
        <v>110</v>
      </c>
      <c r="BG28" s="1449"/>
      <c r="BH28" s="1449" t="s">
        <v>111</v>
      </c>
      <c r="BI28" s="1449"/>
      <c r="BJ28" s="1425"/>
      <c r="BK28" s="1426">
        <v>3</v>
      </c>
      <c r="BL28" s="1427" t="s">
        <v>840</v>
      </c>
      <c r="BM28" s="1428" t="s">
        <v>838</v>
      </c>
      <c r="BN28" s="1429" t="s">
        <v>839</v>
      </c>
      <c r="BO28" s="1430"/>
      <c r="BP28" s="1430"/>
      <c r="BQ28" s="1430"/>
      <c r="BR28" s="1430"/>
      <c r="BS28" s="1426">
        <v>4</v>
      </c>
      <c r="BT28" s="1427" t="s">
        <v>840</v>
      </c>
      <c r="BU28" s="1428" t="s">
        <v>838</v>
      </c>
      <c r="BV28" s="1429" t="s">
        <v>839</v>
      </c>
      <c r="BW28" s="1425"/>
      <c r="BX28" s="1425"/>
      <c r="BY28" s="1425"/>
      <c r="BZ28" s="1339"/>
    </row>
    <row r="29" spans="3:78" s="174" customFormat="1" ht="12.6" customHeight="1">
      <c r="D29" s="199"/>
      <c r="E29" s="199"/>
      <c r="F29" s="199"/>
      <c r="G29" s="199"/>
      <c r="H29" s="199"/>
      <c r="I29" s="199"/>
      <c r="J29" s="199"/>
      <c r="K29" s="199"/>
      <c r="L29" s="199"/>
      <c r="M29" s="199"/>
      <c r="N29" s="199"/>
      <c r="O29" s="199"/>
      <c r="P29" s="199"/>
      <c r="Q29" s="199"/>
      <c r="S29" s="569"/>
      <c r="T29" s="2596"/>
      <c r="U29" s="2607"/>
      <c r="V29" s="2596" t="str">
        <f>V21</f>
        <v>condens.</v>
      </c>
      <c r="W29" s="2597"/>
      <c r="X29" s="2596" t="str">
        <f>X21</f>
        <v>penicillium</v>
      </c>
      <c r="Y29" s="2604"/>
      <c r="Z29" s="1338"/>
      <c r="AA29" s="1450" t="e">
        <f>Rh_innen*AH29-Rh_aussen*AH38</f>
        <v>#DIV/0!</v>
      </c>
      <c r="AB29" s="1449">
        <f>Ti_feuchte-Ta_feuchte</f>
        <v>0</v>
      </c>
      <c r="AC29" s="1451">
        <v>0.1</v>
      </c>
      <c r="AD29" s="1449">
        <v>0</v>
      </c>
      <c r="AE29" s="1451" t="e">
        <f t="shared" ref="AE29:AE37" si="14">AG30*$AB$29+AE30</f>
        <v>#DIV/0!</v>
      </c>
      <c r="AF29" s="1449" t="s">
        <v>2324</v>
      </c>
      <c r="AG29" s="1451"/>
      <c r="AH29" s="1450" t="e">
        <f>IF(AE29&gt;0,1.40574*POWER(10,10)*EXP(-3928.5/(AE29+231.667)),3.61633*POWER(10,12)*EXP(-6150.6/(AE29+273.33)))</f>
        <v>#DIV/0!</v>
      </c>
      <c r="AI29" s="1468"/>
      <c r="AJ29" s="1451"/>
      <c r="AK29" s="1450" t="e">
        <f>AH29*Rh_innen</f>
        <v>#DIV/0!</v>
      </c>
      <c r="AL29" s="1451" t="e">
        <f>(1/(LN(AK29/(3.61633*POWER(10,12))))*-6150.6)-273.33</f>
        <v>#DIV/0!</v>
      </c>
      <c r="AM29" s="1449" t="s">
        <v>2324</v>
      </c>
      <c r="AN29" s="1451" t="e">
        <f>(1/(LN(AK29/(1.40574*POWER(10,10))))*-3928.5)-231.66</f>
        <v>#DIV/0!</v>
      </c>
      <c r="AO29" s="1449" t="s">
        <v>2324</v>
      </c>
      <c r="AP29" s="1451" t="e">
        <f>IF(AN29&lt;0,AL29,AN29)</f>
        <v>#DIV/0!</v>
      </c>
      <c r="AQ29" s="1449" t="s">
        <v>2324</v>
      </c>
      <c r="AR29" s="1449"/>
      <c r="AS29" s="1450" t="e">
        <f>Rh_innen*AZ29-Rh_aussen*AZ38</f>
        <v>#DIV/0!</v>
      </c>
      <c r="AT29" s="1449">
        <f>Ti_feuchte-Ta_feuchte</f>
        <v>0</v>
      </c>
      <c r="AU29" s="1451">
        <v>0.1</v>
      </c>
      <c r="AV29" s="1449">
        <v>0</v>
      </c>
      <c r="AW29" s="1451" t="e">
        <f t="shared" ref="AW29:AW37" si="15">AY30*$AT$29+AW30</f>
        <v>#DIV/0!</v>
      </c>
      <c r="AX29" s="1449" t="s">
        <v>2324</v>
      </c>
      <c r="AY29" s="1451"/>
      <c r="AZ29" s="1450" t="e">
        <f>IF(AW29&gt;0,1.40574*POWER(10,10)*EXP(-3928.5/(AW29+231.667)),3.61633*POWER(10,12)*EXP(-6150.6/(AW29+273.33)))</f>
        <v>#DIV/0!</v>
      </c>
      <c r="BA29" s="1451"/>
      <c r="BB29" s="1451"/>
      <c r="BC29" s="1450" t="e">
        <f>AZ29*Rh_innen</f>
        <v>#DIV/0!</v>
      </c>
      <c r="BD29" s="1451" t="e">
        <f>(1/(LN(BC29/(3.61633*POWER(10,12))))*-6150.6)-273.33</f>
        <v>#DIV/0!</v>
      </c>
      <c r="BE29" s="1449" t="s">
        <v>2324</v>
      </c>
      <c r="BF29" s="1451" t="e">
        <f>(1/(LN(BC29/(1.40574*POWER(10,10))))*-3928.5)-231.66</f>
        <v>#DIV/0!</v>
      </c>
      <c r="BG29" s="1449" t="s">
        <v>2324</v>
      </c>
      <c r="BH29" s="1451" t="e">
        <f>IF(BF29&lt;0,BD29,BF29)</f>
        <v>#DIV/0!</v>
      </c>
      <c r="BI29" s="1449" t="s">
        <v>2324</v>
      </c>
      <c r="BJ29" s="1425"/>
      <c r="BK29" s="1430"/>
      <c r="BL29" s="1431" t="s">
        <v>1987</v>
      </c>
      <c r="BM29" s="1432" t="s">
        <v>1988</v>
      </c>
      <c r="BN29" s="1433" t="s">
        <v>1989</v>
      </c>
      <c r="BO29" s="1430"/>
      <c r="BP29" s="1430"/>
      <c r="BQ29" s="1430"/>
      <c r="BR29" s="1430"/>
      <c r="BS29" s="1430"/>
      <c r="BT29" s="1431" t="s">
        <v>1987</v>
      </c>
      <c r="BU29" s="1432" t="s">
        <v>1988</v>
      </c>
      <c r="BV29" s="1433" t="s">
        <v>1989</v>
      </c>
      <c r="BW29" s="1425"/>
      <c r="BX29" s="1425"/>
      <c r="BY29" s="1425"/>
      <c r="BZ29" s="1339"/>
    </row>
    <row r="30" spans="3:78" s="174" customFormat="1" ht="12.6" customHeight="1">
      <c r="D30" s="199"/>
      <c r="E30" s="199"/>
      <c r="F30" s="199"/>
      <c r="G30" s="199"/>
      <c r="H30" s="199"/>
      <c r="I30" s="199"/>
      <c r="J30" s="199"/>
      <c r="K30" s="199"/>
      <c r="L30" s="199"/>
      <c r="M30" s="199"/>
      <c r="N30" s="199"/>
      <c r="O30" s="199"/>
      <c r="P30" s="199"/>
      <c r="Q30" s="199"/>
      <c r="S30" s="569"/>
      <c r="T30" s="2602" t="s">
        <v>274</v>
      </c>
      <c r="U30" s="2601"/>
      <c r="V30" s="2602" t="s">
        <v>273</v>
      </c>
      <c r="W30" s="2601"/>
      <c r="X30" s="2603" t="s">
        <v>276</v>
      </c>
      <c r="Y30" s="2601"/>
      <c r="Z30" s="1338"/>
      <c r="AA30" s="1449"/>
      <c r="AB30" s="1449"/>
      <c r="AC30" s="1451">
        <f>UWert!$F24/100</f>
        <v>0</v>
      </c>
      <c r="AD30" s="1451">
        <f>AD29+AC29</f>
        <v>0.1</v>
      </c>
      <c r="AE30" s="1451" t="e">
        <f t="shared" si="14"/>
        <v>#DIV/0!</v>
      </c>
      <c r="AF30" s="1449" t="s">
        <v>2324</v>
      </c>
      <c r="AG30" s="1451" t="e">
        <f>UWert!$H23/(SUM(UWert!$H$23:$H$32))</f>
        <v>#DIV/0!</v>
      </c>
      <c r="AH30" s="1450" t="e">
        <f>IF(AE30&gt;0,1.40574*POWER(10,10)*EXP(-3928.5/(AE30+231.667)),3.61633*POWER(10,12)*EXP(-6150.6/(AE30+273.33)))</f>
        <v>#DIV/0!</v>
      </c>
      <c r="AI30" s="1468">
        <f>INDEX(Bauteile!$I$57:$I$1152,UWert!BA24)*(AC30)*(1/0.72)</f>
        <v>0</v>
      </c>
      <c r="AJ30" s="1451" t="e">
        <f>AI30/SUM(AI29:AI38)</f>
        <v>#DIV/0!</v>
      </c>
      <c r="AK30" s="1450" t="e">
        <f t="shared" ref="AK30:AK37" si="16">AJ30*$AA$29+AK31</f>
        <v>#DIV/0!</v>
      </c>
      <c r="AL30" s="1451" t="e">
        <f t="shared" ref="AL30:AL38" si="17">(1/(LN(AK30/(3.61633*POWER(10,12))))*-6150.6)-273.33</f>
        <v>#DIV/0!</v>
      </c>
      <c r="AM30" s="1449" t="s">
        <v>2324</v>
      </c>
      <c r="AN30" s="1451" t="e">
        <f t="shared" ref="AN30:AN38" si="18">(1/(LN(AK30/(1.40574*POWER(10,10))))*-3928.5)-231.66</f>
        <v>#DIV/0!</v>
      </c>
      <c r="AO30" s="1449" t="s">
        <v>2324</v>
      </c>
      <c r="AP30" s="1451" t="e">
        <f t="shared" ref="AP30:AP38" si="19">IF(AN30&lt;0,AL30,AN30)</f>
        <v>#DIV/0!</v>
      </c>
      <c r="AQ30" s="1449" t="s">
        <v>2324</v>
      </c>
      <c r="AR30" s="1449"/>
      <c r="AS30" s="1449"/>
      <c r="AT30" s="1449"/>
      <c r="AU30" s="1451">
        <f>UWert!$N24/100</f>
        <v>0</v>
      </c>
      <c r="AV30" s="1449">
        <f>AV29+AU29</f>
        <v>0.1</v>
      </c>
      <c r="AW30" s="1451" t="e">
        <f t="shared" si="15"/>
        <v>#DIV/0!</v>
      </c>
      <c r="AX30" s="1449" t="s">
        <v>2324</v>
      </c>
      <c r="AY30" s="1451" t="e">
        <f>UWert!$P23/(SUM(UWert!$P$23:$P$32))</f>
        <v>#DIV/0!</v>
      </c>
      <c r="AZ30" s="1450" t="e">
        <f>IF(AW30&gt;0,1.40574*POWER(10,10)*EXP(-3928.5/(AW30+231.667)),3.61633*POWER(10,12)*EXP(-6150.6/(AW30+273.33)))</f>
        <v>#DIV/0!</v>
      </c>
      <c r="BA30" s="1451">
        <f>INDEX(Bauteile!$I$57:$I$1152,UWert!BB24)*(AU30)*(1/0.72)</f>
        <v>0</v>
      </c>
      <c r="BB30" s="1451" t="e">
        <f>BA30/SUM(BA29:BA38)</f>
        <v>#DIV/0!</v>
      </c>
      <c r="BC30" s="1450" t="e">
        <f t="shared" ref="BC30:BC37" si="20">BB30*$AS$29+BC31</f>
        <v>#DIV/0!</v>
      </c>
      <c r="BD30" s="1451" t="e">
        <f t="shared" ref="BD30:BD38" si="21">(1/(LN(BC30/(3.61633*POWER(10,12))))*-6150.6)-273.33</f>
        <v>#DIV/0!</v>
      </c>
      <c r="BE30" s="1449" t="s">
        <v>2324</v>
      </c>
      <c r="BF30" s="1451" t="e">
        <f t="shared" ref="BF30:BF38" si="22">(1/(LN(BC30/(1.40574*POWER(10,10))))*-3928.5)-231.66</f>
        <v>#DIV/0!</v>
      </c>
      <c r="BG30" s="1449" t="s">
        <v>2324</v>
      </c>
      <c r="BH30" s="1451" t="e">
        <f t="shared" ref="BH30:BH38" si="23">IF(BF30&lt;0,BD30,BF30)</f>
        <v>#DIV/0!</v>
      </c>
      <c r="BI30" s="1449" t="s">
        <v>2324</v>
      </c>
      <c r="BJ30" s="1425"/>
      <c r="BK30" s="1430"/>
      <c r="BL30" s="1434" t="e">
        <f>IF(BL31&gt;0,BL31*((1/BL31)-(1/6)),"")</f>
        <v>#VALUE!</v>
      </c>
      <c r="BM30" s="1435">
        <f>$BM$15</f>
        <v>0</v>
      </c>
      <c r="BN30" s="1436">
        <f>$BN$15</f>
        <v>0</v>
      </c>
      <c r="BO30" s="1430"/>
      <c r="BP30" s="1430"/>
      <c r="BQ30" s="1430"/>
      <c r="BR30" s="1430"/>
      <c r="BS30" s="1430"/>
      <c r="BT30" s="1434" t="e">
        <f>IF(BT31&gt;0,BT31*((1/BT31)-(1/6)),"")</f>
        <v>#VALUE!</v>
      </c>
      <c r="BU30" s="1435">
        <f>$BM$15</f>
        <v>0</v>
      </c>
      <c r="BV30" s="1436">
        <f>$BN$15</f>
        <v>0</v>
      </c>
      <c r="BW30" s="1425"/>
      <c r="BX30" s="1425"/>
      <c r="BY30" s="1425"/>
      <c r="BZ30" s="1339"/>
    </row>
    <row r="31" spans="3:78" s="174" customFormat="1" ht="12.6" customHeight="1" thickBot="1">
      <c r="D31" s="199"/>
      <c r="E31" s="199"/>
      <c r="F31" s="199"/>
      <c r="G31" s="199"/>
      <c r="H31" s="199"/>
      <c r="I31" s="199"/>
      <c r="J31" s="199"/>
      <c r="K31" s="199"/>
      <c r="L31" s="199"/>
      <c r="M31" s="199"/>
      <c r="N31" s="199"/>
      <c r="O31" s="199"/>
      <c r="P31" s="199"/>
      <c r="Q31" s="199"/>
      <c r="S31" s="569"/>
      <c r="T31" s="2600">
        <f>IF(UWert!F21&lt;&gt;"",BL30,)</f>
        <v>0</v>
      </c>
      <c r="U31" s="2601"/>
      <c r="V31" s="2600">
        <f>BM30</f>
        <v>0</v>
      </c>
      <c r="W31" s="2601"/>
      <c r="X31" s="2603">
        <f>BN30</f>
        <v>0</v>
      </c>
      <c r="Y31" s="2601"/>
      <c r="Z31" s="1338"/>
      <c r="AA31" s="1449"/>
      <c r="AB31" s="1449"/>
      <c r="AC31" s="1451">
        <f>UWert!$F25/100</f>
        <v>0</v>
      </c>
      <c r="AD31" s="1449">
        <f t="shared" ref="AD31:AD38" si="24">AD30+AC30</f>
        <v>0.1</v>
      </c>
      <c r="AE31" s="1451" t="e">
        <f t="shared" si="14"/>
        <v>#DIV/0!</v>
      </c>
      <c r="AF31" s="1449" t="s">
        <v>2324</v>
      </c>
      <c r="AG31" s="1451" t="e">
        <f>UWert!$H24/(SUM(UWert!$H$23:$H$32))</f>
        <v>#DIV/0!</v>
      </c>
      <c r="AH31" s="1450" t="e">
        <f t="shared" ref="AH31:AH38" si="25">IF(AE31&gt;0,1.40574*POWER(10,10)*EXP(-3928.5/(AE31+231.667)),3.61633*POWER(10,12)*EXP(-6150.6/(AE31+273.33)))</f>
        <v>#DIV/0!</v>
      </c>
      <c r="AI31" s="1468">
        <f>INDEX(Bauteile!$I$57:$I$1152,UWert!BA25)*(AC31)*(1/0.72)</f>
        <v>0</v>
      </c>
      <c r="AJ31" s="1451" t="e">
        <f>AI31/SUM(AI29:AI38)</f>
        <v>#DIV/0!</v>
      </c>
      <c r="AK31" s="1450" t="e">
        <f t="shared" si="16"/>
        <v>#DIV/0!</v>
      </c>
      <c r="AL31" s="1451" t="e">
        <f t="shared" si="17"/>
        <v>#DIV/0!</v>
      </c>
      <c r="AM31" s="1449" t="s">
        <v>2324</v>
      </c>
      <c r="AN31" s="1451" t="e">
        <f t="shared" si="18"/>
        <v>#DIV/0!</v>
      </c>
      <c r="AO31" s="1449" t="s">
        <v>2324</v>
      </c>
      <c r="AP31" s="1451" t="e">
        <f t="shared" si="19"/>
        <v>#DIV/0!</v>
      </c>
      <c r="AQ31" s="1449" t="s">
        <v>2324</v>
      </c>
      <c r="AR31" s="1449"/>
      <c r="AS31" s="1449"/>
      <c r="AT31" s="1449"/>
      <c r="AU31" s="1451">
        <f>UWert!$N25/100</f>
        <v>0</v>
      </c>
      <c r="AV31" s="1449">
        <f t="shared" ref="AV31:AV38" si="26">AV30+AU30</f>
        <v>0.1</v>
      </c>
      <c r="AW31" s="1451" t="e">
        <f t="shared" si="15"/>
        <v>#DIV/0!</v>
      </c>
      <c r="AX31" s="1449" t="s">
        <v>2324</v>
      </c>
      <c r="AY31" s="1451" t="e">
        <f>UWert!$P24/(SUM(UWert!$P$23:$P$32))</f>
        <v>#DIV/0!</v>
      </c>
      <c r="AZ31" s="1450" t="e">
        <f t="shared" ref="AZ31:AZ38" si="27">IF(AW31&gt;0,1.40574*POWER(10,10)*EXP(-3928.5/(AW31+231.667)),3.61633*POWER(10,12)*EXP(-6150.6/(AW31+273.33)))</f>
        <v>#DIV/0!</v>
      </c>
      <c r="BA31" s="1451">
        <f>INDEX(Bauteile!$I$57:$I$1152,UWert!BB25)*(AU31)*(1/0.72)</f>
        <v>0</v>
      </c>
      <c r="BB31" s="1451" t="e">
        <f>BA31/SUM(BA29:BA38)</f>
        <v>#DIV/0!</v>
      </c>
      <c r="BC31" s="1450" t="e">
        <f t="shared" si="20"/>
        <v>#DIV/0!</v>
      </c>
      <c r="BD31" s="1451" t="e">
        <f t="shared" si="21"/>
        <v>#DIV/0!</v>
      </c>
      <c r="BE31" s="1449" t="s">
        <v>2324</v>
      </c>
      <c r="BF31" s="1451" t="e">
        <f t="shared" si="22"/>
        <v>#DIV/0!</v>
      </c>
      <c r="BG31" s="1449" t="s">
        <v>2324</v>
      </c>
      <c r="BH31" s="1451" t="e">
        <f t="shared" si="23"/>
        <v>#DIV/0!</v>
      </c>
      <c r="BI31" s="1449" t="s">
        <v>2324</v>
      </c>
      <c r="BJ31" s="1425"/>
      <c r="BK31" s="1437"/>
      <c r="BL31" s="1438" t="e">
        <f>IF(UWert!F21&gt;0,1/((1/UWert!F21)-(1/8)+(1/6)),)</f>
        <v>#VALUE!</v>
      </c>
      <c r="BM31" s="1439" t="e">
        <f>IF(BL30&gt;BM30,"","Problem !!!")</f>
        <v>#VALUE!</v>
      </c>
      <c r="BN31" s="1440" t="e">
        <f>IF(BL30&gt;BN30,"","Problem !!!")</f>
        <v>#VALUE!</v>
      </c>
      <c r="BO31" s="1437"/>
      <c r="BP31" s="1437"/>
      <c r="BQ31" s="1437"/>
      <c r="BR31" s="1437"/>
      <c r="BS31" s="1437"/>
      <c r="BT31" s="1438" t="e">
        <f>IF(UWert!N21&gt;0,1/((1/UWert!N21)-(1/8)+(1/6)),)</f>
        <v>#VALUE!</v>
      </c>
      <c r="BU31" s="1439" t="e">
        <f>IF(BT30&gt;BU30,"","Problem !!!")</f>
        <v>#VALUE!</v>
      </c>
      <c r="BV31" s="1440" t="e">
        <f>IF(BT30&gt;BV30,"","Problem !!!")</f>
        <v>#VALUE!</v>
      </c>
      <c r="BW31" s="1425"/>
      <c r="BX31" s="1425"/>
      <c r="BY31" s="1425"/>
      <c r="BZ31" s="1339"/>
    </row>
    <row r="32" spans="3:78" s="174" customFormat="1" ht="12.6" customHeight="1">
      <c r="D32" s="199"/>
      <c r="E32" s="199"/>
      <c r="F32" s="199"/>
      <c r="G32" s="199"/>
      <c r="H32" s="199"/>
      <c r="I32" s="199"/>
      <c r="J32" s="199"/>
      <c r="K32" s="199"/>
      <c r="L32" s="199"/>
      <c r="M32" s="199"/>
      <c r="N32" s="199"/>
      <c r="O32" s="199"/>
      <c r="P32" s="199"/>
      <c r="Q32" s="199"/>
      <c r="S32" s="569"/>
      <c r="T32" s="615"/>
      <c r="U32" s="616"/>
      <c r="V32" s="2606">
        <f>IF(UWert!F21&lt;&gt;"",BM31,)</f>
        <v>0</v>
      </c>
      <c r="W32" s="2595"/>
      <c r="X32" s="2594">
        <f>IF(UWert!F21&lt;&gt;"",BN31,)</f>
        <v>0</v>
      </c>
      <c r="Y32" s="2595"/>
      <c r="Z32" s="1338"/>
      <c r="AA32" s="1449"/>
      <c r="AB32" s="1449"/>
      <c r="AC32" s="1451">
        <f>UWert!$F26/100</f>
        <v>0</v>
      </c>
      <c r="AD32" s="1449">
        <f t="shared" si="24"/>
        <v>0.1</v>
      </c>
      <c r="AE32" s="1451" t="e">
        <f t="shared" si="14"/>
        <v>#DIV/0!</v>
      </c>
      <c r="AF32" s="1449" t="s">
        <v>2324</v>
      </c>
      <c r="AG32" s="1451" t="e">
        <f>UWert!$H25/(SUM(UWert!$H$23:$H$32))</f>
        <v>#DIV/0!</v>
      </c>
      <c r="AH32" s="1450" t="e">
        <f t="shared" si="25"/>
        <v>#DIV/0!</v>
      </c>
      <c r="AI32" s="1468">
        <f>INDEX(Bauteile!$I$57:$I$1152,UWert!BA26)*(AC32)*(1/0.72)</f>
        <v>0</v>
      </c>
      <c r="AJ32" s="1451" t="e">
        <f>AI32/SUM(AI29:AI38)</f>
        <v>#DIV/0!</v>
      </c>
      <c r="AK32" s="1450" t="e">
        <f t="shared" si="16"/>
        <v>#DIV/0!</v>
      </c>
      <c r="AL32" s="1451" t="e">
        <f t="shared" si="17"/>
        <v>#DIV/0!</v>
      </c>
      <c r="AM32" s="1449" t="s">
        <v>2324</v>
      </c>
      <c r="AN32" s="1451" t="e">
        <f t="shared" si="18"/>
        <v>#DIV/0!</v>
      </c>
      <c r="AO32" s="1449" t="s">
        <v>2324</v>
      </c>
      <c r="AP32" s="1451" t="e">
        <f t="shared" si="19"/>
        <v>#DIV/0!</v>
      </c>
      <c r="AQ32" s="1449" t="s">
        <v>2324</v>
      </c>
      <c r="AR32" s="1449"/>
      <c r="AS32" s="1449"/>
      <c r="AT32" s="1449"/>
      <c r="AU32" s="1451">
        <f>UWert!$N26/100</f>
        <v>0</v>
      </c>
      <c r="AV32" s="1449">
        <f t="shared" si="26"/>
        <v>0.1</v>
      </c>
      <c r="AW32" s="1451" t="e">
        <f t="shared" si="15"/>
        <v>#DIV/0!</v>
      </c>
      <c r="AX32" s="1449" t="s">
        <v>2324</v>
      </c>
      <c r="AY32" s="1451" t="e">
        <f>UWert!$P25/(SUM(UWert!$P$23:$P$32))</f>
        <v>#DIV/0!</v>
      </c>
      <c r="AZ32" s="1450" t="e">
        <f t="shared" si="27"/>
        <v>#DIV/0!</v>
      </c>
      <c r="BA32" s="1451">
        <f>INDEX(Bauteile!$I$57:$I$1152,UWert!BB26)*(AU32)*(1/0.72)</f>
        <v>0</v>
      </c>
      <c r="BB32" s="1451" t="e">
        <f>BA32/SUM(BA29:BA38)</f>
        <v>#DIV/0!</v>
      </c>
      <c r="BC32" s="1450" t="e">
        <f t="shared" si="20"/>
        <v>#DIV/0!</v>
      </c>
      <c r="BD32" s="1451" t="e">
        <f t="shared" si="21"/>
        <v>#DIV/0!</v>
      </c>
      <c r="BE32" s="1449" t="s">
        <v>2324</v>
      </c>
      <c r="BF32" s="1451" t="e">
        <f t="shared" si="22"/>
        <v>#DIV/0!</v>
      </c>
      <c r="BG32" s="1449" t="s">
        <v>2324</v>
      </c>
      <c r="BH32" s="1451" t="e">
        <f t="shared" si="23"/>
        <v>#DIV/0!</v>
      </c>
      <c r="BI32" s="1449" t="s">
        <v>2324</v>
      </c>
      <c r="BJ32" s="1425"/>
      <c r="BK32" s="1425"/>
      <c r="BL32" s="1425"/>
      <c r="BM32" s="1425"/>
      <c r="BN32" s="1425"/>
      <c r="BO32" s="1425"/>
      <c r="BP32" s="1425"/>
      <c r="BQ32" s="1425"/>
      <c r="BR32" s="1425"/>
      <c r="BS32" s="1425"/>
      <c r="BT32" s="1425"/>
      <c r="BU32" s="1425"/>
      <c r="BV32" s="1425"/>
      <c r="BW32" s="1425"/>
      <c r="BX32" s="1425"/>
      <c r="BY32" s="1425"/>
      <c r="BZ32" s="1339"/>
    </row>
    <row r="33" spans="3:78" s="174" customFormat="1" ht="12.6" customHeight="1">
      <c r="D33" s="199"/>
      <c r="E33" s="199"/>
      <c r="F33" s="199"/>
      <c r="G33" s="199"/>
      <c r="H33" s="199"/>
      <c r="I33" s="199"/>
      <c r="J33" s="199"/>
      <c r="K33" s="199"/>
      <c r="L33" s="199"/>
      <c r="M33" s="199"/>
      <c r="N33" s="199"/>
      <c r="O33" s="199"/>
      <c r="P33" s="199"/>
      <c r="Q33" s="199"/>
      <c r="S33" s="569"/>
      <c r="T33" s="2605"/>
      <c r="U33" s="2605"/>
      <c r="V33" s="565"/>
      <c r="W33" s="2605"/>
      <c r="X33" s="2605"/>
      <c r="Y33" s="199"/>
      <c r="Z33" s="1338"/>
      <c r="AA33" s="1449"/>
      <c r="AB33" s="1449"/>
      <c r="AC33" s="1451">
        <f>UWert!$F27/100</f>
        <v>0</v>
      </c>
      <c r="AD33" s="1449">
        <f t="shared" si="24"/>
        <v>0.1</v>
      </c>
      <c r="AE33" s="1451" t="e">
        <f t="shared" si="14"/>
        <v>#DIV/0!</v>
      </c>
      <c r="AF33" s="1449" t="s">
        <v>2324</v>
      </c>
      <c r="AG33" s="1451" t="e">
        <f>UWert!$H26/(SUM(UWert!$H$23:$H$32))</f>
        <v>#DIV/0!</v>
      </c>
      <c r="AH33" s="1450" t="e">
        <f t="shared" si="25"/>
        <v>#DIV/0!</v>
      </c>
      <c r="AI33" s="1468">
        <f>INDEX(Bauteile!$I$57:$I$1152,UWert!BA27)*(AC33)*(1/0.72)</f>
        <v>0</v>
      </c>
      <c r="AJ33" s="1451" t="e">
        <f>AI33/SUM(AI29:AI38)</f>
        <v>#DIV/0!</v>
      </c>
      <c r="AK33" s="1450" t="e">
        <f t="shared" si="16"/>
        <v>#DIV/0!</v>
      </c>
      <c r="AL33" s="1451" t="e">
        <f t="shared" si="17"/>
        <v>#DIV/0!</v>
      </c>
      <c r="AM33" s="1449" t="s">
        <v>2324</v>
      </c>
      <c r="AN33" s="1451" t="e">
        <f t="shared" si="18"/>
        <v>#DIV/0!</v>
      </c>
      <c r="AO33" s="1449" t="s">
        <v>2324</v>
      </c>
      <c r="AP33" s="1451" t="e">
        <f t="shared" si="19"/>
        <v>#DIV/0!</v>
      </c>
      <c r="AQ33" s="1449" t="s">
        <v>2324</v>
      </c>
      <c r="AR33" s="1449"/>
      <c r="AS33" s="1449"/>
      <c r="AT33" s="1449"/>
      <c r="AU33" s="1451">
        <f>UWert!$N27/100</f>
        <v>0</v>
      </c>
      <c r="AV33" s="1449">
        <f t="shared" si="26"/>
        <v>0.1</v>
      </c>
      <c r="AW33" s="1451" t="e">
        <f t="shared" si="15"/>
        <v>#DIV/0!</v>
      </c>
      <c r="AX33" s="1449" t="s">
        <v>2324</v>
      </c>
      <c r="AY33" s="1451" t="e">
        <f>UWert!$P26/(SUM(UWert!$P$23:$P$32))</f>
        <v>#DIV/0!</v>
      </c>
      <c r="AZ33" s="1450" t="e">
        <f t="shared" si="27"/>
        <v>#DIV/0!</v>
      </c>
      <c r="BA33" s="1451">
        <f>INDEX(Bauteile!$I$57:$I$1152,UWert!BB27)*(AU33)*(1/0.72)</f>
        <v>0</v>
      </c>
      <c r="BB33" s="1451" t="e">
        <f>BA33/SUM(BA29:BA38)</f>
        <v>#DIV/0!</v>
      </c>
      <c r="BC33" s="1450" t="e">
        <f t="shared" si="20"/>
        <v>#DIV/0!</v>
      </c>
      <c r="BD33" s="1451" t="e">
        <f t="shared" si="21"/>
        <v>#DIV/0!</v>
      </c>
      <c r="BE33" s="1449" t="s">
        <v>2324</v>
      </c>
      <c r="BF33" s="1451" t="e">
        <f t="shared" si="22"/>
        <v>#DIV/0!</v>
      </c>
      <c r="BG33" s="1449" t="s">
        <v>2324</v>
      </c>
      <c r="BH33" s="1451" t="e">
        <f t="shared" si="23"/>
        <v>#DIV/0!</v>
      </c>
      <c r="BI33" s="1449" t="s">
        <v>2324</v>
      </c>
      <c r="BJ33" s="1425"/>
      <c r="BK33" s="1425"/>
      <c r="BL33" s="1425"/>
      <c r="BM33" s="1425"/>
      <c r="BN33" s="1425"/>
      <c r="BO33" s="1425"/>
      <c r="BP33" s="1425"/>
      <c r="BQ33" s="1425"/>
      <c r="BR33" s="1425"/>
      <c r="BS33" s="1425"/>
      <c r="BT33" s="1425"/>
      <c r="BU33" s="1425"/>
      <c r="BV33" s="1425"/>
      <c r="BW33" s="1425"/>
      <c r="BX33" s="1425"/>
      <c r="BY33" s="1425"/>
      <c r="BZ33" s="1339"/>
    </row>
    <row r="34" spans="3:78" s="174" customFormat="1" ht="12.6" customHeight="1">
      <c r="D34" s="199"/>
      <c r="E34" s="199"/>
      <c r="F34" s="199"/>
      <c r="G34" s="199"/>
      <c r="H34" s="199"/>
      <c r="I34" s="199"/>
      <c r="J34" s="199"/>
      <c r="K34" s="199"/>
      <c r="L34" s="199"/>
      <c r="M34" s="199"/>
      <c r="N34" s="199"/>
      <c r="O34" s="199"/>
      <c r="P34" s="199"/>
      <c r="Q34" s="199"/>
      <c r="S34" s="569"/>
      <c r="T34" s="568">
        <v>4</v>
      </c>
      <c r="U34" s="488">
        <f>UWert!K21</f>
        <v>0</v>
      </c>
      <c r="V34" s="573"/>
      <c r="W34" s="488"/>
      <c r="X34" s="573"/>
      <c r="Y34" s="567"/>
      <c r="Z34" s="1338"/>
      <c r="AA34" s="1449"/>
      <c r="AB34" s="1449"/>
      <c r="AC34" s="1451">
        <f>UWert!$F28/100</f>
        <v>0</v>
      </c>
      <c r="AD34" s="1449">
        <f t="shared" si="24"/>
        <v>0.1</v>
      </c>
      <c r="AE34" s="1451" t="e">
        <f t="shared" si="14"/>
        <v>#DIV/0!</v>
      </c>
      <c r="AF34" s="1449" t="s">
        <v>2324</v>
      </c>
      <c r="AG34" s="1451" t="e">
        <f>UWert!$H27/(SUM(UWert!$H$23:$H$32))</f>
        <v>#DIV/0!</v>
      </c>
      <c r="AH34" s="1450" t="e">
        <f t="shared" si="25"/>
        <v>#DIV/0!</v>
      </c>
      <c r="AI34" s="1468">
        <f>INDEX(Bauteile!$I$57:$I$1152,UWert!BA28)*(AC34)*(1/0.72)</f>
        <v>0</v>
      </c>
      <c r="AJ34" s="1451" t="e">
        <f>AI34/SUM(AI29:AI38)</f>
        <v>#DIV/0!</v>
      </c>
      <c r="AK34" s="1450" t="e">
        <f t="shared" si="16"/>
        <v>#DIV/0!</v>
      </c>
      <c r="AL34" s="1451" t="e">
        <f t="shared" si="17"/>
        <v>#DIV/0!</v>
      </c>
      <c r="AM34" s="1449" t="s">
        <v>2324</v>
      </c>
      <c r="AN34" s="1451" t="e">
        <f t="shared" si="18"/>
        <v>#DIV/0!</v>
      </c>
      <c r="AO34" s="1449" t="s">
        <v>2324</v>
      </c>
      <c r="AP34" s="1451" t="e">
        <f t="shared" si="19"/>
        <v>#DIV/0!</v>
      </c>
      <c r="AQ34" s="1449" t="s">
        <v>2324</v>
      </c>
      <c r="AR34" s="1449"/>
      <c r="AS34" s="1449"/>
      <c r="AT34" s="1449"/>
      <c r="AU34" s="1451">
        <f>UWert!$N28/100</f>
        <v>0</v>
      </c>
      <c r="AV34" s="1449">
        <f t="shared" si="26"/>
        <v>0.1</v>
      </c>
      <c r="AW34" s="1451" t="e">
        <f t="shared" si="15"/>
        <v>#DIV/0!</v>
      </c>
      <c r="AX34" s="1449" t="s">
        <v>2324</v>
      </c>
      <c r="AY34" s="1451" t="e">
        <f>UWert!$P27/(SUM(UWert!$P$23:$P$32))</f>
        <v>#DIV/0!</v>
      </c>
      <c r="AZ34" s="1450" t="e">
        <f t="shared" si="27"/>
        <v>#DIV/0!</v>
      </c>
      <c r="BA34" s="1451">
        <f>INDEX(Bauteile!$I$57:$I$1152,UWert!BB28)*(AU34)*(1/0.72)</f>
        <v>0</v>
      </c>
      <c r="BB34" s="1451" t="e">
        <f>BA34/SUM(BA29:BA38)</f>
        <v>#DIV/0!</v>
      </c>
      <c r="BC34" s="1450" t="e">
        <f t="shared" si="20"/>
        <v>#DIV/0!</v>
      </c>
      <c r="BD34" s="1451" t="e">
        <f t="shared" si="21"/>
        <v>#DIV/0!</v>
      </c>
      <c r="BE34" s="1449" t="s">
        <v>2324</v>
      </c>
      <c r="BF34" s="1451" t="e">
        <f t="shared" si="22"/>
        <v>#DIV/0!</v>
      </c>
      <c r="BG34" s="1449" t="s">
        <v>2324</v>
      </c>
      <c r="BH34" s="1451" t="e">
        <f t="shared" si="23"/>
        <v>#DIV/0!</v>
      </c>
      <c r="BI34" s="1449" t="s">
        <v>2324</v>
      </c>
      <c r="BJ34" s="1425"/>
      <c r="BK34" s="1425"/>
      <c r="BL34" s="1425"/>
      <c r="BM34" s="1425"/>
      <c r="BN34" s="1425"/>
      <c r="BO34" s="1425"/>
      <c r="BP34" s="1425"/>
      <c r="BQ34" s="1425"/>
      <c r="BR34" s="1425"/>
      <c r="BS34" s="1425"/>
      <c r="BT34" s="1425"/>
      <c r="BU34" s="1425"/>
      <c r="BV34" s="1425"/>
      <c r="BW34" s="1425"/>
      <c r="BX34" s="1425"/>
      <c r="BY34" s="1425"/>
      <c r="BZ34" s="1339"/>
    </row>
    <row r="35" spans="3:78" s="174" customFormat="1" ht="12.6" customHeight="1">
      <c r="D35" s="199"/>
      <c r="E35" s="199"/>
      <c r="F35" s="199"/>
      <c r="G35" s="199"/>
      <c r="H35" s="199"/>
      <c r="I35" s="199"/>
      <c r="J35" s="199"/>
      <c r="K35" s="199"/>
      <c r="L35" s="199"/>
      <c r="M35" s="199"/>
      <c r="N35" s="199"/>
      <c r="O35" s="199"/>
      <c r="P35" s="199"/>
      <c r="Q35" s="199"/>
      <c r="S35" s="569"/>
      <c r="T35" s="2592" t="str">
        <f>T28</f>
        <v>valeur qui est</v>
      </c>
      <c r="U35" s="2593"/>
      <c r="V35" s="2596" t="str">
        <f>V28</f>
        <v>valeur limite</v>
      </c>
      <c r="W35" s="2597"/>
      <c r="X35" s="2596" t="str">
        <f>X28</f>
        <v>valeur limite</v>
      </c>
      <c r="Y35" s="2597"/>
      <c r="Z35" s="1338"/>
      <c r="AA35" s="1449"/>
      <c r="AB35" s="1449"/>
      <c r="AC35" s="1451">
        <f>UWert!$F29/100</f>
        <v>0</v>
      </c>
      <c r="AD35" s="1449">
        <f t="shared" si="24"/>
        <v>0.1</v>
      </c>
      <c r="AE35" s="1451" t="e">
        <f t="shared" si="14"/>
        <v>#DIV/0!</v>
      </c>
      <c r="AF35" s="1449" t="s">
        <v>2324</v>
      </c>
      <c r="AG35" s="1451" t="e">
        <f>UWert!$H28/(SUM(UWert!$H$23:$H$32))</f>
        <v>#DIV/0!</v>
      </c>
      <c r="AH35" s="1450" t="e">
        <f t="shared" si="25"/>
        <v>#DIV/0!</v>
      </c>
      <c r="AI35" s="1468">
        <f>INDEX(Bauteile!$I$57:$I$1152,UWert!BA29)*(AC35)*(1/0.72)</f>
        <v>0</v>
      </c>
      <c r="AJ35" s="1451" t="e">
        <f>AI35/SUM(AI29:AI38)</f>
        <v>#DIV/0!</v>
      </c>
      <c r="AK35" s="1450" t="e">
        <f t="shared" si="16"/>
        <v>#DIV/0!</v>
      </c>
      <c r="AL35" s="1451" t="e">
        <f t="shared" si="17"/>
        <v>#DIV/0!</v>
      </c>
      <c r="AM35" s="1449" t="s">
        <v>2324</v>
      </c>
      <c r="AN35" s="1451" t="e">
        <f t="shared" si="18"/>
        <v>#DIV/0!</v>
      </c>
      <c r="AO35" s="1449" t="s">
        <v>2324</v>
      </c>
      <c r="AP35" s="1451" t="e">
        <f t="shared" si="19"/>
        <v>#DIV/0!</v>
      </c>
      <c r="AQ35" s="1449" t="s">
        <v>2324</v>
      </c>
      <c r="AR35" s="1449"/>
      <c r="AS35" s="1449"/>
      <c r="AT35" s="1449"/>
      <c r="AU35" s="1451">
        <f>UWert!$N29/100</f>
        <v>0</v>
      </c>
      <c r="AV35" s="1449">
        <f t="shared" si="26"/>
        <v>0.1</v>
      </c>
      <c r="AW35" s="1451" t="e">
        <f t="shared" si="15"/>
        <v>#DIV/0!</v>
      </c>
      <c r="AX35" s="1449" t="s">
        <v>2324</v>
      </c>
      <c r="AY35" s="1451" t="e">
        <f>UWert!$P28/(SUM(UWert!$P$23:$P$32))</f>
        <v>#DIV/0!</v>
      </c>
      <c r="AZ35" s="1450" t="e">
        <f t="shared" si="27"/>
        <v>#DIV/0!</v>
      </c>
      <c r="BA35" s="1451">
        <f>INDEX(Bauteile!$I$57:$I$1152,UWert!BB29)*(AU35)*(1/0.72)</f>
        <v>0</v>
      </c>
      <c r="BB35" s="1451" t="e">
        <f>BA35/SUM(BA29:BA38)</f>
        <v>#DIV/0!</v>
      </c>
      <c r="BC35" s="1450" t="e">
        <f t="shared" si="20"/>
        <v>#DIV/0!</v>
      </c>
      <c r="BD35" s="1451" t="e">
        <f t="shared" si="21"/>
        <v>#DIV/0!</v>
      </c>
      <c r="BE35" s="1449" t="s">
        <v>2324</v>
      </c>
      <c r="BF35" s="1451" t="e">
        <f t="shared" si="22"/>
        <v>#DIV/0!</v>
      </c>
      <c r="BG35" s="1449" t="s">
        <v>2324</v>
      </c>
      <c r="BH35" s="1451" t="e">
        <f t="shared" si="23"/>
        <v>#DIV/0!</v>
      </c>
      <c r="BI35" s="1449" t="s">
        <v>2324</v>
      </c>
      <c r="BJ35" s="1425"/>
      <c r="BK35" s="1425"/>
      <c r="BL35" s="1425"/>
      <c r="BM35" s="1425"/>
      <c r="BN35" s="1425"/>
      <c r="BO35" s="1425"/>
      <c r="BP35" s="1425"/>
      <c r="BQ35" s="1425"/>
      <c r="BR35" s="1425"/>
      <c r="BS35" s="1425"/>
      <c r="BT35" s="1425"/>
      <c r="BU35" s="1425"/>
      <c r="BV35" s="1425"/>
      <c r="BW35" s="1425"/>
      <c r="BX35" s="1425"/>
      <c r="BY35" s="1425"/>
      <c r="BZ35" s="1339"/>
    </row>
    <row r="36" spans="3:78" s="174" customFormat="1" ht="12.6" customHeight="1">
      <c r="D36" s="199"/>
      <c r="E36" s="199"/>
      <c r="F36" s="199"/>
      <c r="G36" s="199"/>
      <c r="H36" s="199"/>
      <c r="I36" s="199"/>
      <c r="J36" s="199"/>
      <c r="K36" s="199"/>
      <c r="L36" s="199"/>
      <c r="M36" s="199"/>
      <c r="N36" s="199"/>
      <c r="O36" s="199"/>
      <c r="P36" s="199"/>
      <c r="Q36" s="199"/>
      <c r="S36" s="569"/>
      <c r="T36" s="2596"/>
      <c r="U36" s="2607"/>
      <c r="V36" s="2596" t="str">
        <f>V29</f>
        <v>condens.</v>
      </c>
      <c r="W36" s="2597"/>
      <c r="X36" s="2596" t="str">
        <f>X29</f>
        <v>penicillium</v>
      </c>
      <c r="Y36" s="2604"/>
      <c r="Z36" s="1338"/>
      <c r="AA36" s="1449"/>
      <c r="AB36" s="1449"/>
      <c r="AC36" s="1451">
        <f>UWert!$F30/100</f>
        <v>0</v>
      </c>
      <c r="AD36" s="1449">
        <f t="shared" si="24"/>
        <v>0.1</v>
      </c>
      <c r="AE36" s="1451" t="e">
        <f t="shared" si="14"/>
        <v>#DIV/0!</v>
      </c>
      <c r="AF36" s="1449" t="s">
        <v>2324</v>
      </c>
      <c r="AG36" s="1451" t="e">
        <f>UWert!$H29/(SUM(UWert!$H$23:$H$32))</f>
        <v>#DIV/0!</v>
      </c>
      <c r="AH36" s="1450" t="e">
        <f t="shared" si="25"/>
        <v>#DIV/0!</v>
      </c>
      <c r="AI36" s="1468">
        <f>INDEX(Bauteile!$I$57:$I$1152,UWert!BA30)*(AC36)*(1/0.72)</f>
        <v>0</v>
      </c>
      <c r="AJ36" s="1451" t="e">
        <f>AI36/SUM(AI29:AI38)</f>
        <v>#DIV/0!</v>
      </c>
      <c r="AK36" s="1450" t="e">
        <f t="shared" si="16"/>
        <v>#DIV/0!</v>
      </c>
      <c r="AL36" s="1451" t="e">
        <f t="shared" si="17"/>
        <v>#DIV/0!</v>
      </c>
      <c r="AM36" s="1449" t="s">
        <v>2324</v>
      </c>
      <c r="AN36" s="1451" t="e">
        <f t="shared" si="18"/>
        <v>#DIV/0!</v>
      </c>
      <c r="AO36" s="1449" t="s">
        <v>2324</v>
      </c>
      <c r="AP36" s="1451" t="e">
        <f t="shared" si="19"/>
        <v>#DIV/0!</v>
      </c>
      <c r="AQ36" s="1449" t="s">
        <v>2324</v>
      </c>
      <c r="AR36" s="1449"/>
      <c r="AS36" s="1449"/>
      <c r="AT36" s="1449"/>
      <c r="AU36" s="1451">
        <f>UWert!$N30/100</f>
        <v>0</v>
      </c>
      <c r="AV36" s="1449">
        <f t="shared" si="26"/>
        <v>0.1</v>
      </c>
      <c r="AW36" s="1451" t="e">
        <f t="shared" si="15"/>
        <v>#DIV/0!</v>
      </c>
      <c r="AX36" s="1449" t="s">
        <v>2324</v>
      </c>
      <c r="AY36" s="1451" t="e">
        <f>UWert!$P29/(SUM(UWert!$P$23:$P$32))</f>
        <v>#DIV/0!</v>
      </c>
      <c r="AZ36" s="1450" t="e">
        <f t="shared" si="27"/>
        <v>#DIV/0!</v>
      </c>
      <c r="BA36" s="1451">
        <f>INDEX(Bauteile!$I$57:$I$1152,UWert!BB30)*(AU36)*(1/0.72)</f>
        <v>0</v>
      </c>
      <c r="BB36" s="1451" t="e">
        <f>BA36/SUM(BA29:BA38)</f>
        <v>#DIV/0!</v>
      </c>
      <c r="BC36" s="1450" t="e">
        <f t="shared" si="20"/>
        <v>#DIV/0!</v>
      </c>
      <c r="BD36" s="1451" t="e">
        <f t="shared" si="21"/>
        <v>#DIV/0!</v>
      </c>
      <c r="BE36" s="1449" t="s">
        <v>2324</v>
      </c>
      <c r="BF36" s="1451" t="e">
        <f t="shared" si="22"/>
        <v>#DIV/0!</v>
      </c>
      <c r="BG36" s="1449" t="s">
        <v>2324</v>
      </c>
      <c r="BH36" s="1451" t="e">
        <f t="shared" si="23"/>
        <v>#DIV/0!</v>
      </c>
      <c r="BI36" s="1449" t="s">
        <v>2324</v>
      </c>
      <c r="BJ36" s="1425"/>
      <c r="BK36" s="1425"/>
      <c r="BL36" s="1425"/>
      <c r="BM36" s="1425"/>
      <c r="BN36" s="1425"/>
      <c r="BO36" s="1425"/>
      <c r="BP36" s="1425"/>
      <c r="BQ36" s="1425"/>
      <c r="BR36" s="1425"/>
      <c r="BS36" s="1425"/>
      <c r="BT36" s="1425"/>
      <c r="BU36" s="1425"/>
      <c r="BV36" s="1425"/>
      <c r="BW36" s="1425"/>
      <c r="BX36" s="1425"/>
      <c r="BY36" s="1425"/>
      <c r="BZ36" s="1339"/>
    </row>
    <row r="37" spans="3:78" s="174" customFormat="1" ht="12.6" customHeight="1">
      <c r="D37" s="199"/>
      <c r="E37" s="199"/>
      <c r="F37" s="199"/>
      <c r="G37" s="199"/>
      <c r="H37" s="199"/>
      <c r="I37" s="199"/>
      <c r="J37" s="199"/>
      <c r="K37" s="199"/>
      <c r="L37" s="199"/>
      <c r="M37" s="199"/>
      <c r="N37" s="199"/>
      <c r="O37" s="199"/>
      <c r="P37" s="199"/>
      <c r="Q37" s="199"/>
      <c r="S37" s="569"/>
      <c r="T37" s="2602" t="s">
        <v>274</v>
      </c>
      <c r="U37" s="2601"/>
      <c r="V37" s="2602" t="s">
        <v>273</v>
      </c>
      <c r="W37" s="2601"/>
      <c r="X37" s="2603" t="s">
        <v>276</v>
      </c>
      <c r="Y37" s="2601"/>
      <c r="Z37" s="1338"/>
      <c r="AA37" s="1449"/>
      <c r="AB37" s="1449"/>
      <c r="AC37" s="1451">
        <v>0.1</v>
      </c>
      <c r="AD37" s="1449">
        <f t="shared" si="24"/>
        <v>0.1</v>
      </c>
      <c r="AE37" s="1451" t="e">
        <f t="shared" si="14"/>
        <v>#DIV/0!</v>
      </c>
      <c r="AF37" s="1449" t="s">
        <v>2324</v>
      </c>
      <c r="AG37" s="1451" t="e">
        <f>UWert!$H30/(SUM(UWert!$H$23:$H$32))</f>
        <v>#DIV/0!</v>
      </c>
      <c r="AH37" s="1450" t="e">
        <f t="shared" si="25"/>
        <v>#DIV/0!</v>
      </c>
      <c r="AI37" s="1468">
        <f>0*AC37*(1/0.72)</f>
        <v>0</v>
      </c>
      <c r="AJ37" s="1451" t="e">
        <f>AI37/SUM(AI29:AI38)</f>
        <v>#DIV/0!</v>
      </c>
      <c r="AK37" s="1450" t="e">
        <f t="shared" si="16"/>
        <v>#DIV/0!</v>
      </c>
      <c r="AL37" s="1451" t="e">
        <f t="shared" si="17"/>
        <v>#DIV/0!</v>
      </c>
      <c r="AM37" s="1449" t="s">
        <v>2324</v>
      </c>
      <c r="AN37" s="1451" t="e">
        <f t="shared" si="18"/>
        <v>#DIV/0!</v>
      </c>
      <c r="AO37" s="1449" t="s">
        <v>2324</v>
      </c>
      <c r="AP37" s="1451" t="e">
        <f t="shared" si="19"/>
        <v>#DIV/0!</v>
      </c>
      <c r="AQ37" s="1449" t="s">
        <v>2324</v>
      </c>
      <c r="AR37" s="1449"/>
      <c r="AS37" s="1449"/>
      <c r="AT37" s="1449"/>
      <c r="AU37" s="1451">
        <v>0.1</v>
      </c>
      <c r="AV37" s="1449">
        <f t="shared" si="26"/>
        <v>0.1</v>
      </c>
      <c r="AW37" s="1451" t="e">
        <f t="shared" si="15"/>
        <v>#DIV/0!</v>
      </c>
      <c r="AX37" s="1449" t="s">
        <v>2324</v>
      </c>
      <c r="AY37" s="1451" t="e">
        <f>UWert!$P30/(SUM(UWert!$P$23:$P$32))</f>
        <v>#DIV/0!</v>
      </c>
      <c r="AZ37" s="1450" t="e">
        <f t="shared" si="27"/>
        <v>#DIV/0!</v>
      </c>
      <c r="BA37" s="1451">
        <f>0*(AU37)*(1/0.72)</f>
        <v>0</v>
      </c>
      <c r="BB37" s="1451" t="e">
        <f>BA37/SUM(BA29:BA38)</f>
        <v>#DIV/0!</v>
      </c>
      <c r="BC37" s="1450" t="e">
        <f t="shared" si="20"/>
        <v>#DIV/0!</v>
      </c>
      <c r="BD37" s="1451" t="e">
        <f t="shared" si="21"/>
        <v>#DIV/0!</v>
      </c>
      <c r="BE37" s="1449" t="s">
        <v>2324</v>
      </c>
      <c r="BF37" s="1451" t="e">
        <f t="shared" si="22"/>
        <v>#DIV/0!</v>
      </c>
      <c r="BG37" s="1449" t="s">
        <v>2324</v>
      </c>
      <c r="BH37" s="1451" t="e">
        <f t="shared" si="23"/>
        <v>#DIV/0!</v>
      </c>
      <c r="BI37" s="1449" t="s">
        <v>2324</v>
      </c>
      <c r="BJ37" s="1425"/>
      <c r="BK37" s="1425"/>
      <c r="BL37" s="1425"/>
      <c r="BM37" s="1425"/>
      <c r="BN37" s="1425"/>
      <c r="BO37" s="1425"/>
      <c r="BP37" s="1425"/>
      <c r="BQ37" s="1425"/>
      <c r="BR37" s="1425"/>
      <c r="BS37" s="1425"/>
      <c r="BT37" s="1425"/>
      <c r="BU37" s="1425"/>
      <c r="BV37" s="1425"/>
      <c r="BW37" s="1425"/>
      <c r="BX37" s="1425"/>
      <c r="BY37" s="1425"/>
      <c r="BZ37" s="1339"/>
    </row>
    <row r="38" spans="3:78" s="174" customFormat="1" ht="12.6" customHeight="1">
      <c r="D38" s="199"/>
      <c r="E38" s="199"/>
      <c r="F38" s="199"/>
      <c r="G38" s="199"/>
      <c r="H38" s="199"/>
      <c r="I38" s="199"/>
      <c r="J38" s="199"/>
      <c r="K38" s="199"/>
      <c r="L38" s="199"/>
      <c r="M38" s="199"/>
      <c r="N38" s="199"/>
      <c r="O38" s="199"/>
      <c r="P38" s="199"/>
      <c r="Q38" s="199"/>
      <c r="S38" s="569"/>
      <c r="T38" s="2600">
        <f>IF(UWert!N21&lt;&gt;"",BT30,)</f>
        <v>0</v>
      </c>
      <c r="U38" s="2601"/>
      <c r="V38" s="2600">
        <f>BU30</f>
        <v>0</v>
      </c>
      <c r="W38" s="2601"/>
      <c r="X38" s="2603">
        <f>BV30</f>
        <v>0</v>
      </c>
      <c r="Y38" s="2601"/>
      <c r="Z38" s="1338"/>
      <c r="AA38" s="1449"/>
      <c r="AB38" s="1449"/>
      <c r="AC38" s="1449"/>
      <c r="AD38" s="1449">
        <f t="shared" si="24"/>
        <v>0.2</v>
      </c>
      <c r="AE38" s="1450">
        <f>Ta_feuchte</f>
        <v>20</v>
      </c>
      <c r="AF38" s="1449" t="s">
        <v>2324</v>
      </c>
      <c r="AG38" s="1451" t="e">
        <f>SUM(UWert!$H31:$H32)/(SUM(UWert!$H$23:$H$32))</f>
        <v>#DIV/0!</v>
      </c>
      <c r="AH38" s="1450">
        <f t="shared" si="25"/>
        <v>2336.7157223473796</v>
      </c>
      <c r="AI38" s="1468">
        <f>0*AC38*(1/0.72)</f>
        <v>0</v>
      </c>
      <c r="AJ38" s="1451" t="e">
        <f>AI38/SUM(AI29:AI38)</f>
        <v>#DIV/0!</v>
      </c>
      <c r="AK38" s="1450">
        <f>AH38*Rh_aussen</f>
        <v>1402.0294334084276</v>
      </c>
      <c r="AL38" s="1451">
        <f t="shared" si="17"/>
        <v>10.489639823639493</v>
      </c>
      <c r="AM38" s="1449" t="s">
        <v>2324</v>
      </c>
      <c r="AN38" s="1451">
        <f t="shared" si="18"/>
        <v>12.032306379344021</v>
      </c>
      <c r="AO38" s="1449" t="s">
        <v>2324</v>
      </c>
      <c r="AP38" s="1451">
        <f t="shared" si="19"/>
        <v>12.032306379344021</v>
      </c>
      <c r="AQ38" s="1449" t="s">
        <v>2324</v>
      </c>
      <c r="AR38" s="1449"/>
      <c r="AS38" s="1449"/>
      <c r="AT38" s="1449"/>
      <c r="AU38" s="1449"/>
      <c r="AV38" s="1449">
        <f t="shared" si="26"/>
        <v>0.2</v>
      </c>
      <c r="AW38" s="1450">
        <f>Ta_feuchte</f>
        <v>20</v>
      </c>
      <c r="AX38" s="1449" t="s">
        <v>2324</v>
      </c>
      <c r="AY38" s="1451" t="e">
        <f>SUM(UWert!$P31:$P32)/(SUM(UWert!$P$23:$P$32))</f>
        <v>#DIV/0!</v>
      </c>
      <c r="AZ38" s="1450">
        <f t="shared" si="27"/>
        <v>2336.7157223473796</v>
      </c>
      <c r="BA38" s="1451">
        <f>0*(AU38)*(1/0.72)</f>
        <v>0</v>
      </c>
      <c r="BB38" s="1451" t="e">
        <f>BA38/SUM(BA29:BA38)</f>
        <v>#DIV/0!</v>
      </c>
      <c r="BC38" s="1450">
        <f>AZ38*Rh_aussen</f>
        <v>1402.0294334084276</v>
      </c>
      <c r="BD38" s="1451">
        <f t="shared" si="21"/>
        <v>10.489639823639493</v>
      </c>
      <c r="BE38" s="1449" t="s">
        <v>2324</v>
      </c>
      <c r="BF38" s="1451">
        <f t="shared" si="22"/>
        <v>12.032306379344021</v>
      </c>
      <c r="BG38" s="1449" t="s">
        <v>2324</v>
      </c>
      <c r="BH38" s="1451">
        <f t="shared" si="23"/>
        <v>12.032306379344021</v>
      </c>
      <c r="BI38" s="1449" t="s">
        <v>2324</v>
      </c>
      <c r="BJ38" s="1425"/>
      <c r="BK38" s="1425"/>
      <c r="BL38" s="1425"/>
      <c r="BM38" s="1425"/>
      <c r="BN38" s="1425"/>
      <c r="BO38" s="1425"/>
      <c r="BP38" s="1425"/>
      <c r="BQ38" s="1425"/>
      <c r="BR38" s="1425"/>
      <c r="BS38" s="1425"/>
      <c r="BT38" s="1425"/>
      <c r="BU38" s="1425"/>
      <c r="BV38" s="1425"/>
      <c r="BW38" s="1425"/>
      <c r="BX38" s="1425"/>
      <c r="BY38" s="1425"/>
      <c r="BZ38" s="1339"/>
    </row>
    <row r="39" spans="3:78" s="174" customFormat="1" ht="12.6" customHeight="1">
      <c r="D39" s="199"/>
      <c r="E39" s="199"/>
      <c r="F39" s="199"/>
      <c r="G39" s="199"/>
      <c r="H39" s="199"/>
      <c r="I39" s="199"/>
      <c r="J39" s="199"/>
      <c r="K39" s="199"/>
      <c r="L39" s="199"/>
      <c r="M39" s="199"/>
      <c r="N39" s="199"/>
      <c r="O39" s="199"/>
      <c r="P39" s="199"/>
      <c r="Q39" s="199"/>
      <c r="S39" s="569"/>
      <c r="T39" s="615"/>
      <c r="U39" s="616"/>
      <c r="V39" s="2594">
        <f>IF(UWert!N21&lt;&gt;"",BU31,)</f>
        <v>0</v>
      </c>
      <c r="W39" s="2595"/>
      <c r="X39" s="2594">
        <f>IF(UWert!N21&lt;&gt;"",BV31,)</f>
        <v>0</v>
      </c>
      <c r="Y39" s="2595"/>
      <c r="Z39" s="1338"/>
      <c r="AA39" s="1449"/>
      <c r="AB39" s="1449"/>
      <c r="AC39" s="1449"/>
      <c r="AD39" s="1449"/>
      <c r="AE39" s="1449"/>
      <c r="AF39" s="1449"/>
      <c r="AG39" s="1449"/>
      <c r="AH39" s="1449"/>
      <c r="AI39" s="1453"/>
      <c r="AJ39" s="1449"/>
      <c r="AK39" s="1449"/>
      <c r="AL39" s="1449"/>
      <c r="AM39" s="1449"/>
      <c r="AN39" s="1449"/>
      <c r="AO39" s="1449"/>
      <c r="AP39" s="1449"/>
      <c r="AQ39" s="1449"/>
      <c r="AR39" s="1449"/>
      <c r="AS39" s="1449"/>
      <c r="AT39" s="1449"/>
      <c r="AU39" s="1449"/>
      <c r="AV39" s="1449"/>
      <c r="AW39" s="1449"/>
      <c r="AX39" s="1449"/>
      <c r="AY39" s="1449"/>
      <c r="AZ39" s="1449"/>
      <c r="BA39" s="1449"/>
      <c r="BB39" s="1449"/>
      <c r="BC39" s="1449"/>
      <c r="BD39" s="1449"/>
      <c r="BE39" s="1449"/>
      <c r="BF39" s="1449"/>
      <c r="BG39" s="1449"/>
      <c r="BH39" s="1449"/>
      <c r="BI39" s="1449"/>
      <c r="BJ39" s="1425"/>
      <c r="BK39" s="1425"/>
      <c r="BL39" s="1425"/>
      <c r="BM39" s="1425"/>
      <c r="BN39" s="1425"/>
      <c r="BO39" s="1425"/>
      <c r="BP39" s="1425"/>
      <c r="BQ39" s="1425"/>
      <c r="BR39" s="1425"/>
      <c r="BS39" s="1425"/>
      <c r="BT39" s="1425"/>
      <c r="BU39" s="1425"/>
      <c r="BV39" s="1425"/>
      <c r="BW39" s="1425"/>
      <c r="BX39" s="1425"/>
      <c r="BY39" s="1425"/>
      <c r="BZ39" s="1339"/>
    </row>
    <row r="40" spans="3:78" s="174" customFormat="1" ht="12.6" customHeight="1">
      <c r="D40" s="199"/>
      <c r="E40" s="199"/>
      <c r="F40" s="199"/>
      <c r="G40" s="199"/>
      <c r="H40" s="199"/>
      <c r="I40" s="199"/>
      <c r="J40" s="199"/>
      <c r="K40" s="199"/>
      <c r="L40" s="199"/>
      <c r="M40" s="199"/>
      <c r="N40" s="199"/>
      <c r="O40" s="199"/>
      <c r="P40" s="199"/>
      <c r="Q40" s="199"/>
      <c r="S40" s="569"/>
      <c r="T40" s="2608"/>
      <c r="U40" s="2608"/>
      <c r="V40" s="565"/>
      <c r="W40" s="2608"/>
      <c r="X40" s="2608"/>
      <c r="Y40" s="199"/>
      <c r="Z40" s="1338"/>
      <c r="AA40" s="1449"/>
      <c r="AB40" s="1449"/>
      <c r="AC40" s="1449"/>
      <c r="AD40" s="1449"/>
      <c r="AE40" s="1449"/>
      <c r="AF40" s="1449"/>
      <c r="AG40" s="1449"/>
      <c r="AH40" s="1449"/>
      <c r="AI40" s="1453"/>
      <c r="AJ40" s="1449"/>
      <c r="AK40" s="1449"/>
      <c r="AL40" s="1449"/>
      <c r="AM40" s="1449"/>
      <c r="AN40" s="1449"/>
      <c r="AO40" s="1449"/>
      <c r="AP40" s="1449"/>
      <c r="AQ40" s="1449"/>
      <c r="AR40" s="1449"/>
      <c r="AS40" s="1449"/>
      <c r="AT40" s="1449"/>
      <c r="AU40" s="1449"/>
      <c r="AV40" s="1449"/>
      <c r="AW40" s="1449"/>
      <c r="AX40" s="1449"/>
      <c r="AY40" s="1449"/>
      <c r="AZ40" s="1449"/>
      <c r="BA40" s="1449"/>
      <c r="BB40" s="1449"/>
      <c r="BC40" s="1449"/>
      <c r="BD40" s="1449"/>
      <c r="BE40" s="1449"/>
      <c r="BF40" s="1449"/>
      <c r="BG40" s="1449"/>
      <c r="BH40" s="1449"/>
      <c r="BI40" s="1449"/>
      <c r="BJ40" s="1425"/>
      <c r="BK40" s="1425"/>
      <c r="BL40" s="1425"/>
      <c r="BM40" s="1425"/>
      <c r="BN40" s="1425"/>
      <c r="BO40" s="1425"/>
      <c r="BP40" s="1425"/>
      <c r="BQ40" s="1425"/>
      <c r="BR40" s="1425"/>
      <c r="BS40" s="1425"/>
      <c r="BT40" s="1425"/>
      <c r="BU40" s="1425"/>
      <c r="BV40" s="1425"/>
      <c r="BW40" s="1425"/>
      <c r="BX40" s="1425"/>
      <c r="BY40" s="1425"/>
      <c r="BZ40" s="1339"/>
    </row>
    <row r="41" spans="3:78" s="174" customFormat="1" ht="12" customHeight="1">
      <c r="D41" s="199"/>
      <c r="E41" s="199"/>
      <c r="F41" s="199"/>
      <c r="G41" s="199"/>
      <c r="H41" s="199"/>
      <c r="I41" s="199"/>
      <c r="J41" s="199"/>
      <c r="K41" s="199"/>
      <c r="L41" s="199"/>
      <c r="M41" s="199"/>
      <c r="N41" s="199"/>
      <c r="O41" s="199"/>
      <c r="P41" s="199"/>
      <c r="Q41" s="199"/>
      <c r="S41" s="569"/>
      <c r="T41" s="199"/>
      <c r="U41" s="565"/>
      <c r="V41" s="565"/>
      <c r="W41" s="565"/>
      <c r="X41" s="565"/>
      <c r="Y41" s="199"/>
      <c r="Z41" s="1338"/>
      <c r="AA41" s="1449"/>
      <c r="AB41" s="1449"/>
      <c r="AC41" s="1449"/>
      <c r="AD41" s="1449"/>
      <c r="AE41" s="1449"/>
      <c r="AF41" s="1449"/>
      <c r="AG41" s="1449"/>
      <c r="AH41" s="1449"/>
      <c r="AI41" s="1453"/>
      <c r="AJ41" s="1449"/>
      <c r="AK41" s="1449"/>
      <c r="AL41" s="1449"/>
      <c r="AM41" s="1449"/>
      <c r="AN41" s="1449"/>
      <c r="AO41" s="1449"/>
      <c r="AP41" s="1449"/>
      <c r="AQ41" s="1449"/>
      <c r="AR41" s="1449"/>
      <c r="AS41" s="1449"/>
      <c r="AT41" s="1449"/>
      <c r="AU41" s="1449"/>
      <c r="AV41" s="1449"/>
      <c r="AW41" s="1449"/>
      <c r="AX41" s="1449"/>
      <c r="AY41" s="1449"/>
      <c r="AZ41" s="1449"/>
      <c r="BA41" s="1449"/>
      <c r="BB41" s="1449"/>
      <c r="BC41" s="1449"/>
      <c r="BD41" s="1449"/>
      <c r="BE41" s="1449"/>
      <c r="BF41" s="1449"/>
      <c r="BG41" s="1449"/>
      <c r="BH41" s="1449"/>
      <c r="BI41" s="1449"/>
      <c r="BJ41" s="1425"/>
      <c r="BK41" s="1425"/>
      <c r="BL41" s="1425"/>
      <c r="BM41" s="1425"/>
      <c r="BN41" s="1425"/>
      <c r="BO41" s="1425"/>
      <c r="BP41" s="1425"/>
      <c r="BQ41" s="1425"/>
      <c r="BR41" s="1425"/>
      <c r="BS41" s="1425"/>
      <c r="BT41" s="1425"/>
      <c r="BU41" s="1425"/>
      <c r="BV41" s="1425"/>
      <c r="BW41" s="1425"/>
      <c r="BX41" s="1425"/>
      <c r="BY41" s="1425"/>
      <c r="BZ41" s="1339"/>
    </row>
    <row r="42" spans="3:78" s="174" customFormat="1" ht="12.6" customHeight="1" thickBot="1">
      <c r="C42" s="487">
        <v>5</v>
      </c>
      <c r="D42" s="490">
        <f>UWert!C35</f>
        <v>0</v>
      </c>
      <c r="E42" s="485"/>
      <c r="F42" s="485"/>
      <c r="G42" s="485"/>
      <c r="H42" s="485"/>
      <c r="I42" s="486"/>
      <c r="K42" s="487">
        <v>6</v>
      </c>
      <c r="L42" s="490">
        <f>UWert!K35</f>
        <v>0</v>
      </c>
      <c r="M42" s="485"/>
      <c r="N42" s="485"/>
      <c r="O42" s="485"/>
      <c r="P42" s="485"/>
      <c r="Q42" s="486"/>
      <c r="S42" s="569"/>
      <c r="T42" s="568">
        <v>5</v>
      </c>
      <c r="U42" s="488">
        <f>UWert!C35</f>
        <v>0</v>
      </c>
      <c r="V42" s="573"/>
      <c r="W42" s="488"/>
      <c r="X42" s="573"/>
      <c r="Y42" s="567"/>
      <c r="Z42" s="1338"/>
      <c r="AA42" s="1449"/>
      <c r="AB42" s="1449"/>
      <c r="AC42" s="1449"/>
      <c r="AD42" s="1449"/>
      <c r="AE42" s="1449"/>
      <c r="AF42" s="1449"/>
      <c r="AG42" s="1449"/>
      <c r="AH42" s="1449"/>
      <c r="AI42" s="1453"/>
      <c r="AJ42" s="1449"/>
      <c r="AK42" s="1449"/>
      <c r="AL42" s="1449"/>
      <c r="AM42" s="1449"/>
      <c r="AN42" s="1449"/>
      <c r="AO42" s="1449"/>
      <c r="AP42" s="1449"/>
      <c r="AQ42" s="1449"/>
      <c r="AR42" s="1449"/>
      <c r="AS42" s="1449"/>
      <c r="AT42" s="1449"/>
      <c r="AU42" s="1449"/>
      <c r="AV42" s="1449"/>
      <c r="AW42" s="1449"/>
      <c r="AX42" s="1449"/>
      <c r="AY42" s="1449"/>
      <c r="AZ42" s="1449"/>
      <c r="BA42" s="1449"/>
      <c r="BB42" s="1449"/>
      <c r="BC42" s="1449"/>
      <c r="BD42" s="1449"/>
      <c r="BE42" s="1449"/>
      <c r="BF42" s="1449"/>
      <c r="BG42" s="1449"/>
      <c r="BH42" s="1449"/>
      <c r="BI42" s="1449"/>
      <c r="BJ42" s="1425"/>
      <c r="BK42" s="1425"/>
      <c r="BL42" s="1425"/>
      <c r="BM42" s="1425"/>
      <c r="BN42" s="1425"/>
      <c r="BO42" s="1425"/>
      <c r="BP42" s="1425"/>
      <c r="BQ42" s="1425"/>
      <c r="BR42" s="1425"/>
      <c r="BS42" s="1425"/>
      <c r="BT42" s="1425"/>
      <c r="BU42" s="1425"/>
      <c r="BV42" s="1425"/>
      <c r="BW42" s="1425"/>
      <c r="BX42" s="1425"/>
      <c r="BY42" s="1425"/>
      <c r="BZ42" s="1339"/>
    </row>
    <row r="43" spans="3:78" s="174" customFormat="1" ht="12.6" customHeight="1" thickBot="1">
      <c r="S43" s="569"/>
      <c r="T43" s="2592" t="str">
        <f>T35</f>
        <v>valeur qui est</v>
      </c>
      <c r="U43" s="2593"/>
      <c r="V43" s="2596" t="str">
        <f>V35</f>
        <v>valeur limite</v>
      </c>
      <c r="W43" s="2597"/>
      <c r="X43" s="2596" t="str">
        <f>X35</f>
        <v>valeur limite</v>
      </c>
      <c r="Y43" s="2597"/>
      <c r="Z43" s="1338"/>
      <c r="AA43" s="1448" t="s">
        <v>1957</v>
      </c>
      <c r="AB43" s="1448" t="s">
        <v>1958</v>
      </c>
      <c r="AC43" s="1449" t="s">
        <v>2326</v>
      </c>
      <c r="AD43" s="1449" t="s">
        <v>791</v>
      </c>
      <c r="AE43" s="1449" t="s">
        <v>2327</v>
      </c>
      <c r="AF43" s="1449"/>
      <c r="AG43" s="1449" t="s">
        <v>1959</v>
      </c>
      <c r="AH43" s="1449" t="s">
        <v>106</v>
      </c>
      <c r="AI43" s="1453" t="s">
        <v>2201</v>
      </c>
      <c r="AJ43" s="1449" t="s">
        <v>108</v>
      </c>
      <c r="AK43" s="1449" t="s">
        <v>1250</v>
      </c>
      <c r="AL43" s="1449" t="s">
        <v>109</v>
      </c>
      <c r="AM43" s="1449"/>
      <c r="AN43" s="1449" t="s">
        <v>110</v>
      </c>
      <c r="AO43" s="1449"/>
      <c r="AP43" s="1449" t="s">
        <v>111</v>
      </c>
      <c r="AQ43" s="1449"/>
      <c r="AR43" s="1449"/>
      <c r="AS43" s="1448" t="s">
        <v>1957</v>
      </c>
      <c r="AT43" s="1448" t="s">
        <v>1958</v>
      </c>
      <c r="AU43" s="1449" t="s">
        <v>2326</v>
      </c>
      <c r="AV43" s="1449" t="s">
        <v>791</v>
      </c>
      <c r="AW43" s="1449" t="s">
        <v>2327</v>
      </c>
      <c r="AX43" s="1449"/>
      <c r="AY43" s="1449" t="s">
        <v>1959</v>
      </c>
      <c r="AZ43" s="1449" t="s">
        <v>106</v>
      </c>
      <c r="BA43" s="1449" t="s">
        <v>107</v>
      </c>
      <c r="BB43" s="1449" t="s">
        <v>108</v>
      </c>
      <c r="BC43" s="1449" t="s">
        <v>1250</v>
      </c>
      <c r="BD43" s="1449" t="s">
        <v>109</v>
      </c>
      <c r="BE43" s="1449"/>
      <c r="BF43" s="1449" t="s">
        <v>110</v>
      </c>
      <c r="BG43" s="1449"/>
      <c r="BH43" s="1449" t="s">
        <v>111</v>
      </c>
      <c r="BI43" s="1449"/>
      <c r="BJ43" s="1425"/>
      <c r="BK43" s="1426">
        <v>5</v>
      </c>
      <c r="BL43" s="1427" t="s">
        <v>840</v>
      </c>
      <c r="BM43" s="1428" t="s">
        <v>838</v>
      </c>
      <c r="BN43" s="1429" t="s">
        <v>839</v>
      </c>
      <c r="BO43" s="1430"/>
      <c r="BP43" s="1430"/>
      <c r="BQ43" s="1430"/>
      <c r="BR43" s="1430"/>
      <c r="BS43" s="1426">
        <v>6</v>
      </c>
      <c r="BT43" s="1427" t="s">
        <v>840</v>
      </c>
      <c r="BU43" s="1428" t="s">
        <v>838</v>
      </c>
      <c r="BV43" s="1429" t="s">
        <v>839</v>
      </c>
      <c r="BW43" s="1425"/>
      <c r="BX43" s="1425"/>
      <c r="BY43" s="1425"/>
      <c r="BZ43" s="1339"/>
    </row>
    <row r="44" spans="3:78" s="174" customFormat="1" ht="12.6" customHeight="1">
      <c r="D44" s="199"/>
      <c r="E44" s="199"/>
      <c r="F44" s="199"/>
      <c r="G44" s="199"/>
      <c r="H44" s="199"/>
      <c r="I44" s="199"/>
      <c r="J44" s="199"/>
      <c r="K44" s="199"/>
      <c r="L44" s="199"/>
      <c r="M44" s="199"/>
      <c r="N44" s="199"/>
      <c r="O44" s="199"/>
      <c r="P44" s="199"/>
      <c r="Q44" s="199"/>
      <c r="S44" s="569"/>
      <c r="T44" s="2596"/>
      <c r="U44" s="2607"/>
      <c r="V44" s="2596" t="str">
        <f>V36</f>
        <v>condens.</v>
      </c>
      <c r="W44" s="2597"/>
      <c r="X44" s="2596" t="str">
        <f>X36</f>
        <v>penicillium</v>
      </c>
      <c r="Y44" s="2604"/>
      <c r="Z44" s="1338"/>
      <c r="AA44" s="1450" t="e">
        <f>Rh_innen*AH44-Rh_aussen*AH53</f>
        <v>#DIV/0!</v>
      </c>
      <c r="AB44" s="1449">
        <f>Ti_feuchte-Ta_feuchte</f>
        <v>0</v>
      </c>
      <c r="AC44" s="1451">
        <v>0.1</v>
      </c>
      <c r="AD44" s="1449">
        <v>0</v>
      </c>
      <c r="AE44" s="1451" t="e">
        <f t="shared" ref="AE44:AE52" si="28">AG45*$AB$44+AE45</f>
        <v>#DIV/0!</v>
      </c>
      <c r="AF44" s="1449" t="s">
        <v>2324</v>
      </c>
      <c r="AG44" s="1451"/>
      <c r="AH44" s="1450" t="e">
        <f>IF(AE44&gt;0,1.40574*POWER(10,10)*EXP(-3928.5/(AE44+231.667)),3.61633*POWER(10,12)*EXP(-6150.6/(AE44+273.33)))</f>
        <v>#DIV/0!</v>
      </c>
      <c r="AI44" s="1468"/>
      <c r="AJ44" s="1451"/>
      <c r="AK44" s="1450" t="e">
        <f>AH44*Rh_innen</f>
        <v>#DIV/0!</v>
      </c>
      <c r="AL44" s="1451" t="e">
        <f>(1/(LN(AK44/(3.61633*POWER(10,12))))*-6150.6)-273.33</f>
        <v>#DIV/0!</v>
      </c>
      <c r="AM44" s="1449" t="s">
        <v>2324</v>
      </c>
      <c r="AN44" s="1451" t="e">
        <f>(1/(LN(AK44/(1.40574*POWER(10,10))))*-3928.5)-231.66</f>
        <v>#DIV/0!</v>
      </c>
      <c r="AO44" s="1449" t="s">
        <v>2324</v>
      </c>
      <c r="AP44" s="1451" t="e">
        <f>IF(AN44&lt;0,AL44,AN44)</f>
        <v>#DIV/0!</v>
      </c>
      <c r="AQ44" s="1449" t="s">
        <v>2324</v>
      </c>
      <c r="AR44" s="1449"/>
      <c r="AS44" s="1450" t="e">
        <f>Rh_innen*AZ44-Rh_aussen*AZ53</f>
        <v>#DIV/0!</v>
      </c>
      <c r="AT44" s="1449">
        <f>Ti_feuchte-Ta_feuchte</f>
        <v>0</v>
      </c>
      <c r="AU44" s="1451">
        <v>0.1</v>
      </c>
      <c r="AV44" s="1449">
        <v>0</v>
      </c>
      <c r="AW44" s="1451" t="e">
        <f t="shared" ref="AW44:AW52" si="29">AY45*$AT$44+AW45</f>
        <v>#DIV/0!</v>
      </c>
      <c r="AX44" s="1449" t="s">
        <v>2324</v>
      </c>
      <c r="AY44" s="1451"/>
      <c r="AZ44" s="1450" t="e">
        <f>IF(AW44&gt;0,1.40574*POWER(10,10)*EXP(-3928.5/(AW44+231.667)),3.61633*POWER(10,12)*EXP(-6150.6/(AW44+273.33)))</f>
        <v>#DIV/0!</v>
      </c>
      <c r="BA44" s="1451"/>
      <c r="BB44" s="1451"/>
      <c r="BC44" s="1450" t="e">
        <f>AZ44*Rh_innen</f>
        <v>#DIV/0!</v>
      </c>
      <c r="BD44" s="1451" t="e">
        <f>(1/(LN(BC44/(3.61633*POWER(10,12))))*-6150.6)-273.33</f>
        <v>#DIV/0!</v>
      </c>
      <c r="BE44" s="1449" t="s">
        <v>2324</v>
      </c>
      <c r="BF44" s="1451" t="e">
        <f>(1/(LN(BC44/(1.40574*POWER(10,10))))*-3928.5)-231.66</f>
        <v>#DIV/0!</v>
      </c>
      <c r="BG44" s="1449" t="s">
        <v>2324</v>
      </c>
      <c r="BH44" s="1451" t="e">
        <f>IF(BF44&lt;0,BD44,BF44)</f>
        <v>#DIV/0!</v>
      </c>
      <c r="BI44" s="1449" t="s">
        <v>2324</v>
      </c>
      <c r="BJ44" s="1425"/>
      <c r="BK44" s="1430"/>
      <c r="BL44" s="1431" t="s">
        <v>1987</v>
      </c>
      <c r="BM44" s="1432" t="s">
        <v>1988</v>
      </c>
      <c r="BN44" s="1433" t="s">
        <v>1989</v>
      </c>
      <c r="BO44" s="1430"/>
      <c r="BP44" s="1430"/>
      <c r="BQ44" s="1430"/>
      <c r="BR44" s="1430"/>
      <c r="BS44" s="1430"/>
      <c r="BT44" s="1431" t="s">
        <v>1987</v>
      </c>
      <c r="BU44" s="1432" t="s">
        <v>1988</v>
      </c>
      <c r="BV44" s="1433" t="s">
        <v>1989</v>
      </c>
      <c r="BW44" s="1425"/>
      <c r="BX44" s="1425"/>
      <c r="BY44" s="1425"/>
      <c r="BZ44" s="1339"/>
    </row>
    <row r="45" spans="3:78" s="174" customFormat="1" ht="12.6" customHeight="1">
      <c r="D45" s="199"/>
      <c r="E45" s="199"/>
      <c r="F45" s="199"/>
      <c r="G45" s="199"/>
      <c r="H45" s="199"/>
      <c r="I45" s="199"/>
      <c r="J45" s="199"/>
      <c r="K45" s="199"/>
      <c r="L45" s="199"/>
      <c r="M45" s="199"/>
      <c r="N45" s="199"/>
      <c r="O45" s="199"/>
      <c r="P45" s="199"/>
      <c r="Q45" s="199"/>
      <c r="S45" s="569"/>
      <c r="T45" s="2602" t="s">
        <v>274</v>
      </c>
      <c r="U45" s="2601"/>
      <c r="V45" s="2602" t="s">
        <v>273</v>
      </c>
      <c r="W45" s="2601"/>
      <c r="X45" s="2603" t="s">
        <v>276</v>
      </c>
      <c r="Y45" s="2601"/>
      <c r="Z45" s="1338"/>
      <c r="AA45" s="1449"/>
      <c r="AB45" s="1449"/>
      <c r="AC45" s="1451">
        <f>UWert!$F38/100</f>
        <v>0</v>
      </c>
      <c r="AD45" s="1451">
        <f>AD44+AC44</f>
        <v>0.1</v>
      </c>
      <c r="AE45" s="1451" t="e">
        <f t="shared" si="28"/>
        <v>#DIV/0!</v>
      </c>
      <c r="AF45" s="1449" t="s">
        <v>2324</v>
      </c>
      <c r="AG45" s="1451" t="e">
        <f>UWert!$H37/(SUM(UWert!$H$37:$H$46))</f>
        <v>#DIV/0!</v>
      </c>
      <c r="AH45" s="1450" t="e">
        <f>IF(AE45&gt;0,1.40574*POWER(10,10)*EXP(-3928.5/(AE45+231.667)),3.61633*POWER(10,12)*EXP(-6150.6/(AE45+273.33)))</f>
        <v>#DIV/0!</v>
      </c>
      <c r="AI45" s="1468">
        <f>INDEX(Bauteile!$I$57:$I$1152,UWert!BA38)*(AC45/0.72)</f>
        <v>0</v>
      </c>
      <c r="AJ45" s="1451" t="e">
        <f>AI45/SUM(AI44:AI53)</f>
        <v>#DIV/0!</v>
      </c>
      <c r="AK45" s="1450" t="e">
        <f t="shared" ref="AK45:AK52" si="30">AJ45*$AA$44+AK46</f>
        <v>#DIV/0!</v>
      </c>
      <c r="AL45" s="1451" t="e">
        <f t="shared" ref="AL45:AL53" si="31">(1/(LN(AK45/(3.61633*POWER(10,12))))*-6150.6)-273.33</f>
        <v>#DIV/0!</v>
      </c>
      <c r="AM45" s="1449" t="s">
        <v>2324</v>
      </c>
      <c r="AN45" s="1451" t="e">
        <f t="shared" ref="AN45:AN53" si="32">(1/(LN(AK45/(1.40574*POWER(10,10))))*-3928.5)-231.66</f>
        <v>#DIV/0!</v>
      </c>
      <c r="AO45" s="1449" t="s">
        <v>2324</v>
      </c>
      <c r="AP45" s="1451" t="e">
        <f t="shared" ref="AP45:AP53" si="33">IF(AN45&lt;0,AL45,AN45)</f>
        <v>#DIV/0!</v>
      </c>
      <c r="AQ45" s="1449" t="s">
        <v>2324</v>
      </c>
      <c r="AR45" s="1449"/>
      <c r="AS45" s="1449"/>
      <c r="AT45" s="1449"/>
      <c r="AU45" s="1451">
        <f>UWert!$N38/100</f>
        <v>0</v>
      </c>
      <c r="AV45" s="1449">
        <f>AV44+AU44</f>
        <v>0.1</v>
      </c>
      <c r="AW45" s="1451" t="e">
        <f t="shared" si="29"/>
        <v>#DIV/0!</v>
      </c>
      <c r="AX45" s="1449" t="s">
        <v>2324</v>
      </c>
      <c r="AY45" s="1451" t="e">
        <f>UWert!$P37/(SUM(UWert!$P$37:$P$46))</f>
        <v>#DIV/0!</v>
      </c>
      <c r="AZ45" s="1450" t="e">
        <f>IF(AW45&gt;0,1.40574*POWER(10,10)*EXP(-3928.5/(AW45+231.667)),3.61633*POWER(10,12)*EXP(-6150.6/(AW45+273.33)))</f>
        <v>#DIV/0!</v>
      </c>
      <c r="BA45" s="1451">
        <f>INDEX(Bauteile!$I$57:$I$1152,UWert!BB38)*(AU45)*(1/0.72)</f>
        <v>0</v>
      </c>
      <c r="BB45" s="1451" t="e">
        <f>BA45/SUM(BA44:BA53)</f>
        <v>#DIV/0!</v>
      </c>
      <c r="BC45" s="1450" t="e">
        <f t="shared" ref="BC45:BC52" si="34">BB45*$AS$44+BC46</f>
        <v>#DIV/0!</v>
      </c>
      <c r="BD45" s="1451" t="e">
        <f t="shared" ref="BD45:BD53" si="35">(1/(LN(BC45/(3.61633*POWER(10,12))))*-6150.6)-273.33</f>
        <v>#DIV/0!</v>
      </c>
      <c r="BE45" s="1449" t="s">
        <v>2324</v>
      </c>
      <c r="BF45" s="1451" t="e">
        <f t="shared" ref="BF45:BF53" si="36">(1/(LN(BC45/(1.40574*POWER(10,10))))*-3928.5)-231.66</f>
        <v>#DIV/0!</v>
      </c>
      <c r="BG45" s="1449" t="s">
        <v>2324</v>
      </c>
      <c r="BH45" s="1451" t="e">
        <f t="shared" ref="BH45:BH53" si="37">IF(BF45&lt;0,BD45,BF45)</f>
        <v>#DIV/0!</v>
      </c>
      <c r="BI45" s="1449" t="s">
        <v>2324</v>
      </c>
      <c r="BJ45" s="1425"/>
      <c r="BK45" s="1430"/>
      <c r="BL45" s="1434" t="e">
        <f>IF(BL46&gt;0,BL46*((1/BL46)-(1/6)),"")</f>
        <v>#VALUE!</v>
      </c>
      <c r="BM45" s="1435">
        <f>$BM$15</f>
        <v>0</v>
      </c>
      <c r="BN45" s="1436">
        <f>$BN$15</f>
        <v>0</v>
      </c>
      <c r="BO45" s="1430"/>
      <c r="BP45" s="1430"/>
      <c r="BQ45" s="1430"/>
      <c r="BR45" s="1430"/>
      <c r="BS45" s="1430"/>
      <c r="BT45" s="1434" t="e">
        <f>IF(BT46&gt;0,BT46*((1/BT46)-(1/6)),"")</f>
        <v>#VALUE!</v>
      </c>
      <c r="BU45" s="1435">
        <f>$BM$15</f>
        <v>0</v>
      </c>
      <c r="BV45" s="1436">
        <f>$BN$15</f>
        <v>0</v>
      </c>
      <c r="BW45" s="1425"/>
      <c r="BX45" s="1425"/>
      <c r="BY45" s="1425"/>
      <c r="BZ45" s="1339"/>
    </row>
    <row r="46" spans="3:78" s="174" customFormat="1" ht="12.6" customHeight="1" thickBot="1">
      <c r="D46" s="199"/>
      <c r="E46" s="199"/>
      <c r="F46" s="199"/>
      <c r="G46" s="199"/>
      <c r="H46" s="199"/>
      <c r="I46" s="199"/>
      <c r="J46" s="199"/>
      <c r="K46" s="199"/>
      <c r="L46" s="199"/>
      <c r="M46" s="199"/>
      <c r="N46" s="199"/>
      <c r="O46" s="199"/>
      <c r="P46" s="199"/>
      <c r="Q46" s="199"/>
      <c r="S46" s="569"/>
      <c r="T46" s="2600">
        <f>IF(UWert!F35&lt;&gt;"",BL45,)</f>
        <v>0</v>
      </c>
      <c r="U46" s="2601"/>
      <c r="V46" s="2600">
        <f>BM45</f>
        <v>0</v>
      </c>
      <c r="W46" s="2601"/>
      <c r="X46" s="2603">
        <f>BN45</f>
        <v>0</v>
      </c>
      <c r="Y46" s="2601"/>
      <c r="Z46" s="1338"/>
      <c r="AA46" s="1449"/>
      <c r="AB46" s="1449"/>
      <c r="AC46" s="1451">
        <f>UWert!$F39/100</f>
        <v>0</v>
      </c>
      <c r="AD46" s="1449">
        <f t="shared" ref="AD46:AD53" si="38">AD45+AC45</f>
        <v>0.1</v>
      </c>
      <c r="AE46" s="1451" t="e">
        <f t="shared" si="28"/>
        <v>#DIV/0!</v>
      </c>
      <c r="AF46" s="1449" t="s">
        <v>2324</v>
      </c>
      <c r="AG46" s="1451" t="e">
        <f>UWert!$H38/(SUM(UWert!$H$37:$H$46))</f>
        <v>#DIV/0!</v>
      </c>
      <c r="AH46" s="1450" t="e">
        <f t="shared" ref="AH46:AH53" si="39">IF(AE46&gt;0,1.40574*POWER(10,10)*EXP(-3928.5/(AE46+231.667)),3.61633*POWER(10,12)*EXP(-6150.6/(AE46+273.33)))</f>
        <v>#DIV/0!</v>
      </c>
      <c r="AI46" s="1468">
        <f>INDEX(Bauteile!$I$57:$I$1152,UWert!BA39)*(AC46/0.72)</f>
        <v>0</v>
      </c>
      <c r="AJ46" s="1451" t="e">
        <f>AI46/SUM(AI44:AI53)</f>
        <v>#DIV/0!</v>
      </c>
      <c r="AK46" s="1450" t="e">
        <f t="shared" si="30"/>
        <v>#DIV/0!</v>
      </c>
      <c r="AL46" s="1451" t="e">
        <f t="shared" si="31"/>
        <v>#DIV/0!</v>
      </c>
      <c r="AM46" s="1449" t="s">
        <v>2324</v>
      </c>
      <c r="AN46" s="1451" t="e">
        <f t="shared" si="32"/>
        <v>#DIV/0!</v>
      </c>
      <c r="AO46" s="1449" t="s">
        <v>2324</v>
      </c>
      <c r="AP46" s="1451" t="e">
        <f t="shared" si="33"/>
        <v>#DIV/0!</v>
      </c>
      <c r="AQ46" s="1449" t="s">
        <v>2324</v>
      </c>
      <c r="AR46" s="1449"/>
      <c r="AS46" s="1449"/>
      <c r="AT46" s="1449"/>
      <c r="AU46" s="1451">
        <f>UWert!$N39/100</f>
        <v>0</v>
      </c>
      <c r="AV46" s="1451">
        <f>AV45+AU45</f>
        <v>0.1</v>
      </c>
      <c r="AW46" s="1451" t="e">
        <f t="shared" si="29"/>
        <v>#DIV/0!</v>
      </c>
      <c r="AX46" s="1449" t="s">
        <v>2324</v>
      </c>
      <c r="AY46" s="1451" t="e">
        <f>UWert!$P38/(SUM(UWert!$P$37:$P$46))</f>
        <v>#DIV/0!</v>
      </c>
      <c r="AZ46" s="1450" t="e">
        <f t="shared" ref="AZ46:AZ53" si="40">IF(AW46&gt;0,1.40574*POWER(10,10)*EXP(-3928.5/(AW46+231.667)),3.61633*POWER(10,12)*EXP(-6150.6/(AW46+273.33)))</f>
        <v>#DIV/0!</v>
      </c>
      <c r="BA46" s="1451">
        <f>INDEX(Bauteile!$I$57:$I$1152,UWert!BB39)*(AU46)*(1/0.72)</f>
        <v>0</v>
      </c>
      <c r="BB46" s="1451" t="e">
        <f>BA46/SUM(BA44:BA53)</f>
        <v>#DIV/0!</v>
      </c>
      <c r="BC46" s="1450" t="e">
        <f t="shared" si="34"/>
        <v>#DIV/0!</v>
      </c>
      <c r="BD46" s="1451" t="e">
        <f t="shared" si="35"/>
        <v>#DIV/0!</v>
      </c>
      <c r="BE46" s="1449" t="s">
        <v>2324</v>
      </c>
      <c r="BF46" s="1451" t="e">
        <f t="shared" si="36"/>
        <v>#DIV/0!</v>
      </c>
      <c r="BG46" s="1449" t="s">
        <v>2324</v>
      </c>
      <c r="BH46" s="1451" t="e">
        <f t="shared" si="37"/>
        <v>#DIV/0!</v>
      </c>
      <c r="BI46" s="1449" t="s">
        <v>2324</v>
      </c>
      <c r="BJ46" s="1425"/>
      <c r="BK46" s="1437"/>
      <c r="BL46" s="1438" t="e">
        <f>IF(UWert!F35&gt;0,1/((1/UWert!F35)-(1/8)+(1/6)),)</f>
        <v>#VALUE!</v>
      </c>
      <c r="BM46" s="1439" t="e">
        <f>IF(BL45&gt;BM45,"","Problem !!!")</f>
        <v>#VALUE!</v>
      </c>
      <c r="BN46" s="1440" t="e">
        <f>IF(BL45&gt;BN45,"","Problem !!!")</f>
        <v>#VALUE!</v>
      </c>
      <c r="BO46" s="1437"/>
      <c r="BP46" s="1437"/>
      <c r="BQ46" s="1437"/>
      <c r="BR46" s="1437"/>
      <c r="BS46" s="1437"/>
      <c r="BT46" s="1438" t="e">
        <f>IF(UWert!N35&gt;0,1/((1/UWert!N35)-(1/8)+(1/6)),)</f>
        <v>#VALUE!</v>
      </c>
      <c r="BU46" s="1439" t="e">
        <f>IF(BT45&gt;BU45,"","Problem !!!")</f>
        <v>#VALUE!</v>
      </c>
      <c r="BV46" s="1440" t="e">
        <f>IF(BT45&gt;BV45,"","Problem !!!")</f>
        <v>#VALUE!</v>
      </c>
      <c r="BW46" s="1425"/>
      <c r="BX46" s="1425"/>
      <c r="BY46" s="1425"/>
      <c r="BZ46" s="1339"/>
    </row>
    <row r="47" spans="3:78" s="174" customFormat="1" ht="12.6" customHeight="1">
      <c r="D47" s="199"/>
      <c r="E47" s="199"/>
      <c r="F47" s="199"/>
      <c r="G47" s="199"/>
      <c r="H47" s="199"/>
      <c r="I47" s="199"/>
      <c r="J47" s="199"/>
      <c r="K47" s="199"/>
      <c r="L47" s="199"/>
      <c r="M47" s="199"/>
      <c r="N47" s="199"/>
      <c r="O47" s="199"/>
      <c r="P47" s="199"/>
      <c r="Q47" s="199"/>
      <c r="S47" s="569"/>
      <c r="T47" s="615"/>
      <c r="U47" s="616"/>
      <c r="V47" s="2594">
        <f>IF(UWert!F35&lt;&gt;"",BM46,)</f>
        <v>0</v>
      </c>
      <c r="W47" s="2595"/>
      <c r="X47" s="2594">
        <f>IF(UWert!F35&lt;&gt;"",BN46,)</f>
        <v>0</v>
      </c>
      <c r="Y47" s="2595"/>
      <c r="Z47" s="1338"/>
      <c r="AA47" s="1449"/>
      <c r="AB47" s="1449"/>
      <c r="AC47" s="1451">
        <f>UWert!$F40/100</f>
        <v>0</v>
      </c>
      <c r="AD47" s="1449">
        <f t="shared" si="38"/>
        <v>0.1</v>
      </c>
      <c r="AE47" s="1451" t="e">
        <f t="shared" si="28"/>
        <v>#DIV/0!</v>
      </c>
      <c r="AF47" s="1449" t="s">
        <v>2324</v>
      </c>
      <c r="AG47" s="1451" t="e">
        <f>UWert!$H39/(SUM(UWert!$H$37:$H$46))</f>
        <v>#DIV/0!</v>
      </c>
      <c r="AH47" s="1450" t="e">
        <f t="shared" si="39"/>
        <v>#DIV/0!</v>
      </c>
      <c r="AI47" s="1468">
        <f>INDEX(Bauteile!$I$57:$I$1152,UWert!BA40)*(AC47/0.72)</f>
        <v>0</v>
      </c>
      <c r="AJ47" s="1451" t="e">
        <f>AI47/SUM(AI44:AI53)</f>
        <v>#DIV/0!</v>
      </c>
      <c r="AK47" s="1450" t="e">
        <f t="shared" si="30"/>
        <v>#DIV/0!</v>
      </c>
      <c r="AL47" s="1451" t="e">
        <f t="shared" si="31"/>
        <v>#DIV/0!</v>
      </c>
      <c r="AM47" s="1449" t="s">
        <v>2324</v>
      </c>
      <c r="AN47" s="1451" t="e">
        <f t="shared" si="32"/>
        <v>#DIV/0!</v>
      </c>
      <c r="AO47" s="1449" t="s">
        <v>2324</v>
      </c>
      <c r="AP47" s="1451" t="e">
        <f t="shared" si="33"/>
        <v>#DIV/0!</v>
      </c>
      <c r="AQ47" s="1449" t="s">
        <v>2324</v>
      </c>
      <c r="AR47" s="1449"/>
      <c r="AS47" s="1449"/>
      <c r="AT47" s="1449"/>
      <c r="AU47" s="1451">
        <f>UWert!$N40/100</f>
        <v>0</v>
      </c>
      <c r="AV47" s="1449">
        <f t="shared" ref="AV47:AV53" si="41">AV46+AU46</f>
        <v>0.1</v>
      </c>
      <c r="AW47" s="1451" t="e">
        <f t="shared" si="29"/>
        <v>#DIV/0!</v>
      </c>
      <c r="AX47" s="1449" t="s">
        <v>2324</v>
      </c>
      <c r="AY47" s="1451" t="e">
        <f>UWert!$P39/(SUM(UWert!$P$37:$P$46))</f>
        <v>#DIV/0!</v>
      </c>
      <c r="AZ47" s="1450" t="e">
        <f t="shared" si="40"/>
        <v>#DIV/0!</v>
      </c>
      <c r="BA47" s="1451">
        <f>INDEX(Bauteile!$I$57:$I$1152,UWert!BB40)*(AU47)*(1/0.72)</f>
        <v>0</v>
      </c>
      <c r="BB47" s="1451" t="e">
        <f>BA47/SUM(BA44:BA53)</f>
        <v>#DIV/0!</v>
      </c>
      <c r="BC47" s="1450" t="e">
        <f t="shared" si="34"/>
        <v>#DIV/0!</v>
      </c>
      <c r="BD47" s="1451" t="e">
        <f t="shared" si="35"/>
        <v>#DIV/0!</v>
      </c>
      <c r="BE47" s="1449" t="s">
        <v>2324</v>
      </c>
      <c r="BF47" s="1451" t="e">
        <f t="shared" si="36"/>
        <v>#DIV/0!</v>
      </c>
      <c r="BG47" s="1449" t="s">
        <v>2324</v>
      </c>
      <c r="BH47" s="1451" t="e">
        <f t="shared" si="37"/>
        <v>#DIV/0!</v>
      </c>
      <c r="BI47" s="1449" t="s">
        <v>2324</v>
      </c>
      <c r="BJ47" s="1425"/>
      <c r="BK47" s="1425"/>
      <c r="BL47" s="1425"/>
      <c r="BM47" s="1425"/>
      <c r="BN47" s="1425"/>
      <c r="BO47" s="1425"/>
      <c r="BP47" s="1425"/>
      <c r="BQ47" s="1425"/>
      <c r="BR47" s="1425"/>
      <c r="BS47" s="1425"/>
      <c r="BT47" s="1425"/>
      <c r="BU47" s="1425"/>
      <c r="BV47" s="1425"/>
      <c r="BW47" s="1425"/>
      <c r="BX47" s="1425"/>
      <c r="BY47" s="1425"/>
      <c r="BZ47" s="1339"/>
    </row>
    <row r="48" spans="3:78" s="174" customFormat="1" ht="12.6" customHeight="1">
      <c r="D48" s="199"/>
      <c r="E48" s="199"/>
      <c r="F48" s="199"/>
      <c r="G48" s="199"/>
      <c r="H48" s="199"/>
      <c r="I48" s="199"/>
      <c r="J48" s="199"/>
      <c r="K48" s="199"/>
      <c r="L48" s="199"/>
      <c r="M48" s="199"/>
      <c r="N48" s="199"/>
      <c r="O48" s="199"/>
      <c r="P48" s="199"/>
      <c r="Q48" s="199"/>
      <c r="S48" s="569"/>
      <c r="T48" s="2605"/>
      <c r="U48" s="2605"/>
      <c r="V48" s="565"/>
      <c r="W48" s="2605"/>
      <c r="X48" s="2605"/>
      <c r="Y48" s="199"/>
      <c r="Z48" s="1338"/>
      <c r="AA48" s="1449"/>
      <c r="AB48" s="1449"/>
      <c r="AC48" s="1451">
        <f>UWert!$F41/100</f>
        <v>0</v>
      </c>
      <c r="AD48" s="1451">
        <f>AD47+AC47</f>
        <v>0.1</v>
      </c>
      <c r="AE48" s="1451" t="e">
        <f t="shared" si="28"/>
        <v>#DIV/0!</v>
      </c>
      <c r="AF48" s="1449" t="s">
        <v>2324</v>
      </c>
      <c r="AG48" s="1451" t="e">
        <f>UWert!$H40/(SUM(UWert!$H$37:$H$46))</f>
        <v>#DIV/0!</v>
      </c>
      <c r="AH48" s="1450" t="e">
        <f t="shared" si="39"/>
        <v>#DIV/0!</v>
      </c>
      <c r="AI48" s="1468">
        <f>INDEX(Bauteile!$I$57:$I$1152,UWert!BA41)*(AC48/0.72)</f>
        <v>0</v>
      </c>
      <c r="AJ48" s="1451" t="e">
        <f>AI48/SUM(AI44:AI53)</f>
        <v>#DIV/0!</v>
      </c>
      <c r="AK48" s="1450" t="e">
        <f t="shared" si="30"/>
        <v>#DIV/0!</v>
      </c>
      <c r="AL48" s="1451" t="e">
        <f t="shared" si="31"/>
        <v>#DIV/0!</v>
      </c>
      <c r="AM48" s="1449" t="s">
        <v>2324</v>
      </c>
      <c r="AN48" s="1451" t="e">
        <f t="shared" si="32"/>
        <v>#DIV/0!</v>
      </c>
      <c r="AO48" s="1449" t="s">
        <v>2324</v>
      </c>
      <c r="AP48" s="1451" t="e">
        <f t="shared" si="33"/>
        <v>#DIV/0!</v>
      </c>
      <c r="AQ48" s="1449" t="s">
        <v>2324</v>
      </c>
      <c r="AR48" s="1449"/>
      <c r="AS48" s="1449"/>
      <c r="AT48" s="1449"/>
      <c r="AU48" s="1451">
        <f>UWert!$N41/100</f>
        <v>0</v>
      </c>
      <c r="AV48" s="1449">
        <f t="shared" si="41"/>
        <v>0.1</v>
      </c>
      <c r="AW48" s="1451" t="e">
        <f t="shared" si="29"/>
        <v>#DIV/0!</v>
      </c>
      <c r="AX48" s="1449" t="s">
        <v>2324</v>
      </c>
      <c r="AY48" s="1451" t="e">
        <f>UWert!$P40/(SUM(UWert!$P$37:$P$46))</f>
        <v>#DIV/0!</v>
      </c>
      <c r="AZ48" s="1450" t="e">
        <f t="shared" si="40"/>
        <v>#DIV/0!</v>
      </c>
      <c r="BA48" s="1451">
        <f>INDEX(Bauteile!$I$57:$I$1152,UWert!BB41)*(AU48)*(1/0.72)</f>
        <v>0</v>
      </c>
      <c r="BB48" s="1451" t="e">
        <f>BA48/SUM(BA44:BA53)</f>
        <v>#DIV/0!</v>
      </c>
      <c r="BC48" s="1450" t="e">
        <f t="shared" si="34"/>
        <v>#DIV/0!</v>
      </c>
      <c r="BD48" s="1451" t="e">
        <f t="shared" si="35"/>
        <v>#DIV/0!</v>
      </c>
      <c r="BE48" s="1449" t="s">
        <v>2324</v>
      </c>
      <c r="BF48" s="1451" t="e">
        <f t="shared" si="36"/>
        <v>#DIV/0!</v>
      </c>
      <c r="BG48" s="1449" t="s">
        <v>2324</v>
      </c>
      <c r="BH48" s="1451" t="e">
        <f t="shared" si="37"/>
        <v>#DIV/0!</v>
      </c>
      <c r="BI48" s="1449" t="s">
        <v>2324</v>
      </c>
      <c r="BJ48" s="1425"/>
      <c r="BK48" s="1425"/>
      <c r="BL48" s="1425"/>
      <c r="BM48" s="1425"/>
      <c r="BN48" s="1425"/>
      <c r="BO48" s="1425"/>
      <c r="BP48" s="1425"/>
      <c r="BQ48" s="1425"/>
      <c r="BR48" s="1425"/>
      <c r="BS48" s="1425"/>
      <c r="BT48" s="1425"/>
      <c r="BU48" s="1425"/>
      <c r="BV48" s="1425"/>
      <c r="BW48" s="1425"/>
      <c r="BX48" s="1425"/>
      <c r="BY48" s="1425"/>
      <c r="BZ48" s="1339"/>
    </row>
    <row r="49" spans="3:78" s="174" customFormat="1" ht="12.6" customHeight="1">
      <c r="D49" s="199"/>
      <c r="E49" s="199"/>
      <c r="F49" s="199"/>
      <c r="G49" s="199"/>
      <c r="H49" s="199"/>
      <c r="I49" s="199"/>
      <c r="J49" s="199"/>
      <c r="K49" s="199"/>
      <c r="L49" s="199"/>
      <c r="M49" s="199"/>
      <c r="N49" s="199"/>
      <c r="O49" s="199"/>
      <c r="P49" s="199"/>
      <c r="Q49" s="199"/>
      <c r="S49" s="569"/>
      <c r="T49" s="568">
        <v>6</v>
      </c>
      <c r="U49" s="488">
        <f>UWert!K35</f>
        <v>0</v>
      </c>
      <c r="V49" s="573"/>
      <c r="W49" s="488"/>
      <c r="X49" s="573"/>
      <c r="Y49" s="567"/>
      <c r="Z49" s="1338"/>
      <c r="AA49" s="1449"/>
      <c r="AB49" s="1449"/>
      <c r="AC49" s="1451">
        <f>UWert!$F42/100</f>
        <v>0</v>
      </c>
      <c r="AD49" s="1449">
        <f t="shared" si="38"/>
        <v>0.1</v>
      </c>
      <c r="AE49" s="1451" t="e">
        <f t="shared" si="28"/>
        <v>#DIV/0!</v>
      </c>
      <c r="AF49" s="1449" t="s">
        <v>2324</v>
      </c>
      <c r="AG49" s="1451" t="e">
        <f>UWert!$H41/(SUM(UWert!$H$37:$H$46))</f>
        <v>#DIV/0!</v>
      </c>
      <c r="AH49" s="1450" t="e">
        <f t="shared" si="39"/>
        <v>#DIV/0!</v>
      </c>
      <c r="AI49" s="1468">
        <f>INDEX(Bauteile!$I$57:$I$1152,UWert!BA42)*(AC49/0.72)</f>
        <v>0</v>
      </c>
      <c r="AJ49" s="1451" t="e">
        <f>AI49/SUM(AI44:AI53)</f>
        <v>#DIV/0!</v>
      </c>
      <c r="AK49" s="1450" t="e">
        <f t="shared" si="30"/>
        <v>#DIV/0!</v>
      </c>
      <c r="AL49" s="1451" t="e">
        <f t="shared" si="31"/>
        <v>#DIV/0!</v>
      </c>
      <c r="AM49" s="1449" t="s">
        <v>2324</v>
      </c>
      <c r="AN49" s="1451" t="e">
        <f t="shared" si="32"/>
        <v>#DIV/0!</v>
      </c>
      <c r="AO49" s="1449" t="s">
        <v>2324</v>
      </c>
      <c r="AP49" s="1451" t="e">
        <f t="shared" si="33"/>
        <v>#DIV/0!</v>
      </c>
      <c r="AQ49" s="1449" t="s">
        <v>2324</v>
      </c>
      <c r="AR49" s="1449"/>
      <c r="AS49" s="1449"/>
      <c r="AT49" s="1449"/>
      <c r="AU49" s="1451">
        <f>UWert!$N42/100</f>
        <v>0</v>
      </c>
      <c r="AV49" s="1449">
        <f t="shared" si="41"/>
        <v>0.1</v>
      </c>
      <c r="AW49" s="1451" t="e">
        <f t="shared" si="29"/>
        <v>#DIV/0!</v>
      </c>
      <c r="AX49" s="1449" t="s">
        <v>2324</v>
      </c>
      <c r="AY49" s="1451" t="e">
        <f>UWert!$P41/(SUM(UWert!$P$37:$P$46))</f>
        <v>#DIV/0!</v>
      </c>
      <c r="AZ49" s="1450" t="e">
        <f t="shared" si="40"/>
        <v>#DIV/0!</v>
      </c>
      <c r="BA49" s="1451">
        <f>INDEX(Bauteile!$I$57:$I$1152,UWert!BB42)*(AU49)*(1/0.72)</f>
        <v>0</v>
      </c>
      <c r="BB49" s="1451" t="e">
        <f>BA49/SUM(BA44:BA53)</f>
        <v>#DIV/0!</v>
      </c>
      <c r="BC49" s="1450" t="e">
        <f t="shared" si="34"/>
        <v>#DIV/0!</v>
      </c>
      <c r="BD49" s="1451" t="e">
        <f t="shared" si="35"/>
        <v>#DIV/0!</v>
      </c>
      <c r="BE49" s="1449" t="s">
        <v>2324</v>
      </c>
      <c r="BF49" s="1451" t="e">
        <f t="shared" si="36"/>
        <v>#DIV/0!</v>
      </c>
      <c r="BG49" s="1449" t="s">
        <v>2324</v>
      </c>
      <c r="BH49" s="1451" t="e">
        <f t="shared" si="37"/>
        <v>#DIV/0!</v>
      </c>
      <c r="BI49" s="1449" t="s">
        <v>2324</v>
      </c>
      <c r="BJ49" s="1425"/>
      <c r="BK49" s="1425"/>
      <c r="BL49" s="1425"/>
      <c r="BM49" s="1425"/>
      <c r="BN49" s="1425"/>
      <c r="BO49" s="1425"/>
      <c r="BP49" s="1425"/>
      <c r="BQ49" s="1425"/>
      <c r="BR49" s="1425"/>
      <c r="BS49" s="1425"/>
      <c r="BT49" s="1425"/>
      <c r="BU49" s="1425"/>
      <c r="BV49" s="1425"/>
      <c r="BW49" s="1425"/>
      <c r="BX49" s="1425"/>
      <c r="BY49" s="1425"/>
      <c r="BZ49" s="1339"/>
    </row>
    <row r="50" spans="3:78" s="174" customFormat="1" ht="12.6" customHeight="1">
      <c r="D50" s="199"/>
      <c r="E50" s="199"/>
      <c r="F50" s="199"/>
      <c r="G50" s="199"/>
      <c r="H50" s="199"/>
      <c r="I50" s="199"/>
      <c r="J50" s="199"/>
      <c r="K50" s="199"/>
      <c r="L50" s="199"/>
      <c r="M50" s="199"/>
      <c r="N50" s="199"/>
      <c r="O50" s="199"/>
      <c r="P50" s="199"/>
      <c r="Q50" s="199"/>
      <c r="S50" s="569"/>
      <c r="T50" s="2592" t="str">
        <f>T43</f>
        <v>valeur qui est</v>
      </c>
      <c r="U50" s="2593"/>
      <c r="V50" s="2596" t="str">
        <f>V43</f>
        <v>valeur limite</v>
      </c>
      <c r="W50" s="2597"/>
      <c r="X50" s="2596" t="str">
        <f>X43</f>
        <v>valeur limite</v>
      </c>
      <c r="Y50" s="2597"/>
      <c r="Z50" s="1338"/>
      <c r="AA50" s="1449"/>
      <c r="AB50" s="1449"/>
      <c r="AC50" s="1451">
        <f>UWert!$F43/100</f>
        <v>0</v>
      </c>
      <c r="AD50" s="1449">
        <f t="shared" si="38"/>
        <v>0.1</v>
      </c>
      <c r="AE50" s="1451" t="e">
        <f t="shared" si="28"/>
        <v>#DIV/0!</v>
      </c>
      <c r="AF50" s="1449" t="s">
        <v>2324</v>
      </c>
      <c r="AG50" s="1451" t="e">
        <f>UWert!$H42/(SUM(UWert!$H$37:$H$46))</f>
        <v>#DIV/0!</v>
      </c>
      <c r="AH50" s="1450" t="e">
        <f t="shared" si="39"/>
        <v>#DIV/0!</v>
      </c>
      <c r="AI50" s="1468">
        <f>INDEX(Bauteile!$I$57:$I$1152,UWert!BA43)*(AC50/0.72)</f>
        <v>0</v>
      </c>
      <c r="AJ50" s="1451" t="e">
        <f>AI50/SUM(AI44:AI53)</f>
        <v>#DIV/0!</v>
      </c>
      <c r="AK50" s="1450" t="e">
        <f t="shared" si="30"/>
        <v>#DIV/0!</v>
      </c>
      <c r="AL50" s="1451" t="e">
        <f t="shared" si="31"/>
        <v>#DIV/0!</v>
      </c>
      <c r="AM50" s="1449" t="s">
        <v>2324</v>
      </c>
      <c r="AN50" s="1451" t="e">
        <f t="shared" si="32"/>
        <v>#DIV/0!</v>
      </c>
      <c r="AO50" s="1449" t="s">
        <v>2324</v>
      </c>
      <c r="AP50" s="1451" t="e">
        <f t="shared" si="33"/>
        <v>#DIV/0!</v>
      </c>
      <c r="AQ50" s="1449" t="s">
        <v>2324</v>
      </c>
      <c r="AR50" s="1449"/>
      <c r="AS50" s="1449"/>
      <c r="AT50" s="1449"/>
      <c r="AU50" s="1451">
        <f>UWert!$N43/100</f>
        <v>0</v>
      </c>
      <c r="AV50" s="1449">
        <f t="shared" si="41"/>
        <v>0.1</v>
      </c>
      <c r="AW50" s="1451" t="e">
        <f t="shared" si="29"/>
        <v>#DIV/0!</v>
      </c>
      <c r="AX50" s="1449" t="s">
        <v>2324</v>
      </c>
      <c r="AY50" s="1451" t="e">
        <f>UWert!$P42/(SUM(UWert!$P$37:$P$46))</f>
        <v>#DIV/0!</v>
      </c>
      <c r="AZ50" s="1450" t="e">
        <f t="shared" si="40"/>
        <v>#DIV/0!</v>
      </c>
      <c r="BA50" s="1451">
        <f>INDEX(Bauteile!$I$57:$I$1152,UWert!BB43)*(AU50)*(1/0.72)</f>
        <v>0</v>
      </c>
      <c r="BB50" s="1451" t="e">
        <f>BA50/SUM(BA44:BA53)</f>
        <v>#DIV/0!</v>
      </c>
      <c r="BC50" s="1450" t="e">
        <f t="shared" si="34"/>
        <v>#DIV/0!</v>
      </c>
      <c r="BD50" s="1451" t="e">
        <f t="shared" si="35"/>
        <v>#DIV/0!</v>
      </c>
      <c r="BE50" s="1449" t="s">
        <v>2324</v>
      </c>
      <c r="BF50" s="1451" t="e">
        <f t="shared" si="36"/>
        <v>#DIV/0!</v>
      </c>
      <c r="BG50" s="1449" t="s">
        <v>2324</v>
      </c>
      <c r="BH50" s="1451" t="e">
        <f t="shared" si="37"/>
        <v>#DIV/0!</v>
      </c>
      <c r="BI50" s="1449" t="s">
        <v>2324</v>
      </c>
      <c r="BJ50" s="1425"/>
      <c r="BK50" s="1425"/>
      <c r="BL50" s="1425"/>
      <c r="BM50" s="1425"/>
      <c r="BN50" s="1425"/>
      <c r="BO50" s="1425"/>
      <c r="BP50" s="1425"/>
      <c r="BQ50" s="1425"/>
      <c r="BR50" s="1425"/>
      <c r="BS50" s="1425"/>
      <c r="BT50" s="1425"/>
      <c r="BU50" s="1425"/>
      <c r="BV50" s="1425"/>
      <c r="BW50" s="1425"/>
      <c r="BX50" s="1425"/>
      <c r="BY50" s="1425"/>
      <c r="BZ50" s="1339"/>
    </row>
    <row r="51" spans="3:78" s="174" customFormat="1" ht="12.6" customHeight="1">
      <c r="D51" s="199"/>
      <c r="E51" s="199"/>
      <c r="F51" s="199"/>
      <c r="G51" s="199"/>
      <c r="H51" s="199"/>
      <c r="I51" s="199"/>
      <c r="J51" s="199"/>
      <c r="K51" s="199"/>
      <c r="L51" s="199"/>
      <c r="M51" s="199"/>
      <c r="N51" s="199"/>
      <c r="O51" s="199"/>
      <c r="P51" s="199"/>
      <c r="Q51" s="199"/>
      <c r="S51" s="569"/>
      <c r="T51" s="2596"/>
      <c r="U51" s="2607"/>
      <c r="V51" s="2596" t="str">
        <f>V44</f>
        <v>condens.</v>
      </c>
      <c r="W51" s="2597"/>
      <c r="X51" s="2596" t="str">
        <f>X44</f>
        <v>penicillium</v>
      </c>
      <c r="Y51" s="2604"/>
      <c r="Z51" s="1338"/>
      <c r="AA51" s="1449"/>
      <c r="AB51" s="1449"/>
      <c r="AC51" s="1451">
        <f>UWert!$F44/100</f>
        <v>0</v>
      </c>
      <c r="AD51" s="1449">
        <f t="shared" si="38"/>
        <v>0.1</v>
      </c>
      <c r="AE51" s="1451" t="e">
        <f t="shared" si="28"/>
        <v>#DIV/0!</v>
      </c>
      <c r="AF51" s="1449" t="s">
        <v>2324</v>
      </c>
      <c r="AG51" s="1451" t="e">
        <f>UWert!$H43/(SUM(UWert!$H$37:$H$46))</f>
        <v>#DIV/0!</v>
      </c>
      <c r="AH51" s="1450" t="e">
        <f t="shared" si="39"/>
        <v>#DIV/0!</v>
      </c>
      <c r="AI51" s="1468">
        <f>INDEX(Bauteile!$I$57:$I$1152,UWert!BA44)*(AC51/0.72)</f>
        <v>0</v>
      </c>
      <c r="AJ51" s="1451" t="e">
        <f>AI51/SUM(AI44:AI53)</f>
        <v>#DIV/0!</v>
      </c>
      <c r="AK51" s="1450" t="e">
        <f t="shared" si="30"/>
        <v>#DIV/0!</v>
      </c>
      <c r="AL51" s="1451" t="e">
        <f t="shared" si="31"/>
        <v>#DIV/0!</v>
      </c>
      <c r="AM51" s="1449" t="s">
        <v>2324</v>
      </c>
      <c r="AN51" s="1451" t="e">
        <f t="shared" si="32"/>
        <v>#DIV/0!</v>
      </c>
      <c r="AO51" s="1449" t="s">
        <v>2324</v>
      </c>
      <c r="AP51" s="1451" t="e">
        <f t="shared" si="33"/>
        <v>#DIV/0!</v>
      </c>
      <c r="AQ51" s="1449" t="s">
        <v>2324</v>
      </c>
      <c r="AR51" s="1449"/>
      <c r="AS51" s="1449"/>
      <c r="AT51" s="1449"/>
      <c r="AU51" s="1451">
        <f>UWert!$N44/100</f>
        <v>0</v>
      </c>
      <c r="AV51" s="1449">
        <f t="shared" si="41"/>
        <v>0.1</v>
      </c>
      <c r="AW51" s="1451" t="e">
        <f t="shared" si="29"/>
        <v>#DIV/0!</v>
      </c>
      <c r="AX51" s="1449" t="s">
        <v>2324</v>
      </c>
      <c r="AY51" s="1451" t="e">
        <f>UWert!$P43/(SUM(UWert!$P$37:$P$46))</f>
        <v>#DIV/0!</v>
      </c>
      <c r="AZ51" s="1450" t="e">
        <f t="shared" si="40"/>
        <v>#DIV/0!</v>
      </c>
      <c r="BA51" s="1451">
        <f>INDEX(Bauteile!$I$57:$I$1152,UWert!BB44)*(AU51)*(1/0.72)</f>
        <v>0</v>
      </c>
      <c r="BB51" s="1451" t="e">
        <f>BA51/SUM(BA44:BA53)</f>
        <v>#DIV/0!</v>
      </c>
      <c r="BC51" s="1450" t="e">
        <f t="shared" si="34"/>
        <v>#DIV/0!</v>
      </c>
      <c r="BD51" s="1451" t="e">
        <f t="shared" si="35"/>
        <v>#DIV/0!</v>
      </c>
      <c r="BE51" s="1449" t="s">
        <v>2324</v>
      </c>
      <c r="BF51" s="1451" t="e">
        <f t="shared" si="36"/>
        <v>#DIV/0!</v>
      </c>
      <c r="BG51" s="1449" t="s">
        <v>2324</v>
      </c>
      <c r="BH51" s="1451" t="e">
        <f t="shared" si="37"/>
        <v>#DIV/0!</v>
      </c>
      <c r="BI51" s="1449" t="s">
        <v>2324</v>
      </c>
      <c r="BJ51" s="1425"/>
      <c r="BK51" s="1425"/>
      <c r="BL51" s="1425"/>
      <c r="BM51" s="1425"/>
      <c r="BN51" s="1425"/>
      <c r="BO51" s="1425"/>
      <c r="BP51" s="1425"/>
      <c r="BQ51" s="1425"/>
      <c r="BR51" s="1425"/>
      <c r="BS51" s="1425"/>
      <c r="BT51" s="1425"/>
      <c r="BU51" s="1425"/>
      <c r="BV51" s="1425"/>
      <c r="BW51" s="1425"/>
      <c r="BX51" s="1425"/>
      <c r="BY51" s="1425"/>
      <c r="BZ51" s="1339"/>
    </row>
    <row r="52" spans="3:78" s="174" customFormat="1" ht="12.6" customHeight="1">
      <c r="D52" s="199"/>
      <c r="E52" s="199"/>
      <c r="F52" s="199"/>
      <c r="G52" s="199"/>
      <c r="H52" s="199"/>
      <c r="I52" s="199"/>
      <c r="J52" s="199"/>
      <c r="K52" s="199"/>
      <c r="L52" s="199"/>
      <c r="M52" s="199"/>
      <c r="N52" s="199"/>
      <c r="O52" s="199"/>
      <c r="P52" s="199"/>
      <c r="Q52" s="199"/>
      <c r="S52" s="569"/>
      <c r="T52" s="2602" t="s">
        <v>274</v>
      </c>
      <c r="U52" s="2601"/>
      <c r="V52" s="2602" t="s">
        <v>273</v>
      </c>
      <c r="W52" s="2601"/>
      <c r="X52" s="2603" t="s">
        <v>276</v>
      </c>
      <c r="Y52" s="2601"/>
      <c r="Z52" s="1338"/>
      <c r="AA52" s="1449"/>
      <c r="AB52" s="1449"/>
      <c r="AC52" s="1451">
        <v>0.1</v>
      </c>
      <c r="AD52" s="1449">
        <f t="shared" si="38"/>
        <v>0.1</v>
      </c>
      <c r="AE52" s="1451" t="e">
        <f t="shared" si="28"/>
        <v>#DIV/0!</v>
      </c>
      <c r="AF52" s="1449" t="s">
        <v>2324</v>
      </c>
      <c r="AG52" s="1451" t="e">
        <f>UWert!$H44/(SUM(UWert!$H$37:$H$46))</f>
        <v>#DIV/0!</v>
      </c>
      <c r="AH52" s="1450" t="e">
        <f t="shared" si="39"/>
        <v>#DIV/0!</v>
      </c>
      <c r="AI52" s="1468">
        <f>0*AC52/0.72</f>
        <v>0</v>
      </c>
      <c r="AJ52" s="1451" t="e">
        <f>AI52/SUM(AI44:AI53)</f>
        <v>#DIV/0!</v>
      </c>
      <c r="AK52" s="1450" t="e">
        <f t="shared" si="30"/>
        <v>#DIV/0!</v>
      </c>
      <c r="AL52" s="1451" t="e">
        <f t="shared" si="31"/>
        <v>#DIV/0!</v>
      </c>
      <c r="AM52" s="1449" t="s">
        <v>2324</v>
      </c>
      <c r="AN52" s="1451" t="e">
        <f t="shared" si="32"/>
        <v>#DIV/0!</v>
      </c>
      <c r="AO52" s="1449" t="s">
        <v>2324</v>
      </c>
      <c r="AP52" s="1451" t="e">
        <f t="shared" si="33"/>
        <v>#DIV/0!</v>
      </c>
      <c r="AQ52" s="1449" t="s">
        <v>2324</v>
      </c>
      <c r="AR52" s="1449"/>
      <c r="AS52" s="1449"/>
      <c r="AT52" s="1449"/>
      <c r="AU52" s="1451">
        <v>0.1</v>
      </c>
      <c r="AV52" s="1449">
        <f t="shared" si="41"/>
        <v>0.1</v>
      </c>
      <c r="AW52" s="1451" t="e">
        <f t="shared" si="29"/>
        <v>#DIV/0!</v>
      </c>
      <c r="AX52" s="1449" t="s">
        <v>2324</v>
      </c>
      <c r="AY52" s="1451" t="e">
        <f>UWert!$P44/(SUM(UWert!$P$37:$P$46))</f>
        <v>#DIV/0!</v>
      </c>
      <c r="AZ52" s="1450" t="e">
        <f t="shared" si="40"/>
        <v>#DIV/0!</v>
      </c>
      <c r="BA52" s="1451">
        <f>0*(AU52)*(1/0.72)</f>
        <v>0</v>
      </c>
      <c r="BB52" s="1451" t="e">
        <f>BA52/SUM(BA44:BA53)</f>
        <v>#DIV/0!</v>
      </c>
      <c r="BC52" s="1450" t="e">
        <f t="shared" si="34"/>
        <v>#DIV/0!</v>
      </c>
      <c r="BD52" s="1451" t="e">
        <f t="shared" si="35"/>
        <v>#DIV/0!</v>
      </c>
      <c r="BE52" s="1449" t="s">
        <v>2324</v>
      </c>
      <c r="BF52" s="1451" t="e">
        <f t="shared" si="36"/>
        <v>#DIV/0!</v>
      </c>
      <c r="BG52" s="1449" t="s">
        <v>2324</v>
      </c>
      <c r="BH52" s="1451" t="e">
        <f t="shared" si="37"/>
        <v>#DIV/0!</v>
      </c>
      <c r="BI52" s="1449" t="s">
        <v>2324</v>
      </c>
      <c r="BJ52" s="1425"/>
      <c r="BK52" s="1425"/>
      <c r="BL52" s="1425"/>
      <c r="BM52" s="1425"/>
      <c r="BN52" s="1425"/>
      <c r="BO52" s="1425"/>
      <c r="BP52" s="1425"/>
      <c r="BQ52" s="1425"/>
      <c r="BR52" s="1425"/>
      <c r="BS52" s="1425"/>
      <c r="BT52" s="1425"/>
      <c r="BU52" s="1425"/>
      <c r="BV52" s="1425"/>
      <c r="BW52" s="1425"/>
      <c r="BX52" s="1425"/>
      <c r="BY52" s="1425"/>
      <c r="BZ52" s="1339"/>
    </row>
    <row r="53" spans="3:78" s="174" customFormat="1" ht="12.6" customHeight="1">
      <c r="D53" s="199"/>
      <c r="E53" s="199"/>
      <c r="F53" s="199"/>
      <c r="G53" s="199"/>
      <c r="H53" s="199"/>
      <c r="I53" s="199"/>
      <c r="J53" s="199"/>
      <c r="K53" s="199"/>
      <c r="L53" s="199"/>
      <c r="M53" s="199"/>
      <c r="N53" s="199"/>
      <c r="O53" s="199"/>
      <c r="P53" s="199"/>
      <c r="Q53" s="199"/>
      <c r="S53" s="569"/>
      <c r="T53" s="2600">
        <f>IF(UWert!N35&lt;&gt;"",BT45,)</f>
        <v>0</v>
      </c>
      <c r="U53" s="2601"/>
      <c r="V53" s="2600">
        <f>BU45</f>
        <v>0</v>
      </c>
      <c r="W53" s="2601"/>
      <c r="X53" s="2603">
        <f>BV45</f>
        <v>0</v>
      </c>
      <c r="Y53" s="2601"/>
      <c r="Z53" s="1338"/>
      <c r="AA53" s="1449"/>
      <c r="AB53" s="1449"/>
      <c r="AC53" s="1449"/>
      <c r="AD53" s="1449">
        <f t="shared" si="38"/>
        <v>0.2</v>
      </c>
      <c r="AE53" s="1450">
        <f>Ta_feuchte</f>
        <v>20</v>
      </c>
      <c r="AF53" s="1449" t="s">
        <v>2324</v>
      </c>
      <c r="AG53" s="1451" t="e">
        <f>SUM(UWert!$H45:$H46)/(SUM(UWert!$H$37:$H$46))</f>
        <v>#DIV/0!</v>
      </c>
      <c r="AH53" s="1450">
        <f t="shared" si="39"/>
        <v>2336.7157223473796</v>
      </c>
      <c r="AI53" s="1468">
        <f>0*AC53/0.72</f>
        <v>0</v>
      </c>
      <c r="AJ53" s="1451" t="e">
        <f>AI53/SUM(AI44:AI53)</f>
        <v>#DIV/0!</v>
      </c>
      <c r="AK53" s="1450">
        <f>AH53*Rh_aussen</f>
        <v>1402.0294334084276</v>
      </c>
      <c r="AL53" s="1451">
        <f t="shared" si="31"/>
        <v>10.489639823639493</v>
      </c>
      <c r="AM53" s="1449" t="s">
        <v>2324</v>
      </c>
      <c r="AN53" s="1451">
        <f t="shared" si="32"/>
        <v>12.032306379344021</v>
      </c>
      <c r="AO53" s="1449" t="s">
        <v>2324</v>
      </c>
      <c r="AP53" s="1451">
        <f t="shared" si="33"/>
        <v>12.032306379344021</v>
      </c>
      <c r="AQ53" s="1449" t="s">
        <v>2324</v>
      </c>
      <c r="AR53" s="1449"/>
      <c r="AS53" s="1449"/>
      <c r="AT53" s="1449"/>
      <c r="AU53" s="1449"/>
      <c r="AV53" s="1449">
        <f t="shared" si="41"/>
        <v>0.2</v>
      </c>
      <c r="AW53" s="1450">
        <f>Ta_feuchte</f>
        <v>20</v>
      </c>
      <c r="AX53" s="1449" t="s">
        <v>2324</v>
      </c>
      <c r="AY53" s="1451" t="e">
        <f>SUM(UWert!$P45:$P46)/(SUM(UWert!$P$37:$P$46))</f>
        <v>#DIV/0!</v>
      </c>
      <c r="AZ53" s="1450">
        <f t="shared" si="40"/>
        <v>2336.7157223473796</v>
      </c>
      <c r="BA53" s="1451">
        <f>0*(AU53)*(1/0.72)</f>
        <v>0</v>
      </c>
      <c r="BB53" s="1451" t="e">
        <f>BA53/SUM(BA44:BA53)</f>
        <v>#DIV/0!</v>
      </c>
      <c r="BC53" s="1450">
        <f>AZ53*Rh_aussen</f>
        <v>1402.0294334084276</v>
      </c>
      <c r="BD53" s="1451">
        <f t="shared" si="35"/>
        <v>10.489639823639493</v>
      </c>
      <c r="BE53" s="1449" t="s">
        <v>2324</v>
      </c>
      <c r="BF53" s="1451">
        <f t="shared" si="36"/>
        <v>12.032306379344021</v>
      </c>
      <c r="BG53" s="1449" t="s">
        <v>2324</v>
      </c>
      <c r="BH53" s="1451">
        <f t="shared" si="37"/>
        <v>12.032306379344021</v>
      </c>
      <c r="BI53" s="1449" t="s">
        <v>2324</v>
      </c>
      <c r="BJ53" s="1425"/>
      <c r="BK53" s="1425"/>
      <c r="BL53" s="1425"/>
      <c r="BM53" s="1425"/>
      <c r="BN53" s="1425"/>
      <c r="BO53" s="1425"/>
      <c r="BP53" s="1425"/>
      <c r="BQ53" s="1425"/>
      <c r="BR53" s="1425"/>
      <c r="BS53" s="1425"/>
      <c r="BT53" s="1425"/>
      <c r="BU53" s="1425"/>
      <c r="BV53" s="1425"/>
      <c r="BW53" s="1425"/>
      <c r="BX53" s="1425"/>
      <c r="BY53" s="1425"/>
      <c r="BZ53" s="1339"/>
    </row>
    <row r="54" spans="3:78" s="174" customFormat="1" ht="12.6" customHeight="1">
      <c r="D54" s="199"/>
      <c r="E54" s="199"/>
      <c r="F54" s="199"/>
      <c r="G54" s="199"/>
      <c r="H54" s="199"/>
      <c r="I54" s="199"/>
      <c r="J54" s="199"/>
      <c r="K54" s="199"/>
      <c r="L54" s="199"/>
      <c r="M54" s="199"/>
      <c r="N54" s="199"/>
      <c r="O54" s="199"/>
      <c r="P54" s="199"/>
      <c r="Q54" s="199"/>
      <c r="S54" s="569"/>
      <c r="T54" s="615"/>
      <c r="U54" s="616"/>
      <c r="V54" s="2594">
        <f>IF(UWert!N35&lt;&gt;"",BU46,)</f>
        <v>0</v>
      </c>
      <c r="W54" s="2595"/>
      <c r="X54" s="2594">
        <f>IF(UWert!N35&lt;&gt;"",BV46,)</f>
        <v>0</v>
      </c>
      <c r="Y54" s="2595"/>
      <c r="Z54" s="1338"/>
      <c r="AA54" s="1449"/>
      <c r="AB54" s="1449"/>
      <c r="AC54" s="1449"/>
      <c r="AD54" s="1449"/>
      <c r="AE54" s="1449"/>
      <c r="AF54" s="1449"/>
      <c r="AG54" s="1449"/>
      <c r="AH54" s="1449"/>
      <c r="AI54" s="1453"/>
      <c r="AJ54" s="1449"/>
      <c r="AK54" s="1449"/>
      <c r="AL54" s="1449"/>
      <c r="AM54" s="1449"/>
      <c r="AN54" s="1449"/>
      <c r="AO54" s="1449"/>
      <c r="AP54" s="1449"/>
      <c r="AQ54" s="1449"/>
      <c r="AR54" s="1449"/>
      <c r="AS54" s="1449"/>
      <c r="AT54" s="1449"/>
      <c r="AU54" s="1449"/>
      <c r="AV54" s="1449"/>
      <c r="AW54" s="1449"/>
      <c r="AX54" s="1449"/>
      <c r="AY54" s="1449"/>
      <c r="AZ54" s="1449"/>
      <c r="BA54" s="1449"/>
      <c r="BB54" s="1449"/>
      <c r="BC54" s="1449"/>
      <c r="BD54" s="1449"/>
      <c r="BE54" s="1449"/>
      <c r="BF54" s="1449"/>
      <c r="BG54" s="1449"/>
      <c r="BH54" s="1449"/>
      <c r="BI54" s="1449"/>
      <c r="BJ54" s="1425"/>
      <c r="BK54" s="1425"/>
      <c r="BL54" s="1425"/>
      <c r="BM54" s="1425"/>
      <c r="BN54" s="1425"/>
      <c r="BO54" s="1425"/>
      <c r="BP54" s="1425"/>
      <c r="BQ54" s="1425"/>
      <c r="BR54" s="1425"/>
      <c r="BS54" s="1425"/>
      <c r="BT54" s="1425"/>
      <c r="BU54" s="1425"/>
      <c r="BV54" s="1425"/>
      <c r="BW54" s="1425"/>
      <c r="BX54" s="1425"/>
      <c r="BY54" s="1425"/>
      <c r="BZ54" s="1339"/>
    </row>
    <row r="55" spans="3:78" s="174" customFormat="1" ht="12.6" customHeight="1">
      <c r="D55" s="199"/>
      <c r="E55" s="199"/>
      <c r="F55" s="199"/>
      <c r="G55" s="199"/>
      <c r="H55" s="199"/>
      <c r="I55" s="199"/>
      <c r="J55" s="199"/>
      <c r="K55" s="199"/>
      <c r="L55" s="199"/>
      <c r="M55" s="199"/>
      <c r="N55" s="199"/>
      <c r="O55" s="199"/>
      <c r="P55" s="199"/>
      <c r="Q55" s="199"/>
      <c r="S55" s="569"/>
      <c r="T55" s="2608"/>
      <c r="U55" s="2608"/>
      <c r="V55" s="565"/>
      <c r="W55" s="2608"/>
      <c r="X55" s="2608"/>
      <c r="Y55" s="199"/>
      <c r="Z55" s="1338"/>
      <c r="AA55" s="1449"/>
      <c r="AB55" s="1449"/>
      <c r="AC55" s="1449"/>
      <c r="AD55" s="1449"/>
      <c r="AE55" s="1449"/>
      <c r="AF55" s="1449"/>
      <c r="AG55" s="1449"/>
      <c r="AH55" s="1449"/>
      <c r="AI55" s="1453"/>
      <c r="AJ55" s="1449"/>
      <c r="AK55" s="1449"/>
      <c r="AL55" s="1449"/>
      <c r="AM55" s="1449"/>
      <c r="AN55" s="1449"/>
      <c r="AO55" s="1449"/>
      <c r="AP55" s="1449"/>
      <c r="AQ55" s="1449"/>
      <c r="AR55" s="1449"/>
      <c r="AS55" s="1449"/>
      <c r="AT55" s="1449"/>
      <c r="AU55" s="1449"/>
      <c r="AV55" s="1449"/>
      <c r="AW55" s="1449"/>
      <c r="AX55" s="1449"/>
      <c r="AY55" s="1449"/>
      <c r="AZ55" s="1449"/>
      <c r="BA55" s="1449"/>
      <c r="BB55" s="1449"/>
      <c r="BC55" s="1449"/>
      <c r="BD55" s="1449"/>
      <c r="BE55" s="1449"/>
      <c r="BF55" s="1449"/>
      <c r="BG55" s="1449"/>
      <c r="BH55" s="1449"/>
      <c r="BI55" s="1449"/>
      <c r="BJ55" s="1425"/>
      <c r="BK55" s="1425"/>
      <c r="BL55" s="1425"/>
      <c r="BM55" s="1425"/>
      <c r="BN55" s="1425"/>
      <c r="BO55" s="1425"/>
      <c r="BP55" s="1425"/>
      <c r="BQ55" s="1425"/>
      <c r="BR55" s="1425"/>
      <c r="BS55" s="1425"/>
      <c r="BT55" s="1425"/>
      <c r="BU55" s="1425"/>
      <c r="BV55" s="1425"/>
      <c r="BW55" s="1425"/>
      <c r="BX55" s="1425"/>
      <c r="BY55" s="1425"/>
      <c r="BZ55" s="1339"/>
    </row>
    <row r="56" spans="3:78" s="174" customFormat="1" ht="12" customHeight="1">
      <c r="D56" s="199"/>
      <c r="E56" s="199"/>
      <c r="F56" s="199"/>
      <c r="G56" s="199"/>
      <c r="H56" s="199"/>
      <c r="I56" s="199"/>
      <c r="J56" s="199"/>
      <c r="K56" s="199"/>
      <c r="L56" s="199"/>
      <c r="M56" s="199"/>
      <c r="N56" s="199"/>
      <c r="O56" s="199"/>
      <c r="P56" s="199"/>
      <c r="Q56" s="199"/>
      <c r="S56" s="569"/>
      <c r="T56" s="199"/>
      <c r="U56" s="565"/>
      <c r="V56" s="565"/>
      <c r="W56" s="565"/>
      <c r="X56" s="565"/>
      <c r="Y56" s="199"/>
      <c r="Z56" s="1338"/>
      <c r="AA56" s="1449"/>
      <c r="AB56" s="1449"/>
      <c r="AC56" s="1449"/>
      <c r="AD56" s="1449"/>
      <c r="AE56" s="1449"/>
      <c r="AF56" s="1449"/>
      <c r="AG56" s="1449"/>
      <c r="AH56" s="1449"/>
      <c r="AI56" s="1453"/>
      <c r="AJ56" s="1449"/>
      <c r="AK56" s="1449"/>
      <c r="AL56" s="1449"/>
      <c r="AM56" s="1449"/>
      <c r="AN56" s="1449"/>
      <c r="AO56" s="1449"/>
      <c r="AP56" s="1449"/>
      <c r="AQ56" s="1449"/>
      <c r="AR56" s="1449"/>
      <c r="AS56" s="1449"/>
      <c r="AT56" s="1449"/>
      <c r="AU56" s="1449"/>
      <c r="AV56" s="1449"/>
      <c r="AW56" s="1449"/>
      <c r="AX56" s="1449"/>
      <c r="AY56" s="1449"/>
      <c r="AZ56" s="1449"/>
      <c r="BA56" s="1449"/>
      <c r="BB56" s="1449"/>
      <c r="BC56" s="1449"/>
      <c r="BD56" s="1449"/>
      <c r="BE56" s="1449"/>
      <c r="BF56" s="1449"/>
      <c r="BG56" s="1449"/>
      <c r="BH56" s="1449"/>
      <c r="BI56" s="1449"/>
      <c r="BJ56" s="1425"/>
      <c r="BK56" s="1425"/>
      <c r="BL56" s="1425"/>
      <c r="BM56" s="1425"/>
      <c r="BN56" s="1425"/>
      <c r="BO56" s="1425"/>
      <c r="BP56" s="1425"/>
      <c r="BQ56" s="1425"/>
      <c r="BR56" s="1425"/>
      <c r="BS56" s="1425"/>
      <c r="BT56" s="1425"/>
      <c r="BU56" s="1425"/>
      <c r="BV56" s="1425"/>
      <c r="BW56" s="1425"/>
      <c r="BX56" s="1425"/>
      <c r="BY56" s="1425"/>
      <c r="BZ56" s="1339"/>
    </row>
    <row r="57" spans="3:78" s="174" customFormat="1" ht="12.6" customHeight="1">
      <c r="C57" s="487">
        <v>7</v>
      </c>
      <c r="D57" s="490">
        <f>UWert!C49</f>
        <v>0</v>
      </c>
      <c r="E57" s="485"/>
      <c r="F57" s="485"/>
      <c r="G57" s="485"/>
      <c r="H57" s="485"/>
      <c r="I57" s="486"/>
      <c r="K57" s="487">
        <v>8</v>
      </c>
      <c r="L57" s="490">
        <f>UWert!K49</f>
        <v>0</v>
      </c>
      <c r="M57" s="485"/>
      <c r="N57" s="485"/>
      <c r="O57" s="485"/>
      <c r="P57" s="485"/>
      <c r="Q57" s="486"/>
      <c r="S57" s="569"/>
      <c r="T57" s="568">
        <v>7</v>
      </c>
      <c r="U57" s="488">
        <f>UWert!C49</f>
        <v>0</v>
      </c>
      <c r="V57" s="573"/>
      <c r="W57" s="488"/>
      <c r="X57" s="573"/>
      <c r="Y57" s="567"/>
      <c r="Z57" s="1338"/>
      <c r="AA57" s="1449"/>
      <c r="AB57" s="1449"/>
      <c r="AC57" s="1449"/>
      <c r="AD57" s="1449"/>
      <c r="AE57" s="1449"/>
      <c r="AF57" s="1449"/>
      <c r="AG57" s="1449"/>
      <c r="AH57" s="1449"/>
      <c r="AI57" s="1453"/>
      <c r="AJ57" s="1449"/>
      <c r="AK57" s="1449"/>
      <c r="AL57" s="1449"/>
      <c r="AM57" s="1449"/>
      <c r="AN57" s="1449"/>
      <c r="AO57" s="1449"/>
      <c r="AP57" s="1449"/>
      <c r="AQ57" s="1449"/>
      <c r="AR57" s="1449"/>
      <c r="AS57" s="1449"/>
      <c r="AT57" s="1449"/>
      <c r="AU57" s="1449"/>
      <c r="AV57" s="1449"/>
      <c r="AW57" s="1449"/>
      <c r="AX57" s="1449"/>
      <c r="AY57" s="1449"/>
      <c r="AZ57" s="1449"/>
      <c r="BA57" s="1449"/>
      <c r="BB57" s="1449"/>
      <c r="BC57" s="1449"/>
      <c r="BD57" s="1449"/>
      <c r="BE57" s="1449"/>
      <c r="BF57" s="1449"/>
      <c r="BG57" s="1449"/>
      <c r="BH57" s="1449"/>
      <c r="BI57" s="1449"/>
      <c r="BJ57" s="1425"/>
      <c r="BK57" s="1425"/>
      <c r="BL57" s="1425"/>
      <c r="BM57" s="1425"/>
      <c r="BN57" s="1425"/>
      <c r="BO57" s="1425"/>
      <c r="BP57" s="1425"/>
      <c r="BQ57" s="1425"/>
      <c r="BR57" s="1425"/>
      <c r="BS57" s="1425"/>
      <c r="BT57" s="1425"/>
      <c r="BU57" s="1425"/>
      <c r="BV57" s="1425"/>
      <c r="BW57" s="1425"/>
      <c r="BX57" s="1425"/>
      <c r="BY57" s="1425"/>
      <c r="BZ57" s="1339"/>
    </row>
    <row r="58" spans="3:78" s="174" customFormat="1" ht="12.6" customHeight="1">
      <c r="Q58" s="199"/>
      <c r="S58" s="569"/>
      <c r="T58" s="2592" t="str">
        <f>T50</f>
        <v>valeur qui est</v>
      </c>
      <c r="U58" s="2593"/>
      <c r="V58" s="2596" t="str">
        <f>V50</f>
        <v>valeur limite</v>
      </c>
      <c r="W58" s="2597"/>
      <c r="X58" s="2596" t="str">
        <f>X50</f>
        <v>valeur limite</v>
      </c>
      <c r="Y58" s="2597"/>
      <c r="Z58" s="1338"/>
      <c r="AA58" s="1449"/>
      <c r="AB58" s="1449"/>
      <c r="AC58" s="1449"/>
      <c r="AD58" s="1449"/>
      <c r="AE58" s="1449"/>
      <c r="AF58" s="1449"/>
      <c r="AG58" s="1449"/>
      <c r="AH58" s="1449"/>
      <c r="AI58" s="1453"/>
      <c r="AJ58" s="1449"/>
      <c r="AK58" s="1449"/>
      <c r="AL58" s="1449"/>
      <c r="AM58" s="1449"/>
      <c r="AN58" s="1449"/>
      <c r="AO58" s="1449"/>
      <c r="AP58" s="1449"/>
      <c r="AQ58" s="1449"/>
      <c r="AR58" s="1449"/>
      <c r="AS58" s="1449"/>
      <c r="AT58" s="1449"/>
      <c r="AU58" s="1449"/>
      <c r="AV58" s="1449"/>
      <c r="AW58" s="1449"/>
      <c r="AX58" s="1449"/>
      <c r="AY58" s="1449"/>
      <c r="AZ58" s="1449"/>
      <c r="BA58" s="1449"/>
      <c r="BB58" s="1449"/>
      <c r="BC58" s="1449"/>
      <c r="BD58" s="1449"/>
      <c r="BE58" s="1449"/>
      <c r="BF58" s="1449"/>
      <c r="BG58" s="1449"/>
      <c r="BH58" s="1449"/>
      <c r="BI58" s="1449"/>
      <c r="BJ58" s="1425"/>
      <c r="BK58" s="1425"/>
      <c r="BL58" s="1425"/>
      <c r="BM58" s="1425"/>
      <c r="BN58" s="1425"/>
      <c r="BO58" s="1425"/>
      <c r="BP58" s="1425"/>
      <c r="BQ58" s="1425"/>
      <c r="BR58" s="1425"/>
      <c r="BS58" s="1425"/>
      <c r="BT58" s="1425"/>
      <c r="BU58" s="1425"/>
      <c r="BV58" s="1425"/>
      <c r="BW58" s="1425"/>
      <c r="BX58" s="1425"/>
      <c r="BY58" s="1425"/>
      <c r="BZ58" s="1339"/>
    </row>
    <row r="59" spans="3:78" s="174" customFormat="1" ht="12.6" customHeight="1" thickBot="1">
      <c r="D59" s="199"/>
      <c r="E59" s="199"/>
      <c r="F59" s="199"/>
      <c r="G59" s="199"/>
      <c r="H59" s="199"/>
      <c r="I59" s="199"/>
      <c r="J59" s="199"/>
      <c r="K59" s="199"/>
      <c r="L59" s="199"/>
      <c r="M59" s="199"/>
      <c r="N59" s="199"/>
      <c r="O59" s="199"/>
      <c r="P59" s="199"/>
      <c r="Q59" s="199"/>
      <c r="S59" s="569"/>
      <c r="T59" s="2596"/>
      <c r="U59" s="2607"/>
      <c r="V59" s="2596" t="str">
        <f>V51</f>
        <v>condens.</v>
      </c>
      <c r="W59" s="2597"/>
      <c r="X59" s="2596" t="str">
        <f>X51</f>
        <v>penicillium</v>
      </c>
      <c r="Y59" s="2604"/>
      <c r="Z59" s="1338"/>
      <c r="AA59" s="1449"/>
      <c r="AB59" s="1449"/>
      <c r="AC59" s="1449"/>
      <c r="AD59" s="1449"/>
      <c r="AE59" s="1449"/>
      <c r="AF59" s="1449"/>
      <c r="AG59" s="1449"/>
      <c r="AH59" s="1449"/>
      <c r="AI59" s="1453"/>
      <c r="AJ59" s="1449"/>
      <c r="AK59" s="1449"/>
      <c r="AL59" s="1449"/>
      <c r="AM59" s="1449"/>
      <c r="AN59" s="1449"/>
      <c r="AO59" s="1449"/>
      <c r="AP59" s="1449"/>
      <c r="AQ59" s="1449"/>
      <c r="AR59" s="1449"/>
      <c r="AS59" s="1449"/>
      <c r="AT59" s="1449"/>
      <c r="AU59" s="1449"/>
      <c r="AV59" s="1449"/>
      <c r="AW59" s="1449"/>
      <c r="AX59" s="1449"/>
      <c r="AY59" s="1449"/>
      <c r="AZ59" s="1449"/>
      <c r="BA59" s="1449"/>
      <c r="BB59" s="1449"/>
      <c r="BC59" s="1449"/>
      <c r="BD59" s="1449"/>
      <c r="BE59" s="1449"/>
      <c r="BF59" s="1449"/>
      <c r="BG59" s="1449"/>
      <c r="BH59" s="1449"/>
      <c r="BI59" s="1449"/>
      <c r="BJ59" s="1425"/>
      <c r="BK59" s="1425"/>
      <c r="BL59" s="1425"/>
      <c r="BM59" s="1425"/>
      <c r="BN59" s="1425"/>
      <c r="BO59" s="1425"/>
      <c r="BP59" s="1425"/>
      <c r="BQ59" s="1425"/>
      <c r="BR59" s="1425"/>
      <c r="BS59" s="1425"/>
      <c r="BT59" s="1425"/>
      <c r="BU59" s="1425"/>
      <c r="BV59" s="1425"/>
      <c r="BW59" s="1425"/>
      <c r="BX59" s="1425"/>
      <c r="BY59" s="1425"/>
      <c r="BZ59" s="1339"/>
    </row>
    <row r="60" spans="3:78" s="174" customFormat="1" ht="12.6" customHeight="1" thickBot="1">
      <c r="D60" s="199"/>
      <c r="E60" s="199"/>
      <c r="F60" s="199"/>
      <c r="G60" s="199"/>
      <c r="H60" s="199"/>
      <c r="I60" s="199"/>
      <c r="J60" s="199"/>
      <c r="K60" s="199"/>
      <c r="L60" s="199"/>
      <c r="M60" s="199"/>
      <c r="N60" s="199"/>
      <c r="O60" s="199"/>
      <c r="P60" s="199"/>
      <c r="Q60" s="199"/>
      <c r="S60" s="569"/>
      <c r="T60" s="2602" t="s">
        <v>274</v>
      </c>
      <c r="U60" s="2601"/>
      <c r="V60" s="2602" t="s">
        <v>273</v>
      </c>
      <c r="W60" s="2601"/>
      <c r="X60" s="2603" t="s">
        <v>276</v>
      </c>
      <c r="Y60" s="2601"/>
      <c r="Z60" s="1338"/>
      <c r="AA60" s="1448" t="s">
        <v>1957</v>
      </c>
      <c r="AB60" s="1448" t="s">
        <v>1958</v>
      </c>
      <c r="AC60" s="1449" t="s">
        <v>2326</v>
      </c>
      <c r="AD60" s="1449" t="s">
        <v>791</v>
      </c>
      <c r="AE60" s="1449" t="s">
        <v>2327</v>
      </c>
      <c r="AF60" s="1449"/>
      <c r="AG60" s="1449" t="s">
        <v>1959</v>
      </c>
      <c r="AH60" s="1449" t="s">
        <v>106</v>
      </c>
      <c r="AI60" s="1453" t="s">
        <v>2201</v>
      </c>
      <c r="AJ60" s="1449" t="s">
        <v>108</v>
      </c>
      <c r="AK60" s="1449" t="s">
        <v>1250</v>
      </c>
      <c r="AL60" s="1449" t="s">
        <v>109</v>
      </c>
      <c r="AM60" s="1449"/>
      <c r="AN60" s="1449" t="s">
        <v>110</v>
      </c>
      <c r="AO60" s="1449"/>
      <c r="AP60" s="1449" t="s">
        <v>111</v>
      </c>
      <c r="AQ60" s="1449"/>
      <c r="AR60" s="1449"/>
      <c r="AS60" s="1448" t="s">
        <v>1957</v>
      </c>
      <c r="AT60" s="1448" t="s">
        <v>1958</v>
      </c>
      <c r="AU60" s="1449" t="s">
        <v>2326</v>
      </c>
      <c r="AV60" s="1449" t="s">
        <v>791</v>
      </c>
      <c r="AW60" s="1449" t="s">
        <v>2327</v>
      </c>
      <c r="AX60" s="1449"/>
      <c r="AY60" s="1449" t="s">
        <v>1959</v>
      </c>
      <c r="AZ60" s="1449" t="s">
        <v>106</v>
      </c>
      <c r="BA60" s="1449" t="s">
        <v>107</v>
      </c>
      <c r="BB60" s="1449" t="s">
        <v>108</v>
      </c>
      <c r="BC60" s="1449" t="s">
        <v>1250</v>
      </c>
      <c r="BD60" s="1449" t="s">
        <v>109</v>
      </c>
      <c r="BE60" s="1449"/>
      <c r="BF60" s="1449" t="s">
        <v>110</v>
      </c>
      <c r="BG60" s="1449"/>
      <c r="BH60" s="1449" t="s">
        <v>111</v>
      </c>
      <c r="BI60" s="1449"/>
      <c r="BJ60" s="1425"/>
      <c r="BK60" s="1426">
        <v>7</v>
      </c>
      <c r="BL60" s="1427" t="s">
        <v>840</v>
      </c>
      <c r="BM60" s="1428" t="s">
        <v>838</v>
      </c>
      <c r="BN60" s="1429" t="s">
        <v>839</v>
      </c>
      <c r="BO60" s="1430"/>
      <c r="BP60" s="1430"/>
      <c r="BQ60" s="1430"/>
      <c r="BR60" s="1430"/>
      <c r="BS60" s="1426">
        <v>8</v>
      </c>
      <c r="BT60" s="1427" t="s">
        <v>840</v>
      </c>
      <c r="BU60" s="1428" t="s">
        <v>838</v>
      </c>
      <c r="BV60" s="1429" t="s">
        <v>839</v>
      </c>
      <c r="BW60" s="1425"/>
      <c r="BX60" s="1425"/>
      <c r="BY60" s="1425"/>
      <c r="BZ60" s="1339"/>
    </row>
    <row r="61" spans="3:78" s="174" customFormat="1" ht="12.6" customHeight="1">
      <c r="D61" s="199"/>
      <c r="E61" s="199"/>
      <c r="F61" s="199"/>
      <c r="G61" s="199"/>
      <c r="H61" s="199"/>
      <c r="I61" s="199"/>
      <c r="J61" s="199"/>
      <c r="K61" s="199"/>
      <c r="L61" s="199"/>
      <c r="M61" s="199"/>
      <c r="N61" s="199"/>
      <c r="O61" s="199"/>
      <c r="P61" s="199"/>
      <c r="Q61" s="199"/>
      <c r="S61" s="569"/>
      <c r="T61" s="2600">
        <f>IF(UWert!F49&lt;&gt;"",BL62,)</f>
        <v>0</v>
      </c>
      <c r="U61" s="2601"/>
      <c r="V61" s="2600">
        <f>BM62</f>
        <v>0</v>
      </c>
      <c r="W61" s="2601"/>
      <c r="X61" s="2603">
        <f>BN62</f>
        <v>0</v>
      </c>
      <c r="Y61" s="2601"/>
      <c r="Z61" s="1338"/>
      <c r="AA61" s="1450" t="e">
        <f>Rh_innen*AH61-Rh_aussen*AH70</f>
        <v>#DIV/0!</v>
      </c>
      <c r="AB61" s="1449">
        <f>Ti_feuchte-Ta_feuchte</f>
        <v>0</v>
      </c>
      <c r="AC61" s="1451">
        <v>0.1</v>
      </c>
      <c r="AD61" s="1449">
        <v>0</v>
      </c>
      <c r="AE61" s="1451" t="e">
        <f t="shared" ref="AE61:AE69" si="42">AG62*$AB$61+AE62</f>
        <v>#DIV/0!</v>
      </c>
      <c r="AF61" s="1449" t="s">
        <v>2324</v>
      </c>
      <c r="AG61" s="1451"/>
      <c r="AH61" s="1450" t="e">
        <f>IF(AE61&gt;0,1.40574*POWER(10,10)*EXP(-3928.5/(AE61+231.667)),3.61633*POWER(10,12)*EXP(-6150.6/(AE61+273.33)))</f>
        <v>#DIV/0!</v>
      </c>
      <c r="AI61" s="1468"/>
      <c r="AJ61" s="1451"/>
      <c r="AK61" s="1450" t="e">
        <f>AH61*Rh_innen</f>
        <v>#DIV/0!</v>
      </c>
      <c r="AL61" s="1451" t="e">
        <f>(1/(LN(AK61/(3.61633*POWER(10,12))))*-6150.6)-273.33</f>
        <v>#DIV/0!</v>
      </c>
      <c r="AM61" s="1449" t="s">
        <v>2324</v>
      </c>
      <c r="AN61" s="1451" t="e">
        <f>(1/(LN(AK61/(1.40574*POWER(10,10))))*-3928.5)-231.66</f>
        <v>#DIV/0!</v>
      </c>
      <c r="AO61" s="1449" t="s">
        <v>2324</v>
      </c>
      <c r="AP61" s="1451" t="e">
        <f>IF(AN61&lt;0,AL61,AN61)</f>
        <v>#DIV/0!</v>
      </c>
      <c r="AQ61" s="1449" t="s">
        <v>2324</v>
      </c>
      <c r="AR61" s="1449"/>
      <c r="AS61" s="1450" t="e">
        <f>Rh_innen*AZ61-Rh_aussen*AZ70</f>
        <v>#DIV/0!</v>
      </c>
      <c r="AT61" s="1449">
        <f>Ti_feuchte-Ta_feuchte</f>
        <v>0</v>
      </c>
      <c r="AU61" s="1451">
        <v>0.1</v>
      </c>
      <c r="AV61" s="1449">
        <v>0</v>
      </c>
      <c r="AW61" s="1451" t="e">
        <f t="shared" ref="AW61:AW69" si="43">AY62*$AT$61+AW62</f>
        <v>#DIV/0!</v>
      </c>
      <c r="AX61" s="1449" t="s">
        <v>2324</v>
      </c>
      <c r="AY61" s="1451"/>
      <c r="AZ61" s="1450" t="e">
        <f>IF(AW61&gt;0,1.40574*POWER(10,10)*EXP(-3928.5/(AW61+231.667)),3.61633*POWER(10,12)*EXP(-6150.6/(AW61+273.33)))</f>
        <v>#DIV/0!</v>
      </c>
      <c r="BA61" s="1451"/>
      <c r="BB61" s="1451"/>
      <c r="BC61" s="1450" t="e">
        <f>AZ61*Rh_innen</f>
        <v>#DIV/0!</v>
      </c>
      <c r="BD61" s="1451" t="e">
        <f>(1/(LN(BC61/(3.61633*POWER(10,12))))*-6150.6)-273.33</f>
        <v>#DIV/0!</v>
      </c>
      <c r="BE61" s="1449" t="s">
        <v>2324</v>
      </c>
      <c r="BF61" s="1451" t="e">
        <f>(1/(LN(BC61/(1.40574*POWER(10,10))))*-3928.5)-231.66</f>
        <v>#DIV/0!</v>
      </c>
      <c r="BG61" s="1449" t="s">
        <v>2324</v>
      </c>
      <c r="BH61" s="1451" t="e">
        <f>IF(BF61&lt;0,BD61,BF61)</f>
        <v>#DIV/0!</v>
      </c>
      <c r="BI61" s="1449" t="s">
        <v>2324</v>
      </c>
      <c r="BJ61" s="1425"/>
      <c r="BK61" s="1430"/>
      <c r="BL61" s="1431" t="s">
        <v>1987</v>
      </c>
      <c r="BM61" s="1432" t="s">
        <v>1988</v>
      </c>
      <c r="BN61" s="1433" t="s">
        <v>1989</v>
      </c>
      <c r="BO61" s="1430"/>
      <c r="BP61" s="1430"/>
      <c r="BQ61" s="1430"/>
      <c r="BR61" s="1430"/>
      <c r="BS61" s="1430"/>
      <c r="BT61" s="1431" t="s">
        <v>1987</v>
      </c>
      <c r="BU61" s="1432" t="s">
        <v>1988</v>
      </c>
      <c r="BV61" s="1433" t="s">
        <v>1989</v>
      </c>
      <c r="BW61" s="1425"/>
      <c r="BX61" s="1425"/>
      <c r="BY61" s="1425"/>
      <c r="BZ61" s="1339"/>
    </row>
    <row r="62" spans="3:78" s="174" customFormat="1" ht="12.6" customHeight="1">
      <c r="D62" s="199"/>
      <c r="E62" s="199"/>
      <c r="F62" s="199"/>
      <c r="G62" s="199"/>
      <c r="H62" s="199"/>
      <c r="I62" s="199"/>
      <c r="J62" s="199"/>
      <c r="K62" s="199"/>
      <c r="L62" s="199"/>
      <c r="M62" s="199"/>
      <c r="N62" s="199"/>
      <c r="O62" s="199"/>
      <c r="P62" s="199"/>
      <c r="Q62" s="199"/>
      <c r="S62" s="569"/>
      <c r="T62" s="615"/>
      <c r="U62" s="616"/>
      <c r="V62" s="2594">
        <f>IF(UWert!F49&lt;&gt;"",BM63,)</f>
        <v>0</v>
      </c>
      <c r="W62" s="2595"/>
      <c r="X62" s="2594">
        <f>IF(UWert!F49&lt;&gt;"",BN63,)</f>
        <v>0</v>
      </c>
      <c r="Y62" s="2595"/>
      <c r="Z62" s="1338"/>
      <c r="AA62" s="1449"/>
      <c r="AB62" s="1449"/>
      <c r="AC62" s="1451">
        <f>UWert!$F52/100</f>
        <v>0</v>
      </c>
      <c r="AD62" s="1451">
        <f t="shared" ref="AD62:AD70" si="44">AD61+AC61</f>
        <v>0.1</v>
      </c>
      <c r="AE62" s="1451" t="e">
        <f t="shared" si="42"/>
        <v>#DIV/0!</v>
      </c>
      <c r="AF62" s="1449" t="s">
        <v>2324</v>
      </c>
      <c r="AG62" s="1451" t="e">
        <f>UWert!$H51/(SUM(UWert!$H$51:$H$60))</f>
        <v>#DIV/0!</v>
      </c>
      <c r="AH62" s="1450" t="e">
        <f>IF(AE62&gt;0,1.40574*POWER(10,10)*EXP(-3928.5/(AE62+231.667)),3.61633*POWER(10,12)*EXP(-6150.6/(AE62+273.33)))</f>
        <v>#DIV/0!</v>
      </c>
      <c r="AI62" s="1468">
        <f>INDEX(Bauteile!$I$57:$I$1152,UWert!BA52)*(AC62)*(1/0.72)</f>
        <v>0</v>
      </c>
      <c r="AJ62" s="1451" t="e">
        <f>AI62/SUM(AI61:AI70)</f>
        <v>#DIV/0!</v>
      </c>
      <c r="AK62" s="1450" t="e">
        <f t="shared" ref="AK62:AK69" si="45">AJ62*$AA$61+AK63</f>
        <v>#DIV/0!</v>
      </c>
      <c r="AL62" s="1451" t="e">
        <f t="shared" ref="AL62:AL70" si="46">(1/(LN(AK62/(3.61633*POWER(10,12))))*-6150.6)-273.33</f>
        <v>#DIV/0!</v>
      </c>
      <c r="AM62" s="1449" t="s">
        <v>2324</v>
      </c>
      <c r="AN62" s="1451" t="e">
        <f t="shared" ref="AN62:AN70" si="47">(1/(LN(AK62/(1.40574*POWER(10,10))))*-3928.5)-231.66</f>
        <v>#DIV/0!</v>
      </c>
      <c r="AO62" s="1449" t="s">
        <v>2324</v>
      </c>
      <c r="AP62" s="1451" t="e">
        <f t="shared" ref="AP62:AP70" si="48">IF(AN62&lt;0,AL62,AN62)</f>
        <v>#DIV/0!</v>
      </c>
      <c r="AQ62" s="1449" t="s">
        <v>2324</v>
      </c>
      <c r="AR62" s="1449"/>
      <c r="AS62" s="1449"/>
      <c r="AT62" s="1449"/>
      <c r="AU62" s="1451">
        <f>UWert!$N52/100</f>
        <v>0</v>
      </c>
      <c r="AV62" s="1449">
        <f>AV61+AU61</f>
        <v>0.1</v>
      </c>
      <c r="AW62" s="1451" t="e">
        <f t="shared" si="43"/>
        <v>#DIV/0!</v>
      </c>
      <c r="AX62" s="1449" t="s">
        <v>2324</v>
      </c>
      <c r="AY62" s="1451" t="e">
        <f>UWert!$P51/(SUM(UWert!$P$51:$P$60))</f>
        <v>#DIV/0!</v>
      </c>
      <c r="AZ62" s="1450" t="e">
        <f>IF(AW62&gt;0,1.40574*POWER(10,10)*EXP(-3928.5/(AW62+231.667)),3.61633*POWER(10,12)*EXP(-6150.6/(AW62+273.33)))</f>
        <v>#DIV/0!</v>
      </c>
      <c r="BA62" s="1451">
        <f>INDEX(Bauteile!$I$57:$I$1152,UWert!BB52)*(AU62)*(1/0.72)</f>
        <v>0</v>
      </c>
      <c r="BB62" s="1451" t="e">
        <f>BA62/SUM(BA61:BA70)</f>
        <v>#DIV/0!</v>
      </c>
      <c r="BC62" s="1450" t="e">
        <f t="shared" ref="BC62:BC69" si="49">BB62*$AS$61+BC63</f>
        <v>#DIV/0!</v>
      </c>
      <c r="BD62" s="1451" t="e">
        <f t="shared" ref="BD62:BD70" si="50">(1/(LN(BC62/(3.61633*POWER(10,12))))*-6150.6)-273.33</f>
        <v>#DIV/0!</v>
      </c>
      <c r="BE62" s="1449" t="s">
        <v>2324</v>
      </c>
      <c r="BF62" s="1451" t="e">
        <f t="shared" ref="BF62:BF70" si="51">(1/(LN(BC62/(1.40574*POWER(10,10))))*-3928.5)-231.66</f>
        <v>#DIV/0!</v>
      </c>
      <c r="BG62" s="1449" t="s">
        <v>2324</v>
      </c>
      <c r="BH62" s="1451" t="e">
        <f t="shared" ref="BH62:BH70" si="52">IF(BF62&lt;0,BD62,BF62)</f>
        <v>#DIV/0!</v>
      </c>
      <c r="BI62" s="1449" t="s">
        <v>2324</v>
      </c>
      <c r="BJ62" s="1425"/>
      <c r="BK62" s="1430"/>
      <c r="BL62" s="1434" t="e">
        <f>IF(BL63&gt;0,BL63*((1/BL63)-(1/6)),"")</f>
        <v>#VALUE!</v>
      </c>
      <c r="BM62" s="1435">
        <f>$BM$15</f>
        <v>0</v>
      </c>
      <c r="BN62" s="1436">
        <f>$BN$15</f>
        <v>0</v>
      </c>
      <c r="BO62" s="1430"/>
      <c r="BP62" s="1430"/>
      <c r="BQ62" s="1430"/>
      <c r="BR62" s="1430"/>
      <c r="BS62" s="1430"/>
      <c r="BT62" s="1434" t="e">
        <f>IF(BT63&gt;0,BT63*((1/BT63)-(1/6)),"")</f>
        <v>#VALUE!</v>
      </c>
      <c r="BU62" s="1435">
        <f>$BM$15</f>
        <v>0</v>
      </c>
      <c r="BV62" s="1436">
        <f>$BN$15</f>
        <v>0</v>
      </c>
      <c r="BW62" s="1425"/>
      <c r="BX62" s="1425"/>
      <c r="BY62" s="1425"/>
      <c r="BZ62" s="1339"/>
    </row>
    <row r="63" spans="3:78" s="174" customFormat="1" ht="12.6" customHeight="1" thickBot="1">
      <c r="D63" s="199"/>
      <c r="E63" s="199"/>
      <c r="F63" s="199"/>
      <c r="G63" s="199"/>
      <c r="H63" s="199"/>
      <c r="I63" s="199"/>
      <c r="J63" s="199"/>
      <c r="K63" s="199"/>
      <c r="L63" s="199"/>
      <c r="M63" s="199"/>
      <c r="N63" s="199"/>
      <c r="O63" s="199"/>
      <c r="P63" s="199"/>
      <c r="Q63" s="199"/>
      <c r="S63" s="569"/>
      <c r="T63" s="2605"/>
      <c r="U63" s="2605"/>
      <c r="V63" s="565"/>
      <c r="W63" s="2605"/>
      <c r="X63" s="2605"/>
      <c r="Y63" s="199"/>
      <c r="Z63" s="1338"/>
      <c r="AA63" s="1449"/>
      <c r="AB63" s="1449"/>
      <c r="AC63" s="1451">
        <f>UWert!$F53/100</f>
        <v>0</v>
      </c>
      <c r="AD63" s="1451">
        <f t="shared" si="44"/>
        <v>0.1</v>
      </c>
      <c r="AE63" s="1451" t="e">
        <f t="shared" si="42"/>
        <v>#DIV/0!</v>
      </c>
      <c r="AF63" s="1449" t="s">
        <v>2324</v>
      </c>
      <c r="AG63" s="1451" t="e">
        <f>UWert!$H52/(SUM(UWert!$H$51:$H$60))</f>
        <v>#DIV/0!</v>
      </c>
      <c r="AH63" s="1450" t="e">
        <f t="shared" ref="AH63:AH70" si="53">IF(AE63&gt;0,1.40574*POWER(10,10)*EXP(-3928.5/(AE63+231.667)),3.61633*POWER(10,12)*EXP(-6150.6/(AE63+273.33)))</f>
        <v>#DIV/0!</v>
      </c>
      <c r="AI63" s="1468">
        <f>INDEX(Bauteile!$I$57:$I$1152,UWert!BA53)*(AC63)*(1/0.72)</f>
        <v>0</v>
      </c>
      <c r="AJ63" s="1451" t="e">
        <f>AI63/SUM(AI61:AI70)</f>
        <v>#DIV/0!</v>
      </c>
      <c r="AK63" s="1450" t="e">
        <f t="shared" si="45"/>
        <v>#DIV/0!</v>
      </c>
      <c r="AL63" s="1451" t="e">
        <f t="shared" si="46"/>
        <v>#DIV/0!</v>
      </c>
      <c r="AM63" s="1449" t="s">
        <v>2324</v>
      </c>
      <c r="AN63" s="1451" t="e">
        <f t="shared" si="47"/>
        <v>#DIV/0!</v>
      </c>
      <c r="AO63" s="1449" t="s">
        <v>2324</v>
      </c>
      <c r="AP63" s="1451" t="e">
        <f t="shared" si="48"/>
        <v>#DIV/0!</v>
      </c>
      <c r="AQ63" s="1449" t="s">
        <v>2324</v>
      </c>
      <c r="AR63" s="1449"/>
      <c r="AS63" s="1449"/>
      <c r="AT63" s="1449"/>
      <c r="AU63" s="1451">
        <f>UWert!$N53/100</f>
        <v>0</v>
      </c>
      <c r="AV63" s="1449">
        <f t="shared" ref="AV63:AV70" si="54">AV62+AU62</f>
        <v>0.1</v>
      </c>
      <c r="AW63" s="1451" t="e">
        <f t="shared" si="43"/>
        <v>#DIV/0!</v>
      </c>
      <c r="AX63" s="1449" t="s">
        <v>2324</v>
      </c>
      <c r="AY63" s="1451" t="e">
        <f>UWert!$P52/(SUM(UWert!$P$51:$P$60))</f>
        <v>#DIV/0!</v>
      </c>
      <c r="AZ63" s="1450" t="e">
        <f t="shared" ref="AZ63:AZ70" si="55">IF(AW63&gt;0,1.40574*POWER(10,10)*EXP(-3928.5/(AW63+231.667)),3.61633*POWER(10,12)*EXP(-6150.6/(AW63+273.33)))</f>
        <v>#DIV/0!</v>
      </c>
      <c r="BA63" s="1451">
        <f>INDEX(Bauteile!$I$57:$I$1152,UWert!BB53)*(AU63)*(1/0.72)</f>
        <v>0</v>
      </c>
      <c r="BB63" s="1451" t="e">
        <f>BA63/SUM(BA61:BA70)</f>
        <v>#DIV/0!</v>
      </c>
      <c r="BC63" s="1450" t="e">
        <f t="shared" si="49"/>
        <v>#DIV/0!</v>
      </c>
      <c r="BD63" s="1451" t="e">
        <f t="shared" si="50"/>
        <v>#DIV/0!</v>
      </c>
      <c r="BE63" s="1449" t="s">
        <v>2324</v>
      </c>
      <c r="BF63" s="1451" t="e">
        <f t="shared" si="51"/>
        <v>#DIV/0!</v>
      </c>
      <c r="BG63" s="1449" t="s">
        <v>2324</v>
      </c>
      <c r="BH63" s="1451" t="e">
        <f t="shared" si="52"/>
        <v>#DIV/0!</v>
      </c>
      <c r="BI63" s="1449" t="s">
        <v>2324</v>
      </c>
      <c r="BJ63" s="1425"/>
      <c r="BK63" s="1437"/>
      <c r="BL63" s="1438" t="e">
        <f>IF(UWert!F49&gt;0,1/((1/UWert!F49)-(1/8)+(1/6)),)</f>
        <v>#VALUE!</v>
      </c>
      <c r="BM63" s="1439" t="e">
        <f>IF(BL62&gt;BM62,"","Problem !!!")</f>
        <v>#VALUE!</v>
      </c>
      <c r="BN63" s="1440" t="e">
        <f>IF(BL62&gt;BN62,"","Problem !!!")</f>
        <v>#VALUE!</v>
      </c>
      <c r="BO63" s="1437"/>
      <c r="BP63" s="1437"/>
      <c r="BQ63" s="1437"/>
      <c r="BR63" s="1437"/>
      <c r="BS63" s="1437"/>
      <c r="BT63" s="1438" t="e">
        <f>IF(UWert!N49&gt;0,1/((1/UWert!N49)-(1/8)+(1/6)),)</f>
        <v>#VALUE!</v>
      </c>
      <c r="BU63" s="1439" t="e">
        <f>IF(BT62&gt;BU62,"","Problem !!!")</f>
        <v>#VALUE!</v>
      </c>
      <c r="BV63" s="1440" t="e">
        <f>IF(BT62&gt;BV62,"","Problem !!!")</f>
        <v>#VALUE!</v>
      </c>
      <c r="BW63" s="1425"/>
      <c r="BX63" s="1425"/>
      <c r="BY63" s="1425"/>
      <c r="BZ63" s="1339"/>
    </row>
    <row r="64" spans="3:78" s="174" customFormat="1" ht="12.6" customHeight="1">
      <c r="D64" s="199"/>
      <c r="E64" s="199"/>
      <c r="F64" s="199"/>
      <c r="G64" s="199"/>
      <c r="H64" s="199"/>
      <c r="I64" s="199"/>
      <c r="J64" s="199"/>
      <c r="K64" s="199"/>
      <c r="L64" s="199"/>
      <c r="M64" s="199"/>
      <c r="N64" s="199"/>
      <c r="O64" s="199"/>
      <c r="P64" s="199"/>
      <c r="Q64" s="199"/>
      <c r="S64" s="569"/>
      <c r="T64" s="568">
        <v>8</v>
      </c>
      <c r="U64" s="488">
        <f>UWert!K49</f>
        <v>0</v>
      </c>
      <c r="V64" s="573"/>
      <c r="W64" s="488"/>
      <c r="X64" s="573"/>
      <c r="Y64" s="567"/>
      <c r="Z64" s="1338"/>
      <c r="AA64" s="1449"/>
      <c r="AB64" s="1449"/>
      <c r="AC64" s="1451">
        <f>UWert!$F54/100</f>
        <v>0</v>
      </c>
      <c r="AD64" s="1451">
        <f t="shared" si="44"/>
        <v>0.1</v>
      </c>
      <c r="AE64" s="1451" t="e">
        <f t="shared" si="42"/>
        <v>#DIV/0!</v>
      </c>
      <c r="AF64" s="1449" t="s">
        <v>2324</v>
      </c>
      <c r="AG64" s="1451" t="e">
        <f>UWert!$H53/(SUM(UWert!$H$51:$H$60))</f>
        <v>#DIV/0!</v>
      </c>
      <c r="AH64" s="1450" t="e">
        <f t="shared" si="53"/>
        <v>#DIV/0!</v>
      </c>
      <c r="AI64" s="1468">
        <f>INDEX(Bauteile!$I$57:$I$1152,UWert!BA54)*(AC64)*(1/0.72)</f>
        <v>0</v>
      </c>
      <c r="AJ64" s="1451" t="e">
        <f>AI64/SUM(AI61:AI70)</f>
        <v>#DIV/0!</v>
      </c>
      <c r="AK64" s="1450" t="e">
        <f t="shared" si="45"/>
        <v>#DIV/0!</v>
      </c>
      <c r="AL64" s="1451" t="e">
        <f t="shared" si="46"/>
        <v>#DIV/0!</v>
      </c>
      <c r="AM64" s="1449" t="s">
        <v>2324</v>
      </c>
      <c r="AN64" s="1451" t="e">
        <f t="shared" si="47"/>
        <v>#DIV/0!</v>
      </c>
      <c r="AO64" s="1449" t="s">
        <v>2324</v>
      </c>
      <c r="AP64" s="1451" t="e">
        <f t="shared" si="48"/>
        <v>#DIV/0!</v>
      </c>
      <c r="AQ64" s="1449" t="s">
        <v>2324</v>
      </c>
      <c r="AR64" s="1449"/>
      <c r="AS64" s="1449"/>
      <c r="AT64" s="1449"/>
      <c r="AU64" s="1451">
        <f>UWert!$N54/100</f>
        <v>0</v>
      </c>
      <c r="AV64" s="1449">
        <f t="shared" si="54"/>
        <v>0.1</v>
      </c>
      <c r="AW64" s="1451" t="e">
        <f t="shared" si="43"/>
        <v>#DIV/0!</v>
      </c>
      <c r="AX64" s="1449" t="s">
        <v>2324</v>
      </c>
      <c r="AY64" s="1451" t="e">
        <f>UWert!$P53/(SUM(UWert!$P$51:$P$60))</f>
        <v>#DIV/0!</v>
      </c>
      <c r="AZ64" s="1450" t="e">
        <f t="shared" si="55"/>
        <v>#DIV/0!</v>
      </c>
      <c r="BA64" s="1451">
        <f>INDEX(Bauteile!$I$57:$I$1152,UWert!BB54)*(AU64)*(1/0.72)</f>
        <v>0</v>
      </c>
      <c r="BB64" s="1451" t="e">
        <f>BA64/SUM(BA61:BA70)</f>
        <v>#DIV/0!</v>
      </c>
      <c r="BC64" s="1450" t="e">
        <f t="shared" si="49"/>
        <v>#DIV/0!</v>
      </c>
      <c r="BD64" s="1451" t="e">
        <f t="shared" si="50"/>
        <v>#DIV/0!</v>
      </c>
      <c r="BE64" s="1449" t="s">
        <v>2324</v>
      </c>
      <c r="BF64" s="1451" t="e">
        <f t="shared" si="51"/>
        <v>#DIV/0!</v>
      </c>
      <c r="BG64" s="1449" t="s">
        <v>2324</v>
      </c>
      <c r="BH64" s="1451" t="e">
        <f t="shared" si="52"/>
        <v>#DIV/0!</v>
      </c>
      <c r="BI64" s="1449" t="s">
        <v>2324</v>
      </c>
      <c r="BJ64" s="1425"/>
      <c r="BK64" s="1425"/>
      <c r="BL64" s="1425"/>
      <c r="BM64" s="1425"/>
      <c r="BN64" s="1425"/>
      <c r="BO64" s="1425"/>
      <c r="BP64" s="1425"/>
      <c r="BQ64" s="1425"/>
      <c r="BR64" s="1425"/>
      <c r="BS64" s="1425"/>
      <c r="BT64" s="1425"/>
      <c r="BU64" s="1425"/>
      <c r="BV64" s="1425"/>
      <c r="BW64" s="1425"/>
      <c r="BX64" s="1425"/>
      <c r="BY64" s="1425"/>
      <c r="BZ64" s="1339"/>
    </row>
    <row r="65" spans="3:78" s="174" customFormat="1" ht="12.6" customHeight="1">
      <c r="D65" s="199"/>
      <c r="E65" s="199"/>
      <c r="F65" s="199"/>
      <c r="G65" s="199"/>
      <c r="H65" s="199"/>
      <c r="I65" s="199"/>
      <c r="J65" s="199"/>
      <c r="K65" s="199"/>
      <c r="L65" s="199"/>
      <c r="M65" s="199"/>
      <c r="N65" s="199"/>
      <c r="O65" s="199"/>
      <c r="P65" s="199"/>
      <c r="Q65" s="199"/>
      <c r="S65" s="569"/>
      <c r="T65" s="2592" t="str">
        <f>T58</f>
        <v>valeur qui est</v>
      </c>
      <c r="U65" s="2593"/>
      <c r="V65" s="2596" t="str">
        <f>V58</f>
        <v>valeur limite</v>
      </c>
      <c r="W65" s="2597"/>
      <c r="X65" s="2596" t="str">
        <f>X58</f>
        <v>valeur limite</v>
      </c>
      <c r="Y65" s="2597"/>
      <c r="Z65" s="1338"/>
      <c r="AA65" s="1449"/>
      <c r="AB65" s="1449"/>
      <c r="AC65" s="1451">
        <f>UWert!$F55/100</f>
        <v>0</v>
      </c>
      <c r="AD65" s="1451">
        <f t="shared" si="44"/>
        <v>0.1</v>
      </c>
      <c r="AE65" s="1451" t="e">
        <f t="shared" si="42"/>
        <v>#DIV/0!</v>
      </c>
      <c r="AF65" s="1449" t="s">
        <v>2324</v>
      </c>
      <c r="AG65" s="1451" t="e">
        <f>UWert!$H54/(SUM(UWert!$H$51:$H$60))</f>
        <v>#DIV/0!</v>
      </c>
      <c r="AH65" s="1450" t="e">
        <f t="shared" si="53"/>
        <v>#DIV/0!</v>
      </c>
      <c r="AI65" s="1468">
        <f>INDEX(Bauteile!$I$57:$I$1152,UWert!BA55)*(AC65)*(1/0.72)</f>
        <v>0</v>
      </c>
      <c r="AJ65" s="1451" t="e">
        <f>AI65/SUM(AI61:AI70)</f>
        <v>#DIV/0!</v>
      </c>
      <c r="AK65" s="1450" t="e">
        <f t="shared" si="45"/>
        <v>#DIV/0!</v>
      </c>
      <c r="AL65" s="1451" t="e">
        <f t="shared" si="46"/>
        <v>#DIV/0!</v>
      </c>
      <c r="AM65" s="1449" t="s">
        <v>2324</v>
      </c>
      <c r="AN65" s="1451" t="e">
        <f t="shared" si="47"/>
        <v>#DIV/0!</v>
      </c>
      <c r="AO65" s="1449" t="s">
        <v>2324</v>
      </c>
      <c r="AP65" s="1451" t="e">
        <f t="shared" si="48"/>
        <v>#DIV/0!</v>
      </c>
      <c r="AQ65" s="1449" t="s">
        <v>2324</v>
      </c>
      <c r="AR65" s="1449"/>
      <c r="AS65" s="1449"/>
      <c r="AT65" s="1449"/>
      <c r="AU65" s="1451">
        <f>UWert!$N55/100</f>
        <v>0</v>
      </c>
      <c r="AV65" s="1449">
        <f t="shared" si="54"/>
        <v>0.1</v>
      </c>
      <c r="AW65" s="1451" t="e">
        <f t="shared" si="43"/>
        <v>#DIV/0!</v>
      </c>
      <c r="AX65" s="1449" t="s">
        <v>2324</v>
      </c>
      <c r="AY65" s="1451" t="e">
        <f>UWert!$P54/(SUM(UWert!$P$51:$P$60))</f>
        <v>#DIV/0!</v>
      </c>
      <c r="AZ65" s="1450" t="e">
        <f t="shared" si="55"/>
        <v>#DIV/0!</v>
      </c>
      <c r="BA65" s="1451">
        <f>INDEX(Bauteile!$I$57:$I$1152,UWert!BB55)*(AU65)*(1/0.72)</f>
        <v>0</v>
      </c>
      <c r="BB65" s="1451" t="e">
        <f>BA65/SUM(BA61:BA70)</f>
        <v>#DIV/0!</v>
      </c>
      <c r="BC65" s="1450" t="e">
        <f t="shared" si="49"/>
        <v>#DIV/0!</v>
      </c>
      <c r="BD65" s="1451" t="e">
        <f t="shared" si="50"/>
        <v>#DIV/0!</v>
      </c>
      <c r="BE65" s="1449" t="s">
        <v>2324</v>
      </c>
      <c r="BF65" s="1451" t="e">
        <f t="shared" si="51"/>
        <v>#DIV/0!</v>
      </c>
      <c r="BG65" s="1449" t="s">
        <v>2324</v>
      </c>
      <c r="BH65" s="1451" t="e">
        <f t="shared" si="52"/>
        <v>#DIV/0!</v>
      </c>
      <c r="BI65" s="1449" t="s">
        <v>2324</v>
      </c>
      <c r="BJ65" s="1425"/>
      <c r="BK65" s="1425"/>
      <c r="BL65" s="1425"/>
      <c r="BM65" s="1425"/>
      <c r="BN65" s="1425"/>
      <c r="BO65" s="1425"/>
      <c r="BP65" s="1425"/>
      <c r="BQ65" s="1425"/>
      <c r="BR65" s="1425"/>
      <c r="BS65" s="1425"/>
      <c r="BT65" s="1425"/>
      <c r="BU65" s="1425"/>
      <c r="BV65" s="1425"/>
      <c r="BW65" s="1425"/>
      <c r="BX65" s="1425"/>
      <c r="BY65" s="1425"/>
      <c r="BZ65" s="1339"/>
    </row>
    <row r="66" spans="3:78" s="174" customFormat="1" ht="12.6" customHeight="1">
      <c r="D66" s="199"/>
      <c r="E66" s="199"/>
      <c r="F66" s="199"/>
      <c r="G66" s="199"/>
      <c r="H66" s="199"/>
      <c r="I66" s="199"/>
      <c r="J66" s="199"/>
      <c r="K66" s="199"/>
      <c r="L66" s="199"/>
      <c r="M66" s="199"/>
      <c r="N66" s="199"/>
      <c r="O66" s="199"/>
      <c r="P66" s="199"/>
      <c r="Q66" s="199"/>
      <c r="S66" s="569"/>
      <c r="T66" s="2596"/>
      <c r="U66" s="2607"/>
      <c r="V66" s="2596" t="str">
        <f>V59</f>
        <v>condens.</v>
      </c>
      <c r="W66" s="2597"/>
      <c r="X66" s="2596" t="str">
        <f>X59</f>
        <v>penicillium</v>
      </c>
      <c r="Y66" s="2604"/>
      <c r="Z66" s="1338"/>
      <c r="AA66" s="1449"/>
      <c r="AB66" s="1449"/>
      <c r="AC66" s="1451">
        <f>UWert!$F56/100</f>
        <v>0</v>
      </c>
      <c r="AD66" s="1451">
        <f t="shared" si="44"/>
        <v>0.1</v>
      </c>
      <c r="AE66" s="1451" t="e">
        <f t="shared" si="42"/>
        <v>#DIV/0!</v>
      </c>
      <c r="AF66" s="1449" t="s">
        <v>2324</v>
      </c>
      <c r="AG66" s="1451" t="e">
        <f>UWert!$H55/(SUM(UWert!$H$51:$H$60))</f>
        <v>#DIV/0!</v>
      </c>
      <c r="AH66" s="1450" t="e">
        <f t="shared" si="53"/>
        <v>#DIV/0!</v>
      </c>
      <c r="AI66" s="1468">
        <f>INDEX(Bauteile!$I$57:$I$1152,UWert!BA56)*(AC66)*(1/0.72)</f>
        <v>0</v>
      </c>
      <c r="AJ66" s="1451" t="e">
        <f>AI66/SUM(AI61:AI70)</f>
        <v>#DIV/0!</v>
      </c>
      <c r="AK66" s="1450" t="e">
        <f t="shared" si="45"/>
        <v>#DIV/0!</v>
      </c>
      <c r="AL66" s="1451" t="e">
        <f t="shared" si="46"/>
        <v>#DIV/0!</v>
      </c>
      <c r="AM66" s="1449" t="s">
        <v>2324</v>
      </c>
      <c r="AN66" s="1451" t="e">
        <f t="shared" si="47"/>
        <v>#DIV/0!</v>
      </c>
      <c r="AO66" s="1449" t="s">
        <v>2324</v>
      </c>
      <c r="AP66" s="1451" t="e">
        <f t="shared" si="48"/>
        <v>#DIV/0!</v>
      </c>
      <c r="AQ66" s="1449" t="s">
        <v>2324</v>
      </c>
      <c r="AR66" s="1449"/>
      <c r="AS66" s="1449"/>
      <c r="AT66" s="1449"/>
      <c r="AU66" s="1451">
        <f>UWert!$N56/100</f>
        <v>0</v>
      </c>
      <c r="AV66" s="1449">
        <f t="shared" si="54"/>
        <v>0.1</v>
      </c>
      <c r="AW66" s="1451" t="e">
        <f t="shared" si="43"/>
        <v>#DIV/0!</v>
      </c>
      <c r="AX66" s="1449" t="s">
        <v>2324</v>
      </c>
      <c r="AY66" s="1451" t="e">
        <f>UWert!$P55/(SUM(UWert!$P$51:$P$60))</f>
        <v>#DIV/0!</v>
      </c>
      <c r="AZ66" s="1450" t="e">
        <f t="shared" si="55"/>
        <v>#DIV/0!</v>
      </c>
      <c r="BA66" s="1451">
        <f>INDEX(Bauteile!$I$57:$I$1152,UWert!BB56)*(AU66)*(1/0.72)</f>
        <v>0</v>
      </c>
      <c r="BB66" s="1451" t="e">
        <f>BA66/SUM(BA61:BA70)</f>
        <v>#DIV/0!</v>
      </c>
      <c r="BC66" s="1450" t="e">
        <f t="shared" si="49"/>
        <v>#DIV/0!</v>
      </c>
      <c r="BD66" s="1451" t="e">
        <f t="shared" si="50"/>
        <v>#DIV/0!</v>
      </c>
      <c r="BE66" s="1449" t="s">
        <v>2324</v>
      </c>
      <c r="BF66" s="1451" t="e">
        <f t="shared" si="51"/>
        <v>#DIV/0!</v>
      </c>
      <c r="BG66" s="1449" t="s">
        <v>2324</v>
      </c>
      <c r="BH66" s="1451" t="e">
        <f t="shared" si="52"/>
        <v>#DIV/0!</v>
      </c>
      <c r="BI66" s="1449" t="s">
        <v>2324</v>
      </c>
      <c r="BJ66" s="1425"/>
      <c r="BK66" s="1425"/>
      <c r="BL66" s="1425"/>
      <c r="BM66" s="1425"/>
      <c r="BN66" s="1425"/>
      <c r="BO66" s="1425"/>
      <c r="BP66" s="1425"/>
      <c r="BQ66" s="1425"/>
      <c r="BR66" s="1425"/>
      <c r="BS66" s="1425"/>
      <c r="BT66" s="1425"/>
      <c r="BU66" s="1425"/>
      <c r="BV66" s="1425"/>
      <c r="BW66" s="1425"/>
      <c r="BX66" s="1425"/>
      <c r="BY66" s="1425"/>
      <c r="BZ66" s="1339"/>
    </row>
    <row r="67" spans="3:78" s="174" customFormat="1" ht="12.6" customHeight="1">
      <c r="D67" s="199"/>
      <c r="E67" s="199"/>
      <c r="F67" s="199"/>
      <c r="G67" s="199"/>
      <c r="H67" s="199"/>
      <c r="I67" s="199"/>
      <c r="J67" s="199"/>
      <c r="K67" s="199"/>
      <c r="L67" s="199"/>
      <c r="M67" s="199"/>
      <c r="N67" s="199"/>
      <c r="O67" s="199"/>
      <c r="P67" s="199"/>
      <c r="Q67" s="199"/>
      <c r="S67" s="569"/>
      <c r="T67" s="2602" t="s">
        <v>274</v>
      </c>
      <c r="U67" s="2601"/>
      <c r="V67" s="2602" t="s">
        <v>273</v>
      </c>
      <c r="W67" s="2601"/>
      <c r="X67" s="2603" t="s">
        <v>276</v>
      </c>
      <c r="Y67" s="2601"/>
      <c r="Z67" s="1338"/>
      <c r="AA67" s="1449"/>
      <c r="AB67" s="1449"/>
      <c r="AC67" s="1451">
        <f>UWert!$F57/100</f>
        <v>0</v>
      </c>
      <c r="AD67" s="1451">
        <f t="shared" si="44"/>
        <v>0.1</v>
      </c>
      <c r="AE67" s="1451" t="e">
        <f t="shared" si="42"/>
        <v>#DIV/0!</v>
      </c>
      <c r="AF67" s="1449" t="s">
        <v>2324</v>
      </c>
      <c r="AG67" s="1451" t="e">
        <f>UWert!$H56/(SUM(UWert!$H$51:$H$60))</f>
        <v>#DIV/0!</v>
      </c>
      <c r="AH67" s="1450" t="e">
        <f t="shared" si="53"/>
        <v>#DIV/0!</v>
      </c>
      <c r="AI67" s="1468">
        <f>INDEX(Bauteile!$I$57:$I$1152,UWert!BA57)*(AC67)*(1/0.72)</f>
        <v>0</v>
      </c>
      <c r="AJ67" s="1451" t="e">
        <f>AI67/SUM(AI61:AI70)</f>
        <v>#DIV/0!</v>
      </c>
      <c r="AK67" s="1450" t="e">
        <f t="shared" si="45"/>
        <v>#DIV/0!</v>
      </c>
      <c r="AL67" s="1451" t="e">
        <f t="shared" si="46"/>
        <v>#DIV/0!</v>
      </c>
      <c r="AM67" s="1449" t="s">
        <v>2324</v>
      </c>
      <c r="AN67" s="1451" t="e">
        <f t="shared" si="47"/>
        <v>#DIV/0!</v>
      </c>
      <c r="AO67" s="1449" t="s">
        <v>2324</v>
      </c>
      <c r="AP67" s="1451" t="e">
        <f t="shared" si="48"/>
        <v>#DIV/0!</v>
      </c>
      <c r="AQ67" s="1449" t="s">
        <v>2324</v>
      </c>
      <c r="AR67" s="1449"/>
      <c r="AS67" s="1449"/>
      <c r="AT67" s="1449"/>
      <c r="AU67" s="1451">
        <f>UWert!$N57/100</f>
        <v>0</v>
      </c>
      <c r="AV67" s="1449">
        <f t="shared" si="54"/>
        <v>0.1</v>
      </c>
      <c r="AW67" s="1451" t="e">
        <f t="shared" si="43"/>
        <v>#DIV/0!</v>
      </c>
      <c r="AX67" s="1449" t="s">
        <v>2324</v>
      </c>
      <c r="AY67" s="1451" t="e">
        <f>UWert!$P56/(SUM(UWert!$P$51:$P$60))</f>
        <v>#DIV/0!</v>
      </c>
      <c r="AZ67" s="1450" t="e">
        <f t="shared" si="55"/>
        <v>#DIV/0!</v>
      </c>
      <c r="BA67" s="1451">
        <f>INDEX(Bauteile!$I$57:$I$1152,UWert!BB57)*(AU67)*(1/0.72)</f>
        <v>0</v>
      </c>
      <c r="BB67" s="1451" t="e">
        <f>BA67/SUM(BA61:BA70)</f>
        <v>#DIV/0!</v>
      </c>
      <c r="BC67" s="1450" t="e">
        <f t="shared" si="49"/>
        <v>#DIV/0!</v>
      </c>
      <c r="BD67" s="1451" t="e">
        <f t="shared" si="50"/>
        <v>#DIV/0!</v>
      </c>
      <c r="BE67" s="1449" t="s">
        <v>2324</v>
      </c>
      <c r="BF67" s="1451" t="e">
        <f t="shared" si="51"/>
        <v>#DIV/0!</v>
      </c>
      <c r="BG67" s="1449" t="s">
        <v>2324</v>
      </c>
      <c r="BH67" s="1451" t="e">
        <f t="shared" si="52"/>
        <v>#DIV/0!</v>
      </c>
      <c r="BI67" s="1449" t="s">
        <v>2324</v>
      </c>
      <c r="BJ67" s="1425"/>
      <c r="BK67" s="1425"/>
      <c r="BL67" s="1425"/>
      <c r="BM67" s="1425"/>
      <c r="BN67" s="1425"/>
      <c r="BO67" s="1425"/>
      <c r="BP67" s="1425"/>
      <c r="BQ67" s="1425"/>
      <c r="BR67" s="1425"/>
      <c r="BS67" s="1425"/>
      <c r="BT67" s="1425"/>
      <c r="BU67" s="1425"/>
      <c r="BV67" s="1425"/>
      <c r="BW67" s="1425"/>
      <c r="BX67" s="1425"/>
      <c r="BY67" s="1425"/>
      <c r="BZ67" s="1339"/>
    </row>
    <row r="68" spans="3:78" s="174" customFormat="1" ht="12.6" customHeight="1">
      <c r="D68" s="199"/>
      <c r="E68" s="199"/>
      <c r="F68" s="199"/>
      <c r="G68" s="199"/>
      <c r="H68" s="199"/>
      <c r="I68" s="199"/>
      <c r="J68" s="199"/>
      <c r="K68" s="199"/>
      <c r="L68" s="199"/>
      <c r="M68" s="199"/>
      <c r="N68" s="199"/>
      <c r="O68" s="199"/>
      <c r="P68" s="199"/>
      <c r="Q68" s="199"/>
      <c r="S68" s="569"/>
      <c r="T68" s="2600">
        <f>IF(UWert!N49&lt;&gt;"",BT62,)</f>
        <v>0</v>
      </c>
      <c r="U68" s="2601"/>
      <c r="V68" s="2600">
        <f>BU62</f>
        <v>0</v>
      </c>
      <c r="W68" s="2601"/>
      <c r="X68" s="2603">
        <f>BV62</f>
        <v>0</v>
      </c>
      <c r="Y68" s="2601"/>
      <c r="Z68" s="1338"/>
      <c r="AA68" s="1449"/>
      <c r="AB68" s="1449"/>
      <c r="AC68" s="1451">
        <f>UWert!$F58/100</f>
        <v>0</v>
      </c>
      <c r="AD68" s="1451">
        <f t="shared" si="44"/>
        <v>0.1</v>
      </c>
      <c r="AE68" s="1451" t="e">
        <f t="shared" si="42"/>
        <v>#DIV/0!</v>
      </c>
      <c r="AF68" s="1449" t="s">
        <v>2324</v>
      </c>
      <c r="AG68" s="1451" t="e">
        <f>UWert!$H57/(SUM(UWert!$H$51:$H$60))</f>
        <v>#DIV/0!</v>
      </c>
      <c r="AH68" s="1450" t="e">
        <f t="shared" si="53"/>
        <v>#DIV/0!</v>
      </c>
      <c r="AI68" s="1468">
        <f>INDEX(Bauteile!$I$57:$I$1152,UWert!BA58)*(AC68)*(1/0.72)</f>
        <v>0</v>
      </c>
      <c r="AJ68" s="1451" t="e">
        <f>AI68/SUM(AI61:AI70)</f>
        <v>#DIV/0!</v>
      </c>
      <c r="AK68" s="1450" t="e">
        <f t="shared" si="45"/>
        <v>#DIV/0!</v>
      </c>
      <c r="AL68" s="1451" t="e">
        <f t="shared" si="46"/>
        <v>#DIV/0!</v>
      </c>
      <c r="AM68" s="1449" t="s">
        <v>2324</v>
      </c>
      <c r="AN68" s="1451" t="e">
        <f t="shared" si="47"/>
        <v>#DIV/0!</v>
      </c>
      <c r="AO68" s="1449" t="s">
        <v>2324</v>
      </c>
      <c r="AP68" s="1451" t="e">
        <f t="shared" si="48"/>
        <v>#DIV/0!</v>
      </c>
      <c r="AQ68" s="1449" t="s">
        <v>2324</v>
      </c>
      <c r="AR68" s="1449"/>
      <c r="AS68" s="1449"/>
      <c r="AT68" s="1449"/>
      <c r="AU68" s="1451">
        <f>UWert!$N58/100</f>
        <v>0</v>
      </c>
      <c r="AV68" s="1449">
        <f t="shared" si="54"/>
        <v>0.1</v>
      </c>
      <c r="AW68" s="1451" t="e">
        <f t="shared" si="43"/>
        <v>#DIV/0!</v>
      </c>
      <c r="AX68" s="1449" t="s">
        <v>2324</v>
      </c>
      <c r="AY68" s="1451" t="e">
        <f>UWert!$P57/(SUM(UWert!$P$51:$P$60))</f>
        <v>#DIV/0!</v>
      </c>
      <c r="AZ68" s="1450" t="e">
        <f t="shared" si="55"/>
        <v>#DIV/0!</v>
      </c>
      <c r="BA68" s="1451">
        <f>INDEX(Bauteile!$I$57:$I$1152,UWert!BB58)*(AU68)*(1/0.72)</f>
        <v>0</v>
      </c>
      <c r="BB68" s="1451" t="e">
        <f>BA68/SUM(BA61:BA70)</f>
        <v>#DIV/0!</v>
      </c>
      <c r="BC68" s="1450" t="e">
        <f t="shared" si="49"/>
        <v>#DIV/0!</v>
      </c>
      <c r="BD68" s="1451" t="e">
        <f t="shared" si="50"/>
        <v>#DIV/0!</v>
      </c>
      <c r="BE68" s="1449" t="s">
        <v>2324</v>
      </c>
      <c r="BF68" s="1451" t="e">
        <f t="shared" si="51"/>
        <v>#DIV/0!</v>
      </c>
      <c r="BG68" s="1449" t="s">
        <v>2324</v>
      </c>
      <c r="BH68" s="1451" t="e">
        <f t="shared" si="52"/>
        <v>#DIV/0!</v>
      </c>
      <c r="BI68" s="1449" t="s">
        <v>2324</v>
      </c>
      <c r="BJ68" s="1425"/>
      <c r="BK68" s="1425"/>
      <c r="BL68" s="1425"/>
      <c r="BM68" s="1425"/>
      <c r="BN68" s="1425"/>
      <c r="BO68" s="1425"/>
      <c r="BP68" s="1425"/>
      <c r="BQ68" s="1425"/>
      <c r="BR68" s="1425"/>
      <c r="BS68" s="1425"/>
      <c r="BT68" s="1425"/>
      <c r="BU68" s="1425"/>
      <c r="BV68" s="1425"/>
      <c r="BW68" s="1425"/>
      <c r="BX68" s="1425"/>
      <c r="BY68" s="1425"/>
      <c r="BZ68" s="1339"/>
    </row>
    <row r="69" spans="3:78" s="174" customFormat="1" ht="12.6" customHeight="1">
      <c r="D69" s="199"/>
      <c r="E69" s="199"/>
      <c r="F69" s="199"/>
      <c r="G69" s="199"/>
      <c r="H69" s="199"/>
      <c r="I69" s="199"/>
      <c r="J69" s="199"/>
      <c r="K69" s="199"/>
      <c r="L69" s="199"/>
      <c r="M69" s="199"/>
      <c r="N69" s="199"/>
      <c r="O69" s="199"/>
      <c r="P69" s="199"/>
      <c r="Q69" s="199"/>
      <c r="S69" s="569"/>
      <c r="T69" s="615"/>
      <c r="U69" s="616"/>
      <c r="V69" s="2594">
        <f>IF(UWert!N49&lt;&gt;"",BU63,)</f>
        <v>0</v>
      </c>
      <c r="W69" s="2595"/>
      <c r="X69" s="2594">
        <f>IF(UWert!N49&lt;&gt;"",BV63,)</f>
        <v>0</v>
      </c>
      <c r="Y69" s="2595"/>
      <c r="Z69" s="1338"/>
      <c r="AA69" s="1449"/>
      <c r="AB69" s="1449"/>
      <c r="AC69" s="1451">
        <v>0.1</v>
      </c>
      <c r="AD69" s="1451">
        <f t="shared" si="44"/>
        <v>0.1</v>
      </c>
      <c r="AE69" s="1451" t="e">
        <f t="shared" si="42"/>
        <v>#DIV/0!</v>
      </c>
      <c r="AF69" s="1449" t="s">
        <v>2324</v>
      </c>
      <c r="AG69" s="1451" t="e">
        <f>UWert!$H58/(SUM(UWert!$H$51:$H$60))</f>
        <v>#DIV/0!</v>
      </c>
      <c r="AH69" s="1450" t="e">
        <f t="shared" si="53"/>
        <v>#DIV/0!</v>
      </c>
      <c r="AI69" s="1468">
        <f>0*AC69*(1/0.72)</f>
        <v>0</v>
      </c>
      <c r="AJ69" s="1451" t="e">
        <f>AI69/SUM(AI61:AI70)</f>
        <v>#DIV/0!</v>
      </c>
      <c r="AK69" s="1450" t="e">
        <f t="shared" si="45"/>
        <v>#DIV/0!</v>
      </c>
      <c r="AL69" s="1451" t="e">
        <f t="shared" si="46"/>
        <v>#DIV/0!</v>
      </c>
      <c r="AM69" s="1449" t="s">
        <v>2324</v>
      </c>
      <c r="AN69" s="1451" t="e">
        <f t="shared" si="47"/>
        <v>#DIV/0!</v>
      </c>
      <c r="AO69" s="1449" t="s">
        <v>2324</v>
      </c>
      <c r="AP69" s="1451" t="e">
        <f t="shared" si="48"/>
        <v>#DIV/0!</v>
      </c>
      <c r="AQ69" s="1449" t="s">
        <v>2324</v>
      </c>
      <c r="AR69" s="1449"/>
      <c r="AS69" s="1449"/>
      <c r="AT69" s="1449"/>
      <c r="AU69" s="1451">
        <v>0.1</v>
      </c>
      <c r="AV69" s="1449">
        <f t="shared" si="54"/>
        <v>0.1</v>
      </c>
      <c r="AW69" s="1451" t="e">
        <f t="shared" si="43"/>
        <v>#DIV/0!</v>
      </c>
      <c r="AX69" s="1449" t="s">
        <v>2324</v>
      </c>
      <c r="AY69" s="1451" t="e">
        <f>UWert!$P58/(SUM(UWert!$P$51:$P$60))</f>
        <v>#DIV/0!</v>
      </c>
      <c r="AZ69" s="1450" t="e">
        <f t="shared" si="55"/>
        <v>#DIV/0!</v>
      </c>
      <c r="BA69" s="1451">
        <f>0*(AU69)*(1/0.72)</f>
        <v>0</v>
      </c>
      <c r="BB69" s="1451" t="e">
        <f>BA69/SUM(BA61:BA70)</f>
        <v>#DIV/0!</v>
      </c>
      <c r="BC69" s="1450" t="e">
        <f t="shared" si="49"/>
        <v>#DIV/0!</v>
      </c>
      <c r="BD69" s="1451" t="e">
        <f t="shared" si="50"/>
        <v>#DIV/0!</v>
      </c>
      <c r="BE69" s="1449" t="s">
        <v>2324</v>
      </c>
      <c r="BF69" s="1451" t="e">
        <f t="shared" si="51"/>
        <v>#DIV/0!</v>
      </c>
      <c r="BG69" s="1449" t="s">
        <v>2324</v>
      </c>
      <c r="BH69" s="1451" t="e">
        <f t="shared" si="52"/>
        <v>#DIV/0!</v>
      </c>
      <c r="BI69" s="1449" t="s">
        <v>2324</v>
      </c>
      <c r="BJ69" s="1425"/>
      <c r="BK69" s="1425"/>
      <c r="BL69" s="1425"/>
      <c r="BM69" s="1425"/>
      <c r="BN69" s="1425"/>
      <c r="BO69" s="1425"/>
      <c r="BP69" s="1425"/>
      <c r="BQ69" s="1425"/>
      <c r="BR69" s="1425"/>
      <c r="BS69" s="1425"/>
      <c r="BT69" s="1425"/>
      <c r="BU69" s="1425"/>
      <c r="BV69" s="1425"/>
      <c r="BW69" s="1425"/>
      <c r="BX69" s="1425"/>
      <c r="BY69" s="1425"/>
      <c r="BZ69" s="1339"/>
    </row>
    <row r="70" spans="3:78" s="174" customFormat="1" ht="12.6" customHeight="1">
      <c r="D70" s="199"/>
      <c r="E70" s="199"/>
      <c r="F70" s="199"/>
      <c r="G70" s="199"/>
      <c r="H70" s="199"/>
      <c r="I70" s="199"/>
      <c r="J70" s="199"/>
      <c r="K70" s="199"/>
      <c r="L70" s="199"/>
      <c r="M70" s="199"/>
      <c r="N70" s="199"/>
      <c r="O70" s="199"/>
      <c r="P70" s="199"/>
      <c r="Q70" s="199"/>
      <c r="S70" s="569"/>
      <c r="T70" s="2608"/>
      <c r="U70" s="2608"/>
      <c r="V70" s="565"/>
      <c r="W70" s="2608"/>
      <c r="X70" s="2608"/>
      <c r="Y70" s="199"/>
      <c r="Z70" s="1338"/>
      <c r="AA70" s="1449"/>
      <c r="AB70" s="1449"/>
      <c r="AC70" s="1449"/>
      <c r="AD70" s="1451">
        <f t="shared" si="44"/>
        <v>0.2</v>
      </c>
      <c r="AE70" s="1450">
        <f>Ta_feuchte</f>
        <v>20</v>
      </c>
      <c r="AF70" s="1449" t="s">
        <v>2324</v>
      </c>
      <c r="AG70" s="1451" t="e">
        <f>SUM(UWert!$H59:$H60)/(SUM(UWert!$H$51:$H$60))</f>
        <v>#DIV/0!</v>
      </c>
      <c r="AH70" s="1450">
        <f t="shared" si="53"/>
        <v>2336.7157223473796</v>
      </c>
      <c r="AI70" s="1468">
        <f>0*AC70*(1/0.72)</f>
        <v>0</v>
      </c>
      <c r="AJ70" s="1451" t="e">
        <f>AI70/SUM(AI61:AI70)</f>
        <v>#DIV/0!</v>
      </c>
      <c r="AK70" s="1450">
        <f>AH70*Rh_aussen</f>
        <v>1402.0294334084276</v>
      </c>
      <c r="AL70" s="1451">
        <f t="shared" si="46"/>
        <v>10.489639823639493</v>
      </c>
      <c r="AM70" s="1449" t="s">
        <v>2324</v>
      </c>
      <c r="AN70" s="1451">
        <f t="shared" si="47"/>
        <v>12.032306379344021</v>
      </c>
      <c r="AO70" s="1449" t="s">
        <v>2324</v>
      </c>
      <c r="AP70" s="1451">
        <f t="shared" si="48"/>
        <v>12.032306379344021</v>
      </c>
      <c r="AQ70" s="1449" t="s">
        <v>2324</v>
      </c>
      <c r="AR70" s="1449"/>
      <c r="AS70" s="1449"/>
      <c r="AT70" s="1449"/>
      <c r="AU70" s="1449"/>
      <c r="AV70" s="1449">
        <f t="shared" si="54"/>
        <v>0.2</v>
      </c>
      <c r="AW70" s="1450">
        <f>Ta_feuchte</f>
        <v>20</v>
      </c>
      <c r="AX70" s="1449" t="s">
        <v>2324</v>
      </c>
      <c r="AY70" s="1451" t="e">
        <f>SUM(UWert!$P59:$P60)/(SUM(UWert!$P$51:$P$60))</f>
        <v>#DIV/0!</v>
      </c>
      <c r="AZ70" s="1450">
        <f t="shared" si="55"/>
        <v>2336.7157223473796</v>
      </c>
      <c r="BA70" s="1451">
        <f>0*(AU70)*(1/0.72)</f>
        <v>0</v>
      </c>
      <c r="BB70" s="1451" t="e">
        <f>BA70/SUM(BA61:BA70)</f>
        <v>#DIV/0!</v>
      </c>
      <c r="BC70" s="1450">
        <f>AZ70*Rh_aussen</f>
        <v>1402.0294334084276</v>
      </c>
      <c r="BD70" s="1451">
        <f t="shared" si="50"/>
        <v>10.489639823639493</v>
      </c>
      <c r="BE70" s="1449" t="s">
        <v>2324</v>
      </c>
      <c r="BF70" s="1451">
        <f t="shared" si="51"/>
        <v>12.032306379344021</v>
      </c>
      <c r="BG70" s="1449" t="s">
        <v>2324</v>
      </c>
      <c r="BH70" s="1451">
        <f t="shared" si="52"/>
        <v>12.032306379344021</v>
      </c>
      <c r="BI70" s="1449" t="s">
        <v>2324</v>
      </c>
      <c r="BJ70" s="1425"/>
      <c r="BK70" s="1425"/>
      <c r="BL70" s="1425"/>
      <c r="BM70" s="1425"/>
      <c r="BN70" s="1425"/>
      <c r="BO70" s="1425"/>
      <c r="BP70" s="1425"/>
      <c r="BQ70" s="1425"/>
      <c r="BR70" s="1425"/>
      <c r="BS70" s="1425"/>
      <c r="BT70" s="1425"/>
      <c r="BU70" s="1425"/>
      <c r="BV70" s="1425"/>
      <c r="BW70" s="1425"/>
      <c r="BX70" s="1425"/>
      <c r="BY70" s="1425"/>
      <c r="BZ70" s="1339"/>
    </row>
    <row r="71" spans="3:78" s="174" customFormat="1" ht="12" customHeight="1">
      <c r="D71" s="199"/>
      <c r="E71" s="199"/>
      <c r="F71" s="199"/>
      <c r="G71" s="199"/>
      <c r="H71" s="199"/>
      <c r="I71" s="199"/>
      <c r="J71" s="199"/>
      <c r="K71" s="199"/>
      <c r="L71" s="199"/>
      <c r="M71" s="199"/>
      <c r="N71" s="199"/>
      <c r="O71" s="199"/>
      <c r="P71" s="199"/>
      <c r="Q71" s="199"/>
      <c r="S71" s="569"/>
      <c r="T71" s="199"/>
      <c r="U71" s="565"/>
      <c r="V71" s="565"/>
      <c r="W71" s="565"/>
      <c r="X71" s="565"/>
      <c r="Y71" s="199"/>
      <c r="Z71" s="1338"/>
      <c r="AA71" s="1449"/>
      <c r="AB71" s="1449"/>
      <c r="AC71" s="1449"/>
      <c r="AD71" s="1449"/>
      <c r="AE71" s="1449"/>
      <c r="AF71" s="1449"/>
      <c r="AG71" s="1449"/>
      <c r="AH71" s="1449"/>
      <c r="AI71" s="1453"/>
      <c r="AJ71" s="1449"/>
      <c r="AK71" s="1449"/>
      <c r="AL71" s="1449"/>
      <c r="AM71" s="1449"/>
      <c r="AN71" s="1449"/>
      <c r="AO71" s="1449"/>
      <c r="AP71" s="1449"/>
      <c r="AQ71" s="1449"/>
      <c r="AR71" s="1449"/>
      <c r="AS71" s="1449"/>
      <c r="AT71" s="1449"/>
      <c r="AU71" s="1449"/>
      <c r="AV71" s="1449"/>
      <c r="AW71" s="1449"/>
      <c r="AX71" s="1449"/>
      <c r="AY71" s="1449"/>
      <c r="AZ71" s="1449"/>
      <c r="BA71" s="1449"/>
      <c r="BB71" s="1449"/>
      <c r="BC71" s="1449"/>
      <c r="BD71" s="1449"/>
      <c r="BE71" s="1449"/>
      <c r="BF71" s="1449"/>
      <c r="BG71" s="1449"/>
      <c r="BH71" s="1449"/>
      <c r="BI71" s="1449"/>
      <c r="BJ71" s="1425"/>
      <c r="BK71" s="1425"/>
      <c r="BL71" s="1425"/>
      <c r="BM71" s="1425"/>
      <c r="BN71" s="1425"/>
      <c r="BO71" s="1425"/>
      <c r="BP71" s="1425"/>
      <c r="BQ71" s="1425"/>
      <c r="BR71" s="1425"/>
      <c r="BS71" s="1425"/>
      <c r="BT71" s="1425"/>
      <c r="BU71" s="1425"/>
      <c r="BV71" s="1425"/>
      <c r="BW71" s="1425"/>
      <c r="BX71" s="1425"/>
      <c r="BY71" s="1425"/>
      <c r="BZ71" s="1339"/>
    </row>
    <row r="72" spans="3:78" s="174" customFormat="1" ht="12.6" customHeight="1">
      <c r="C72" s="487">
        <v>9</v>
      </c>
      <c r="D72" s="490">
        <f>UWert!C63</f>
        <v>0</v>
      </c>
      <c r="E72" s="485"/>
      <c r="F72" s="485"/>
      <c r="G72" s="485"/>
      <c r="H72" s="485"/>
      <c r="I72" s="486"/>
      <c r="K72" s="487">
        <v>10</v>
      </c>
      <c r="L72" s="490">
        <f>UWert!K63</f>
        <v>0</v>
      </c>
      <c r="M72" s="485"/>
      <c r="N72" s="485"/>
      <c r="O72" s="485"/>
      <c r="P72" s="485"/>
      <c r="Q72" s="486"/>
      <c r="S72" s="569"/>
      <c r="T72" s="568">
        <v>9</v>
      </c>
      <c r="U72" s="488">
        <f>UWert!C63</f>
        <v>0</v>
      </c>
      <c r="V72" s="573"/>
      <c r="W72" s="488"/>
      <c r="X72" s="573"/>
      <c r="Y72" s="567"/>
      <c r="Z72" s="1338"/>
      <c r="AA72" s="1449"/>
      <c r="AB72" s="1449"/>
      <c r="AC72" s="1449"/>
      <c r="AD72" s="1449"/>
      <c r="AE72" s="1449"/>
      <c r="AF72" s="1449"/>
      <c r="AG72" s="1449"/>
      <c r="AH72" s="1449"/>
      <c r="AI72" s="1453"/>
      <c r="AJ72" s="1449"/>
      <c r="AK72" s="1449"/>
      <c r="AL72" s="1449"/>
      <c r="AM72" s="1449"/>
      <c r="AN72" s="1449"/>
      <c r="AO72" s="1449"/>
      <c r="AP72" s="1449"/>
      <c r="AQ72" s="1449"/>
      <c r="AR72" s="1449"/>
      <c r="AS72" s="1449"/>
      <c r="AT72" s="1449"/>
      <c r="AU72" s="1449"/>
      <c r="AV72" s="1449"/>
      <c r="AW72" s="1449"/>
      <c r="AX72" s="1449"/>
      <c r="AY72" s="1449"/>
      <c r="AZ72" s="1449"/>
      <c r="BA72" s="1449"/>
      <c r="BB72" s="1449"/>
      <c r="BC72" s="1449"/>
      <c r="BD72" s="1449"/>
      <c r="BE72" s="1449"/>
      <c r="BF72" s="1449"/>
      <c r="BG72" s="1449"/>
      <c r="BH72" s="1449"/>
      <c r="BI72" s="1449"/>
      <c r="BJ72" s="1425"/>
      <c r="BK72" s="1425"/>
      <c r="BL72" s="1425"/>
      <c r="BM72" s="1425"/>
      <c r="BN72" s="1425"/>
      <c r="BO72" s="1425"/>
      <c r="BP72" s="1425"/>
      <c r="BQ72" s="1425"/>
      <c r="BR72" s="1425"/>
      <c r="BS72" s="1425"/>
      <c r="BT72" s="1425"/>
      <c r="BU72" s="1425"/>
      <c r="BV72" s="1425"/>
      <c r="BW72" s="1425"/>
      <c r="BX72" s="1425"/>
      <c r="BY72" s="1425"/>
      <c r="BZ72" s="1339"/>
    </row>
    <row r="73" spans="3:78" s="174" customFormat="1" ht="12.6" customHeight="1" thickBot="1">
      <c r="Q73" s="199"/>
      <c r="S73" s="569"/>
      <c r="T73" s="2592" t="str">
        <f>T65</f>
        <v>valeur qui est</v>
      </c>
      <c r="U73" s="2593"/>
      <c r="V73" s="2596" t="str">
        <f>V65</f>
        <v>valeur limite</v>
      </c>
      <c r="W73" s="2597"/>
      <c r="X73" s="2596" t="str">
        <f>X65</f>
        <v>valeur limite</v>
      </c>
      <c r="Y73" s="2597"/>
      <c r="Z73" s="1338"/>
      <c r="AA73" s="1449"/>
      <c r="AB73" s="1449"/>
      <c r="AC73" s="1449"/>
      <c r="AD73" s="1449"/>
      <c r="AE73" s="1449"/>
      <c r="AF73" s="1449"/>
      <c r="AG73" s="1449"/>
      <c r="AH73" s="1449"/>
      <c r="AI73" s="1453"/>
      <c r="AJ73" s="1449"/>
      <c r="AK73" s="1449"/>
      <c r="AL73" s="1449"/>
      <c r="AM73" s="1449"/>
      <c r="AN73" s="1449"/>
      <c r="AO73" s="1449"/>
      <c r="AP73" s="1449"/>
      <c r="AQ73" s="1449"/>
      <c r="AR73" s="1449"/>
      <c r="AS73" s="1449"/>
      <c r="AT73" s="1449"/>
      <c r="AU73" s="1449"/>
      <c r="AV73" s="1449"/>
      <c r="AW73" s="1449"/>
      <c r="AX73" s="1449"/>
      <c r="AY73" s="1449"/>
      <c r="AZ73" s="1449"/>
      <c r="BA73" s="1449"/>
      <c r="BB73" s="1449"/>
      <c r="BC73" s="1449"/>
      <c r="BD73" s="1449"/>
      <c r="BE73" s="1449"/>
      <c r="BF73" s="1449"/>
      <c r="BG73" s="1449"/>
      <c r="BH73" s="1449"/>
      <c r="BI73" s="1449"/>
      <c r="BJ73" s="1425"/>
      <c r="BK73" s="1425"/>
      <c r="BL73" s="1425"/>
      <c r="BM73" s="1425"/>
      <c r="BN73" s="1425"/>
      <c r="BO73" s="1425"/>
      <c r="BP73" s="1425"/>
      <c r="BQ73" s="1425"/>
      <c r="BR73" s="1425"/>
      <c r="BS73" s="1425"/>
      <c r="BT73" s="1425"/>
      <c r="BU73" s="1425"/>
      <c r="BV73" s="1425"/>
      <c r="BW73" s="1425"/>
      <c r="BX73" s="1425"/>
      <c r="BY73" s="1425"/>
      <c r="BZ73" s="1339"/>
    </row>
    <row r="74" spans="3:78" s="174" customFormat="1" ht="12" customHeight="1" thickBot="1">
      <c r="Q74" s="199"/>
      <c r="S74" s="569"/>
      <c r="T74" s="2596"/>
      <c r="U74" s="2607"/>
      <c r="V74" s="2596" t="str">
        <f>V66</f>
        <v>condens.</v>
      </c>
      <c r="W74" s="2597"/>
      <c r="X74" s="2596" t="str">
        <f>X66</f>
        <v>penicillium</v>
      </c>
      <c r="Y74" s="2604"/>
      <c r="Z74" s="1338"/>
      <c r="AA74" s="1448" t="s">
        <v>1957</v>
      </c>
      <c r="AB74" s="1448" t="s">
        <v>1958</v>
      </c>
      <c r="AC74" s="1449" t="s">
        <v>2326</v>
      </c>
      <c r="AD74" s="1449" t="s">
        <v>791</v>
      </c>
      <c r="AE74" s="1449" t="s">
        <v>2327</v>
      </c>
      <c r="AF74" s="1449"/>
      <c r="AG74" s="1449" t="s">
        <v>1959</v>
      </c>
      <c r="AH74" s="1449" t="s">
        <v>106</v>
      </c>
      <c r="AI74" s="1453" t="s">
        <v>2201</v>
      </c>
      <c r="AJ74" s="1449" t="s">
        <v>108</v>
      </c>
      <c r="AK74" s="1449" t="s">
        <v>1250</v>
      </c>
      <c r="AL74" s="1449" t="s">
        <v>109</v>
      </c>
      <c r="AM74" s="1449"/>
      <c r="AN74" s="1449" t="s">
        <v>110</v>
      </c>
      <c r="AO74" s="1449"/>
      <c r="AP74" s="1449" t="s">
        <v>111</v>
      </c>
      <c r="AQ74" s="1449"/>
      <c r="AR74" s="1449"/>
      <c r="AS74" s="1448" t="s">
        <v>1957</v>
      </c>
      <c r="AT74" s="1448" t="s">
        <v>1958</v>
      </c>
      <c r="AU74" s="1449" t="s">
        <v>2326</v>
      </c>
      <c r="AV74" s="1449" t="s">
        <v>791</v>
      </c>
      <c r="AW74" s="1449" t="s">
        <v>2327</v>
      </c>
      <c r="AX74" s="1449"/>
      <c r="AY74" s="1449" t="s">
        <v>1959</v>
      </c>
      <c r="AZ74" s="1449" t="s">
        <v>106</v>
      </c>
      <c r="BA74" s="1449" t="s">
        <v>107</v>
      </c>
      <c r="BB74" s="1449" t="s">
        <v>108</v>
      </c>
      <c r="BC74" s="1449" t="s">
        <v>1250</v>
      </c>
      <c r="BD74" s="1449" t="s">
        <v>109</v>
      </c>
      <c r="BE74" s="1449"/>
      <c r="BF74" s="1449" t="s">
        <v>110</v>
      </c>
      <c r="BG74" s="1449"/>
      <c r="BH74" s="1449" t="s">
        <v>111</v>
      </c>
      <c r="BI74" s="1449"/>
      <c r="BJ74" s="1425"/>
      <c r="BK74" s="1426">
        <v>9</v>
      </c>
      <c r="BL74" s="1427" t="s">
        <v>840</v>
      </c>
      <c r="BM74" s="1428" t="s">
        <v>838</v>
      </c>
      <c r="BN74" s="1429" t="s">
        <v>839</v>
      </c>
      <c r="BO74" s="1430"/>
      <c r="BP74" s="1430"/>
      <c r="BQ74" s="1430"/>
      <c r="BR74" s="1430"/>
      <c r="BS74" s="1426">
        <v>10</v>
      </c>
      <c r="BT74" s="1427" t="s">
        <v>840</v>
      </c>
      <c r="BU74" s="1428" t="s">
        <v>838</v>
      </c>
      <c r="BV74" s="1429" t="s">
        <v>839</v>
      </c>
      <c r="BW74" s="1425"/>
      <c r="BX74" s="1425"/>
      <c r="BY74" s="1425"/>
      <c r="BZ74" s="1339"/>
    </row>
    <row r="75" spans="3:78" s="174" customFormat="1" ht="12.6" customHeight="1">
      <c r="D75" s="199"/>
      <c r="E75" s="199"/>
      <c r="F75" s="199"/>
      <c r="G75" s="199"/>
      <c r="H75" s="199"/>
      <c r="I75" s="199"/>
      <c r="J75" s="199"/>
      <c r="K75" s="199"/>
      <c r="L75" s="199"/>
      <c r="M75" s="199"/>
      <c r="N75" s="199"/>
      <c r="O75" s="199"/>
      <c r="P75" s="199"/>
      <c r="Q75" s="199"/>
      <c r="S75" s="569"/>
      <c r="T75" s="2602" t="s">
        <v>274</v>
      </c>
      <c r="U75" s="2601"/>
      <c r="V75" s="2602" t="s">
        <v>273</v>
      </c>
      <c r="W75" s="2601"/>
      <c r="X75" s="2603" t="s">
        <v>276</v>
      </c>
      <c r="Y75" s="2601"/>
      <c r="Z75" s="1338"/>
      <c r="AA75" s="1450" t="e">
        <f>Rh_innen*AH75-Rh_aussen*AH84</f>
        <v>#DIV/0!</v>
      </c>
      <c r="AB75" s="1449">
        <f>Ti_feuchte-Ta_feuchte</f>
        <v>0</v>
      </c>
      <c r="AC75" s="1451">
        <v>0.1</v>
      </c>
      <c r="AD75" s="1449">
        <v>0</v>
      </c>
      <c r="AE75" s="1451" t="e">
        <f t="shared" ref="AE75:AE83" si="56">AG76*$AB$75+AE76</f>
        <v>#DIV/0!</v>
      </c>
      <c r="AF75" s="1449" t="s">
        <v>2324</v>
      </c>
      <c r="AG75" s="1451"/>
      <c r="AH75" s="1450" t="e">
        <f>IF(AE75&gt;0,1.40574*POWER(10,10)*EXP(-3928.5/(AE75+231.667)),3.61633*POWER(10,12)*EXP(-6150.6/(AE75+273.33)))</f>
        <v>#DIV/0!</v>
      </c>
      <c r="AI75" s="1468"/>
      <c r="AJ75" s="1451"/>
      <c r="AK75" s="1450" t="e">
        <f>AH75*Rh_innen</f>
        <v>#DIV/0!</v>
      </c>
      <c r="AL75" s="1451" t="e">
        <f>(1/(LN(AK75/(3.61633*POWER(10,12))))*-6150.6)-273.33</f>
        <v>#DIV/0!</v>
      </c>
      <c r="AM75" s="1449" t="s">
        <v>2324</v>
      </c>
      <c r="AN75" s="1451" t="e">
        <f>(1/(LN(AK75/(1.40574*POWER(10,10))))*-3928.5)-231.66</f>
        <v>#DIV/0!</v>
      </c>
      <c r="AO75" s="1449" t="s">
        <v>2324</v>
      </c>
      <c r="AP75" s="1451" t="e">
        <f>IF(AN75&lt;0,AL75,AN75)</f>
        <v>#DIV/0!</v>
      </c>
      <c r="AQ75" s="1449" t="s">
        <v>2324</v>
      </c>
      <c r="AR75" s="1449"/>
      <c r="AS75" s="1450" t="e">
        <f>Rh_innen*AZ75-Rh_aussen*AZ84</f>
        <v>#DIV/0!</v>
      </c>
      <c r="AT75" s="1449">
        <f>Ti_feuchte-Ta_feuchte</f>
        <v>0</v>
      </c>
      <c r="AU75" s="1451">
        <v>0.1</v>
      </c>
      <c r="AV75" s="1449">
        <v>0</v>
      </c>
      <c r="AW75" s="1451" t="e">
        <f t="shared" ref="AW75:AW83" si="57">AY76*$AT$75+AW76</f>
        <v>#DIV/0!</v>
      </c>
      <c r="AX75" s="1449" t="s">
        <v>2324</v>
      </c>
      <c r="AY75" s="1451"/>
      <c r="AZ75" s="1450" t="e">
        <f>IF(AW75&gt;0,1.40574*POWER(10,10)*EXP(-3928.5/(AW75+231.667)),3.61633*POWER(10,12)*EXP(-6150.6/(AW75+273.33)))</f>
        <v>#DIV/0!</v>
      </c>
      <c r="BA75" s="1451"/>
      <c r="BB75" s="1451"/>
      <c r="BC75" s="1450" t="e">
        <f>AZ75*Rh_innen</f>
        <v>#DIV/0!</v>
      </c>
      <c r="BD75" s="1451" t="e">
        <f>(1/(LN(BC75/(3.61633*POWER(10,12))))*-6150.6)-273.33</f>
        <v>#DIV/0!</v>
      </c>
      <c r="BE75" s="1449" t="s">
        <v>2324</v>
      </c>
      <c r="BF75" s="1451" t="e">
        <f>(1/(LN(BC75/(1.40574*POWER(10,10))))*-3928.5)-231.66</f>
        <v>#DIV/0!</v>
      </c>
      <c r="BG75" s="1449" t="s">
        <v>2324</v>
      </c>
      <c r="BH75" s="1451" t="e">
        <f>IF(BF75&lt;0,BD75,BF75)</f>
        <v>#DIV/0!</v>
      </c>
      <c r="BI75" s="1449" t="s">
        <v>2324</v>
      </c>
      <c r="BJ75" s="1425"/>
      <c r="BK75" s="1430"/>
      <c r="BL75" s="1431" t="s">
        <v>1987</v>
      </c>
      <c r="BM75" s="1432" t="s">
        <v>1988</v>
      </c>
      <c r="BN75" s="1433" t="s">
        <v>1989</v>
      </c>
      <c r="BO75" s="1430"/>
      <c r="BP75" s="1430"/>
      <c r="BQ75" s="1430"/>
      <c r="BR75" s="1430"/>
      <c r="BS75" s="1430"/>
      <c r="BT75" s="1431" t="s">
        <v>1987</v>
      </c>
      <c r="BU75" s="1432" t="s">
        <v>1988</v>
      </c>
      <c r="BV75" s="1433" t="s">
        <v>1989</v>
      </c>
      <c r="BW75" s="1425"/>
      <c r="BX75" s="1425"/>
      <c r="BY75" s="1425"/>
      <c r="BZ75" s="1339"/>
    </row>
    <row r="76" spans="3:78" s="174" customFormat="1" ht="12.6" customHeight="1">
      <c r="D76" s="199"/>
      <c r="E76" s="199"/>
      <c r="F76" s="199"/>
      <c r="G76" s="199"/>
      <c r="H76" s="199"/>
      <c r="I76" s="199"/>
      <c r="J76" s="199"/>
      <c r="K76" s="199"/>
      <c r="L76" s="199"/>
      <c r="M76" s="199"/>
      <c r="N76" s="199"/>
      <c r="O76" s="199"/>
      <c r="P76" s="199"/>
      <c r="Q76" s="199"/>
      <c r="S76" s="569"/>
      <c r="T76" s="2600">
        <f>IF(UWert!F63&lt;&gt;"",BL76,)</f>
        <v>0</v>
      </c>
      <c r="U76" s="2601"/>
      <c r="V76" s="2600">
        <f>BM76</f>
        <v>0</v>
      </c>
      <c r="W76" s="2601"/>
      <c r="X76" s="2603">
        <f>BN76</f>
        <v>0</v>
      </c>
      <c r="Y76" s="2601"/>
      <c r="Z76" s="1338"/>
      <c r="AA76" s="1449"/>
      <c r="AB76" s="1449"/>
      <c r="AC76" s="1451">
        <f>UWert!$F66/100</f>
        <v>0</v>
      </c>
      <c r="AD76" s="1451">
        <f t="shared" ref="AD76:AD84" si="58">AD75+AC75</f>
        <v>0.1</v>
      </c>
      <c r="AE76" s="1451" t="e">
        <f t="shared" si="56"/>
        <v>#DIV/0!</v>
      </c>
      <c r="AF76" s="1449" t="s">
        <v>2324</v>
      </c>
      <c r="AG76" s="1451" t="e">
        <f>UWert!$H65/(SUM(UWert!$H$65:$H$74))</f>
        <v>#DIV/0!</v>
      </c>
      <c r="AH76" s="1450" t="e">
        <f>IF(AE76&gt;0,1.40574*POWER(10,10)*EXP(-3928.5/(AE76+231.667)),3.61633*POWER(10,12)*EXP(-6150.6/(AE76+273.33)))</f>
        <v>#DIV/0!</v>
      </c>
      <c r="AI76" s="1468">
        <f>INDEX(Bauteile!$I$57:$I$1152,UWert!BA66)*(AC76)*(1/0.72)</f>
        <v>0</v>
      </c>
      <c r="AJ76" s="1451" t="e">
        <f>AI76/SUM(AI75:AI84)</f>
        <v>#DIV/0!</v>
      </c>
      <c r="AK76" s="1450" t="e">
        <f t="shared" ref="AK76:AK83" si="59">AJ76*$AA$75+AK77</f>
        <v>#DIV/0!</v>
      </c>
      <c r="AL76" s="1451" t="e">
        <f t="shared" ref="AL76:AL84" si="60">(1/(LN(AK76/(3.61633*POWER(10,12))))*-6150.6)-273.33</f>
        <v>#DIV/0!</v>
      </c>
      <c r="AM76" s="1449" t="s">
        <v>2324</v>
      </c>
      <c r="AN76" s="1451" t="e">
        <f t="shared" ref="AN76:AN84" si="61">(1/(LN(AK76/(1.40574*POWER(10,10))))*-3928.5)-231.66</f>
        <v>#DIV/0!</v>
      </c>
      <c r="AO76" s="1449" t="s">
        <v>2324</v>
      </c>
      <c r="AP76" s="1451" t="e">
        <f t="shared" ref="AP76:AP84" si="62">IF(AN76&lt;0,AL76,AN76)</f>
        <v>#DIV/0!</v>
      </c>
      <c r="AQ76" s="1449" t="s">
        <v>2324</v>
      </c>
      <c r="AR76" s="1449"/>
      <c r="AS76" s="1449"/>
      <c r="AT76" s="1449"/>
      <c r="AU76" s="1451">
        <f>UWert!$N66/100</f>
        <v>0</v>
      </c>
      <c r="AV76" s="1449">
        <f>AV75+AU75</f>
        <v>0.1</v>
      </c>
      <c r="AW76" s="1451" t="e">
        <f t="shared" si="57"/>
        <v>#DIV/0!</v>
      </c>
      <c r="AX76" s="1449" t="s">
        <v>2324</v>
      </c>
      <c r="AY76" s="1451" t="e">
        <f>UWert!$P65/(SUM(UWert!$P$65:$P$74))</f>
        <v>#DIV/0!</v>
      </c>
      <c r="AZ76" s="1450" t="e">
        <f>IF(AW76&gt;0,1.40574*POWER(10,10)*EXP(-3928.5/(AW76+231.667)),3.61633*POWER(10,12)*EXP(-6150.6/(AW76+273.33)))</f>
        <v>#DIV/0!</v>
      </c>
      <c r="BA76" s="1451">
        <f>INDEX(Bauteile!$I$57:$I$1152,UWert!BB66)*(AU76)*(1/0.72)</f>
        <v>0</v>
      </c>
      <c r="BB76" s="1451" t="e">
        <f>BA76/SUM(BA75:BA84)</f>
        <v>#DIV/0!</v>
      </c>
      <c r="BC76" s="1450" t="e">
        <f t="shared" ref="BC76:BC83" si="63">BB76*$AS$75+BC77</f>
        <v>#DIV/0!</v>
      </c>
      <c r="BD76" s="1451" t="e">
        <f t="shared" ref="BD76:BD84" si="64">(1/(LN(BC76/(3.61633*POWER(10,12))))*-6150.6)-273.33</f>
        <v>#DIV/0!</v>
      </c>
      <c r="BE76" s="1449" t="s">
        <v>2324</v>
      </c>
      <c r="BF76" s="1451" t="e">
        <f t="shared" ref="BF76:BF84" si="65">(1/(LN(BC76/(1.40574*POWER(10,10))))*-3928.5)-231.66</f>
        <v>#DIV/0!</v>
      </c>
      <c r="BG76" s="1449" t="s">
        <v>2324</v>
      </c>
      <c r="BH76" s="1451" t="e">
        <f t="shared" ref="BH76:BH84" si="66">IF(BF76&lt;0,BD76,BF76)</f>
        <v>#DIV/0!</v>
      </c>
      <c r="BI76" s="1449" t="s">
        <v>2324</v>
      </c>
      <c r="BJ76" s="1425"/>
      <c r="BK76" s="1430"/>
      <c r="BL76" s="1434" t="e">
        <f>IF(BL77&gt;0,BL77*((1/BL77)-(1/6)),"")</f>
        <v>#VALUE!</v>
      </c>
      <c r="BM76" s="1435">
        <f>$BM$15</f>
        <v>0</v>
      </c>
      <c r="BN76" s="1436">
        <f>$BN$15</f>
        <v>0</v>
      </c>
      <c r="BO76" s="1430"/>
      <c r="BP76" s="1430"/>
      <c r="BQ76" s="1430"/>
      <c r="BR76" s="1430"/>
      <c r="BS76" s="1430"/>
      <c r="BT76" s="1434" t="e">
        <f>IF(BT77&gt;0,BT77*((1/BT77)-(1/6)),"")</f>
        <v>#VALUE!</v>
      </c>
      <c r="BU76" s="1435">
        <f>$BM$15</f>
        <v>0</v>
      </c>
      <c r="BV76" s="1436">
        <f>$BN$15</f>
        <v>0</v>
      </c>
      <c r="BW76" s="1425"/>
      <c r="BX76" s="1425"/>
      <c r="BY76" s="1425"/>
      <c r="BZ76" s="1339"/>
    </row>
    <row r="77" spans="3:78" s="174" customFormat="1" ht="12.6" customHeight="1" thickBot="1">
      <c r="D77" s="199"/>
      <c r="E77" s="199"/>
      <c r="F77" s="199"/>
      <c r="G77" s="199"/>
      <c r="H77" s="199"/>
      <c r="I77" s="199"/>
      <c r="J77" s="199"/>
      <c r="K77" s="199"/>
      <c r="L77" s="199"/>
      <c r="M77" s="199"/>
      <c r="N77" s="199"/>
      <c r="O77" s="199"/>
      <c r="P77" s="199"/>
      <c r="Q77" s="199"/>
      <c r="S77" s="569"/>
      <c r="T77" s="615"/>
      <c r="U77" s="616"/>
      <c r="V77" s="2594">
        <f>IF(UWert!F63&lt;&gt;"",BM77,)</f>
        <v>0</v>
      </c>
      <c r="W77" s="2595"/>
      <c r="X77" s="2594">
        <f>IF(UWert!F63&lt;&gt;"",BN77,)</f>
        <v>0</v>
      </c>
      <c r="Y77" s="2595"/>
      <c r="Z77" s="1338"/>
      <c r="AA77" s="1449"/>
      <c r="AB77" s="1449"/>
      <c r="AC77" s="1451">
        <f>UWert!$F67/100</f>
        <v>0</v>
      </c>
      <c r="AD77" s="1451">
        <f t="shared" si="58"/>
        <v>0.1</v>
      </c>
      <c r="AE77" s="1451" t="e">
        <f t="shared" si="56"/>
        <v>#DIV/0!</v>
      </c>
      <c r="AF77" s="1449" t="s">
        <v>2324</v>
      </c>
      <c r="AG77" s="1451" t="e">
        <f>UWert!$H66/(SUM(UWert!$H$65:$H$74))</f>
        <v>#DIV/0!</v>
      </c>
      <c r="AH77" s="1450" t="e">
        <f t="shared" ref="AH77:AH84" si="67">IF(AE77&gt;0,1.40574*POWER(10,10)*EXP(-3928.5/(AE77+231.667)),3.61633*POWER(10,12)*EXP(-6150.6/(AE77+273.33)))</f>
        <v>#DIV/0!</v>
      </c>
      <c r="AI77" s="1468">
        <f>INDEX(Bauteile!$I$57:$I$1152,UWert!BA67)*(AC77)*(1/0.72)</f>
        <v>0</v>
      </c>
      <c r="AJ77" s="1451" t="e">
        <f>AI77/SUM(AI75:AI84)</f>
        <v>#DIV/0!</v>
      </c>
      <c r="AK77" s="1450" t="e">
        <f t="shared" si="59"/>
        <v>#DIV/0!</v>
      </c>
      <c r="AL77" s="1451" t="e">
        <f t="shared" si="60"/>
        <v>#DIV/0!</v>
      </c>
      <c r="AM77" s="1449" t="s">
        <v>2324</v>
      </c>
      <c r="AN77" s="1451" t="e">
        <f t="shared" si="61"/>
        <v>#DIV/0!</v>
      </c>
      <c r="AO77" s="1449" t="s">
        <v>2324</v>
      </c>
      <c r="AP77" s="1451" t="e">
        <f t="shared" si="62"/>
        <v>#DIV/0!</v>
      </c>
      <c r="AQ77" s="1449" t="s">
        <v>2324</v>
      </c>
      <c r="AR77" s="1449"/>
      <c r="AS77" s="1449"/>
      <c r="AT77" s="1449"/>
      <c r="AU77" s="1451">
        <f>UWert!$N67/100</f>
        <v>0</v>
      </c>
      <c r="AV77" s="1449">
        <f t="shared" ref="AV77:AV84" si="68">AV76+AU76</f>
        <v>0.1</v>
      </c>
      <c r="AW77" s="1451" t="e">
        <f t="shared" si="57"/>
        <v>#DIV/0!</v>
      </c>
      <c r="AX77" s="1449" t="s">
        <v>2324</v>
      </c>
      <c r="AY77" s="1451" t="e">
        <f>UWert!$P66/(SUM(UWert!$P$65:$P$74))</f>
        <v>#DIV/0!</v>
      </c>
      <c r="AZ77" s="1450" t="e">
        <f t="shared" ref="AZ77:AZ84" si="69">IF(AW77&gt;0,1.40574*POWER(10,10)*EXP(-3928.5/(AW77+231.667)),3.61633*POWER(10,12)*EXP(-6150.6/(AW77+273.33)))</f>
        <v>#DIV/0!</v>
      </c>
      <c r="BA77" s="1451">
        <f>INDEX(Bauteile!$I$57:$I$1152,UWert!BB67)*(AU77)*(1/0.72)</f>
        <v>0</v>
      </c>
      <c r="BB77" s="1451" t="e">
        <f>BA77/SUM(BA75:BA84)</f>
        <v>#DIV/0!</v>
      </c>
      <c r="BC77" s="1450" t="e">
        <f t="shared" si="63"/>
        <v>#DIV/0!</v>
      </c>
      <c r="BD77" s="1451" t="e">
        <f t="shared" si="64"/>
        <v>#DIV/0!</v>
      </c>
      <c r="BE77" s="1449" t="s">
        <v>2324</v>
      </c>
      <c r="BF77" s="1451" t="e">
        <f t="shared" si="65"/>
        <v>#DIV/0!</v>
      </c>
      <c r="BG77" s="1449" t="s">
        <v>2324</v>
      </c>
      <c r="BH77" s="1451" t="e">
        <f t="shared" si="66"/>
        <v>#DIV/0!</v>
      </c>
      <c r="BI77" s="1449" t="s">
        <v>2324</v>
      </c>
      <c r="BJ77" s="1425"/>
      <c r="BK77" s="1437"/>
      <c r="BL77" s="1438" t="e">
        <f>IF(UWert!F63&gt;0,1/((1/UWert!F63)-(1/8)+(1/6)),)</f>
        <v>#VALUE!</v>
      </c>
      <c r="BM77" s="1439" t="e">
        <f>IF(BL76&gt;BM76,"","Problem !!!")</f>
        <v>#VALUE!</v>
      </c>
      <c r="BN77" s="1440" t="e">
        <f>IF(BL76&gt;BN76,"","Problem !!!")</f>
        <v>#VALUE!</v>
      </c>
      <c r="BO77" s="1437"/>
      <c r="BP77" s="1437"/>
      <c r="BQ77" s="1437"/>
      <c r="BR77" s="1437"/>
      <c r="BS77" s="1437"/>
      <c r="BT77" s="1438" t="e">
        <f>IF(UWert!N63&gt;0,1/((1/UWert!N63)-(1/8)+(1/6)),)</f>
        <v>#VALUE!</v>
      </c>
      <c r="BU77" s="1439" t="e">
        <f>IF(BT76&gt;BU76,"","Problem !!!")</f>
        <v>#VALUE!</v>
      </c>
      <c r="BV77" s="1440" t="e">
        <f>IF(BT76&gt;BV76,"","Problem !!!")</f>
        <v>#VALUE!</v>
      </c>
      <c r="BW77" s="1425"/>
      <c r="BX77" s="1425"/>
      <c r="BY77" s="1425"/>
      <c r="BZ77" s="1339"/>
    </row>
    <row r="78" spans="3:78" s="174" customFormat="1" ht="12.6" customHeight="1">
      <c r="D78" s="199"/>
      <c r="E78" s="199"/>
      <c r="F78" s="199"/>
      <c r="G78" s="199"/>
      <c r="H78" s="199"/>
      <c r="I78" s="199"/>
      <c r="J78" s="199"/>
      <c r="K78" s="199"/>
      <c r="L78" s="199"/>
      <c r="M78" s="199"/>
      <c r="N78" s="199"/>
      <c r="O78" s="199"/>
      <c r="P78" s="199"/>
      <c r="Q78" s="199"/>
      <c r="S78" s="569"/>
      <c r="T78" s="2605"/>
      <c r="U78" s="2605"/>
      <c r="V78" s="565"/>
      <c r="W78" s="2605"/>
      <c r="X78" s="2605"/>
      <c r="Y78" s="199"/>
      <c r="Z78" s="1338"/>
      <c r="AA78" s="1449"/>
      <c r="AB78" s="1449"/>
      <c r="AC78" s="1451">
        <f>UWert!$F68/100</f>
        <v>0</v>
      </c>
      <c r="AD78" s="1451">
        <f t="shared" si="58"/>
        <v>0.1</v>
      </c>
      <c r="AE78" s="1451" t="e">
        <f t="shared" si="56"/>
        <v>#DIV/0!</v>
      </c>
      <c r="AF78" s="1449" t="s">
        <v>2324</v>
      </c>
      <c r="AG78" s="1451" t="e">
        <f>UWert!$H67/(SUM(UWert!$H$65:$H$74))</f>
        <v>#DIV/0!</v>
      </c>
      <c r="AH78" s="1450" t="e">
        <f t="shared" si="67"/>
        <v>#DIV/0!</v>
      </c>
      <c r="AI78" s="1468">
        <f>INDEX(Bauteile!$I$57:$I$1152,UWert!BA68)*(AC78)*(1/0.72)</f>
        <v>0</v>
      </c>
      <c r="AJ78" s="1451" t="e">
        <f>AI78/SUM(AI75:AI84)</f>
        <v>#DIV/0!</v>
      </c>
      <c r="AK78" s="1450" t="e">
        <f t="shared" si="59"/>
        <v>#DIV/0!</v>
      </c>
      <c r="AL78" s="1451" t="e">
        <f t="shared" si="60"/>
        <v>#DIV/0!</v>
      </c>
      <c r="AM78" s="1449" t="s">
        <v>2324</v>
      </c>
      <c r="AN78" s="1451" t="e">
        <f t="shared" si="61"/>
        <v>#DIV/0!</v>
      </c>
      <c r="AO78" s="1449" t="s">
        <v>2324</v>
      </c>
      <c r="AP78" s="1451" t="e">
        <f t="shared" si="62"/>
        <v>#DIV/0!</v>
      </c>
      <c r="AQ78" s="1449" t="s">
        <v>2324</v>
      </c>
      <c r="AR78" s="1449"/>
      <c r="AS78" s="1449"/>
      <c r="AT78" s="1449"/>
      <c r="AU78" s="1451">
        <f>UWert!$N68/100</f>
        <v>0</v>
      </c>
      <c r="AV78" s="1449">
        <f t="shared" si="68"/>
        <v>0.1</v>
      </c>
      <c r="AW78" s="1451" t="e">
        <f t="shared" si="57"/>
        <v>#DIV/0!</v>
      </c>
      <c r="AX78" s="1449" t="s">
        <v>2324</v>
      </c>
      <c r="AY78" s="1451" t="e">
        <f>UWert!$P67/(SUM(UWert!$P$65:$P$74))</f>
        <v>#DIV/0!</v>
      </c>
      <c r="AZ78" s="1450" t="e">
        <f t="shared" si="69"/>
        <v>#DIV/0!</v>
      </c>
      <c r="BA78" s="1451">
        <f>INDEX(Bauteile!$I$57:$I$1152,UWert!BB68)*(AU78)*(1/0.72)</f>
        <v>0</v>
      </c>
      <c r="BB78" s="1451" t="e">
        <f>BA78/SUM(BA75:BA84)</f>
        <v>#DIV/0!</v>
      </c>
      <c r="BC78" s="1450" t="e">
        <f t="shared" si="63"/>
        <v>#DIV/0!</v>
      </c>
      <c r="BD78" s="1451" t="e">
        <f t="shared" si="64"/>
        <v>#DIV/0!</v>
      </c>
      <c r="BE78" s="1449" t="s">
        <v>2324</v>
      </c>
      <c r="BF78" s="1451" t="e">
        <f t="shared" si="65"/>
        <v>#DIV/0!</v>
      </c>
      <c r="BG78" s="1449" t="s">
        <v>2324</v>
      </c>
      <c r="BH78" s="1451" t="e">
        <f t="shared" si="66"/>
        <v>#DIV/0!</v>
      </c>
      <c r="BI78" s="1449" t="s">
        <v>2324</v>
      </c>
      <c r="BJ78" s="1425"/>
      <c r="BK78" s="1425"/>
      <c r="BL78" s="1425"/>
      <c r="BM78" s="1425"/>
      <c r="BN78" s="1425"/>
      <c r="BO78" s="1425"/>
      <c r="BP78" s="1425"/>
      <c r="BQ78" s="1425"/>
      <c r="BR78" s="1425"/>
      <c r="BS78" s="1425"/>
      <c r="BT78" s="1425"/>
      <c r="BU78" s="1425"/>
      <c r="BV78" s="1425"/>
      <c r="BW78" s="1425"/>
      <c r="BX78" s="1425"/>
      <c r="BY78" s="1425"/>
      <c r="BZ78" s="1339"/>
    </row>
    <row r="79" spans="3:78" s="174" customFormat="1" ht="12.6" customHeight="1">
      <c r="D79" s="199"/>
      <c r="E79" s="199"/>
      <c r="F79" s="199"/>
      <c r="G79" s="199"/>
      <c r="H79" s="199"/>
      <c r="I79" s="199"/>
      <c r="J79" s="199"/>
      <c r="K79" s="199"/>
      <c r="L79" s="199"/>
      <c r="M79" s="199"/>
      <c r="N79" s="199"/>
      <c r="O79" s="199"/>
      <c r="P79" s="199"/>
      <c r="Q79" s="199"/>
      <c r="S79" s="569"/>
      <c r="T79" s="568">
        <v>10</v>
      </c>
      <c r="U79" s="488">
        <f>UWert!K63</f>
        <v>0</v>
      </c>
      <c r="V79" s="573"/>
      <c r="W79" s="488"/>
      <c r="X79" s="573"/>
      <c r="Y79" s="567"/>
      <c r="Z79" s="1338"/>
      <c r="AA79" s="1449"/>
      <c r="AB79" s="1449"/>
      <c r="AC79" s="1451">
        <f>UWert!$F69/100</f>
        <v>0</v>
      </c>
      <c r="AD79" s="1451">
        <f t="shared" si="58"/>
        <v>0.1</v>
      </c>
      <c r="AE79" s="1451" t="e">
        <f t="shared" si="56"/>
        <v>#DIV/0!</v>
      </c>
      <c r="AF79" s="1449" t="s">
        <v>2324</v>
      </c>
      <c r="AG79" s="1451" t="e">
        <f>UWert!$H68/(SUM(UWert!$H$65:$H$74))</f>
        <v>#DIV/0!</v>
      </c>
      <c r="AH79" s="1450" t="e">
        <f t="shared" si="67"/>
        <v>#DIV/0!</v>
      </c>
      <c r="AI79" s="1468">
        <f>INDEX(Bauteile!$I$57:$I$1152,UWert!BA69)*(AC79)*(1/0.72)</f>
        <v>0</v>
      </c>
      <c r="AJ79" s="1451" t="e">
        <f>AI79/SUM(AI75:AI84)</f>
        <v>#DIV/0!</v>
      </c>
      <c r="AK79" s="1450" t="e">
        <f t="shared" si="59"/>
        <v>#DIV/0!</v>
      </c>
      <c r="AL79" s="1451" t="e">
        <f t="shared" si="60"/>
        <v>#DIV/0!</v>
      </c>
      <c r="AM79" s="1449" t="s">
        <v>2324</v>
      </c>
      <c r="AN79" s="1451" t="e">
        <f t="shared" si="61"/>
        <v>#DIV/0!</v>
      </c>
      <c r="AO79" s="1449" t="s">
        <v>2324</v>
      </c>
      <c r="AP79" s="1451" t="e">
        <f t="shared" si="62"/>
        <v>#DIV/0!</v>
      </c>
      <c r="AQ79" s="1449" t="s">
        <v>2324</v>
      </c>
      <c r="AR79" s="1449"/>
      <c r="AS79" s="1449"/>
      <c r="AT79" s="1449"/>
      <c r="AU79" s="1451">
        <f>UWert!$N69/100</f>
        <v>0</v>
      </c>
      <c r="AV79" s="1449">
        <f t="shared" si="68"/>
        <v>0.1</v>
      </c>
      <c r="AW79" s="1451" t="e">
        <f t="shared" si="57"/>
        <v>#DIV/0!</v>
      </c>
      <c r="AX79" s="1449" t="s">
        <v>2324</v>
      </c>
      <c r="AY79" s="1451" t="e">
        <f>UWert!$P68/(SUM(UWert!$P$65:$P$74))</f>
        <v>#DIV/0!</v>
      </c>
      <c r="AZ79" s="1450" t="e">
        <f t="shared" si="69"/>
        <v>#DIV/0!</v>
      </c>
      <c r="BA79" s="1451">
        <f>INDEX(Bauteile!$I$57:$I$1152,UWert!BB69)*(AU79)*(1/0.72)</f>
        <v>0</v>
      </c>
      <c r="BB79" s="1451" t="e">
        <f>BA79/SUM(BA75:BA84)</f>
        <v>#DIV/0!</v>
      </c>
      <c r="BC79" s="1450" t="e">
        <f t="shared" si="63"/>
        <v>#DIV/0!</v>
      </c>
      <c r="BD79" s="1451" t="e">
        <f t="shared" si="64"/>
        <v>#DIV/0!</v>
      </c>
      <c r="BE79" s="1449" t="s">
        <v>2324</v>
      </c>
      <c r="BF79" s="1451" t="e">
        <f t="shared" si="65"/>
        <v>#DIV/0!</v>
      </c>
      <c r="BG79" s="1449" t="s">
        <v>2324</v>
      </c>
      <c r="BH79" s="1451" t="e">
        <f t="shared" si="66"/>
        <v>#DIV/0!</v>
      </c>
      <c r="BI79" s="1449" t="s">
        <v>2324</v>
      </c>
      <c r="BJ79" s="1425"/>
      <c r="BK79" s="1425"/>
      <c r="BL79" s="1425"/>
      <c r="BM79" s="1425"/>
      <c r="BN79" s="1425"/>
      <c r="BO79" s="1425"/>
      <c r="BP79" s="1425"/>
      <c r="BQ79" s="1425"/>
      <c r="BR79" s="1425"/>
      <c r="BS79" s="1425"/>
      <c r="BT79" s="1425"/>
      <c r="BU79" s="1425"/>
      <c r="BV79" s="1425"/>
      <c r="BW79" s="1425"/>
      <c r="BX79" s="1425"/>
      <c r="BY79" s="1425"/>
      <c r="BZ79" s="1339"/>
    </row>
    <row r="80" spans="3:78" s="174" customFormat="1" ht="12.6" customHeight="1">
      <c r="D80" s="199"/>
      <c r="E80" s="199"/>
      <c r="F80" s="199"/>
      <c r="G80" s="199"/>
      <c r="H80" s="199"/>
      <c r="I80" s="199"/>
      <c r="J80" s="199"/>
      <c r="K80" s="199"/>
      <c r="L80" s="199"/>
      <c r="M80" s="199"/>
      <c r="N80" s="199"/>
      <c r="O80" s="199"/>
      <c r="P80" s="199"/>
      <c r="Q80" s="199"/>
      <c r="S80" s="569"/>
      <c r="T80" s="2592" t="str">
        <f>T73</f>
        <v>valeur qui est</v>
      </c>
      <c r="U80" s="2593"/>
      <c r="V80" s="2596" t="str">
        <f>V73</f>
        <v>valeur limite</v>
      </c>
      <c r="W80" s="2597"/>
      <c r="X80" s="2596" t="str">
        <f>X73</f>
        <v>valeur limite</v>
      </c>
      <c r="Y80" s="2597"/>
      <c r="Z80" s="1338"/>
      <c r="AA80" s="1449"/>
      <c r="AB80" s="1449"/>
      <c r="AC80" s="1451">
        <f>UWert!$F70/100</f>
        <v>0</v>
      </c>
      <c r="AD80" s="1451">
        <f t="shared" si="58"/>
        <v>0.1</v>
      </c>
      <c r="AE80" s="1451" t="e">
        <f t="shared" si="56"/>
        <v>#DIV/0!</v>
      </c>
      <c r="AF80" s="1449" t="s">
        <v>2324</v>
      </c>
      <c r="AG80" s="1451" t="e">
        <f>UWert!$H69/(SUM(UWert!$H$65:$H$74))</f>
        <v>#DIV/0!</v>
      </c>
      <c r="AH80" s="1450" t="e">
        <f t="shared" si="67"/>
        <v>#DIV/0!</v>
      </c>
      <c r="AI80" s="1468">
        <f>INDEX(Bauteile!$I$57:$I$1152,UWert!BA70)*(AC80)*(1/0.72)</f>
        <v>0</v>
      </c>
      <c r="AJ80" s="1451" t="e">
        <f>AI80/SUM(AI75:AI84)</f>
        <v>#DIV/0!</v>
      </c>
      <c r="AK80" s="1450" t="e">
        <f t="shared" si="59"/>
        <v>#DIV/0!</v>
      </c>
      <c r="AL80" s="1451" t="e">
        <f t="shared" si="60"/>
        <v>#DIV/0!</v>
      </c>
      <c r="AM80" s="1449" t="s">
        <v>2324</v>
      </c>
      <c r="AN80" s="1451" t="e">
        <f t="shared" si="61"/>
        <v>#DIV/0!</v>
      </c>
      <c r="AO80" s="1449" t="s">
        <v>2324</v>
      </c>
      <c r="AP80" s="1451" t="e">
        <f t="shared" si="62"/>
        <v>#DIV/0!</v>
      </c>
      <c r="AQ80" s="1449" t="s">
        <v>2324</v>
      </c>
      <c r="AR80" s="1449"/>
      <c r="AS80" s="1449"/>
      <c r="AT80" s="1449"/>
      <c r="AU80" s="1451">
        <f>UWert!$N70/100</f>
        <v>0</v>
      </c>
      <c r="AV80" s="1449">
        <f t="shared" si="68"/>
        <v>0.1</v>
      </c>
      <c r="AW80" s="1451" t="e">
        <f t="shared" si="57"/>
        <v>#DIV/0!</v>
      </c>
      <c r="AX80" s="1449" t="s">
        <v>2324</v>
      </c>
      <c r="AY80" s="1451" t="e">
        <f>UWert!$P69/(SUM(UWert!$P$65:$P$74))</f>
        <v>#DIV/0!</v>
      </c>
      <c r="AZ80" s="1450" t="e">
        <f t="shared" si="69"/>
        <v>#DIV/0!</v>
      </c>
      <c r="BA80" s="1451">
        <f>INDEX(Bauteile!$I$57:$I$1152,UWert!BB70)*(AU80)*(1/0.72)</f>
        <v>0</v>
      </c>
      <c r="BB80" s="1451" t="e">
        <f>BA80/SUM(BA75:BA84)</f>
        <v>#DIV/0!</v>
      </c>
      <c r="BC80" s="1450" t="e">
        <f t="shared" si="63"/>
        <v>#DIV/0!</v>
      </c>
      <c r="BD80" s="1451" t="e">
        <f t="shared" si="64"/>
        <v>#DIV/0!</v>
      </c>
      <c r="BE80" s="1449" t="s">
        <v>2324</v>
      </c>
      <c r="BF80" s="1451" t="e">
        <f t="shared" si="65"/>
        <v>#DIV/0!</v>
      </c>
      <c r="BG80" s="1449" t="s">
        <v>2324</v>
      </c>
      <c r="BH80" s="1451" t="e">
        <f t="shared" si="66"/>
        <v>#DIV/0!</v>
      </c>
      <c r="BI80" s="1449" t="s">
        <v>2324</v>
      </c>
      <c r="BJ80" s="1425"/>
      <c r="BK80" s="1425"/>
      <c r="BL80" s="1425"/>
      <c r="BM80" s="1425"/>
      <c r="BN80" s="1425"/>
      <c r="BO80" s="1425"/>
      <c r="BP80" s="1425"/>
      <c r="BQ80" s="1425"/>
      <c r="BR80" s="1425"/>
      <c r="BS80" s="1425"/>
      <c r="BT80" s="1425"/>
      <c r="BU80" s="1425"/>
      <c r="BV80" s="1425"/>
      <c r="BW80" s="1425"/>
      <c r="BX80" s="1425"/>
      <c r="BY80" s="1425"/>
      <c r="BZ80" s="1339"/>
    </row>
    <row r="81" spans="3:78" s="174" customFormat="1" ht="12.6" customHeight="1">
      <c r="D81" s="199"/>
      <c r="E81" s="199"/>
      <c r="F81" s="199"/>
      <c r="G81" s="199"/>
      <c r="H81" s="199"/>
      <c r="I81" s="199"/>
      <c r="J81" s="199"/>
      <c r="K81" s="199"/>
      <c r="L81" s="199"/>
      <c r="M81" s="199"/>
      <c r="N81" s="199"/>
      <c r="O81" s="199"/>
      <c r="P81" s="199"/>
      <c r="Q81" s="199"/>
      <c r="S81" s="569"/>
      <c r="T81" s="2596"/>
      <c r="U81" s="2607"/>
      <c r="V81" s="2596" t="str">
        <f>V74</f>
        <v>condens.</v>
      </c>
      <c r="W81" s="2597"/>
      <c r="X81" s="2596" t="str">
        <f>X74</f>
        <v>penicillium</v>
      </c>
      <c r="Y81" s="2604"/>
      <c r="Z81" s="1338"/>
      <c r="AA81" s="1449"/>
      <c r="AB81" s="1449"/>
      <c r="AC81" s="1451">
        <f>UWert!$F71/100</f>
        <v>0</v>
      </c>
      <c r="AD81" s="1451">
        <f t="shared" si="58"/>
        <v>0.1</v>
      </c>
      <c r="AE81" s="1451" t="e">
        <f t="shared" si="56"/>
        <v>#DIV/0!</v>
      </c>
      <c r="AF81" s="1449" t="s">
        <v>2324</v>
      </c>
      <c r="AG81" s="1451" t="e">
        <f>UWert!$H70/(SUM(UWert!$H$65:$H$74))</f>
        <v>#DIV/0!</v>
      </c>
      <c r="AH81" s="1450" t="e">
        <f t="shared" si="67"/>
        <v>#DIV/0!</v>
      </c>
      <c r="AI81" s="1468">
        <f>INDEX(Bauteile!$I$57:$I$1152,UWert!BA71)*(AC81)*(1/0.72)</f>
        <v>0</v>
      </c>
      <c r="AJ81" s="1451" t="e">
        <f>AI81/SUM(AI75:AI84)</f>
        <v>#DIV/0!</v>
      </c>
      <c r="AK81" s="1450" t="e">
        <f t="shared" si="59"/>
        <v>#DIV/0!</v>
      </c>
      <c r="AL81" s="1451" t="e">
        <f t="shared" si="60"/>
        <v>#DIV/0!</v>
      </c>
      <c r="AM81" s="1449" t="s">
        <v>2324</v>
      </c>
      <c r="AN81" s="1451" t="e">
        <f t="shared" si="61"/>
        <v>#DIV/0!</v>
      </c>
      <c r="AO81" s="1449" t="s">
        <v>2324</v>
      </c>
      <c r="AP81" s="1451" t="e">
        <f t="shared" si="62"/>
        <v>#DIV/0!</v>
      </c>
      <c r="AQ81" s="1449" t="s">
        <v>2324</v>
      </c>
      <c r="AR81" s="1449"/>
      <c r="AS81" s="1449"/>
      <c r="AT81" s="1449"/>
      <c r="AU81" s="1451">
        <f>UWert!$N71/100</f>
        <v>0</v>
      </c>
      <c r="AV81" s="1449">
        <f t="shared" si="68"/>
        <v>0.1</v>
      </c>
      <c r="AW81" s="1451" t="e">
        <f t="shared" si="57"/>
        <v>#DIV/0!</v>
      </c>
      <c r="AX81" s="1449" t="s">
        <v>2324</v>
      </c>
      <c r="AY81" s="1451" t="e">
        <f>UWert!$P70/(SUM(UWert!$P$65:$P$74))</f>
        <v>#DIV/0!</v>
      </c>
      <c r="AZ81" s="1450" t="e">
        <f t="shared" si="69"/>
        <v>#DIV/0!</v>
      </c>
      <c r="BA81" s="1451">
        <f>INDEX(Bauteile!$I$57:$I$1152,UWert!BB71)*(AU81)*(1/0.72)</f>
        <v>0</v>
      </c>
      <c r="BB81" s="1451" t="e">
        <f>BA81/SUM(BA75:BA84)</f>
        <v>#DIV/0!</v>
      </c>
      <c r="BC81" s="1450" t="e">
        <f t="shared" si="63"/>
        <v>#DIV/0!</v>
      </c>
      <c r="BD81" s="1451" t="e">
        <f t="shared" si="64"/>
        <v>#DIV/0!</v>
      </c>
      <c r="BE81" s="1449" t="s">
        <v>2324</v>
      </c>
      <c r="BF81" s="1451" t="e">
        <f t="shared" si="65"/>
        <v>#DIV/0!</v>
      </c>
      <c r="BG81" s="1449" t="s">
        <v>2324</v>
      </c>
      <c r="BH81" s="1451" t="e">
        <f t="shared" si="66"/>
        <v>#DIV/0!</v>
      </c>
      <c r="BI81" s="1449" t="s">
        <v>2324</v>
      </c>
      <c r="BJ81" s="1425"/>
      <c r="BK81" s="1425"/>
      <c r="BL81" s="1425"/>
      <c r="BM81" s="1425"/>
      <c r="BN81" s="1425"/>
      <c r="BO81" s="1425"/>
      <c r="BP81" s="1425"/>
      <c r="BQ81" s="1425"/>
      <c r="BR81" s="1425"/>
      <c r="BS81" s="1425"/>
      <c r="BT81" s="1425"/>
      <c r="BU81" s="1425"/>
      <c r="BV81" s="1425"/>
      <c r="BW81" s="1425"/>
      <c r="BX81" s="1425"/>
      <c r="BY81" s="1425"/>
      <c r="BZ81" s="1339"/>
    </row>
    <row r="82" spans="3:78" s="174" customFormat="1" ht="12.6" customHeight="1">
      <c r="D82" s="199"/>
      <c r="E82" s="199"/>
      <c r="F82" s="199"/>
      <c r="G82" s="199"/>
      <c r="H82" s="199"/>
      <c r="I82" s="199"/>
      <c r="J82" s="199"/>
      <c r="K82" s="199"/>
      <c r="L82" s="199"/>
      <c r="M82" s="199"/>
      <c r="N82" s="199"/>
      <c r="O82" s="199"/>
      <c r="P82" s="199"/>
      <c r="Q82" s="199"/>
      <c r="S82" s="569"/>
      <c r="T82" s="2602" t="s">
        <v>274</v>
      </c>
      <c r="U82" s="2601"/>
      <c r="V82" s="2602" t="s">
        <v>273</v>
      </c>
      <c r="W82" s="2601"/>
      <c r="X82" s="2603" t="s">
        <v>276</v>
      </c>
      <c r="Y82" s="2601"/>
      <c r="Z82" s="1338"/>
      <c r="AA82" s="1449"/>
      <c r="AB82" s="1449"/>
      <c r="AC82" s="1451">
        <f>UWert!$F72/100</f>
        <v>0</v>
      </c>
      <c r="AD82" s="1451">
        <f t="shared" si="58"/>
        <v>0.1</v>
      </c>
      <c r="AE82" s="1451" t="e">
        <f t="shared" si="56"/>
        <v>#DIV/0!</v>
      </c>
      <c r="AF82" s="1449" t="s">
        <v>2324</v>
      </c>
      <c r="AG82" s="1451" t="e">
        <f>UWert!$H71/(SUM(UWert!$H$65:$H$74))</f>
        <v>#DIV/0!</v>
      </c>
      <c r="AH82" s="1450" t="e">
        <f t="shared" si="67"/>
        <v>#DIV/0!</v>
      </c>
      <c r="AI82" s="1468">
        <f>INDEX(Bauteile!$I$57:$I$1152,UWert!BA72)*(AC82)*(1/0.72)</f>
        <v>0</v>
      </c>
      <c r="AJ82" s="1451" t="e">
        <f>AI82/SUM(AI75:AI84)</f>
        <v>#DIV/0!</v>
      </c>
      <c r="AK82" s="1450" t="e">
        <f t="shared" si="59"/>
        <v>#DIV/0!</v>
      </c>
      <c r="AL82" s="1451" t="e">
        <f t="shared" si="60"/>
        <v>#DIV/0!</v>
      </c>
      <c r="AM82" s="1449" t="s">
        <v>2324</v>
      </c>
      <c r="AN82" s="1451" t="e">
        <f t="shared" si="61"/>
        <v>#DIV/0!</v>
      </c>
      <c r="AO82" s="1449" t="s">
        <v>2324</v>
      </c>
      <c r="AP82" s="1451" t="e">
        <f t="shared" si="62"/>
        <v>#DIV/0!</v>
      </c>
      <c r="AQ82" s="1449" t="s">
        <v>2324</v>
      </c>
      <c r="AR82" s="1449"/>
      <c r="AS82" s="1449"/>
      <c r="AT82" s="1449"/>
      <c r="AU82" s="1451">
        <f>UWert!$N72/100</f>
        <v>0</v>
      </c>
      <c r="AV82" s="1449">
        <f t="shared" si="68"/>
        <v>0.1</v>
      </c>
      <c r="AW82" s="1451" t="e">
        <f t="shared" si="57"/>
        <v>#DIV/0!</v>
      </c>
      <c r="AX82" s="1449" t="s">
        <v>2324</v>
      </c>
      <c r="AY82" s="1451" t="e">
        <f>UWert!$P71/(SUM(UWert!$P$65:$P$74))</f>
        <v>#DIV/0!</v>
      </c>
      <c r="AZ82" s="1450" t="e">
        <f t="shared" si="69"/>
        <v>#DIV/0!</v>
      </c>
      <c r="BA82" s="1451">
        <f>INDEX(Bauteile!$I$57:$I$1152,UWert!BB72)*(AU82)*(1/0.72)</f>
        <v>0</v>
      </c>
      <c r="BB82" s="1451" t="e">
        <f>BA82/SUM(BA75:BA84)</f>
        <v>#DIV/0!</v>
      </c>
      <c r="BC82" s="1450" t="e">
        <f t="shared" si="63"/>
        <v>#DIV/0!</v>
      </c>
      <c r="BD82" s="1451" t="e">
        <f t="shared" si="64"/>
        <v>#DIV/0!</v>
      </c>
      <c r="BE82" s="1449" t="s">
        <v>2324</v>
      </c>
      <c r="BF82" s="1451" t="e">
        <f t="shared" si="65"/>
        <v>#DIV/0!</v>
      </c>
      <c r="BG82" s="1449" t="s">
        <v>2324</v>
      </c>
      <c r="BH82" s="1451" t="e">
        <f t="shared" si="66"/>
        <v>#DIV/0!</v>
      </c>
      <c r="BI82" s="1449" t="s">
        <v>2324</v>
      </c>
      <c r="BJ82" s="1425"/>
      <c r="BK82" s="1425"/>
      <c r="BL82" s="1425"/>
      <c r="BM82" s="1425"/>
      <c r="BN82" s="1425"/>
      <c r="BO82" s="1425"/>
      <c r="BP82" s="1425"/>
      <c r="BQ82" s="1425"/>
      <c r="BR82" s="1425"/>
      <c r="BS82" s="1425"/>
      <c r="BT82" s="1425"/>
      <c r="BU82" s="1425"/>
      <c r="BV82" s="1425"/>
      <c r="BW82" s="1425"/>
      <c r="BX82" s="1425"/>
      <c r="BY82" s="1425"/>
      <c r="BZ82" s="1339"/>
    </row>
    <row r="83" spans="3:78" s="174" customFormat="1" ht="12.6" customHeight="1">
      <c r="D83" s="199"/>
      <c r="E83" s="199"/>
      <c r="F83" s="199"/>
      <c r="G83" s="199"/>
      <c r="H83" s="199"/>
      <c r="I83" s="199"/>
      <c r="J83" s="199"/>
      <c r="K83" s="199"/>
      <c r="L83" s="199"/>
      <c r="M83" s="199"/>
      <c r="N83" s="199"/>
      <c r="O83" s="199"/>
      <c r="P83" s="199"/>
      <c r="Q83" s="199"/>
      <c r="S83" s="569"/>
      <c r="T83" s="2600">
        <f>IF(UWert!N63&lt;&gt;"",BT76,)</f>
        <v>0</v>
      </c>
      <c r="U83" s="2601"/>
      <c r="V83" s="2600">
        <f>BU76</f>
        <v>0</v>
      </c>
      <c r="W83" s="2601"/>
      <c r="X83" s="2603">
        <f>BV76</f>
        <v>0</v>
      </c>
      <c r="Y83" s="2601"/>
      <c r="Z83" s="1338"/>
      <c r="AA83" s="1449"/>
      <c r="AB83" s="1449"/>
      <c r="AC83" s="1451">
        <v>0.1</v>
      </c>
      <c r="AD83" s="1451">
        <f t="shared" si="58"/>
        <v>0.1</v>
      </c>
      <c r="AE83" s="1451" t="e">
        <f t="shared" si="56"/>
        <v>#DIV/0!</v>
      </c>
      <c r="AF83" s="1449" t="s">
        <v>2324</v>
      </c>
      <c r="AG83" s="1451" t="e">
        <f>UWert!$H72/(SUM(UWert!$H$65:$H$74))</f>
        <v>#DIV/0!</v>
      </c>
      <c r="AH83" s="1450" t="e">
        <f t="shared" si="67"/>
        <v>#DIV/0!</v>
      </c>
      <c r="AI83" s="1468">
        <f>0*AC83*(1/0.72)</f>
        <v>0</v>
      </c>
      <c r="AJ83" s="1451" t="e">
        <f>AI83/SUM(AI75:AI84)</f>
        <v>#DIV/0!</v>
      </c>
      <c r="AK83" s="1450" t="e">
        <f t="shared" si="59"/>
        <v>#DIV/0!</v>
      </c>
      <c r="AL83" s="1451" t="e">
        <f t="shared" si="60"/>
        <v>#DIV/0!</v>
      </c>
      <c r="AM83" s="1449" t="s">
        <v>2324</v>
      </c>
      <c r="AN83" s="1451" t="e">
        <f t="shared" si="61"/>
        <v>#DIV/0!</v>
      </c>
      <c r="AO83" s="1449" t="s">
        <v>2324</v>
      </c>
      <c r="AP83" s="1451" t="e">
        <f t="shared" si="62"/>
        <v>#DIV/0!</v>
      </c>
      <c r="AQ83" s="1449" t="s">
        <v>2324</v>
      </c>
      <c r="AR83" s="1449"/>
      <c r="AS83" s="1449"/>
      <c r="AT83" s="1449"/>
      <c r="AU83" s="1451">
        <v>0.1</v>
      </c>
      <c r="AV83" s="1449">
        <f t="shared" si="68"/>
        <v>0.1</v>
      </c>
      <c r="AW83" s="1451" t="e">
        <f t="shared" si="57"/>
        <v>#DIV/0!</v>
      </c>
      <c r="AX83" s="1449" t="s">
        <v>2324</v>
      </c>
      <c r="AY83" s="1451" t="e">
        <f>UWert!$P72/(SUM(UWert!$P$65:$P$74))</f>
        <v>#DIV/0!</v>
      </c>
      <c r="AZ83" s="1450" t="e">
        <f t="shared" si="69"/>
        <v>#DIV/0!</v>
      </c>
      <c r="BA83" s="1451">
        <f>0*(AU83)*(1/0.72)</f>
        <v>0</v>
      </c>
      <c r="BB83" s="1451" t="e">
        <f>BA83/SUM(BA75:BA84)</f>
        <v>#DIV/0!</v>
      </c>
      <c r="BC83" s="1450" t="e">
        <f t="shared" si="63"/>
        <v>#DIV/0!</v>
      </c>
      <c r="BD83" s="1451" t="e">
        <f t="shared" si="64"/>
        <v>#DIV/0!</v>
      </c>
      <c r="BE83" s="1449" t="s">
        <v>2324</v>
      </c>
      <c r="BF83" s="1451" t="e">
        <f t="shared" si="65"/>
        <v>#DIV/0!</v>
      </c>
      <c r="BG83" s="1449" t="s">
        <v>2324</v>
      </c>
      <c r="BH83" s="1451" t="e">
        <f t="shared" si="66"/>
        <v>#DIV/0!</v>
      </c>
      <c r="BI83" s="1449" t="s">
        <v>2324</v>
      </c>
      <c r="BJ83" s="1425"/>
      <c r="BK83" s="1425"/>
      <c r="BL83" s="1425"/>
      <c r="BM83" s="1425"/>
      <c r="BN83" s="1425"/>
      <c r="BO83" s="1425"/>
      <c r="BP83" s="1425"/>
      <c r="BQ83" s="1425"/>
      <c r="BR83" s="1425"/>
      <c r="BS83" s="1425"/>
      <c r="BT83" s="1425"/>
      <c r="BU83" s="1425"/>
      <c r="BV83" s="1425"/>
      <c r="BW83" s="1425"/>
      <c r="BX83" s="1425"/>
      <c r="BY83" s="1425"/>
      <c r="BZ83" s="1339"/>
    </row>
    <row r="84" spans="3:78" s="174" customFormat="1" ht="12.6" customHeight="1">
      <c r="D84" s="199"/>
      <c r="E84" s="199"/>
      <c r="F84" s="199"/>
      <c r="G84" s="199"/>
      <c r="H84" s="199"/>
      <c r="I84" s="199"/>
      <c r="J84" s="199"/>
      <c r="K84" s="199"/>
      <c r="L84" s="199"/>
      <c r="M84" s="199"/>
      <c r="N84" s="199"/>
      <c r="O84" s="199"/>
      <c r="P84" s="199"/>
      <c r="Q84" s="199"/>
      <c r="S84" s="569"/>
      <c r="T84" s="615"/>
      <c r="U84" s="616"/>
      <c r="V84" s="2594">
        <f>IF(UWert!N63&lt;&gt;"",BU77,)</f>
        <v>0</v>
      </c>
      <c r="W84" s="2595"/>
      <c r="X84" s="2594">
        <f>IF(UWert!N63&lt;&gt;"",BV77,)</f>
        <v>0</v>
      </c>
      <c r="Y84" s="2595"/>
      <c r="Z84" s="1338"/>
      <c r="AA84" s="1449"/>
      <c r="AB84" s="1449"/>
      <c r="AC84" s="1449"/>
      <c r="AD84" s="1451">
        <f t="shared" si="58"/>
        <v>0.2</v>
      </c>
      <c r="AE84" s="1450">
        <f>Ta_feuchte</f>
        <v>20</v>
      </c>
      <c r="AF84" s="1449" t="s">
        <v>2324</v>
      </c>
      <c r="AG84" s="1451" t="e">
        <f>SUM(UWert!$H73:$H74)/(SUM(UWert!$H$65:$H$74))</f>
        <v>#DIV/0!</v>
      </c>
      <c r="AH84" s="1450">
        <f t="shared" si="67"/>
        <v>2336.7157223473796</v>
      </c>
      <c r="AI84" s="1468">
        <f>0*AC84*(1/0.72)</f>
        <v>0</v>
      </c>
      <c r="AJ84" s="1451" t="e">
        <f>AI84/SUM(AI75:AI84)</f>
        <v>#DIV/0!</v>
      </c>
      <c r="AK84" s="1450">
        <f>AH84*Rh_aussen</f>
        <v>1402.0294334084276</v>
      </c>
      <c r="AL84" s="1451">
        <f t="shared" si="60"/>
        <v>10.489639823639493</v>
      </c>
      <c r="AM84" s="1449" t="s">
        <v>2324</v>
      </c>
      <c r="AN84" s="1451">
        <f t="shared" si="61"/>
        <v>12.032306379344021</v>
      </c>
      <c r="AO84" s="1449" t="s">
        <v>2324</v>
      </c>
      <c r="AP84" s="1451">
        <f t="shared" si="62"/>
        <v>12.032306379344021</v>
      </c>
      <c r="AQ84" s="1449" t="s">
        <v>2324</v>
      </c>
      <c r="AR84" s="1449"/>
      <c r="AS84" s="1449"/>
      <c r="AT84" s="1449"/>
      <c r="AU84" s="1449"/>
      <c r="AV84" s="1449">
        <f t="shared" si="68"/>
        <v>0.2</v>
      </c>
      <c r="AW84" s="1450">
        <f>Ta_feuchte</f>
        <v>20</v>
      </c>
      <c r="AX84" s="1449" t="s">
        <v>2324</v>
      </c>
      <c r="AY84" s="1451" t="e">
        <f>SUM(UWert!$P73:$P74)/(SUM(UWert!$P$65:$P$74))</f>
        <v>#DIV/0!</v>
      </c>
      <c r="AZ84" s="1450">
        <f t="shared" si="69"/>
        <v>2336.7157223473796</v>
      </c>
      <c r="BA84" s="1451">
        <f>0*(AU84)*(1/0.72)</f>
        <v>0</v>
      </c>
      <c r="BB84" s="1451" t="e">
        <f>BA84/SUM(BA75:BA84)</f>
        <v>#DIV/0!</v>
      </c>
      <c r="BC84" s="1450">
        <f>AZ84*Rh_aussen</f>
        <v>1402.0294334084276</v>
      </c>
      <c r="BD84" s="1451">
        <f t="shared" si="64"/>
        <v>10.489639823639493</v>
      </c>
      <c r="BE84" s="1449" t="s">
        <v>2324</v>
      </c>
      <c r="BF84" s="1451">
        <f t="shared" si="65"/>
        <v>12.032306379344021</v>
      </c>
      <c r="BG84" s="1449" t="s">
        <v>2324</v>
      </c>
      <c r="BH84" s="1451">
        <f t="shared" si="66"/>
        <v>12.032306379344021</v>
      </c>
      <c r="BI84" s="1449" t="s">
        <v>2324</v>
      </c>
      <c r="BJ84" s="1425"/>
      <c r="BK84" s="1425"/>
      <c r="BL84" s="1425"/>
      <c r="BM84" s="1425"/>
      <c r="BN84" s="1425"/>
      <c r="BO84" s="1425"/>
      <c r="BP84" s="1425"/>
      <c r="BQ84" s="1425"/>
      <c r="BR84" s="1425"/>
      <c r="BS84" s="1425"/>
      <c r="BT84" s="1425"/>
      <c r="BU84" s="1425"/>
      <c r="BV84" s="1425"/>
      <c r="BW84" s="1425"/>
      <c r="BX84" s="1425"/>
      <c r="BY84" s="1425"/>
      <c r="BZ84" s="1339"/>
    </row>
    <row r="85" spans="3:78" s="174" customFormat="1" ht="12.6" customHeight="1">
      <c r="D85" s="199"/>
      <c r="E85" s="199"/>
      <c r="F85" s="199"/>
      <c r="G85" s="199"/>
      <c r="H85" s="199"/>
      <c r="I85" s="199"/>
      <c r="J85" s="199"/>
      <c r="K85" s="199"/>
      <c r="L85" s="199"/>
      <c r="M85" s="199"/>
      <c r="N85" s="199"/>
      <c r="O85" s="199"/>
      <c r="P85" s="199"/>
      <c r="Q85" s="199"/>
      <c r="S85" s="569"/>
      <c r="T85" s="2608"/>
      <c r="U85" s="2608"/>
      <c r="V85" s="565"/>
      <c r="W85" s="2608"/>
      <c r="X85" s="2608"/>
      <c r="Y85" s="199"/>
      <c r="Z85" s="1338"/>
      <c r="AA85" s="1449"/>
      <c r="AB85" s="1449"/>
      <c r="AC85" s="1449"/>
      <c r="AD85" s="1449"/>
      <c r="AE85" s="1449"/>
      <c r="AF85" s="1449"/>
      <c r="AG85" s="1449"/>
      <c r="AH85" s="1449"/>
      <c r="AI85" s="1453"/>
      <c r="AJ85" s="1449"/>
      <c r="AK85" s="1449"/>
      <c r="AL85" s="1449"/>
      <c r="AM85" s="1449"/>
      <c r="AN85" s="1449"/>
      <c r="AO85" s="1449"/>
      <c r="AP85" s="1449"/>
      <c r="AQ85" s="1449"/>
      <c r="AR85" s="1449"/>
      <c r="AS85" s="1449"/>
      <c r="AT85" s="1449"/>
      <c r="AU85" s="1449"/>
      <c r="AV85" s="1449"/>
      <c r="AW85" s="1449"/>
      <c r="AX85" s="1449"/>
      <c r="AY85" s="1449"/>
      <c r="AZ85" s="1449"/>
      <c r="BA85" s="1449"/>
      <c r="BB85" s="1449"/>
      <c r="BC85" s="1449"/>
      <c r="BD85" s="1449"/>
      <c r="BE85" s="1449"/>
      <c r="BF85" s="1449"/>
      <c r="BG85" s="1449"/>
      <c r="BH85" s="1449"/>
      <c r="BI85" s="1449"/>
      <c r="BJ85" s="1425"/>
      <c r="BK85" s="1425"/>
      <c r="BL85" s="1425"/>
      <c r="BM85" s="1425"/>
      <c r="BN85" s="1425"/>
      <c r="BO85" s="1425"/>
      <c r="BP85" s="1425"/>
      <c r="BQ85" s="1425"/>
      <c r="BR85" s="1425"/>
      <c r="BS85" s="1425"/>
      <c r="BT85" s="1425"/>
      <c r="BU85" s="1425"/>
      <c r="BV85" s="1425"/>
      <c r="BW85" s="1425"/>
      <c r="BX85" s="1425"/>
      <c r="BY85" s="1425"/>
      <c r="BZ85" s="1339"/>
    </row>
    <row r="86" spans="3:78" s="174" customFormat="1" ht="12" customHeight="1">
      <c r="D86" s="199"/>
      <c r="E86" s="199"/>
      <c r="F86" s="199"/>
      <c r="G86" s="199"/>
      <c r="H86" s="199"/>
      <c r="I86" s="199"/>
      <c r="J86" s="199"/>
      <c r="K86" s="199"/>
      <c r="L86" s="199"/>
      <c r="M86" s="199"/>
      <c r="N86" s="199"/>
      <c r="O86" s="199"/>
      <c r="P86" s="199"/>
      <c r="Q86" s="199"/>
      <c r="S86" s="569"/>
      <c r="T86" s="199"/>
      <c r="U86" s="565"/>
      <c r="V86" s="565"/>
      <c r="W86" s="565"/>
      <c r="X86" s="565"/>
      <c r="Y86" s="199"/>
      <c r="Z86" s="1338"/>
      <c r="AA86" s="1449"/>
      <c r="AB86" s="1449"/>
      <c r="AC86" s="1449"/>
      <c r="AD86" s="1449"/>
      <c r="AE86" s="1449"/>
      <c r="AF86" s="1449"/>
      <c r="AG86" s="1449"/>
      <c r="AH86" s="1449"/>
      <c r="AI86" s="1453"/>
      <c r="AJ86" s="1449"/>
      <c r="AK86" s="1449"/>
      <c r="AL86" s="1449"/>
      <c r="AM86" s="1449"/>
      <c r="AN86" s="1449"/>
      <c r="AO86" s="1449"/>
      <c r="AP86" s="1449"/>
      <c r="AQ86" s="1449"/>
      <c r="AR86" s="1449"/>
      <c r="AS86" s="1449"/>
      <c r="AT86" s="1449"/>
      <c r="AU86" s="1449"/>
      <c r="AV86" s="1449"/>
      <c r="AW86" s="1449"/>
      <c r="AX86" s="1449"/>
      <c r="AY86" s="1449"/>
      <c r="AZ86" s="1449"/>
      <c r="BA86" s="1449"/>
      <c r="BB86" s="1449"/>
      <c r="BC86" s="1449"/>
      <c r="BD86" s="1449"/>
      <c r="BE86" s="1449"/>
      <c r="BF86" s="1449"/>
      <c r="BG86" s="1449"/>
      <c r="BH86" s="1449"/>
      <c r="BI86" s="1449"/>
      <c r="BJ86" s="1425"/>
      <c r="BK86" s="1425"/>
      <c r="BL86" s="1425"/>
      <c r="BM86" s="1425"/>
      <c r="BN86" s="1425"/>
      <c r="BO86" s="1425"/>
      <c r="BP86" s="1425"/>
      <c r="BQ86" s="1425"/>
      <c r="BR86" s="1425"/>
      <c r="BS86" s="1425"/>
      <c r="BT86" s="1425"/>
      <c r="BU86" s="1425"/>
      <c r="BV86" s="1425"/>
      <c r="BW86" s="1425"/>
      <c r="BX86" s="1425"/>
      <c r="BY86" s="1425"/>
      <c r="BZ86" s="1339"/>
    </row>
    <row r="87" spans="3:78" s="174" customFormat="1" ht="12" customHeight="1">
      <c r="D87" s="199"/>
      <c r="E87" s="199"/>
      <c r="F87" s="199"/>
      <c r="G87" s="199"/>
      <c r="H87" s="199"/>
      <c r="I87" s="199"/>
      <c r="J87" s="199"/>
      <c r="K87" s="199"/>
      <c r="L87" s="199"/>
      <c r="M87" s="199"/>
      <c r="N87" s="199"/>
      <c r="O87" s="199"/>
      <c r="P87" s="199"/>
      <c r="Q87" s="199"/>
      <c r="S87" s="569"/>
      <c r="T87" s="199"/>
      <c r="U87" s="565"/>
      <c r="V87" s="565"/>
      <c r="W87" s="565"/>
      <c r="X87" s="565"/>
      <c r="Y87" s="199"/>
      <c r="Z87" s="1338"/>
      <c r="AA87" s="1449"/>
      <c r="AB87" s="1449"/>
      <c r="AC87" s="1449"/>
      <c r="AD87" s="1449"/>
      <c r="AE87" s="1449"/>
      <c r="AF87" s="1449"/>
      <c r="AG87" s="1449"/>
      <c r="AH87" s="1449"/>
      <c r="AI87" s="1453"/>
      <c r="AJ87" s="1449"/>
      <c r="AK87" s="1449"/>
      <c r="AL87" s="1449"/>
      <c r="AM87" s="1449"/>
      <c r="AN87" s="1449"/>
      <c r="AO87" s="1449"/>
      <c r="AP87" s="1449"/>
      <c r="AQ87" s="1449"/>
      <c r="AR87" s="1449"/>
      <c r="AS87" s="1449"/>
      <c r="AT87" s="1449"/>
      <c r="AU87" s="1449"/>
      <c r="AV87" s="1449"/>
      <c r="AW87" s="1449"/>
      <c r="AX87" s="1449"/>
      <c r="AY87" s="1449"/>
      <c r="AZ87" s="1449"/>
      <c r="BA87" s="1449"/>
      <c r="BB87" s="1449"/>
      <c r="BC87" s="1449"/>
      <c r="BD87" s="1449"/>
      <c r="BE87" s="1449"/>
      <c r="BF87" s="1449"/>
      <c r="BG87" s="1449"/>
      <c r="BH87" s="1449"/>
      <c r="BI87" s="1449"/>
      <c r="BJ87" s="1425"/>
      <c r="BK87" s="1425"/>
      <c r="BL87" s="1425"/>
      <c r="BM87" s="1425"/>
      <c r="BN87" s="1425"/>
      <c r="BO87" s="1425"/>
      <c r="BP87" s="1425"/>
      <c r="BQ87" s="1425"/>
      <c r="BR87" s="1425"/>
      <c r="BS87" s="1425"/>
      <c r="BT87" s="1425"/>
      <c r="BU87" s="1425"/>
      <c r="BV87" s="1425"/>
      <c r="BW87" s="1425"/>
      <c r="BX87" s="1425"/>
      <c r="BY87" s="1425"/>
      <c r="BZ87" s="1339"/>
    </row>
    <row r="88" spans="3:78" s="174" customFormat="1" ht="12.6" customHeight="1" thickBot="1">
      <c r="C88" s="487">
        <v>11</v>
      </c>
      <c r="D88" s="490">
        <f>UWert!C84</f>
        <v>0</v>
      </c>
      <c r="E88" s="485"/>
      <c r="F88" s="485"/>
      <c r="G88" s="485"/>
      <c r="H88" s="485"/>
      <c r="I88" s="486"/>
      <c r="K88" s="487">
        <v>12</v>
      </c>
      <c r="L88" s="490">
        <f>UWert!K84</f>
        <v>0</v>
      </c>
      <c r="M88" s="485"/>
      <c r="N88" s="485"/>
      <c r="O88" s="485"/>
      <c r="P88" s="485"/>
      <c r="Q88" s="486"/>
      <c r="S88" s="569"/>
      <c r="T88" s="568">
        <v>11</v>
      </c>
      <c r="U88" s="488">
        <f>UWert!C84</f>
        <v>0</v>
      </c>
      <c r="V88" s="573"/>
      <c r="W88" s="488"/>
      <c r="X88" s="573"/>
      <c r="Y88" s="567"/>
      <c r="Z88" s="1338"/>
      <c r="AA88" s="1449"/>
      <c r="AB88" s="1449"/>
      <c r="AC88" s="1449"/>
      <c r="AD88" s="1449"/>
      <c r="AE88" s="1449"/>
      <c r="AF88" s="1449"/>
      <c r="AG88" s="1449"/>
      <c r="AH88" s="1449"/>
      <c r="AI88" s="1453"/>
      <c r="AJ88" s="1449"/>
      <c r="AK88" s="1449"/>
      <c r="AL88" s="1449"/>
      <c r="AM88" s="1449"/>
      <c r="AN88" s="1449"/>
      <c r="AO88" s="1449"/>
      <c r="AP88" s="1449"/>
      <c r="AQ88" s="1449"/>
      <c r="AR88" s="1449"/>
      <c r="AS88" s="1449"/>
      <c r="AT88" s="1449"/>
      <c r="AU88" s="1449"/>
      <c r="AV88" s="1449"/>
      <c r="AW88" s="1449"/>
      <c r="AX88" s="1449"/>
      <c r="AY88" s="1449"/>
      <c r="AZ88" s="1449"/>
      <c r="BA88" s="1449"/>
      <c r="BB88" s="1449"/>
      <c r="BC88" s="1449"/>
      <c r="BD88" s="1449"/>
      <c r="BE88" s="1449"/>
      <c r="BF88" s="1449"/>
      <c r="BG88" s="1449"/>
      <c r="BH88" s="1449"/>
      <c r="BI88" s="1449"/>
      <c r="BJ88" s="1425"/>
      <c r="BK88" s="1425"/>
      <c r="BL88" s="1425"/>
      <c r="BM88" s="1425"/>
      <c r="BN88" s="1425"/>
      <c r="BO88" s="1425"/>
      <c r="BP88" s="1425"/>
      <c r="BQ88" s="1425"/>
      <c r="BR88" s="1425"/>
      <c r="BS88" s="1425"/>
      <c r="BT88" s="1425"/>
      <c r="BU88" s="1425"/>
      <c r="BV88" s="1425"/>
      <c r="BW88" s="1425"/>
      <c r="BX88" s="1425"/>
      <c r="BY88" s="1425"/>
      <c r="BZ88" s="1339"/>
    </row>
    <row r="89" spans="3:78" s="174" customFormat="1" ht="12.6" customHeight="1" thickBot="1">
      <c r="Q89" s="199"/>
      <c r="S89" s="569"/>
      <c r="T89" s="2592" t="str">
        <f>T80</f>
        <v>valeur qui est</v>
      </c>
      <c r="U89" s="2593"/>
      <c r="V89" s="2596" t="str">
        <f>V80</f>
        <v>valeur limite</v>
      </c>
      <c r="W89" s="2597"/>
      <c r="X89" s="2596" t="str">
        <f>X80</f>
        <v>valeur limite</v>
      </c>
      <c r="Y89" s="2597"/>
      <c r="Z89" s="1338"/>
      <c r="AA89" s="1448" t="s">
        <v>1957</v>
      </c>
      <c r="AB89" s="1448" t="s">
        <v>1958</v>
      </c>
      <c r="AC89" s="1449" t="s">
        <v>2326</v>
      </c>
      <c r="AD89" s="1449" t="s">
        <v>791</v>
      </c>
      <c r="AE89" s="1449" t="s">
        <v>2327</v>
      </c>
      <c r="AF89" s="1449"/>
      <c r="AG89" s="1449" t="s">
        <v>1959</v>
      </c>
      <c r="AH89" s="1449" t="s">
        <v>106</v>
      </c>
      <c r="AI89" s="1453" t="s">
        <v>2201</v>
      </c>
      <c r="AJ89" s="1449" t="s">
        <v>108</v>
      </c>
      <c r="AK89" s="1449" t="s">
        <v>1250</v>
      </c>
      <c r="AL89" s="1449" t="s">
        <v>109</v>
      </c>
      <c r="AM89" s="1449"/>
      <c r="AN89" s="1449" t="s">
        <v>110</v>
      </c>
      <c r="AO89" s="1449"/>
      <c r="AP89" s="1449" t="s">
        <v>111</v>
      </c>
      <c r="AQ89" s="1449"/>
      <c r="AR89" s="1449"/>
      <c r="AS89" s="1448" t="s">
        <v>1957</v>
      </c>
      <c r="AT89" s="1448" t="s">
        <v>1958</v>
      </c>
      <c r="AU89" s="1449" t="s">
        <v>2326</v>
      </c>
      <c r="AV89" s="1449" t="s">
        <v>791</v>
      </c>
      <c r="AW89" s="1449" t="s">
        <v>2327</v>
      </c>
      <c r="AX89" s="1449"/>
      <c r="AY89" s="1449" t="s">
        <v>1959</v>
      </c>
      <c r="AZ89" s="1449" t="s">
        <v>106</v>
      </c>
      <c r="BA89" s="1449" t="s">
        <v>107</v>
      </c>
      <c r="BB89" s="1449" t="s">
        <v>108</v>
      </c>
      <c r="BC89" s="1449" t="s">
        <v>1250</v>
      </c>
      <c r="BD89" s="1449" t="s">
        <v>109</v>
      </c>
      <c r="BE89" s="1449"/>
      <c r="BF89" s="1449" t="s">
        <v>110</v>
      </c>
      <c r="BG89" s="1449"/>
      <c r="BH89" s="1449" t="s">
        <v>111</v>
      </c>
      <c r="BI89" s="1449"/>
      <c r="BJ89" s="1425"/>
      <c r="BK89" s="1426">
        <v>11</v>
      </c>
      <c r="BL89" s="1427" t="s">
        <v>840</v>
      </c>
      <c r="BM89" s="1428" t="s">
        <v>838</v>
      </c>
      <c r="BN89" s="1429" t="s">
        <v>839</v>
      </c>
      <c r="BO89" s="1430"/>
      <c r="BP89" s="1430"/>
      <c r="BQ89" s="1430"/>
      <c r="BR89" s="1430"/>
      <c r="BS89" s="1426">
        <v>12</v>
      </c>
      <c r="BT89" s="1427" t="s">
        <v>840</v>
      </c>
      <c r="BU89" s="1428" t="s">
        <v>838</v>
      </c>
      <c r="BV89" s="1429" t="s">
        <v>839</v>
      </c>
      <c r="BW89" s="1425"/>
      <c r="BX89" s="1425"/>
      <c r="BY89" s="1425"/>
      <c r="BZ89" s="1339"/>
    </row>
    <row r="90" spans="3:78" s="174" customFormat="1" ht="12.6" customHeight="1">
      <c r="Q90" s="199"/>
      <c r="S90" s="569"/>
      <c r="T90" s="2596"/>
      <c r="U90" s="2607"/>
      <c r="V90" s="2596" t="str">
        <f>V81</f>
        <v>condens.</v>
      </c>
      <c r="W90" s="2597"/>
      <c r="X90" s="2596" t="str">
        <f>X81</f>
        <v>penicillium</v>
      </c>
      <c r="Y90" s="2604"/>
      <c r="Z90" s="1338"/>
      <c r="AA90" s="1450" t="e">
        <f>Rh_innen*AH90-Rh_aussen*AH99</f>
        <v>#DIV/0!</v>
      </c>
      <c r="AB90" s="1449">
        <f>Ti_feuchte-Ta_feuchte</f>
        <v>0</v>
      </c>
      <c r="AC90" s="1451">
        <v>0.1</v>
      </c>
      <c r="AD90" s="1449">
        <v>0</v>
      </c>
      <c r="AE90" s="1451" t="e">
        <f t="shared" ref="AE90:AE98" si="70">AG91*$AB$90+AE91</f>
        <v>#DIV/0!</v>
      </c>
      <c r="AF90" s="1449" t="s">
        <v>2324</v>
      </c>
      <c r="AG90" s="1451"/>
      <c r="AH90" s="1450" t="e">
        <f>IF(AE90&gt;0,1.40574*POWER(10,10)*EXP(-3928.5/(AE90+231.667)),3.61633*POWER(10,12)*EXP(-6150.6/(AE90+273.33)))</f>
        <v>#DIV/0!</v>
      </c>
      <c r="AI90" s="1468"/>
      <c r="AJ90" s="1451"/>
      <c r="AK90" s="1450" t="e">
        <f>AH90*Rh_innen</f>
        <v>#DIV/0!</v>
      </c>
      <c r="AL90" s="1451" t="e">
        <f>(1/(LN(AK90/(3.61633*POWER(10,12))))*-6150.6)-273.33</f>
        <v>#DIV/0!</v>
      </c>
      <c r="AM90" s="1449" t="s">
        <v>2324</v>
      </c>
      <c r="AN90" s="1451" t="e">
        <f>(1/(LN(AK90/(1.40574*POWER(10,10))))*-3928.5)-231.66</f>
        <v>#DIV/0!</v>
      </c>
      <c r="AO90" s="1449" t="s">
        <v>2324</v>
      </c>
      <c r="AP90" s="1451" t="e">
        <f>IF(AN90&lt;0,AL90,AN90)</f>
        <v>#DIV/0!</v>
      </c>
      <c r="AQ90" s="1449" t="s">
        <v>2324</v>
      </c>
      <c r="AR90" s="1449"/>
      <c r="AS90" s="1450" t="e">
        <f>Rh_innen*AZ90-Rh_aussen*AZ99</f>
        <v>#DIV/0!</v>
      </c>
      <c r="AT90" s="1449">
        <f>Ti_feuchte-Ta_feuchte</f>
        <v>0</v>
      </c>
      <c r="AU90" s="1451">
        <v>0.1</v>
      </c>
      <c r="AV90" s="1449">
        <v>0</v>
      </c>
      <c r="AW90" s="1451" t="e">
        <f t="shared" ref="AW90:AW98" si="71">AY91*$AT$90+AW91</f>
        <v>#DIV/0!</v>
      </c>
      <c r="AX90" s="1449" t="s">
        <v>2324</v>
      </c>
      <c r="AY90" s="1451"/>
      <c r="AZ90" s="1450" t="e">
        <f>IF(AW90&gt;0,1.40574*POWER(10,10)*EXP(-3928.5/(AW90+231.667)),3.61633*POWER(10,12)*EXP(-6150.6/(AW90+273.33)))</f>
        <v>#DIV/0!</v>
      </c>
      <c r="BA90" s="1451"/>
      <c r="BB90" s="1451"/>
      <c r="BC90" s="1450" t="e">
        <f>AZ90*Rh_innen</f>
        <v>#DIV/0!</v>
      </c>
      <c r="BD90" s="1451" t="e">
        <f>(1/(LN(BC90/(3.61633*POWER(10,12))))*-6150.6)-273.33</f>
        <v>#DIV/0!</v>
      </c>
      <c r="BE90" s="1449" t="s">
        <v>2324</v>
      </c>
      <c r="BF90" s="1451" t="e">
        <f>(1/(LN(BC90/(1.40574*POWER(10,10))))*-3928.5)-231.66</f>
        <v>#DIV/0!</v>
      </c>
      <c r="BG90" s="1449" t="s">
        <v>2324</v>
      </c>
      <c r="BH90" s="1451" t="e">
        <f>IF(BF90&lt;0,BD90,BF90)</f>
        <v>#DIV/0!</v>
      </c>
      <c r="BI90" s="1449" t="s">
        <v>2324</v>
      </c>
      <c r="BJ90" s="1425"/>
      <c r="BK90" s="1430"/>
      <c r="BL90" s="1431" t="s">
        <v>1987</v>
      </c>
      <c r="BM90" s="1432" t="s">
        <v>1988</v>
      </c>
      <c r="BN90" s="1433" t="s">
        <v>1989</v>
      </c>
      <c r="BO90" s="1430"/>
      <c r="BP90" s="1430"/>
      <c r="BQ90" s="1430"/>
      <c r="BR90" s="1430"/>
      <c r="BS90" s="1430"/>
      <c r="BT90" s="1431" t="s">
        <v>1987</v>
      </c>
      <c r="BU90" s="1432" t="s">
        <v>1988</v>
      </c>
      <c r="BV90" s="1433" t="s">
        <v>1989</v>
      </c>
      <c r="BW90" s="1425"/>
      <c r="BX90" s="1425"/>
      <c r="BY90" s="1425"/>
      <c r="BZ90" s="1339"/>
    </row>
    <row r="91" spans="3:78" s="174" customFormat="1" ht="12.6" customHeight="1">
      <c r="D91" s="199"/>
      <c r="E91" s="199"/>
      <c r="F91" s="199"/>
      <c r="G91" s="199"/>
      <c r="H91" s="199"/>
      <c r="I91" s="199"/>
      <c r="J91" s="199"/>
      <c r="K91" s="199"/>
      <c r="L91" s="199"/>
      <c r="M91" s="199"/>
      <c r="N91" s="199"/>
      <c r="O91" s="199"/>
      <c r="P91" s="199"/>
      <c r="Q91" s="199"/>
      <c r="S91" s="569"/>
      <c r="T91" s="2602" t="s">
        <v>274</v>
      </c>
      <c r="U91" s="2601"/>
      <c r="V91" s="2602" t="s">
        <v>273</v>
      </c>
      <c r="W91" s="2601"/>
      <c r="X91" s="2603" t="s">
        <v>276</v>
      </c>
      <c r="Y91" s="2601"/>
      <c r="Z91" s="1338"/>
      <c r="AA91" s="1449"/>
      <c r="AB91" s="1449"/>
      <c r="AC91" s="1451">
        <f>UWert!$F87/100</f>
        <v>0</v>
      </c>
      <c r="AD91" s="1451">
        <f t="shared" ref="AD91:AD99" si="72">AD90+AC90</f>
        <v>0.1</v>
      </c>
      <c r="AE91" s="1451" t="e">
        <f t="shared" si="70"/>
        <v>#DIV/0!</v>
      </c>
      <c r="AF91" s="1449" t="s">
        <v>2324</v>
      </c>
      <c r="AG91" s="1451" t="e">
        <f>UWert!$H86/(SUM(UWert!$H$86:$H$95))</f>
        <v>#DIV/0!</v>
      </c>
      <c r="AH91" s="1450" t="e">
        <f>IF(AE91&gt;0,1.40574*POWER(10,10)*EXP(-3928.5/(AE91+231.667)),3.61633*POWER(10,12)*EXP(-6150.6/(AE91+273.33)))</f>
        <v>#DIV/0!</v>
      </c>
      <c r="AI91" s="1468">
        <f>INDEX(Bauteile!$I$57:$I$1152,UWert!BA87)*(AC91)*(1/0.72)</f>
        <v>0</v>
      </c>
      <c r="AJ91" s="1451" t="e">
        <f>AI91/SUM(AI90:AI99)</f>
        <v>#DIV/0!</v>
      </c>
      <c r="AK91" s="1450" t="e">
        <f t="shared" ref="AK91:AK98" si="73">AJ91*$AA$90+AK92</f>
        <v>#DIV/0!</v>
      </c>
      <c r="AL91" s="1451" t="e">
        <f t="shared" ref="AL91:AL99" si="74">(1/(LN(AK91/(3.61633*POWER(10,12))))*-6150.6)-273.33</f>
        <v>#DIV/0!</v>
      </c>
      <c r="AM91" s="1449" t="s">
        <v>2324</v>
      </c>
      <c r="AN91" s="1451" t="e">
        <f t="shared" ref="AN91:AN99" si="75">(1/(LN(AK91/(1.40574*POWER(10,10))))*-3928.5)-231.66</f>
        <v>#DIV/0!</v>
      </c>
      <c r="AO91" s="1449" t="s">
        <v>2324</v>
      </c>
      <c r="AP91" s="1451" t="e">
        <f t="shared" ref="AP91:AP99" si="76">IF(AN91&lt;0,AL91,AN91)</f>
        <v>#DIV/0!</v>
      </c>
      <c r="AQ91" s="1449" t="s">
        <v>2324</v>
      </c>
      <c r="AR91" s="1449"/>
      <c r="AS91" s="1449"/>
      <c r="AT91" s="1449"/>
      <c r="AU91" s="1451">
        <f>UWert!$N87/100</f>
        <v>0</v>
      </c>
      <c r="AV91" s="1449">
        <f>AV90+AU90</f>
        <v>0.1</v>
      </c>
      <c r="AW91" s="1451" t="e">
        <f t="shared" si="71"/>
        <v>#DIV/0!</v>
      </c>
      <c r="AX91" s="1449" t="s">
        <v>2324</v>
      </c>
      <c r="AY91" s="1451" t="e">
        <f>UWert!$P86/(SUM(UWert!$P$86:$P$95))</f>
        <v>#DIV/0!</v>
      </c>
      <c r="AZ91" s="1450" t="e">
        <f>IF(AW91&gt;0,1.40574*POWER(10,10)*EXP(-3928.5/(AW91+231.667)),3.61633*POWER(10,12)*EXP(-6150.6/(AW91+273.33)))</f>
        <v>#DIV/0!</v>
      </c>
      <c r="BA91" s="1451">
        <f>INDEX(Bauteile!$I$57:$I$1152,UWert!BB87)*(AU91)*(1/0.72)</f>
        <v>0</v>
      </c>
      <c r="BB91" s="1451" t="e">
        <f>BA91/SUM(BA90:BA99)</f>
        <v>#DIV/0!</v>
      </c>
      <c r="BC91" s="1450" t="e">
        <f t="shared" ref="BC91:BC98" si="77">BB91*$AS$90+BC92</f>
        <v>#DIV/0!</v>
      </c>
      <c r="BD91" s="1451" t="e">
        <f t="shared" ref="BD91:BD99" si="78">(1/(LN(BC91/(3.61633*POWER(10,12))))*-6150.6)-273.33</f>
        <v>#DIV/0!</v>
      </c>
      <c r="BE91" s="1449" t="s">
        <v>2324</v>
      </c>
      <c r="BF91" s="1451" t="e">
        <f t="shared" ref="BF91:BF99" si="79">(1/(LN(BC91/(1.40574*POWER(10,10))))*-3928.5)-231.66</f>
        <v>#DIV/0!</v>
      </c>
      <c r="BG91" s="1449" t="s">
        <v>2324</v>
      </c>
      <c r="BH91" s="1451" t="e">
        <f t="shared" ref="BH91:BH99" si="80">IF(BF91&lt;0,BD91,BF91)</f>
        <v>#DIV/0!</v>
      </c>
      <c r="BI91" s="1449" t="s">
        <v>2324</v>
      </c>
      <c r="BJ91" s="1425"/>
      <c r="BK91" s="1430"/>
      <c r="BL91" s="1434" t="e">
        <f>IF(BL92&gt;0,BL92*((1/BL92)-(1/6)),"")</f>
        <v>#VALUE!</v>
      </c>
      <c r="BM91" s="1435">
        <f>$BM$15</f>
        <v>0</v>
      </c>
      <c r="BN91" s="1436">
        <f>$BN$15</f>
        <v>0</v>
      </c>
      <c r="BO91" s="1430"/>
      <c r="BP91" s="1430"/>
      <c r="BQ91" s="1430"/>
      <c r="BR91" s="1430"/>
      <c r="BS91" s="1430"/>
      <c r="BT91" s="1434" t="e">
        <f>IF(BT92&gt;0,BT92*((1/BT92)-(1/6)),"")</f>
        <v>#VALUE!</v>
      </c>
      <c r="BU91" s="1435">
        <f>$BM$15</f>
        <v>0</v>
      </c>
      <c r="BV91" s="1436">
        <f>$BN$15</f>
        <v>0</v>
      </c>
      <c r="BW91" s="1425"/>
      <c r="BX91" s="1425"/>
      <c r="BY91" s="1425"/>
      <c r="BZ91" s="1339"/>
    </row>
    <row r="92" spans="3:78" s="174" customFormat="1" ht="12.6" customHeight="1" thickBot="1">
      <c r="D92" s="199"/>
      <c r="E92" s="199"/>
      <c r="F92" s="199"/>
      <c r="G92" s="199"/>
      <c r="H92" s="199"/>
      <c r="I92" s="199"/>
      <c r="J92" s="199"/>
      <c r="K92" s="199"/>
      <c r="L92" s="199"/>
      <c r="M92" s="199"/>
      <c r="N92" s="199"/>
      <c r="O92" s="199"/>
      <c r="P92" s="199"/>
      <c r="Q92" s="199"/>
      <c r="S92" s="569"/>
      <c r="T92" s="2600">
        <f>IF(UWert!F84&lt;&gt;"",BL91,)</f>
        <v>0</v>
      </c>
      <c r="U92" s="2601"/>
      <c r="V92" s="2600">
        <f>BM91</f>
        <v>0</v>
      </c>
      <c r="W92" s="2601"/>
      <c r="X92" s="2603">
        <f>BN91</f>
        <v>0</v>
      </c>
      <c r="Y92" s="2601"/>
      <c r="Z92" s="1338"/>
      <c r="AA92" s="1449"/>
      <c r="AB92" s="1449"/>
      <c r="AC92" s="1451">
        <f>UWert!$F88/100</f>
        <v>0</v>
      </c>
      <c r="AD92" s="1451">
        <f t="shared" si="72"/>
        <v>0.1</v>
      </c>
      <c r="AE92" s="1451" t="e">
        <f t="shared" si="70"/>
        <v>#DIV/0!</v>
      </c>
      <c r="AF92" s="1449" t="s">
        <v>2324</v>
      </c>
      <c r="AG92" s="1451" t="e">
        <f>UWert!$H87/(SUM(UWert!$H$86:$H$95))</f>
        <v>#DIV/0!</v>
      </c>
      <c r="AH92" s="1450" t="e">
        <f t="shared" ref="AH92:AH99" si="81">IF(AE92&gt;0,1.40574*POWER(10,10)*EXP(-3928.5/(AE92+231.667)),3.61633*POWER(10,12)*EXP(-6150.6/(AE92+273.33)))</f>
        <v>#DIV/0!</v>
      </c>
      <c r="AI92" s="1468">
        <f>INDEX(Bauteile!$I$57:$I$1152,UWert!BA88)*(AC92)*(1/0.72)</f>
        <v>0</v>
      </c>
      <c r="AJ92" s="1451" t="e">
        <f>AI92/SUM(AI90:AI99)</f>
        <v>#DIV/0!</v>
      </c>
      <c r="AK92" s="1450" t="e">
        <f t="shared" si="73"/>
        <v>#DIV/0!</v>
      </c>
      <c r="AL92" s="1451" t="e">
        <f t="shared" si="74"/>
        <v>#DIV/0!</v>
      </c>
      <c r="AM92" s="1449" t="s">
        <v>2324</v>
      </c>
      <c r="AN92" s="1451" t="e">
        <f t="shared" si="75"/>
        <v>#DIV/0!</v>
      </c>
      <c r="AO92" s="1449" t="s">
        <v>2324</v>
      </c>
      <c r="AP92" s="1451" t="e">
        <f t="shared" si="76"/>
        <v>#DIV/0!</v>
      </c>
      <c r="AQ92" s="1449" t="s">
        <v>2324</v>
      </c>
      <c r="AR92" s="1449"/>
      <c r="AS92" s="1449"/>
      <c r="AT92" s="1449"/>
      <c r="AU92" s="1451">
        <f>UWert!$N88/100</f>
        <v>0</v>
      </c>
      <c r="AV92" s="1449">
        <f t="shared" ref="AV92:AV99" si="82">AV91+AU91</f>
        <v>0.1</v>
      </c>
      <c r="AW92" s="1451" t="e">
        <f t="shared" si="71"/>
        <v>#DIV/0!</v>
      </c>
      <c r="AX92" s="1449" t="s">
        <v>2324</v>
      </c>
      <c r="AY92" s="1451" t="e">
        <f>UWert!$P87/(SUM(UWert!$P$86:$P$95))</f>
        <v>#DIV/0!</v>
      </c>
      <c r="AZ92" s="1450" t="e">
        <f t="shared" ref="AZ92:AZ99" si="83">IF(AW92&gt;0,1.40574*POWER(10,10)*EXP(-3928.5/(AW92+231.667)),3.61633*POWER(10,12)*EXP(-6150.6/(AW92+273.33)))</f>
        <v>#DIV/0!</v>
      </c>
      <c r="BA92" s="1451">
        <f>INDEX(Bauteile!$I$57:$I$1152,UWert!BB88)*(AU92)*(1/0.72)</f>
        <v>0</v>
      </c>
      <c r="BB92" s="1451" t="e">
        <f>BA92/SUM(BA90:BA99)</f>
        <v>#DIV/0!</v>
      </c>
      <c r="BC92" s="1450" t="e">
        <f t="shared" si="77"/>
        <v>#DIV/0!</v>
      </c>
      <c r="BD92" s="1451" t="e">
        <f t="shared" si="78"/>
        <v>#DIV/0!</v>
      </c>
      <c r="BE92" s="1449" t="s">
        <v>2324</v>
      </c>
      <c r="BF92" s="1451" t="e">
        <f t="shared" si="79"/>
        <v>#DIV/0!</v>
      </c>
      <c r="BG92" s="1449" t="s">
        <v>2324</v>
      </c>
      <c r="BH92" s="1451" t="e">
        <f t="shared" si="80"/>
        <v>#DIV/0!</v>
      </c>
      <c r="BI92" s="1449" t="s">
        <v>2324</v>
      </c>
      <c r="BJ92" s="1425"/>
      <c r="BK92" s="1437"/>
      <c r="BL92" s="1438" t="e">
        <f>IF(UWert!F84&gt;0,1/((1/UWert!F84)-(1/8)+(1/6)),)</f>
        <v>#VALUE!</v>
      </c>
      <c r="BM92" s="1439" t="e">
        <f>IF(BL91&gt;BM91,"","Problem !!!")</f>
        <v>#VALUE!</v>
      </c>
      <c r="BN92" s="1440" t="e">
        <f>IF(BL91&gt;BN91,"","Problem !!!")</f>
        <v>#VALUE!</v>
      </c>
      <c r="BO92" s="1437"/>
      <c r="BP92" s="1437"/>
      <c r="BQ92" s="1437"/>
      <c r="BR92" s="1437"/>
      <c r="BS92" s="1437"/>
      <c r="BT92" s="1438" t="e">
        <f>IF(UWert!N84&gt;0,1/((1/UWert!N84)-(1/8)+(1/6)),)</f>
        <v>#VALUE!</v>
      </c>
      <c r="BU92" s="1439" t="e">
        <f>IF(BT91&gt;BU91,"","Problem !!!")</f>
        <v>#VALUE!</v>
      </c>
      <c r="BV92" s="1440" t="e">
        <f>IF(BT91&gt;BV91,"","Problem !!!")</f>
        <v>#VALUE!</v>
      </c>
      <c r="BW92" s="1425"/>
      <c r="BX92" s="1425"/>
      <c r="BY92" s="1425"/>
      <c r="BZ92" s="1339"/>
    </row>
    <row r="93" spans="3:78" s="174" customFormat="1" ht="12.6" customHeight="1">
      <c r="D93" s="199"/>
      <c r="E93" s="199"/>
      <c r="F93" s="199"/>
      <c r="G93" s="199"/>
      <c r="H93" s="199"/>
      <c r="I93" s="199"/>
      <c r="J93" s="199"/>
      <c r="K93" s="199"/>
      <c r="L93" s="199"/>
      <c r="M93" s="199"/>
      <c r="N93" s="199"/>
      <c r="O93" s="199"/>
      <c r="P93" s="199"/>
      <c r="Q93" s="199"/>
      <c r="S93" s="569"/>
      <c r="T93" s="615"/>
      <c r="U93" s="616"/>
      <c r="V93" s="2594">
        <f>IF(UWert!F84&lt;&gt;"",BM92,)</f>
        <v>0</v>
      </c>
      <c r="W93" s="2595"/>
      <c r="X93" s="2594">
        <f>IF(UWert!F84&lt;&gt;"",BN92,)</f>
        <v>0</v>
      </c>
      <c r="Y93" s="2595"/>
      <c r="Z93" s="1338"/>
      <c r="AA93" s="1449"/>
      <c r="AB93" s="1449"/>
      <c r="AC93" s="1451">
        <f>UWert!$F89/100</f>
        <v>0</v>
      </c>
      <c r="AD93" s="1451">
        <f t="shared" si="72"/>
        <v>0.1</v>
      </c>
      <c r="AE93" s="1451" t="e">
        <f t="shared" si="70"/>
        <v>#DIV/0!</v>
      </c>
      <c r="AF93" s="1449" t="s">
        <v>2324</v>
      </c>
      <c r="AG93" s="1451" t="e">
        <f>UWert!$H88/(SUM(UWert!$H$86:$H$95))</f>
        <v>#DIV/0!</v>
      </c>
      <c r="AH93" s="1450" t="e">
        <f t="shared" si="81"/>
        <v>#DIV/0!</v>
      </c>
      <c r="AI93" s="1468">
        <f>INDEX(Bauteile!$I$57:$I$1152,UWert!BA89)*(AC93)*(1/0.72)</f>
        <v>0</v>
      </c>
      <c r="AJ93" s="1451" t="e">
        <f>AI93/SUM(AI90:AI99)</f>
        <v>#DIV/0!</v>
      </c>
      <c r="AK93" s="1450" t="e">
        <f t="shared" si="73"/>
        <v>#DIV/0!</v>
      </c>
      <c r="AL93" s="1451" t="e">
        <f t="shared" si="74"/>
        <v>#DIV/0!</v>
      </c>
      <c r="AM93" s="1449" t="s">
        <v>2324</v>
      </c>
      <c r="AN93" s="1451" t="e">
        <f t="shared" si="75"/>
        <v>#DIV/0!</v>
      </c>
      <c r="AO93" s="1449" t="s">
        <v>2324</v>
      </c>
      <c r="AP93" s="1451" t="e">
        <f t="shared" si="76"/>
        <v>#DIV/0!</v>
      </c>
      <c r="AQ93" s="1449" t="s">
        <v>2324</v>
      </c>
      <c r="AR93" s="1449"/>
      <c r="AS93" s="1449"/>
      <c r="AT93" s="1449"/>
      <c r="AU93" s="1451">
        <f>UWert!$N89/100</f>
        <v>0</v>
      </c>
      <c r="AV93" s="1449">
        <f t="shared" si="82"/>
        <v>0.1</v>
      </c>
      <c r="AW93" s="1451" t="e">
        <f t="shared" si="71"/>
        <v>#DIV/0!</v>
      </c>
      <c r="AX93" s="1449" t="s">
        <v>2324</v>
      </c>
      <c r="AY93" s="1451" t="e">
        <f>UWert!$P88/(SUM(UWert!$P$86:$P$95))</f>
        <v>#DIV/0!</v>
      </c>
      <c r="AZ93" s="1450" t="e">
        <f t="shared" si="83"/>
        <v>#DIV/0!</v>
      </c>
      <c r="BA93" s="1451">
        <f>INDEX(Bauteile!$I$57:$I$1152,UWert!BB89)*(AU93)*(1/0.72)</f>
        <v>0</v>
      </c>
      <c r="BB93" s="1451" t="e">
        <f>BA93/SUM(BA90:BA99)</f>
        <v>#DIV/0!</v>
      </c>
      <c r="BC93" s="1450" t="e">
        <f t="shared" si="77"/>
        <v>#DIV/0!</v>
      </c>
      <c r="BD93" s="1451" t="e">
        <f t="shared" si="78"/>
        <v>#DIV/0!</v>
      </c>
      <c r="BE93" s="1449" t="s">
        <v>2324</v>
      </c>
      <c r="BF93" s="1451" t="e">
        <f t="shared" si="79"/>
        <v>#DIV/0!</v>
      </c>
      <c r="BG93" s="1449" t="s">
        <v>2324</v>
      </c>
      <c r="BH93" s="1451" t="e">
        <f t="shared" si="80"/>
        <v>#DIV/0!</v>
      </c>
      <c r="BI93" s="1449" t="s">
        <v>2324</v>
      </c>
      <c r="BJ93" s="1425"/>
      <c r="BK93" s="1425"/>
      <c r="BL93" s="1425"/>
      <c r="BM93" s="1425"/>
      <c r="BN93" s="1425"/>
      <c r="BO93" s="1425"/>
      <c r="BP93" s="1425"/>
      <c r="BQ93" s="1425"/>
      <c r="BR93" s="1425"/>
      <c r="BS93" s="1425"/>
      <c r="BT93" s="1425"/>
      <c r="BU93" s="1425"/>
      <c r="BV93" s="1425"/>
      <c r="BW93" s="1425"/>
      <c r="BX93" s="1425"/>
      <c r="BY93" s="1425"/>
      <c r="BZ93" s="1339"/>
    </row>
    <row r="94" spans="3:78" s="174" customFormat="1" ht="12.6" customHeight="1">
      <c r="D94" s="199"/>
      <c r="E94" s="199"/>
      <c r="F94" s="199"/>
      <c r="G94" s="199"/>
      <c r="H94" s="199"/>
      <c r="I94" s="199"/>
      <c r="J94" s="199"/>
      <c r="K94" s="199"/>
      <c r="L94" s="199"/>
      <c r="M94" s="199"/>
      <c r="N94" s="199"/>
      <c r="O94" s="199"/>
      <c r="P94" s="199"/>
      <c r="Q94" s="199"/>
      <c r="S94" s="569"/>
      <c r="T94" s="2605"/>
      <c r="U94" s="2605"/>
      <c r="V94" s="565"/>
      <c r="W94" s="2605"/>
      <c r="X94" s="2605"/>
      <c r="Y94" s="199"/>
      <c r="Z94" s="1338"/>
      <c r="AA94" s="1449"/>
      <c r="AB94" s="1449"/>
      <c r="AC94" s="1451">
        <f>UWert!$F90/100</f>
        <v>0</v>
      </c>
      <c r="AD94" s="1451">
        <f t="shared" si="72"/>
        <v>0.1</v>
      </c>
      <c r="AE94" s="1451" t="e">
        <f t="shared" si="70"/>
        <v>#DIV/0!</v>
      </c>
      <c r="AF94" s="1449" t="s">
        <v>2324</v>
      </c>
      <c r="AG94" s="1451" t="e">
        <f>UWert!$H89/(SUM(UWert!$H$86:$H$95))</f>
        <v>#DIV/0!</v>
      </c>
      <c r="AH94" s="1450" t="e">
        <f t="shared" si="81"/>
        <v>#DIV/0!</v>
      </c>
      <c r="AI94" s="1468">
        <f>INDEX(Bauteile!$I$57:$I$1152,UWert!BA90)*(AC94)*(1/0.72)</f>
        <v>0</v>
      </c>
      <c r="AJ94" s="1451" t="e">
        <f>AI94/SUM(AI90:AI99)</f>
        <v>#DIV/0!</v>
      </c>
      <c r="AK94" s="1450" t="e">
        <f t="shared" si="73"/>
        <v>#DIV/0!</v>
      </c>
      <c r="AL94" s="1451" t="e">
        <f t="shared" si="74"/>
        <v>#DIV/0!</v>
      </c>
      <c r="AM94" s="1449" t="s">
        <v>2324</v>
      </c>
      <c r="AN94" s="1451" t="e">
        <f t="shared" si="75"/>
        <v>#DIV/0!</v>
      </c>
      <c r="AO94" s="1449" t="s">
        <v>2324</v>
      </c>
      <c r="AP94" s="1451" t="e">
        <f t="shared" si="76"/>
        <v>#DIV/0!</v>
      </c>
      <c r="AQ94" s="1449" t="s">
        <v>2324</v>
      </c>
      <c r="AR94" s="1449"/>
      <c r="AS94" s="1449"/>
      <c r="AT94" s="1449"/>
      <c r="AU94" s="1451">
        <f>UWert!$N90/100</f>
        <v>0</v>
      </c>
      <c r="AV94" s="1449">
        <f t="shared" si="82"/>
        <v>0.1</v>
      </c>
      <c r="AW94" s="1451" t="e">
        <f t="shared" si="71"/>
        <v>#DIV/0!</v>
      </c>
      <c r="AX94" s="1449" t="s">
        <v>2324</v>
      </c>
      <c r="AY94" s="1451" t="e">
        <f>UWert!$P89/(SUM(UWert!$P$86:$P$95))</f>
        <v>#DIV/0!</v>
      </c>
      <c r="AZ94" s="1450" t="e">
        <f t="shared" si="83"/>
        <v>#DIV/0!</v>
      </c>
      <c r="BA94" s="1451">
        <f>INDEX(Bauteile!$I$57:$I$1152,UWert!BB90)*(AU94)*(1/0.72)</f>
        <v>0</v>
      </c>
      <c r="BB94" s="1451" t="e">
        <f>BA94/SUM(BA90:BA99)</f>
        <v>#DIV/0!</v>
      </c>
      <c r="BC94" s="1450" t="e">
        <f t="shared" si="77"/>
        <v>#DIV/0!</v>
      </c>
      <c r="BD94" s="1451" t="e">
        <f t="shared" si="78"/>
        <v>#DIV/0!</v>
      </c>
      <c r="BE94" s="1449" t="s">
        <v>2324</v>
      </c>
      <c r="BF94" s="1451" t="e">
        <f t="shared" si="79"/>
        <v>#DIV/0!</v>
      </c>
      <c r="BG94" s="1449" t="s">
        <v>2324</v>
      </c>
      <c r="BH94" s="1451" t="e">
        <f t="shared" si="80"/>
        <v>#DIV/0!</v>
      </c>
      <c r="BI94" s="1449" t="s">
        <v>2324</v>
      </c>
      <c r="BJ94" s="1425"/>
      <c r="BK94" s="1425"/>
      <c r="BL94" s="1425"/>
      <c r="BM94" s="1425"/>
      <c r="BN94" s="1425"/>
      <c r="BO94" s="1425"/>
      <c r="BP94" s="1425"/>
      <c r="BQ94" s="1425"/>
      <c r="BR94" s="1425"/>
      <c r="BS94" s="1425"/>
      <c r="BT94" s="1425"/>
      <c r="BU94" s="1425"/>
      <c r="BV94" s="1425"/>
      <c r="BW94" s="1425"/>
      <c r="BX94" s="1425"/>
      <c r="BY94" s="1425"/>
      <c r="BZ94" s="1339"/>
    </row>
    <row r="95" spans="3:78" s="174" customFormat="1" ht="12.6" customHeight="1">
      <c r="D95" s="199"/>
      <c r="E95" s="199"/>
      <c r="F95" s="199"/>
      <c r="G95" s="199"/>
      <c r="H95" s="199"/>
      <c r="I95" s="199"/>
      <c r="J95" s="199"/>
      <c r="K95" s="199"/>
      <c r="L95" s="199"/>
      <c r="M95" s="199"/>
      <c r="N95" s="199"/>
      <c r="O95" s="199"/>
      <c r="P95" s="199"/>
      <c r="Q95" s="199"/>
      <c r="S95" s="569"/>
      <c r="T95" s="568">
        <v>12</v>
      </c>
      <c r="U95" s="488">
        <f>UWert!K84</f>
        <v>0</v>
      </c>
      <c r="V95" s="573"/>
      <c r="W95" s="488"/>
      <c r="X95" s="573"/>
      <c r="Y95" s="567"/>
      <c r="Z95" s="1338"/>
      <c r="AA95" s="1449"/>
      <c r="AB95" s="1449"/>
      <c r="AC95" s="1451">
        <f>UWert!$F91/100</f>
        <v>0</v>
      </c>
      <c r="AD95" s="1451">
        <f t="shared" si="72"/>
        <v>0.1</v>
      </c>
      <c r="AE95" s="1451" t="e">
        <f t="shared" si="70"/>
        <v>#DIV/0!</v>
      </c>
      <c r="AF95" s="1449" t="s">
        <v>2324</v>
      </c>
      <c r="AG95" s="1451" t="e">
        <f>UWert!$H90/(SUM(UWert!$H$86:$H$95))</f>
        <v>#DIV/0!</v>
      </c>
      <c r="AH95" s="1450" t="e">
        <f t="shared" si="81"/>
        <v>#DIV/0!</v>
      </c>
      <c r="AI95" s="1468">
        <f>INDEX(Bauteile!$I$57:$I$1152,UWert!BA91)*(AC95)*(1/0.72)</f>
        <v>0</v>
      </c>
      <c r="AJ95" s="1451" t="e">
        <f>AI95/SUM(AI90:AI99)</f>
        <v>#DIV/0!</v>
      </c>
      <c r="AK95" s="1450" t="e">
        <f t="shared" si="73"/>
        <v>#DIV/0!</v>
      </c>
      <c r="AL95" s="1451" t="e">
        <f t="shared" si="74"/>
        <v>#DIV/0!</v>
      </c>
      <c r="AM95" s="1449" t="s">
        <v>2324</v>
      </c>
      <c r="AN95" s="1451" t="e">
        <f t="shared" si="75"/>
        <v>#DIV/0!</v>
      </c>
      <c r="AO95" s="1449" t="s">
        <v>2324</v>
      </c>
      <c r="AP95" s="1451" t="e">
        <f t="shared" si="76"/>
        <v>#DIV/0!</v>
      </c>
      <c r="AQ95" s="1449" t="s">
        <v>2324</v>
      </c>
      <c r="AR95" s="1449"/>
      <c r="AS95" s="1449"/>
      <c r="AT95" s="1449"/>
      <c r="AU95" s="1451">
        <f>UWert!$N91/100</f>
        <v>0</v>
      </c>
      <c r="AV95" s="1449">
        <f t="shared" si="82"/>
        <v>0.1</v>
      </c>
      <c r="AW95" s="1451" t="e">
        <f t="shared" si="71"/>
        <v>#DIV/0!</v>
      </c>
      <c r="AX95" s="1449" t="s">
        <v>2324</v>
      </c>
      <c r="AY95" s="1451" t="e">
        <f>UWert!$P90/(SUM(UWert!$P$86:$P$95))</f>
        <v>#DIV/0!</v>
      </c>
      <c r="AZ95" s="1450" t="e">
        <f t="shared" si="83"/>
        <v>#DIV/0!</v>
      </c>
      <c r="BA95" s="1451">
        <f>INDEX(Bauteile!$I$57:$I$1152,UWert!BB91)*(AU95)*(1/0.72)</f>
        <v>0</v>
      </c>
      <c r="BB95" s="1451" t="e">
        <f>BA95/SUM(BA90:BA99)</f>
        <v>#DIV/0!</v>
      </c>
      <c r="BC95" s="1450" t="e">
        <f t="shared" si="77"/>
        <v>#DIV/0!</v>
      </c>
      <c r="BD95" s="1451" t="e">
        <f t="shared" si="78"/>
        <v>#DIV/0!</v>
      </c>
      <c r="BE95" s="1449" t="s">
        <v>2324</v>
      </c>
      <c r="BF95" s="1451" t="e">
        <f t="shared" si="79"/>
        <v>#DIV/0!</v>
      </c>
      <c r="BG95" s="1449" t="s">
        <v>2324</v>
      </c>
      <c r="BH95" s="1451" t="e">
        <f t="shared" si="80"/>
        <v>#DIV/0!</v>
      </c>
      <c r="BI95" s="1449" t="s">
        <v>2324</v>
      </c>
      <c r="BJ95" s="1425"/>
      <c r="BK95" s="1425"/>
      <c r="BL95" s="1425"/>
      <c r="BM95" s="1425"/>
      <c r="BN95" s="1425"/>
      <c r="BO95" s="1425"/>
      <c r="BP95" s="1425"/>
      <c r="BQ95" s="1425"/>
      <c r="BR95" s="1425"/>
      <c r="BS95" s="1425"/>
      <c r="BT95" s="1425"/>
      <c r="BU95" s="1425"/>
      <c r="BV95" s="1425"/>
      <c r="BW95" s="1425"/>
      <c r="BX95" s="1425"/>
      <c r="BY95" s="1425"/>
      <c r="BZ95" s="1339"/>
    </row>
    <row r="96" spans="3:78" s="174" customFormat="1" ht="12.6" customHeight="1">
      <c r="D96" s="199"/>
      <c r="E96" s="199"/>
      <c r="F96" s="199"/>
      <c r="G96" s="199"/>
      <c r="H96" s="199"/>
      <c r="I96" s="199"/>
      <c r="J96" s="199"/>
      <c r="K96" s="199"/>
      <c r="L96" s="199"/>
      <c r="M96" s="199"/>
      <c r="N96" s="199"/>
      <c r="O96" s="199"/>
      <c r="P96" s="199"/>
      <c r="Q96" s="199"/>
      <c r="S96" s="569"/>
      <c r="T96" s="2592" t="str">
        <f>T89</f>
        <v>valeur qui est</v>
      </c>
      <c r="U96" s="2593"/>
      <c r="V96" s="2596" t="str">
        <f>V89</f>
        <v>valeur limite</v>
      </c>
      <c r="W96" s="2597"/>
      <c r="X96" s="2596" t="str">
        <f>X89</f>
        <v>valeur limite</v>
      </c>
      <c r="Y96" s="2597"/>
      <c r="Z96" s="1338"/>
      <c r="AA96" s="1449"/>
      <c r="AB96" s="1449"/>
      <c r="AC96" s="1451">
        <f>UWert!$F92/100</f>
        <v>0</v>
      </c>
      <c r="AD96" s="1451">
        <f t="shared" si="72"/>
        <v>0.1</v>
      </c>
      <c r="AE96" s="1451" t="e">
        <f t="shared" si="70"/>
        <v>#DIV/0!</v>
      </c>
      <c r="AF96" s="1449" t="s">
        <v>2324</v>
      </c>
      <c r="AG96" s="1451" t="e">
        <f>UWert!$H91/(SUM(UWert!$H$86:$H$95))</f>
        <v>#DIV/0!</v>
      </c>
      <c r="AH96" s="1450" t="e">
        <f t="shared" si="81"/>
        <v>#DIV/0!</v>
      </c>
      <c r="AI96" s="1468">
        <f>INDEX(Bauteile!$I$57:$I$1152,UWert!BA92)*(AC96)*(1/0.72)</f>
        <v>0</v>
      </c>
      <c r="AJ96" s="1451" t="e">
        <f>AI96/SUM(AI90:AI99)</f>
        <v>#DIV/0!</v>
      </c>
      <c r="AK96" s="1450" t="e">
        <f t="shared" si="73"/>
        <v>#DIV/0!</v>
      </c>
      <c r="AL96" s="1451" t="e">
        <f t="shared" si="74"/>
        <v>#DIV/0!</v>
      </c>
      <c r="AM96" s="1449" t="s">
        <v>2324</v>
      </c>
      <c r="AN96" s="1451" t="e">
        <f t="shared" si="75"/>
        <v>#DIV/0!</v>
      </c>
      <c r="AO96" s="1449" t="s">
        <v>2324</v>
      </c>
      <c r="AP96" s="1451" t="e">
        <f t="shared" si="76"/>
        <v>#DIV/0!</v>
      </c>
      <c r="AQ96" s="1449" t="s">
        <v>2324</v>
      </c>
      <c r="AR96" s="1449"/>
      <c r="AS96" s="1449"/>
      <c r="AT96" s="1449"/>
      <c r="AU96" s="1451">
        <f>UWert!$N92/100</f>
        <v>0</v>
      </c>
      <c r="AV96" s="1449">
        <f t="shared" si="82"/>
        <v>0.1</v>
      </c>
      <c r="AW96" s="1451" t="e">
        <f t="shared" si="71"/>
        <v>#DIV/0!</v>
      </c>
      <c r="AX96" s="1449" t="s">
        <v>2324</v>
      </c>
      <c r="AY96" s="1451" t="e">
        <f>UWert!$P91/(SUM(UWert!$P$86:$P$95))</f>
        <v>#DIV/0!</v>
      </c>
      <c r="AZ96" s="1450" t="e">
        <f t="shared" si="83"/>
        <v>#DIV/0!</v>
      </c>
      <c r="BA96" s="1451">
        <f>INDEX(Bauteile!$I$57:$I$1152,UWert!BB92)*(AU96)*(1/0.72)</f>
        <v>0</v>
      </c>
      <c r="BB96" s="1451" t="e">
        <f>BA96/SUM(BA90:BA99)</f>
        <v>#DIV/0!</v>
      </c>
      <c r="BC96" s="1450" t="e">
        <f t="shared" si="77"/>
        <v>#DIV/0!</v>
      </c>
      <c r="BD96" s="1451" t="e">
        <f t="shared" si="78"/>
        <v>#DIV/0!</v>
      </c>
      <c r="BE96" s="1449" t="s">
        <v>2324</v>
      </c>
      <c r="BF96" s="1451" t="e">
        <f t="shared" si="79"/>
        <v>#DIV/0!</v>
      </c>
      <c r="BG96" s="1449" t="s">
        <v>2324</v>
      </c>
      <c r="BH96" s="1451" t="e">
        <f t="shared" si="80"/>
        <v>#DIV/0!</v>
      </c>
      <c r="BI96" s="1449" t="s">
        <v>2324</v>
      </c>
      <c r="BJ96" s="1425"/>
      <c r="BK96" s="1425"/>
      <c r="BL96" s="1425"/>
      <c r="BM96" s="1425"/>
      <c r="BN96" s="1425"/>
      <c r="BO96" s="1425"/>
      <c r="BP96" s="1425"/>
      <c r="BQ96" s="1425"/>
      <c r="BR96" s="1425"/>
      <c r="BS96" s="1425"/>
      <c r="BT96" s="1425"/>
      <c r="BU96" s="1425"/>
      <c r="BV96" s="1425"/>
      <c r="BW96" s="1425"/>
      <c r="BX96" s="1425"/>
      <c r="BY96" s="1425"/>
      <c r="BZ96" s="1339"/>
    </row>
    <row r="97" spans="3:78" s="174" customFormat="1" ht="12.6" customHeight="1">
      <c r="D97" s="199"/>
      <c r="E97" s="199"/>
      <c r="F97" s="199"/>
      <c r="G97" s="199"/>
      <c r="H97" s="199"/>
      <c r="I97" s="199"/>
      <c r="J97" s="199"/>
      <c r="K97" s="199"/>
      <c r="L97" s="199"/>
      <c r="M97" s="199"/>
      <c r="N97" s="199"/>
      <c r="O97" s="199"/>
      <c r="P97" s="199"/>
      <c r="Q97" s="199"/>
      <c r="S97" s="569"/>
      <c r="T97" s="2596"/>
      <c r="U97" s="2607"/>
      <c r="V97" s="2596" t="str">
        <f>V90</f>
        <v>condens.</v>
      </c>
      <c r="W97" s="2597"/>
      <c r="X97" s="2596" t="str">
        <f>X90</f>
        <v>penicillium</v>
      </c>
      <c r="Y97" s="2604"/>
      <c r="Z97" s="1338"/>
      <c r="AA97" s="1449"/>
      <c r="AB97" s="1449"/>
      <c r="AC97" s="1451">
        <f>UWert!$F93/100</f>
        <v>0</v>
      </c>
      <c r="AD97" s="1451">
        <f t="shared" si="72"/>
        <v>0.1</v>
      </c>
      <c r="AE97" s="1451" t="e">
        <f t="shared" si="70"/>
        <v>#DIV/0!</v>
      </c>
      <c r="AF97" s="1449" t="s">
        <v>2324</v>
      </c>
      <c r="AG97" s="1451" t="e">
        <f>UWert!$H92/(SUM(UWert!$H$86:$H$95))</f>
        <v>#DIV/0!</v>
      </c>
      <c r="AH97" s="1450" t="e">
        <f t="shared" si="81"/>
        <v>#DIV/0!</v>
      </c>
      <c r="AI97" s="1468">
        <f>INDEX(Bauteile!$I$57:$I$1152,UWert!BA93)*(AC97)*(1/0.72)</f>
        <v>0</v>
      </c>
      <c r="AJ97" s="1451" t="e">
        <f>AI97/SUM(AI90:AI99)</f>
        <v>#DIV/0!</v>
      </c>
      <c r="AK97" s="1450" t="e">
        <f t="shared" si="73"/>
        <v>#DIV/0!</v>
      </c>
      <c r="AL97" s="1451" t="e">
        <f t="shared" si="74"/>
        <v>#DIV/0!</v>
      </c>
      <c r="AM97" s="1449" t="s">
        <v>2324</v>
      </c>
      <c r="AN97" s="1451" t="e">
        <f t="shared" si="75"/>
        <v>#DIV/0!</v>
      </c>
      <c r="AO97" s="1449" t="s">
        <v>2324</v>
      </c>
      <c r="AP97" s="1451" t="e">
        <f t="shared" si="76"/>
        <v>#DIV/0!</v>
      </c>
      <c r="AQ97" s="1449" t="s">
        <v>2324</v>
      </c>
      <c r="AR97" s="1449"/>
      <c r="AS97" s="1449"/>
      <c r="AT97" s="1449"/>
      <c r="AU97" s="1451">
        <f>UWert!$N93/100</f>
        <v>0</v>
      </c>
      <c r="AV97" s="1449">
        <f t="shared" si="82"/>
        <v>0.1</v>
      </c>
      <c r="AW97" s="1451" t="e">
        <f t="shared" si="71"/>
        <v>#DIV/0!</v>
      </c>
      <c r="AX97" s="1449" t="s">
        <v>2324</v>
      </c>
      <c r="AY97" s="1451" t="e">
        <f>UWert!$P92/(SUM(UWert!$P$86:$P$95))</f>
        <v>#DIV/0!</v>
      </c>
      <c r="AZ97" s="1450" t="e">
        <f t="shared" si="83"/>
        <v>#DIV/0!</v>
      </c>
      <c r="BA97" s="1451">
        <f>INDEX(Bauteile!$I$57:$I$1152,UWert!BB93)*(AU97)*(1/0.72)</f>
        <v>0</v>
      </c>
      <c r="BB97" s="1451" t="e">
        <f>BA97/SUM(BA90:BA99)</f>
        <v>#DIV/0!</v>
      </c>
      <c r="BC97" s="1450" t="e">
        <f t="shared" si="77"/>
        <v>#DIV/0!</v>
      </c>
      <c r="BD97" s="1451" t="e">
        <f t="shared" si="78"/>
        <v>#DIV/0!</v>
      </c>
      <c r="BE97" s="1449" t="s">
        <v>2324</v>
      </c>
      <c r="BF97" s="1451" t="e">
        <f t="shared" si="79"/>
        <v>#DIV/0!</v>
      </c>
      <c r="BG97" s="1449" t="s">
        <v>2324</v>
      </c>
      <c r="BH97" s="1451" t="e">
        <f t="shared" si="80"/>
        <v>#DIV/0!</v>
      </c>
      <c r="BI97" s="1449" t="s">
        <v>2324</v>
      </c>
      <c r="BJ97" s="1425"/>
      <c r="BK97" s="1425"/>
      <c r="BL97" s="1425"/>
      <c r="BM97" s="1425"/>
      <c r="BN97" s="1425"/>
      <c r="BO97" s="1425"/>
      <c r="BP97" s="1425"/>
      <c r="BQ97" s="1425"/>
      <c r="BR97" s="1425"/>
      <c r="BS97" s="1425"/>
      <c r="BT97" s="1425"/>
      <c r="BU97" s="1425"/>
      <c r="BV97" s="1425"/>
      <c r="BW97" s="1425"/>
      <c r="BX97" s="1425"/>
      <c r="BY97" s="1425"/>
      <c r="BZ97" s="1339"/>
    </row>
    <row r="98" spans="3:78" s="174" customFormat="1" ht="12.6" customHeight="1">
      <c r="D98" s="199"/>
      <c r="E98" s="199"/>
      <c r="F98" s="199"/>
      <c r="G98" s="199"/>
      <c r="H98" s="199"/>
      <c r="I98" s="199"/>
      <c r="J98" s="199"/>
      <c r="K98" s="199"/>
      <c r="L98" s="199"/>
      <c r="M98" s="199"/>
      <c r="N98" s="199"/>
      <c r="O98" s="199"/>
      <c r="P98" s="199"/>
      <c r="Q98" s="199"/>
      <c r="S98" s="569"/>
      <c r="T98" s="2602" t="s">
        <v>274</v>
      </c>
      <c r="U98" s="2601"/>
      <c r="V98" s="2602" t="s">
        <v>841</v>
      </c>
      <c r="W98" s="2601"/>
      <c r="X98" s="2603" t="s">
        <v>276</v>
      </c>
      <c r="Y98" s="2601"/>
      <c r="Z98" s="1338"/>
      <c r="AA98" s="1449"/>
      <c r="AB98" s="1449"/>
      <c r="AC98" s="1451">
        <v>0.1</v>
      </c>
      <c r="AD98" s="1451">
        <f t="shared" si="72"/>
        <v>0.1</v>
      </c>
      <c r="AE98" s="1451" t="e">
        <f t="shared" si="70"/>
        <v>#DIV/0!</v>
      </c>
      <c r="AF98" s="1449" t="s">
        <v>2324</v>
      </c>
      <c r="AG98" s="1451" t="e">
        <f>UWert!$H93/(SUM(UWert!$H$86:$H$95))</f>
        <v>#DIV/0!</v>
      </c>
      <c r="AH98" s="1450" t="e">
        <f t="shared" si="81"/>
        <v>#DIV/0!</v>
      </c>
      <c r="AI98" s="1468">
        <f>0*AC98*(1/0.72)</f>
        <v>0</v>
      </c>
      <c r="AJ98" s="1451" t="e">
        <f>AI98/SUM(AI90:AI99)</f>
        <v>#DIV/0!</v>
      </c>
      <c r="AK98" s="1450" t="e">
        <f t="shared" si="73"/>
        <v>#DIV/0!</v>
      </c>
      <c r="AL98" s="1451" t="e">
        <f t="shared" si="74"/>
        <v>#DIV/0!</v>
      </c>
      <c r="AM98" s="1449" t="s">
        <v>2324</v>
      </c>
      <c r="AN98" s="1451" t="e">
        <f t="shared" si="75"/>
        <v>#DIV/0!</v>
      </c>
      <c r="AO98" s="1449" t="s">
        <v>2324</v>
      </c>
      <c r="AP98" s="1451" t="e">
        <f t="shared" si="76"/>
        <v>#DIV/0!</v>
      </c>
      <c r="AQ98" s="1449" t="s">
        <v>2324</v>
      </c>
      <c r="AR98" s="1449"/>
      <c r="AS98" s="1449"/>
      <c r="AT98" s="1449"/>
      <c r="AU98" s="1451">
        <v>0.1</v>
      </c>
      <c r="AV98" s="1449">
        <f t="shared" si="82"/>
        <v>0.1</v>
      </c>
      <c r="AW98" s="1451" t="e">
        <f t="shared" si="71"/>
        <v>#DIV/0!</v>
      </c>
      <c r="AX98" s="1449" t="s">
        <v>2324</v>
      </c>
      <c r="AY98" s="1451" t="e">
        <f>UWert!$P93/(SUM(UWert!$P$86:$P$95))</f>
        <v>#DIV/0!</v>
      </c>
      <c r="AZ98" s="1450" t="e">
        <f t="shared" si="83"/>
        <v>#DIV/0!</v>
      </c>
      <c r="BA98" s="1451">
        <f>0*(AU98)*(1/0.72)</f>
        <v>0</v>
      </c>
      <c r="BB98" s="1451" t="e">
        <f>BA98/SUM(BA90:BA99)</f>
        <v>#DIV/0!</v>
      </c>
      <c r="BC98" s="1450" t="e">
        <f t="shared" si="77"/>
        <v>#DIV/0!</v>
      </c>
      <c r="BD98" s="1451" t="e">
        <f t="shared" si="78"/>
        <v>#DIV/0!</v>
      </c>
      <c r="BE98" s="1449" t="s">
        <v>2324</v>
      </c>
      <c r="BF98" s="1451" t="e">
        <f t="shared" si="79"/>
        <v>#DIV/0!</v>
      </c>
      <c r="BG98" s="1449" t="s">
        <v>2324</v>
      </c>
      <c r="BH98" s="1451" t="e">
        <f t="shared" si="80"/>
        <v>#DIV/0!</v>
      </c>
      <c r="BI98" s="1449" t="s">
        <v>2324</v>
      </c>
      <c r="BJ98" s="1425"/>
      <c r="BK98" s="1425"/>
      <c r="BL98" s="1425"/>
      <c r="BM98" s="1425"/>
      <c r="BN98" s="1425"/>
      <c r="BO98" s="1425"/>
      <c r="BP98" s="1425"/>
      <c r="BQ98" s="1425"/>
      <c r="BR98" s="1425"/>
      <c r="BS98" s="1425"/>
      <c r="BT98" s="1425"/>
      <c r="BU98" s="1425"/>
      <c r="BV98" s="1425"/>
      <c r="BW98" s="1425"/>
      <c r="BX98" s="1425"/>
      <c r="BY98" s="1425"/>
      <c r="BZ98" s="1339"/>
    </row>
    <row r="99" spans="3:78" s="174" customFormat="1" ht="12.6" customHeight="1">
      <c r="D99" s="199"/>
      <c r="E99" s="199"/>
      <c r="F99" s="199"/>
      <c r="G99" s="199"/>
      <c r="H99" s="199"/>
      <c r="I99" s="199"/>
      <c r="J99" s="199"/>
      <c r="K99" s="199"/>
      <c r="L99" s="199"/>
      <c r="M99" s="199"/>
      <c r="N99" s="199"/>
      <c r="O99" s="199"/>
      <c r="P99" s="199"/>
      <c r="Q99" s="199"/>
      <c r="S99" s="569"/>
      <c r="T99" s="2600">
        <f>IF(UWert!N84&lt;&gt;"",BT91,)</f>
        <v>0</v>
      </c>
      <c r="U99" s="2601"/>
      <c r="V99" s="2600">
        <f>BU91</f>
        <v>0</v>
      </c>
      <c r="W99" s="2601"/>
      <c r="X99" s="2603">
        <f>BV91</f>
        <v>0</v>
      </c>
      <c r="Y99" s="2601"/>
      <c r="Z99" s="1338"/>
      <c r="AA99" s="1449"/>
      <c r="AB99" s="1449"/>
      <c r="AC99" s="1449"/>
      <c r="AD99" s="1451">
        <f t="shared" si="72"/>
        <v>0.2</v>
      </c>
      <c r="AE99" s="1450">
        <f>Ta_feuchte</f>
        <v>20</v>
      </c>
      <c r="AF99" s="1449" t="s">
        <v>2324</v>
      </c>
      <c r="AG99" s="1451" t="e">
        <f>SUM(UWert!$H94:$H95)/(SUM(UWert!$H$86:$H$95))</f>
        <v>#DIV/0!</v>
      </c>
      <c r="AH99" s="1450">
        <f t="shared" si="81"/>
        <v>2336.7157223473796</v>
      </c>
      <c r="AI99" s="1468">
        <f>0*AC99*(1/0.72)</f>
        <v>0</v>
      </c>
      <c r="AJ99" s="1451" t="e">
        <f>AI99/SUM(AI90:AI99)</f>
        <v>#DIV/0!</v>
      </c>
      <c r="AK99" s="1450">
        <f>AH99*Rh_aussen</f>
        <v>1402.0294334084276</v>
      </c>
      <c r="AL99" s="1451">
        <f t="shared" si="74"/>
        <v>10.489639823639493</v>
      </c>
      <c r="AM99" s="1449" t="s">
        <v>2324</v>
      </c>
      <c r="AN99" s="1451">
        <f t="shared" si="75"/>
        <v>12.032306379344021</v>
      </c>
      <c r="AO99" s="1449" t="s">
        <v>2324</v>
      </c>
      <c r="AP99" s="1451">
        <f t="shared" si="76"/>
        <v>12.032306379344021</v>
      </c>
      <c r="AQ99" s="1449" t="s">
        <v>2324</v>
      </c>
      <c r="AR99" s="1449"/>
      <c r="AS99" s="1449"/>
      <c r="AT99" s="1449"/>
      <c r="AU99" s="1449"/>
      <c r="AV99" s="1449">
        <f t="shared" si="82"/>
        <v>0.2</v>
      </c>
      <c r="AW99" s="1450">
        <f>Ta_feuchte</f>
        <v>20</v>
      </c>
      <c r="AX99" s="1449" t="s">
        <v>2324</v>
      </c>
      <c r="AY99" s="1451" t="e">
        <f>SUM(UWert!$P94:$P95)/(SUM(UWert!$P$86:$P$95))</f>
        <v>#DIV/0!</v>
      </c>
      <c r="AZ99" s="1450">
        <f t="shared" si="83"/>
        <v>2336.7157223473796</v>
      </c>
      <c r="BA99" s="1451">
        <f>0*(AU99)*(1/0.72)</f>
        <v>0</v>
      </c>
      <c r="BB99" s="1451" t="e">
        <f>BA99/SUM(BA90:BA99)</f>
        <v>#DIV/0!</v>
      </c>
      <c r="BC99" s="1450">
        <f>AZ99*Rh_aussen</f>
        <v>1402.0294334084276</v>
      </c>
      <c r="BD99" s="1451">
        <f t="shared" si="78"/>
        <v>10.489639823639493</v>
      </c>
      <c r="BE99" s="1449" t="s">
        <v>2324</v>
      </c>
      <c r="BF99" s="1451">
        <f t="shared" si="79"/>
        <v>12.032306379344021</v>
      </c>
      <c r="BG99" s="1449" t="s">
        <v>2324</v>
      </c>
      <c r="BH99" s="1451">
        <f t="shared" si="80"/>
        <v>12.032306379344021</v>
      </c>
      <c r="BI99" s="1449" t="s">
        <v>2324</v>
      </c>
      <c r="BJ99" s="1425"/>
      <c r="BK99" s="1425"/>
      <c r="BL99" s="1425"/>
      <c r="BM99" s="1425"/>
      <c r="BN99" s="1425"/>
      <c r="BO99" s="1425"/>
      <c r="BP99" s="1425"/>
      <c r="BQ99" s="1425"/>
      <c r="BR99" s="1425"/>
      <c r="BS99" s="1425"/>
      <c r="BT99" s="1425"/>
      <c r="BU99" s="1425"/>
      <c r="BV99" s="1425"/>
      <c r="BW99" s="1425"/>
      <c r="BX99" s="1425"/>
      <c r="BY99" s="1425"/>
      <c r="BZ99" s="1339"/>
    </row>
    <row r="100" spans="3:78" s="174" customFormat="1" ht="12.6" customHeight="1">
      <c r="D100" s="199"/>
      <c r="E100" s="199"/>
      <c r="F100" s="199"/>
      <c r="G100" s="199"/>
      <c r="H100" s="199"/>
      <c r="I100" s="199"/>
      <c r="J100" s="199"/>
      <c r="K100" s="199"/>
      <c r="L100" s="199"/>
      <c r="M100" s="199"/>
      <c r="N100" s="199"/>
      <c r="O100" s="199"/>
      <c r="P100" s="199"/>
      <c r="Q100" s="199"/>
      <c r="S100" s="569"/>
      <c r="T100" s="615"/>
      <c r="U100" s="616"/>
      <c r="V100" s="2594">
        <f>IF(UWert!N84&lt;&gt;"",BU92,)</f>
        <v>0</v>
      </c>
      <c r="W100" s="2595"/>
      <c r="X100" s="2594">
        <f>IF(UWert!N84&lt;&gt;"",BV92,)</f>
        <v>0</v>
      </c>
      <c r="Y100" s="2595"/>
      <c r="Z100" s="1338"/>
      <c r="AA100" s="1449"/>
      <c r="AB100" s="1449"/>
      <c r="AC100" s="1449"/>
      <c r="AD100" s="1449"/>
      <c r="AE100" s="1449"/>
      <c r="AF100" s="1449"/>
      <c r="AG100" s="1449"/>
      <c r="AH100" s="1449"/>
      <c r="AI100" s="1453"/>
      <c r="AJ100" s="1449"/>
      <c r="AK100" s="1449"/>
      <c r="AL100" s="1449"/>
      <c r="AM100" s="1449"/>
      <c r="AN100" s="1449"/>
      <c r="AO100" s="1449"/>
      <c r="AP100" s="1449"/>
      <c r="AQ100" s="1449"/>
      <c r="AR100" s="1449"/>
      <c r="AS100" s="1449"/>
      <c r="AT100" s="1449"/>
      <c r="AU100" s="1449"/>
      <c r="AV100" s="1449"/>
      <c r="AW100" s="1449"/>
      <c r="AX100" s="1449"/>
      <c r="AY100" s="1449"/>
      <c r="AZ100" s="1449"/>
      <c r="BA100" s="1449"/>
      <c r="BB100" s="1449"/>
      <c r="BC100" s="1449"/>
      <c r="BD100" s="1449"/>
      <c r="BE100" s="1449"/>
      <c r="BF100" s="1449"/>
      <c r="BG100" s="1449"/>
      <c r="BH100" s="1449"/>
      <c r="BI100" s="1449"/>
      <c r="BJ100" s="1425"/>
      <c r="BK100" s="1425"/>
      <c r="BL100" s="1425"/>
      <c r="BM100" s="1425"/>
      <c r="BN100" s="1425"/>
      <c r="BO100" s="1425"/>
      <c r="BP100" s="1425"/>
      <c r="BQ100" s="1425"/>
      <c r="BR100" s="1425"/>
      <c r="BS100" s="1425"/>
      <c r="BT100" s="1425"/>
      <c r="BU100" s="1425"/>
      <c r="BV100" s="1425"/>
      <c r="BW100" s="1425"/>
      <c r="BX100" s="1425"/>
      <c r="BY100" s="1425"/>
      <c r="BZ100" s="1339"/>
    </row>
    <row r="101" spans="3:78" s="174" customFormat="1" ht="12.6" customHeight="1">
      <c r="D101" s="199"/>
      <c r="E101" s="199"/>
      <c r="F101" s="199"/>
      <c r="G101" s="199"/>
      <c r="H101" s="199"/>
      <c r="I101" s="199"/>
      <c r="J101" s="199"/>
      <c r="K101" s="199"/>
      <c r="L101" s="199"/>
      <c r="M101" s="199"/>
      <c r="N101" s="199"/>
      <c r="O101" s="199"/>
      <c r="P101" s="199"/>
      <c r="Q101" s="199"/>
      <c r="S101" s="569"/>
      <c r="T101" s="2608"/>
      <c r="U101" s="2608"/>
      <c r="V101" s="565"/>
      <c r="W101" s="2608"/>
      <c r="X101" s="2608"/>
      <c r="Y101" s="199"/>
      <c r="Z101" s="1338"/>
      <c r="AA101" s="1449"/>
      <c r="AB101" s="1449"/>
      <c r="AC101" s="1449"/>
      <c r="AD101" s="1449"/>
      <c r="AE101" s="1449"/>
      <c r="AF101" s="1449"/>
      <c r="AG101" s="1449"/>
      <c r="AH101" s="1449"/>
      <c r="AI101" s="1453"/>
      <c r="AJ101" s="1449"/>
      <c r="AK101" s="1449"/>
      <c r="AL101" s="1449"/>
      <c r="AM101" s="1449"/>
      <c r="AN101" s="1449"/>
      <c r="AO101" s="1449"/>
      <c r="AP101" s="1449"/>
      <c r="AQ101" s="1449"/>
      <c r="AR101" s="1449"/>
      <c r="AS101" s="1449"/>
      <c r="AT101" s="1449"/>
      <c r="AU101" s="1449"/>
      <c r="AV101" s="1449"/>
      <c r="AW101" s="1449"/>
      <c r="AX101" s="1449"/>
      <c r="AY101" s="1449"/>
      <c r="AZ101" s="1449"/>
      <c r="BA101" s="1449"/>
      <c r="BB101" s="1449"/>
      <c r="BC101" s="1449"/>
      <c r="BD101" s="1449"/>
      <c r="BE101" s="1449"/>
      <c r="BF101" s="1449"/>
      <c r="BG101" s="1449"/>
      <c r="BH101" s="1449"/>
      <c r="BI101" s="1449"/>
      <c r="BJ101" s="1425"/>
      <c r="BK101" s="1425"/>
      <c r="BL101" s="1425"/>
      <c r="BM101" s="1425"/>
      <c r="BN101" s="1425"/>
      <c r="BO101" s="1425"/>
      <c r="BP101" s="1425"/>
      <c r="BQ101" s="1425"/>
      <c r="BR101" s="1425"/>
      <c r="BS101" s="1425"/>
      <c r="BT101" s="1425"/>
      <c r="BU101" s="1425"/>
      <c r="BV101" s="1425"/>
      <c r="BW101" s="1425"/>
      <c r="BX101" s="1425"/>
      <c r="BY101" s="1425"/>
      <c r="BZ101" s="1339"/>
    </row>
    <row r="102" spans="3:78" s="174" customFormat="1" ht="12" customHeight="1">
      <c r="D102" s="199"/>
      <c r="E102" s="199"/>
      <c r="F102" s="199"/>
      <c r="G102" s="199"/>
      <c r="H102" s="199"/>
      <c r="I102" s="199"/>
      <c r="J102" s="199"/>
      <c r="K102" s="199"/>
      <c r="L102" s="199"/>
      <c r="M102" s="199"/>
      <c r="N102" s="199"/>
      <c r="O102" s="199"/>
      <c r="P102" s="199"/>
      <c r="Q102" s="199"/>
      <c r="S102" s="569"/>
      <c r="T102" s="199"/>
      <c r="U102" s="565"/>
      <c r="V102" s="565"/>
      <c r="W102" s="565"/>
      <c r="X102" s="565"/>
      <c r="Y102" s="199"/>
      <c r="Z102" s="1338"/>
      <c r="AA102" s="1449"/>
      <c r="AB102" s="1449"/>
      <c r="AC102" s="1449"/>
      <c r="AD102" s="1449"/>
      <c r="AE102" s="1449"/>
      <c r="AF102" s="1449"/>
      <c r="AG102" s="1449"/>
      <c r="AH102" s="1449"/>
      <c r="AI102" s="1453"/>
      <c r="AJ102" s="1449"/>
      <c r="AK102" s="1449"/>
      <c r="AL102" s="1449"/>
      <c r="AM102" s="1449"/>
      <c r="AN102" s="1449"/>
      <c r="AO102" s="1449"/>
      <c r="AP102" s="1449"/>
      <c r="AQ102" s="1449"/>
      <c r="AR102" s="1449"/>
      <c r="AS102" s="1449"/>
      <c r="AT102" s="1449"/>
      <c r="AU102" s="1449"/>
      <c r="AV102" s="1449"/>
      <c r="AW102" s="1449"/>
      <c r="AX102" s="1449"/>
      <c r="AY102" s="1449"/>
      <c r="AZ102" s="1449"/>
      <c r="BA102" s="1449"/>
      <c r="BB102" s="1449"/>
      <c r="BC102" s="1449"/>
      <c r="BD102" s="1449"/>
      <c r="BE102" s="1449"/>
      <c r="BF102" s="1449"/>
      <c r="BG102" s="1449"/>
      <c r="BH102" s="1449"/>
      <c r="BI102" s="1449"/>
      <c r="BJ102" s="1425"/>
      <c r="BK102" s="1425"/>
      <c r="BL102" s="1425"/>
      <c r="BM102" s="1425"/>
      <c r="BN102" s="1425"/>
      <c r="BO102" s="1425"/>
      <c r="BP102" s="1425"/>
      <c r="BQ102" s="1425"/>
      <c r="BR102" s="1425"/>
      <c r="BS102" s="1425"/>
      <c r="BT102" s="1425"/>
      <c r="BU102" s="1425"/>
      <c r="BV102" s="1425"/>
      <c r="BW102" s="1425"/>
      <c r="BX102" s="1425"/>
      <c r="BY102" s="1425"/>
      <c r="BZ102" s="1339"/>
    </row>
    <row r="103" spans="3:78" s="174" customFormat="1" ht="12.6" customHeight="1" thickBot="1">
      <c r="C103" s="487">
        <v>13</v>
      </c>
      <c r="D103" s="490">
        <f>UWert!C98</f>
        <v>0</v>
      </c>
      <c r="E103" s="485"/>
      <c r="F103" s="485"/>
      <c r="G103" s="485"/>
      <c r="H103" s="485"/>
      <c r="I103" s="486"/>
      <c r="J103" s="199"/>
      <c r="K103" s="487">
        <v>14</v>
      </c>
      <c r="L103" s="490">
        <f>UWert!K98</f>
        <v>0</v>
      </c>
      <c r="M103" s="485"/>
      <c r="N103" s="485"/>
      <c r="O103" s="485"/>
      <c r="P103" s="485"/>
      <c r="Q103" s="486"/>
      <c r="S103" s="569"/>
      <c r="T103" s="568">
        <v>13</v>
      </c>
      <c r="U103" s="488">
        <f>UWert!C98</f>
        <v>0</v>
      </c>
      <c r="V103" s="573"/>
      <c r="W103" s="488"/>
      <c r="X103" s="573"/>
      <c r="Y103" s="567"/>
      <c r="Z103" s="1338"/>
      <c r="AA103" s="1449"/>
      <c r="AB103" s="1449"/>
      <c r="AC103" s="1449"/>
      <c r="AD103" s="1449"/>
      <c r="AE103" s="1449"/>
      <c r="AF103" s="1449"/>
      <c r="AG103" s="1449"/>
      <c r="AH103" s="1449"/>
      <c r="AI103" s="1453"/>
      <c r="AJ103" s="1449"/>
      <c r="AK103" s="1449"/>
      <c r="AL103" s="1449"/>
      <c r="AM103" s="1449"/>
      <c r="AN103" s="1449"/>
      <c r="AO103" s="1449"/>
      <c r="AP103" s="1449"/>
      <c r="AQ103" s="1449"/>
      <c r="AR103" s="1449"/>
      <c r="AS103" s="1449"/>
      <c r="AT103" s="1449"/>
      <c r="AU103" s="1449"/>
      <c r="AV103" s="1449"/>
      <c r="AW103" s="1449"/>
      <c r="AX103" s="1449"/>
      <c r="AY103" s="1449"/>
      <c r="AZ103" s="1449"/>
      <c r="BA103" s="1449"/>
      <c r="BB103" s="1449"/>
      <c r="BC103" s="1449"/>
      <c r="BD103" s="1449"/>
      <c r="BE103" s="1449"/>
      <c r="BF103" s="1449"/>
      <c r="BG103" s="1449"/>
      <c r="BH103" s="1449"/>
      <c r="BI103" s="1449"/>
      <c r="BJ103" s="1425"/>
      <c r="BK103" s="1425"/>
      <c r="BL103" s="1425"/>
      <c r="BM103" s="1425"/>
      <c r="BN103" s="1425"/>
      <c r="BO103" s="1425"/>
      <c r="BP103" s="1425"/>
      <c r="BQ103" s="1425"/>
      <c r="BR103" s="1425"/>
      <c r="BS103" s="1425"/>
      <c r="BT103" s="1425"/>
      <c r="BU103" s="1425"/>
      <c r="BV103" s="1425"/>
      <c r="BW103" s="1425"/>
      <c r="BX103" s="1425"/>
      <c r="BY103" s="1425"/>
      <c r="BZ103" s="1339"/>
    </row>
    <row r="104" spans="3:78" s="174" customFormat="1" ht="12.6" customHeight="1" thickBot="1">
      <c r="S104" s="569"/>
      <c r="T104" s="2592" t="str">
        <f>T96</f>
        <v>valeur qui est</v>
      </c>
      <c r="U104" s="2593"/>
      <c r="V104" s="2596" t="str">
        <f>V96</f>
        <v>valeur limite</v>
      </c>
      <c r="W104" s="2597"/>
      <c r="X104" s="2596" t="str">
        <f>X96</f>
        <v>valeur limite</v>
      </c>
      <c r="Y104" s="2597"/>
      <c r="Z104" s="1338"/>
      <c r="AA104" s="1448" t="s">
        <v>1957</v>
      </c>
      <c r="AB104" s="1448" t="s">
        <v>1958</v>
      </c>
      <c r="AC104" s="1449" t="s">
        <v>2326</v>
      </c>
      <c r="AD104" s="1449" t="s">
        <v>791</v>
      </c>
      <c r="AE104" s="1449" t="s">
        <v>2327</v>
      </c>
      <c r="AF104" s="1449"/>
      <c r="AG104" s="1449" t="s">
        <v>1959</v>
      </c>
      <c r="AH104" s="1449" t="s">
        <v>106</v>
      </c>
      <c r="AI104" s="1453" t="s">
        <v>2201</v>
      </c>
      <c r="AJ104" s="1449" t="s">
        <v>108</v>
      </c>
      <c r="AK104" s="1449" t="s">
        <v>1250</v>
      </c>
      <c r="AL104" s="1449" t="s">
        <v>109</v>
      </c>
      <c r="AM104" s="1449"/>
      <c r="AN104" s="1449" t="s">
        <v>110</v>
      </c>
      <c r="AO104" s="1449"/>
      <c r="AP104" s="1449" t="s">
        <v>111</v>
      </c>
      <c r="AQ104" s="1449"/>
      <c r="AR104" s="1449"/>
      <c r="AS104" s="1448" t="s">
        <v>1957</v>
      </c>
      <c r="AT104" s="1448" t="s">
        <v>1958</v>
      </c>
      <c r="AU104" s="1449" t="s">
        <v>2326</v>
      </c>
      <c r="AV104" s="1449" t="s">
        <v>791</v>
      </c>
      <c r="AW104" s="1449" t="s">
        <v>2327</v>
      </c>
      <c r="AX104" s="1449"/>
      <c r="AY104" s="1449" t="s">
        <v>1959</v>
      </c>
      <c r="AZ104" s="1449" t="s">
        <v>106</v>
      </c>
      <c r="BA104" s="1449" t="s">
        <v>107</v>
      </c>
      <c r="BB104" s="1449" t="s">
        <v>108</v>
      </c>
      <c r="BC104" s="1449" t="s">
        <v>1250</v>
      </c>
      <c r="BD104" s="1449" t="s">
        <v>109</v>
      </c>
      <c r="BE104" s="1449"/>
      <c r="BF104" s="1449" t="s">
        <v>110</v>
      </c>
      <c r="BG104" s="1449"/>
      <c r="BH104" s="1449" t="s">
        <v>111</v>
      </c>
      <c r="BI104" s="1449"/>
      <c r="BJ104" s="1425"/>
      <c r="BK104" s="1426">
        <v>13</v>
      </c>
      <c r="BL104" s="1427" t="s">
        <v>840</v>
      </c>
      <c r="BM104" s="1428" t="s">
        <v>838</v>
      </c>
      <c r="BN104" s="1429" t="s">
        <v>839</v>
      </c>
      <c r="BO104" s="1430"/>
      <c r="BP104" s="1430"/>
      <c r="BQ104" s="1430"/>
      <c r="BR104" s="1430"/>
      <c r="BS104" s="1426">
        <v>14</v>
      </c>
      <c r="BT104" s="1427" t="s">
        <v>840</v>
      </c>
      <c r="BU104" s="1428" t="s">
        <v>838</v>
      </c>
      <c r="BV104" s="1429" t="s">
        <v>839</v>
      </c>
      <c r="BW104" s="1425"/>
      <c r="BX104" s="1425"/>
      <c r="BY104" s="1425"/>
      <c r="BZ104" s="1339"/>
    </row>
    <row r="105" spans="3:78" s="174" customFormat="1" ht="12.6" customHeight="1">
      <c r="S105" s="569"/>
      <c r="T105" s="2596"/>
      <c r="U105" s="2607"/>
      <c r="V105" s="2596" t="str">
        <f>V97</f>
        <v>condens.</v>
      </c>
      <c r="W105" s="2597"/>
      <c r="X105" s="2596" t="str">
        <f>X97</f>
        <v>penicillium</v>
      </c>
      <c r="Y105" s="2604"/>
      <c r="Z105" s="1338"/>
      <c r="AA105" s="1450" t="e">
        <f>Rh_innen*AH105-Rh_aussen*AH114</f>
        <v>#DIV/0!</v>
      </c>
      <c r="AB105" s="1449">
        <f>Ti_feuchte-Ta_feuchte</f>
        <v>0</v>
      </c>
      <c r="AC105" s="1451">
        <v>0.1</v>
      </c>
      <c r="AD105" s="1449">
        <v>0</v>
      </c>
      <c r="AE105" s="1451" t="e">
        <f t="shared" ref="AE105:AE113" si="84">AG106*$AB$105+AE106</f>
        <v>#DIV/0!</v>
      </c>
      <c r="AF105" s="1449" t="s">
        <v>2324</v>
      </c>
      <c r="AG105" s="1451"/>
      <c r="AH105" s="1450" t="e">
        <f>IF(AE105&gt;0,1.40574*POWER(10,10)*EXP(-3928.5/(AE105+231.667)),3.61633*POWER(10,12)*EXP(-6150.6/(AE105+273.33)))</f>
        <v>#DIV/0!</v>
      </c>
      <c r="AI105" s="1468"/>
      <c r="AJ105" s="1451"/>
      <c r="AK105" s="1450" t="e">
        <f>AH105*Rh_innen</f>
        <v>#DIV/0!</v>
      </c>
      <c r="AL105" s="1451" t="e">
        <f>(1/(LN(AK105/(3.61633*POWER(10,12))))*-6150.6)-273.33</f>
        <v>#DIV/0!</v>
      </c>
      <c r="AM105" s="1449" t="s">
        <v>2324</v>
      </c>
      <c r="AN105" s="1451" t="e">
        <f>(1/(LN(AK105/(1.40574*POWER(10,10))))*-3928.5)-231.66</f>
        <v>#DIV/0!</v>
      </c>
      <c r="AO105" s="1449" t="s">
        <v>2324</v>
      </c>
      <c r="AP105" s="1451" t="e">
        <f>IF(AN105&lt;0,AL105,AN105)</f>
        <v>#DIV/0!</v>
      </c>
      <c r="AQ105" s="1449" t="s">
        <v>2324</v>
      </c>
      <c r="AR105" s="1449"/>
      <c r="AS105" s="1450" t="e">
        <f>Rh_innen*AZ105-Rh_aussen*AZ114</f>
        <v>#DIV/0!</v>
      </c>
      <c r="AT105" s="1449">
        <f>Ti_feuchte-Ta_feuchte</f>
        <v>0</v>
      </c>
      <c r="AU105" s="1451">
        <v>0.1</v>
      </c>
      <c r="AV105" s="1449">
        <v>0</v>
      </c>
      <c r="AW105" s="1451" t="e">
        <f t="shared" ref="AW105:AW113" si="85">AY106*$AT$105+AW106</f>
        <v>#DIV/0!</v>
      </c>
      <c r="AX105" s="1449" t="s">
        <v>2324</v>
      </c>
      <c r="AY105" s="1451"/>
      <c r="AZ105" s="1450" t="e">
        <f>IF(AW105&gt;0,1.40574*POWER(10,10)*EXP(-3928.5/(AW105+231.667)),3.61633*POWER(10,12)*EXP(-6150.6/(AW105+273.33)))</f>
        <v>#DIV/0!</v>
      </c>
      <c r="BA105" s="1451"/>
      <c r="BB105" s="1451"/>
      <c r="BC105" s="1450" t="e">
        <f>AZ105*Rh_innen</f>
        <v>#DIV/0!</v>
      </c>
      <c r="BD105" s="1451" t="e">
        <f>(1/(LN(BC105/(3.61633*POWER(10,12))))*-6150.6)-273.33</f>
        <v>#DIV/0!</v>
      </c>
      <c r="BE105" s="1449" t="s">
        <v>2324</v>
      </c>
      <c r="BF105" s="1451" t="e">
        <f>(1/(LN(BC105/(1.40574*POWER(10,10))))*-3928.5)-231.66</f>
        <v>#DIV/0!</v>
      </c>
      <c r="BG105" s="1449" t="s">
        <v>2324</v>
      </c>
      <c r="BH105" s="1451" t="e">
        <f>IF(BF105&lt;0,BD105,BF105)</f>
        <v>#DIV/0!</v>
      </c>
      <c r="BI105" s="1449" t="s">
        <v>2324</v>
      </c>
      <c r="BJ105" s="1425"/>
      <c r="BK105" s="1430"/>
      <c r="BL105" s="1431" t="s">
        <v>1987</v>
      </c>
      <c r="BM105" s="1432" t="s">
        <v>1988</v>
      </c>
      <c r="BN105" s="1433" t="s">
        <v>1989</v>
      </c>
      <c r="BO105" s="1430"/>
      <c r="BP105" s="1430"/>
      <c r="BQ105" s="1430"/>
      <c r="BR105" s="1430"/>
      <c r="BS105" s="1430"/>
      <c r="BT105" s="1431" t="s">
        <v>1987</v>
      </c>
      <c r="BU105" s="1432" t="s">
        <v>1988</v>
      </c>
      <c r="BV105" s="1433" t="s">
        <v>1989</v>
      </c>
      <c r="BW105" s="1425"/>
      <c r="BX105" s="1425"/>
      <c r="BY105" s="1425"/>
      <c r="BZ105" s="1339"/>
    </row>
    <row r="106" spans="3:78" s="174" customFormat="1" ht="12.6" customHeight="1">
      <c r="S106" s="569"/>
      <c r="T106" s="2602" t="s">
        <v>274</v>
      </c>
      <c r="U106" s="2601"/>
      <c r="V106" s="2602" t="s">
        <v>273</v>
      </c>
      <c r="W106" s="2601"/>
      <c r="X106" s="2603" t="s">
        <v>276</v>
      </c>
      <c r="Y106" s="2601"/>
      <c r="Z106" s="1338"/>
      <c r="AA106" s="1449"/>
      <c r="AB106" s="1449"/>
      <c r="AC106" s="1451">
        <f>UWert!$F101/100</f>
        <v>0</v>
      </c>
      <c r="AD106" s="1451">
        <f t="shared" ref="AD106:AD114" si="86">AD105+AC105</f>
        <v>0.1</v>
      </c>
      <c r="AE106" s="1451" t="e">
        <f t="shared" si="84"/>
        <v>#DIV/0!</v>
      </c>
      <c r="AF106" s="1449" t="s">
        <v>2324</v>
      </c>
      <c r="AG106" s="1451" t="e">
        <f>UWert!$H100/(SUM(UWert!$H$100:$H$109))</f>
        <v>#DIV/0!</v>
      </c>
      <c r="AH106" s="1450" t="e">
        <f>IF(AE106&gt;0,1.40574*POWER(10,10)*EXP(-3928.5/(AE106+231.667)),3.61633*POWER(10,12)*EXP(-6150.6/(AE106+273.33)))</f>
        <v>#DIV/0!</v>
      </c>
      <c r="AI106" s="1468">
        <f>INDEX(Bauteile!$I$57:$I$1152,UWert!BA101)*(AC106)*(1/0.72)</f>
        <v>0</v>
      </c>
      <c r="AJ106" s="1451" t="e">
        <f>AI106/SUM(AI105:AI114)</f>
        <v>#DIV/0!</v>
      </c>
      <c r="AK106" s="1450" t="e">
        <f t="shared" ref="AK106:AK113" si="87">AJ106*$AA$105+AK107</f>
        <v>#DIV/0!</v>
      </c>
      <c r="AL106" s="1451" t="e">
        <f t="shared" ref="AL106:AL114" si="88">(1/(LN(AK106/(3.61633*POWER(10,12))))*-6150.6)-273.33</f>
        <v>#DIV/0!</v>
      </c>
      <c r="AM106" s="1449" t="s">
        <v>2324</v>
      </c>
      <c r="AN106" s="1451" t="e">
        <f t="shared" ref="AN106:AN114" si="89">(1/(LN(AK106/(1.40574*POWER(10,10))))*-3928.5)-231.66</f>
        <v>#DIV/0!</v>
      </c>
      <c r="AO106" s="1449" t="s">
        <v>2324</v>
      </c>
      <c r="AP106" s="1451" t="e">
        <f t="shared" ref="AP106:AP114" si="90">IF(AN106&lt;0,AL106,AN106)</f>
        <v>#DIV/0!</v>
      </c>
      <c r="AQ106" s="1449" t="s">
        <v>2324</v>
      </c>
      <c r="AR106" s="1449"/>
      <c r="AS106" s="1449"/>
      <c r="AT106" s="1449"/>
      <c r="AU106" s="1451">
        <f>UWert!$N101/100</f>
        <v>0</v>
      </c>
      <c r="AV106" s="1449">
        <f>AV105+AU105</f>
        <v>0.1</v>
      </c>
      <c r="AW106" s="1451" t="e">
        <f t="shared" si="85"/>
        <v>#DIV/0!</v>
      </c>
      <c r="AX106" s="1449" t="s">
        <v>2324</v>
      </c>
      <c r="AY106" s="1451" t="e">
        <f>UWert!$P100/(SUM(UWert!$P$100:$P$109))</f>
        <v>#DIV/0!</v>
      </c>
      <c r="AZ106" s="1450" t="e">
        <f>IF(AW106&gt;0,1.40574*POWER(10,10)*EXP(-3928.5/(AW106+231.667)),3.61633*POWER(10,12)*EXP(-6150.6/(AW106+273.33)))</f>
        <v>#DIV/0!</v>
      </c>
      <c r="BA106" s="1451">
        <f>INDEX(Bauteile!$I$57:$I$1152,UWert!BB101)*(AU106)*(1/0.72)</f>
        <v>0</v>
      </c>
      <c r="BB106" s="1451" t="e">
        <f>BA106/SUM(BA105:BA114)</f>
        <v>#DIV/0!</v>
      </c>
      <c r="BC106" s="1450" t="e">
        <f t="shared" ref="BC106:BC113" si="91">BB106*$AS$105+BC107</f>
        <v>#DIV/0!</v>
      </c>
      <c r="BD106" s="1451" t="e">
        <f t="shared" ref="BD106:BD114" si="92">(1/(LN(BC106/(3.61633*POWER(10,12))))*-6150.6)-273.33</f>
        <v>#DIV/0!</v>
      </c>
      <c r="BE106" s="1449" t="s">
        <v>2324</v>
      </c>
      <c r="BF106" s="1451" t="e">
        <f t="shared" ref="BF106:BF114" si="93">(1/(LN(BC106/(1.40574*POWER(10,10))))*-3928.5)-231.66</f>
        <v>#DIV/0!</v>
      </c>
      <c r="BG106" s="1449" t="s">
        <v>2324</v>
      </c>
      <c r="BH106" s="1451" t="e">
        <f t="shared" ref="BH106:BH114" si="94">IF(BF106&lt;0,BD106,BF106)</f>
        <v>#DIV/0!</v>
      </c>
      <c r="BI106" s="1449" t="s">
        <v>2324</v>
      </c>
      <c r="BJ106" s="1425"/>
      <c r="BK106" s="1430"/>
      <c r="BL106" s="1434" t="e">
        <f>IF(BL107&gt;0,BL107*((1/BL107)-(1/6)),"")</f>
        <v>#VALUE!</v>
      </c>
      <c r="BM106" s="1435">
        <f>$BM$15</f>
        <v>0</v>
      </c>
      <c r="BN106" s="1436">
        <f>$BN$15</f>
        <v>0</v>
      </c>
      <c r="BO106" s="1430"/>
      <c r="BP106" s="1430"/>
      <c r="BQ106" s="1430"/>
      <c r="BR106" s="1430"/>
      <c r="BS106" s="1430"/>
      <c r="BT106" s="1434" t="str">
        <f>IF(BT107&gt;0,BT107*((1/BT107)-(1/6)),"")</f>
        <v/>
      </c>
      <c r="BU106" s="1435">
        <f>$BM$15</f>
        <v>0</v>
      </c>
      <c r="BV106" s="1436">
        <f>$BN$15</f>
        <v>0</v>
      </c>
      <c r="BW106" s="1425"/>
      <c r="BX106" s="1425"/>
      <c r="BY106" s="1425"/>
      <c r="BZ106" s="1339"/>
    </row>
    <row r="107" spans="3:78" s="174" customFormat="1" ht="12.6" customHeight="1" thickBot="1">
      <c r="S107" s="569"/>
      <c r="T107" s="2600">
        <f>IF(UWert!F98&lt;&gt;"",BL106,)</f>
        <v>0</v>
      </c>
      <c r="U107" s="2601"/>
      <c r="V107" s="2600">
        <f>BM106</f>
        <v>0</v>
      </c>
      <c r="W107" s="2601"/>
      <c r="X107" s="2603">
        <f>BN106</f>
        <v>0</v>
      </c>
      <c r="Y107" s="2601"/>
      <c r="Z107" s="1338"/>
      <c r="AA107" s="1449"/>
      <c r="AB107" s="1449"/>
      <c r="AC107" s="1451">
        <f>UWert!$F102/100</f>
        <v>0</v>
      </c>
      <c r="AD107" s="1451">
        <f t="shared" si="86"/>
        <v>0.1</v>
      </c>
      <c r="AE107" s="1451" t="e">
        <f t="shared" si="84"/>
        <v>#DIV/0!</v>
      </c>
      <c r="AF107" s="1449" t="s">
        <v>2324</v>
      </c>
      <c r="AG107" s="1451" t="e">
        <f>UWert!$H101/(SUM(UWert!$H$100:$H$109))</f>
        <v>#DIV/0!</v>
      </c>
      <c r="AH107" s="1450" t="e">
        <f t="shared" ref="AH107:AH114" si="95">IF(AE107&gt;0,1.40574*POWER(10,10)*EXP(-3928.5/(AE107+231.667)),3.61633*POWER(10,12)*EXP(-6150.6/(AE107+273.33)))</f>
        <v>#DIV/0!</v>
      </c>
      <c r="AI107" s="1468">
        <f>INDEX(Bauteile!$I$57:$I$1152,UWert!BA102)*(AC107)*(1/0.72)</f>
        <v>0</v>
      </c>
      <c r="AJ107" s="1451" t="e">
        <f>AI107/SUM(AI105:AI114)</f>
        <v>#DIV/0!</v>
      </c>
      <c r="AK107" s="1450" t="e">
        <f t="shared" si="87"/>
        <v>#DIV/0!</v>
      </c>
      <c r="AL107" s="1451" t="e">
        <f t="shared" si="88"/>
        <v>#DIV/0!</v>
      </c>
      <c r="AM107" s="1449" t="s">
        <v>2324</v>
      </c>
      <c r="AN107" s="1451" t="e">
        <f t="shared" si="89"/>
        <v>#DIV/0!</v>
      </c>
      <c r="AO107" s="1449" t="s">
        <v>2324</v>
      </c>
      <c r="AP107" s="1451" t="e">
        <f t="shared" si="90"/>
        <v>#DIV/0!</v>
      </c>
      <c r="AQ107" s="1449" t="s">
        <v>2324</v>
      </c>
      <c r="AR107" s="1449"/>
      <c r="AS107" s="1449"/>
      <c r="AT107" s="1449"/>
      <c r="AU107" s="1451">
        <f>UWert!$N102/100</f>
        <v>0</v>
      </c>
      <c r="AV107" s="1449">
        <f t="shared" ref="AV107:AV114" si="96">AV106+AU106</f>
        <v>0.1</v>
      </c>
      <c r="AW107" s="1451" t="e">
        <f t="shared" si="85"/>
        <v>#DIV/0!</v>
      </c>
      <c r="AX107" s="1449" t="s">
        <v>2324</v>
      </c>
      <c r="AY107" s="1451" t="e">
        <f>UWert!$P101/(SUM(UWert!$P$100:$P$109))</f>
        <v>#DIV/0!</v>
      </c>
      <c r="AZ107" s="1450" t="e">
        <f t="shared" ref="AZ107:AZ114" si="97">IF(AW107&gt;0,1.40574*POWER(10,10)*EXP(-3928.5/(AW107+231.667)),3.61633*POWER(10,12)*EXP(-6150.6/(AW107+273.33)))</f>
        <v>#DIV/0!</v>
      </c>
      <c r="BA107" s="1451">
        <f>INDEX(Bauteile!$I$57:$I$1152,UWert!BB102)*(AU107)*(1/0.72)</f>
        <v>0</v>
      </c>
      <c r="BB107" s="1451" t="e">
        <f>BA107/SUM(BA105:BA114)</f>
        <v>#DIV/0!</v>
      </c>
      <c r="BC107" s="1450" t="e">
        <f t="shared" si="91"/>
        <v>#DIV/0!</v>
      </c>
      <c r="BD107" s="1451" t="e">
        <f t="shared" si="92"/>
        <v>#DIV/0!</v>
      </c>
      <c r="BE107" s="1449" t="s">
        <v>2324</v>
      </c>
      <c r="BF107" s="1451" t="e">
        <f t="shared" si="93"/>
        <v>#DIV/0!</v>
      </c>
      <c r="BG107" s="1449" t="s">
        <v>2324</v>
      </c>
      <c r="BH107" s="1451" t="e">
        <f t="shared" si="94"/>
        <v>#DIV/0!</v>
      </c>
      <c r="BI107" s="1449" t="s">
        <v>2324</v>
      </c>
      <c r="BJ107" s="1425"/>
      <c r="BK107" s="1437"/>
      <c r="BL107" s="1438" t="e">
        <f>IF(UWert!F98&gt;0,1/((1/UWert!F98)-(1/8)+(1/6)),)</f>
        <v>#VALUE!</v>
      </c>
      <c r="BM107" s="1439" t="e">
        <f>IF(BL106&gt;BM106,"","Problem !!!")</f>
        <v>#VALUE!</v>
      </c>
      <c r="BN107" s="1440" t="e">
        <f>IF(BL106&gt;BN106,"","Problem !!!")</f>
        <v>#VALUE!</v>
      </c>
      <c r="BO107" s="1437"/>
      <c r="BP107" s="1437"/>
      <c r="BQ107" s="1437"/>
      <c r="BR107" s="1437"/>
      <c r="BS107" s="1437"/>
      <c r="BT107" s="1438">
        <f>IF(UWert!T98&gt;0,1/((1/UWert!T98)-(1/8)+(1/6)),)</f>
        <v>0</v>
      </c>
      <c r="BU107" s="1439" t="str">
        <f>IF(BT106&gt;BU106,"","Problem !!!")</f>
        <v/>
      </c>
      <c r="BV107" s="1440" t="str">
        <f>IF(BT106&gt;BV106,"","Problem !!!")</f>
        <v/>
      </c>
      <c r="BW107" s="1425"/>
      <c r="BX107" s="1425"/>
      <c r="BY107" s="1425"/>
      <c r="BZ107" s="1339"/>
    </row>
    <row r="108" spans="3:78" s="174" customFormat="1" ht="12.6" customHeight="1">
      <c r="S108" s="569"/>
      <c r="T108" s="615"/>
      <c r="U108" s="616"/>
      <c r="V108" s="2594">
        <f>IF(UWert!F98&lt;&gt;"",BM107,)</f>
        <v>0</v>
      </c>
      <c r="W108" s="2595"/>
      <c r="X108" s="2594">
        <f>IF(UWert!F98&lt;&gt;"",BN107,)</f>
        <v>0</v>
      </c>
      <c r="Y108" s="2595"/>
      <c r="Z108" s="1338"/>
      <c r="AA108" s="1449"/>
      <c r="AB108" s="1449"/>
      <c r="AC108" s="1451">
        <f>UWert!$F103/100</f>
        <v>0</v>
      </c>
      <c r="AD108" s="1451">
        <f t="shared" si="86"/>
        <v>0.1</v>
      </c>
      <c r="AE108" s="1451" t="e">
        <f t="shared" si="84"/>
        <v>#DIV/0!</v>
      </c>
      <c r="AF108" s="1449" t="s">
        <v>2324</v>
      </c>
      <c r="AG108" s="1451" t="e">
        <f>UWert!$H102/(SUM(UWert!$H$100:$H$109))</f>
        <v>#DIV/0!</v>
      </c>
      <c r="AH108" s="1450" t="e">
        <f t="shared" si="95"/>
        <v>#DIV/0!</v>
      </c>
      <c r="AI108" s="1468">
        <f>INDEX(Bauteile!$I$57:$I$1152,UWert!BA103)*(AC108)*(1/0.72)</f>
        <v>0</v>
      </c>
      <c r="AJ108" s="1451" t="e">
        <f>AI108/SUM(AI105:AI114)</f>
        <v>#DIV/0!</v>
      </c>
      <c r="AK108" s="1450" t="e">
        <f t="shared" si="87"/>
        <v>#DIV/0!</v>
      </c>
      <c r="AL108" s="1451" t="e">
        <f t="shared" si="88"/>
        <v>#DIV/0!</v>
      </c>
      <c r="AM108" s="1449" t="s">
        <v>2324</v>
      </c>
      <c r="AN108" s="1451" t="e">
        <f t="shared" si="89"/>
        <v>#DIV/0!</v>
      </c>
      <c r="AO108" s="1449" t="s">
        <v>2324</v>
      </c>
      <c r="AP108" s="1451" t="e">
        <f t="shared" si="90"/>
        <v>#DIV/0!</v>
      </c>
      <c r="AQ108" s="1449" t="s">
        <v>2324</v>
      </c>
      <c r="AR108" s="1449"/>
      <c r="AS108" s="1449"/>
      <c r="AT108" s="1449"/>
      <c r="AU108" s="1451">
        <f>UWert!$N103/100</f>
        <v>0</v>
      </c>
      <c r="AV108" s="1449">
        <f t="shared" si="96"/>
        <v>0.1</v>
      </c>
      <c r="AW108" s="1451" t="e">
        <f t="shared" si="85"/>
        <v>#DIV/0!</v>
      </c>
      <c r="AX108" s="1449" t="s">
        <v>2324</v>
      </c>
      <c r="AY108" s="1451" t="e">
        <f>UWert!$P102/(SUM(UWert!$P$100:$P$109))</f>
        <v>#DIV/0!</v>
      </c>
      <c r="AZ108" s="1450" t="e">
        <f t="shared" si="97"/>
        <v>#DIV/0!</v>
      </c>
      <c r="BA108" s="1451">
        <f>INDEX(Bauteile!$I$57:$I$1152,UWert!BB103)*(AU108)*(1/0.72)</f>
        <v>0</v>
      </c>
      <c r="BB108" s="1451" t="e">
        <f>BA108/SUM(BA105:BA114)</f>
        <v>#DIV/0!</v>
      </c>
      <c r="BC108" s="1450" t="e">
        <f t="shared" si="91"/>
        <v>#DIV/0!</v>
      </c>
      <c r="BD108" s="1451" t="e">
        <f t="shared" si="92"/>
        <v>#DIV/0!</v>
      </c>
      <c r="BE108" s="1449" t="s">
        <v>2324</v>
      </c>
      <c r="BF108" s="1451" t="e">
        <f t="shared" si="93"/>
        <v>#DIV/0!</v>
      </c>
      <c r="BG108" s="1449" t="s">
        <v>2324</v>
      </c>
      <c r="BH108" s="1451" t="e">
        <f t="shared" si="94"/>
        <v>#DIV/0!</v>
      </c>
      <c r="BI108" s="1449" t="s">
        <v>2324</v>
      </c>
      <c r="BJ108" s="1425"/>
      <c r="BK108" s="1425"/>
      <c r="BL108" s="1425"/>
      <c r="BM108" s="1425"/>
      <c r="BN108" s="1425"/>
      <c r="BO108" s="1425"/>
      <c r="BP108" s="1425"/>
      <c r="BQ108" s="1425"/>
      <c r="BR108" s="1425"/>
      <c r="BS108" s="1425"/>
      <c r="BT108" s="1425"/>
      <c r="BU108" s="1425"/>
      <c r="BV108" s="1425"/>
      <c r="BW108" s="1425"/>
      <c r="BX108" s="1425"/>
      <c r="BY108" s="1425"/>
      <c r="BZ108" s="1339"/>
    </row>
    <row r="109" spans="3:78" s="174" customFormat="1" ht="12.6" customHeight="1">
      <c r="S109" s="569"/>
      <c r="T109" s="2605"/>
      <c r="U109" s="2605"/>
      <c r="V109" s="565"/>
      <c r="W109" s="2605"/>
      <c r="X109" s="2605"/>
      <c r="Y109" s="199"/>
      <c r="Z109" s="1338"/>
      <c r="AA109" s="1449"/>
      <c r="AB109" s="1449"/>
      <c r="AC109" s="1451">
        <f>UWert!$F104/100</f>
        <v>0</v>
      </c>
      <c r="AD109" s="1451">
        <f t="shared" si="86"/>
        <v>0.1</v>
      </c>
      <c r="AE109" s="1451" t="e">
        <f t="shared" si="84"/>
        <v>#DIV/0!</v>
      </c>
      <c r="AF109" s="1449" t="s">
        <v>2324</v>
      </c>
      <c r="AG109" s="1451" t="e">
        <f>UWert!$H103/(SUM(UWert!$H$100:$H$109))</f>
        <v>#DIV/0!</v>
      </c>
      <c r="AH109" s="1450" t="e">
        <f t="shared" si="95"/>
        <v>#DIV/0!</v>
      </c>
      <c r="AI109" s="1468">
        <f>INDEX(Bauteile!$I$57:$I$1152,UWert!BA104)*(AC109)*(1/0.72)</f>
        <v>0</v>
      </c>
      <c r="AJ109" s="1451" t="e">
        <f>AI109/SUM(AI105:AI114)</f>
        <v>#DIV/0!</v>
      </c>
      <c r="AK109" s="1450" t="e">
        <f t="shared" si="87"/>
        <v>#DIV/0!</v>
      </c>
      <c r="AL109" s="1451" t="e">
        <f t="shared" si="88"/>
        <v>#DIV/0!</v>
      </c>
      <c r="AM109" s="1449" t="s">
        <v>2324</v>
      </c>
      <c r="AN109" s="1451" t="e">
        <f t="shared" si="89"/>
        <v>#DIV/0!</v>
      </c>
      <c r="AO109" s="1449" t="s">
        <v>2324</v>
      </c>
      <c r="AP109" s="1451" t="e">
        <f t="shared" si="90"/>
        <v>#DIV/0!</v>
      </c>
      <c r="AQ109" s="1449" t="s">
        <v>2324</v>
      </c>
      <c r="AR109" s="1449"/>
      <c r="AS109" s="1449"/>
      <c r="AT109" s="1449"/>
      <c r="AU109" s="1451">
        <f>UWert!$N104/100</f>
        <v>0</v>
      </c>
      <c r="AV109" s="1449">
        <f t="shared" si="96"/>
        <v>0.1</v>
      </c>
      <c r="AW109" s="1451" t="e">
        <f t="shared" si="85"/>
        <v>#DIV/0!</v>
      </c>
      <c r="AX109" s="1449" t="s">
        <v>2324</v>
      </c>
      <c r="AY109" s="1451" t="e">
        <f>UWert!$P103/(SUM(UWert!$P$100:$P$109))</f>
        <v>#DIV/0!</v>
      </c>
      <c r="AZ109" s="1450" t="e">
        <f t="shared" si="97"/>
        <v>#DIV/0!</v>
      </c>
      <c r="BA109" s="1451">
        <f>INDEX(Bauteile!$I$57:$I$1152,UWert!BB104)*(AU109)*(1/0.72)</f>
        <v>0</v>
      </c>
      <c r="BB109" s="1451" t="e">
        <f>BA109/SUM(BA105:BA114)</f>
        <v>#DIV/0!</v>
      </c>
      <c r="BC109" s="1450" t="e">
        <f t="shared" si="91"/>
        <v>#DIV/0!</v>
      </c>
      <c r="BD109" s="1451" t="e">
        <f t="shared" si="92"/>
        <v>#DIV/0!</v>
      </c>
      <c r="BE109" s="1449" t="s">
        <v>2324</v>
      </c>
      <c r="BF109" s="1451" t="e">
        <f t="shared" si="93"/>
        <v>#DIV/0!</v>
      </c>
      <c r="BG109" s="1449" t="s">
        <v>2324</v>
      </c>
      <c r="BH109" s="1451" t="e">
        <f t="shared" si="94"/>
        <v>#DIV/0!</v>
      </c>
      <c r="BI109" s="1449" t="s">
        <v>2324</v>
      </c>
      <c r="BJ109" s="1425"/>
      <c r="BK109" s="1425"/>
      <c r="BL109" s="1425"/>
      <c r="BM109" s="1425"/>
      <c r="BN109" s="1425"/>
      <c r="BO109" s="1425"/>
      <c r="BP109" s="1425"/>
      <c r="BQ109" s="1425"/>
      <c r="BR109" s="1425"/>
      <c r="BS109" s="1425"/>
      <c r="BT109" s="1425"/>
      <c r="BU109" s="1425"/>
      <c r="BV109" s="1425"/>
      <c r="BW109" s="1425"/>
      <c r="BX109" s="1425"/>
      <c r="BY109" s="1425"/>
      <c r="BZ109" s="1339"/>
    </row>
    <row r="110" spans="3:78" s="174" customFormat="1" ht="12.6" customHeight="1">
      <c r="S110" s="569"/>
      <c r="T110" s="568">
        <v>14</v>
      </c>
      <c r="U110" s="488">
        <f>UWert!K98</f>
        <v>0</v>
      </c>
      <c r="V110" s="573"/>
      <c r="W110" s="488"/>
      <c r="X110" s="573"/>
      <c r="Y110" s="567"/>
      <c r="Z110" s="1338"/>
      <c r="AA110" s="1449"/>
      <c r="AB110" s="1449"/>
      <c r="AC110" s="1451">
        <f>UWert!$F105/100</f>
        <v>0</v>
      </c>
      <c r="AD110" s="1451">
        <f t="shared" si="86"/>
        <v>0.1</v>
      </c>
      <c r="AE110" s="1451" t="e">
        <f t="shared" si="84"/>
        <v>#DIV/0!</v>
      </c>
      <c r="AF110" s="1449" t="s">
        <v>2324</v>
      </c>
      <c r="AG110" s="1451" t="e">
        <f>UWert!$H104/(SUM(UWert!$H$100:$H$109))</f>
        <v>#DIV/0!</v>
      </c>
      <c r="AH110" s="1450" t="e">
        <f t="shared" si="95"/>
        <v>#DIV/0!</v>
      </c>
      <c r="AI110" s="1468">
        <f>INDEX(Bauteile!$I$57:$I$1152,UWert!BA105)*(AC110)*(1/0.72)</f>
        <v>0</v>
      </c>
      <c r="AJ110" s="1451" t="e">
        <f>AI110/SUM(AI105:AI114)</f>
        <v>#DIV/0!</v>
      </c>
      <c r="AK110" s="1450" t="e">
        <f t="shared" si="87"/>
        <v>#DIV/0!</v>
      </c>
      <c r="AL110" s="1451" t="e">
        <f t="shared" si="88"/>
        <v>#DIV/0!</v>
      </c>
      <c r="AM110" s="1449" t="s">
        <v>2324</v>
      </c>
      <c r="AN110" s="1451" t="e">
        <f t="shared" si="89"/>
        <v>#DIV/0!</v>
      </c>
      <c r="AO110" s="1449" t="s">
        <v>2324</v>
      </c>
      <c r="AP110" s="1451" t="e">
        <f t="shared" si="90"/>
        <v>#DIV/0!</v>
      </c>
      <c r="AQ110" s="1449" t="s">
        <v>2324</v>
      </c>
      <c r="AR110" s="1449"/>
      <c r="AS110" s="1449"/>
      <c r="AT110" s="1449"/>
      <c r="AU110" s="1451">
        <f>UWert!$N105/100</f>
        <v>0</v>
      </c>
      <c r="AV110" s="1449">
        <f t="shared" si="96"/>
        <v>0.1</v>
      </c>
      <c r="AW110" s="1451" t="e">
        <f t="shared" si="85"/>
        <v>#DIV/0!</v>
      </c>
      <c r="AX110" s="1449" t="s">
        <v>2324</v>
      </c>
      <c r="AY110" s="1451" t="e">
        <f>UWert!$P104/(SUM(UWert!$P$100:$P$109))</f>
        <v>#DIV/0!</v>
      </c>
      <c r="AZ110" s="1450" t="e">
        <f t="shared" si="97"/>
        <v>#DIV/0!</v>
      </c>
      <c r="BA110" s="1451">
        <f>INDEX(Bauteile!$I$57:$I$1152,UWert!BB105)*(AU110)*(1/0.72)</f>
        <v>0</v>
      </c>
      <c r="BB110" s="1451" t="e">
        <f>BA110/SUM(BA105:BA114)</f>
        <v>#DIV/0!</v>
      </c>
      <c r="BC110" s="1450" t="e">
        <f t="shared" si="91"/>
        <v>#DIV/0!</v>
      </c>
      <c r="BD110" s="1451" t="e">
        <f t="shared" si="92"/>
        <v>#DIV/0!</v>
      </c>
      <c r="BE110" s="1449" t="s">
        <v>2324</v>
      </c>
      <c r="BF110" s="1451" t="e">
        <f t="shared" si="93"/>
        <v>#DIV/0!</v>
      </c>
      <c r="BG110" s="1449" t="s">
        <v>2324</v>
      </c>
      <c r="BH110" s="1451" t="e">
        <f t="shared" si="94"/>
        <v>#DIV/0!</v>
      </c>
      <c r="BI110" s="1449" t="s">
        <v>2324</v>
      </c>
      <c r="BJ110" s="1425"/>
      <c r="BK110" s="1425"/>
      <c r="BL110" s="1425"/>
      <c r="BM110" s="1425"/>
      <c r="BN110" s="1425"/>
      <c r="BO110" s="1425"/>
      <c r="BP110" s="1425"/>
      <c r="BQ110" s="1425"/>
      <c r="BR110" s="1425"/>
      <c r="BS110" s="1425"/>
      <c r="BT110" s="1425"/>
      <c r="BU110" s="1425"/>
      <c r="BV110" s="1425"/>
      <c r="BW110" s="1425"/>
      <c r="BX110" s="1425"/>
      <c r="BY110" s="1425"/>
      <c r="BZ110" s="1339"/>
    </row>
    <row r="111" spans="3:78" s="174" customFormat="1" ht="12.6" customHeight="1">
      <c r="S111" s="569"/>
      <c r="T111" s="2592" t="str">
        <f>T104</f>
        <v>valeur qui est</v>
      </c>
      <c r="U111" s="2593"/>
      <c r="V111" s="2596" t="str">
        <f>V104</f>
        <v>valeur limite</v>
      </c>
      <c r="W111" s="2597"/>
      <c r="X111" s="2596" t="str">
        <f>X104</f>
        <v>valeur limite</v>
      </c>
      <c r="Y111" s="2597"/>
      <c r="Z111" s="1338"/>
      <c r="AA111" s="1449"/>
      <c r="AB111" s="1449"/>
      <c r="AC111" s="1451">
        <f>UWert!$F106/100</f>
        <v>0</v>
      </c>
      <c r="AD111" s="1451">
        <f t="shared" si="86"/>
        <v>0.1</v>
      </c>
      <c r="AE111" s="1451" t="e">
        <f t="shared" si="84"/>
        <v>#DIV/0!</v>
      </c>
      <c r="AF111" s="1449" t="s">
        <v>2324</v>
      </c>
      <c r="AG111" s="1451" t="e">
        <f>UWert!$H105/(SUM(UWert!$H$100:$H$109))</f>
        <v>#DIV/0!</v>
      </c>
      <c r="AH111" s="1450" t="e">
        <f t="shared" si="95"/>
        <v>#DIV/0!</v>
      </c>
      <c r="AI111" s="1468">
        <f>INDEX(Bauteile!$I$57:$I$1152,UWert!BA106)*(AC111)*(1/0.72)</f>
        <v>0</v>
      </c>
      <c r="AJ111" s="1451" t="e">
        <f>AI111/SUM(AI105:AI114)</f>
        <v>#DIV/0!</v>
      </c>
      <c r="AK111" s="1450" t="e">
        <f t="shared" si="87"/>
        <v>#DIV/0!</v>
      </c>
      <c r="AL111" s="1451" t="e">
        <f t="shared" si="88"/>
        <v>#DIV/0!</v>
      </c>
      <c r="AM111" s="1449" t="s">
        <v>2324</v>
      </c>
      <c r="AN111" s="1451" t="e">
        <f t="shared" si="89"/>
        <v>#DIV/0!</v>
      </c>
      <c r="AO111" s="1449" t="s">
        <v>2324</v>
      </c>
      <c r="AP111" s="1451" t="e">
        <f t="shared" si="90"/>
        <v>#DIV/0!</v>
      </c>
      <c r="AQ111" s="1449" t="s">
        <v>2324</v>
      </c>
      <c r="AR111" s="1449"/>
      <c r="AS111" s="1449"/>
      <c r="AT111" s="1449"/>
      <c r="AU111" s="1451">
        <f>UWert!$N106/100</f>
        <v>0</v>
      </c>
      <c r="AV111" s="1449">
        <f t="shared" si="96"/>
        <v>0.1</v>
      </c>
      <c r="AW111" s="1451" t="e">
        <f t="shared" si="85"/>
        <v>#DIV/0!</v>
      </c>
      <c r="AX111" s="1449" t="s">
        <v>2324</v>
      </c>
      <c r="AY111" s="1451" t="e">
        <f>UWert!$P105/(SUM(UWert!$P$100:$P$109))</f>
        <v>#DIV/0!</v>
      </c>
      <c r="AZ111" s="1450" t="e">
        <f t="shared" si="97"/>
        <v>#DIV/0!</v>
      </c>
      <c r="BA111" s="1451">
        <f>INDEX(Bauteile!$I$57:$I$1152,UWert!BB106)*(AU111)*(1/0.72)</f>
        <v>0</v>
      </c>
      <c r="BB111" s="1451" t="e">
        <f>BA111/SUM(BA105:BA114)</f>
        <v>#DIV/0!</v>
      </c>
      <c r="BC111" s="1450" t="e">
        <f t="shared" si="91"/>
        <v>#DIV/0!</v>
      </c>
      <c r="BD111" s="1451" t="e">
        <f t="shared" si="92"/>
        <v>#DIV/0!</v>
      </c>
      <c r="BE111" s="1449" t="s">
        <v>2324</v>
      </c>
      <c r="BF111" s="1451" t="e">
        <f t="shared" si="93"/>
        <v>#DIV/0!</v>
      </c>
      <c r="BG111" s="1449" t="s">
        <v>2324</v>
      </c>
      <c r="BH111" s="1451" t="e">
        <f t="shared" si="94"/>
        <v>#DIV/0!</v>
      </c>
      <c r="BI111" s="1449" t="s">
        <v>2324</v>
      </c>
      <c r="BJ111" s="1425"/>
      <c r="BK111" s="1425"/>
      <c r="BL111" s="1425"/>
      <c r="BM111" s="1425"/>
      <c r="BN111" s="1425"/>
      <c r="BO111" s="1425"/>
      <c r="BP111" s="1425"/>
      <c r="BQ111" s="1425"/>
      <c r="BR111" s="1425"/>
      <c r="BS111" s="1425"/>
      <c r="BT111" s="1425"/>
      <c r="BU111" s="1425"/>
      <c r="BV111" s="1425"/>
      <c r="BW111" s="1425"/>
      <c r="BX111" s="1425"/>
      <c r="BY111" s="1425"/>
      <c r="BZ111" s="1339"/>
    </row>
    <row r="112" spans="3:78" s="174" customFormat="1" ht="12.6" customHeight="1">
      <c r="R112" s="199"/>
      <c r="S112" s="569"/>
      <c r="T112" s="2596"/>
      <c r="U112" s="2607"/>
      <c r="V112" s="2596" t="str">
        <f>V105</f>
        <v>condens.</v>
      </c>
      <c r="W112" s="2597"/>
      <c r="X112" s="2596" t="str">
        <f>X105</f>
        <v>penicillium</v>
      </c>
      <c r="Y112" s="2604"/>
      <c r="Z112" s="1338"/>
      <c r="AA112" s="1449"/>
      <c r="AB112" s="1449"/>
      <c r="AC112" s="1451">
        <f>UWert!$F107/100</f>
        <v>0</v>
      </c>
      <c r="AD112" s="1451">
        <f t="shared" si="86"/>
        <v>0.1</v>
      </c>
      <c r="AE112" s="1451" t="e">
        <f t="shared" si="84"/>
        <v>#DIV/0!</v>
      </c>
      <c r="AF112" s="1449" t="s">
        <v>2324</v>
      </c>
      <c r="AG112" s="1451" t="e">
        <f>UWert!$H106/(SUM(UWert!$H$100:$H$109))</f>
        <v>#DIV/0!</v>
      </c>
      <c r="AH112" s="1450" t="e">
        <f t="shared" si="95"/>
        <v>#DIV/0!</v>
      </c>
      <c r="AI112" s="1468">
        <f>INDEX(Bauteile!$I$57:$I$1152,UWert!BA107)*(AC112)*(1/0.72)</f>
        <v>0</v>
      </c>
      <c r="AJ112" s="1451" t="e">
        <f>AI112/SUM(AI105:AI114)</f>
        <v>#DIV/0!</v>
      </c>
      <c r="AK112" s="1450" t="e">
        <f t="shared" si="87"/>
        <v>#DIV/0!</v>
      </c>
      <c r="AL112" s="1451" t="e">
        <f t="shared" si="88"/>
        <v>#DIV/0!</v>
      </c>
      <c r="AM112" s="1449" t="s">
        <v>2324</v>
      </c>
      <c r="AN112" s="1451" t="e">
        <f t="shared" si="89"/>
        <v>#DIV/0!</v>
      </c>
      <c r="AO112" s="1449" t="s">
        <v>2324</v>
      </c>
      <c r="AP112" s="1451" t="e">
        <f t="shared" si="90"/>
        <v>#DIV/0!</v>
      </c>
      <c r="AQ112" s="1449" t="s">
        <v>2324</v>
      </c>
      <c r="AR112" s="1449"/>
      <c r="AS112" s="1449"/>
      <c r="AT112" s="1449"/>
      <c r="AU112" s="1451">
        <f>UWert!$N107/100</f>
        <v>0</v>
      </c>
      <c r="AV112" s="1449">
        <f t="shared" si="96"/>
        <v>0.1</v>
      </c>
      <c r="AW112" s="1451" t="e">
        <f t="shared" si="85"/>
        <v>#DIV/0!</v>
      </c>
      <c r="AX112" s="1449" t="s">
        <v>2324</v>
      </c>
      <c r="AY112" s="1451" t="e">
        <f>UWert!$P106/(SUM(UWert!$P$100:$P$109))</f>
        <v>#DIV/0!</v>
      </c>
      <c r="AZ112" s="1450" t="e">
        <f t="shared" si="97"/>
        <v>#DIV/0!</v>
      </c>
      <c r="BA112" s="1451">
        <f>INDEX(Bauteile!$I$57:$I$1152,UWert!BB107)*(AU112)*(1/0.72)</f>
        <v>0</v>
      </c>
      <c r="BB112" s="1451" t="e">
        <f>BA112/SUM(BA105:BA114)</f>
        <v>#DIV/0!</v>
      </c>
      <c r="BC112" s="1450" t="e">
        <f t="shared" si="91"/>
        <v>#DIV/0!</v>
      </c>
      <c r="BD112" s="1451" t="e">
        <f t="shared" si="92"/>
        <v>#DIV/0!</v>
      </c>
      <c r="BE112" s="1449" t="s">
        <v>2324</v>
      </c>
      <c r="BF112" s="1451" t="e">
        <f t="shared" si="93"/>
        <v>#DIV/0!</v>
      </c>
      <c r="BG112" s="1449" t="s">
        <v>2324</v>
      </c>
      <c r="BH112" s="1451" t="e">
        <f t="shared" si="94"/>
        <v>#DIV/0!</v>
      </c>
      <c r="BI112" s="1449" t="s">
        <v>2324</v>
      </c>
      <c r="BJ112" s="1425"/>
      <c r="BK112" s="1425"/>
      <c r="BL112" s="1425"/>
      <c r="BM112" s="1425"/>
      <c r="BN112" s="1425"/>
      <c r="BO112" s="1425"/>
      <c r="BP112" s="1425"/>
      <c r="BQ112" s="1425"/>
      <c r="BR112" s="1425"/>
      <c r="BS112" s="1425"/>
      <c r="BT112" s="1425"/>
      <c r="BU112" s="1425"/>
      <c r="BV112" s="1425"/>
      <c r="BW112" s="1425"/>
      <c r="BX112" s="1425"/>
      <c r="BY112" s="1425"/>
      <c r="BZ112" s="1339"/>
    </row>
    <row r="113" spans="18:78" s="174" customFormat="1" ht="12.6" customHeight="1">
      <c r="R113" s="199"/>
      <c r="S113" s="569"/>
      <c r="T113" s="2602" t="s">
        <v>274</v>
      </c>
      <c r="U113" s="2601"/>
      <c r="V113" s="2602" t="s">
        <v>273</v>
      </c>
      <c r="W113" s="2601"/>
      <c r="X113" s="2603" t="s">
        <v>276</v>
      </c>
      <c r="Y113" s="2601"/>
      <c r="Z113" s="1338"/>
      <c r="AA113" s="1449"/>
      <c r="AB113" s="1449"/>
      <c r="AC113" s="1451">
        <v>0.1</v>
      </c>
      <c r="AD113" s="1451">
        <f t="shared" si="86"/>
        <v>0.1</v>
      </c>
      <c r="AE113" s="1451" t="e">
        <f t="shared" si="84"/>
        <v>#DIV/0!</v>
      </c>
      <c r="AF113" s="1449" t="s">
        <v>2324</v>
      </c>
      <c r="AG113" s="1451" t="e">
        <f>UWert!$H107/(SUM(UWert!$H$100:$H$109))</f>
        <v>#DIV/0!</v>
      </c>
      <c r="AH113" s="1450" t="e">
        <f t="shared" si="95"/>
        <v>#DIV/0!</v>
      </c>
      <c r="AI113" s="1468">
        <f>0*AC113*(1/0.72)</f>
        <v>0</v>
      </c>
      <c r="AJ113" s="1451" t="e">
        <f>AI113/SUM(AI105:AI114)</f>
        <v>#DIV/0!</v>
      </c>
      <c r="AK113" s="1450" t="e">
        <f t="shared" si="87"/>
        <v>#DIV/0!</v>
      </c>
      <c r="AL113" s="1451" t="e">
        <f t="shared" si="88"/>
        <v>#DIV/0!</v>
      </c>
      <c r="AM113" s="1449" t="s">
        <v>2324</v>
      </c>
      <c r="AN113" s="1451" t="e">
        <f t="shared" si="89"/>
        <v>#DIV/0!</v>
      </c>
      <c r="AO113" s="1449" t="s">
        <v>2324</v>
      </c>
      <c r="AP113" s="1451" t="e">
        <f t="shared" si="90"/>
        <v>#DIV/0!</v>
      </c>
      <c r="AQ113" s="1449" t="s">
        <v>2324</v>
      </c>
      <c r="AR113" s="1449"/>
      <c r="AS113" s="1449"/>
      <c r="AT113" s="1449"/>
      <c r="AU113" s="1451">
        <v>0.1</v>
      </c>
      <c r="AV113" s="1449">
        <f t="shared" si="96"/>
        <v>0.1</v>
      </c>
      <c r="AW113" s="1451" t="e">
        <f t="shared" si="85"/>
        <v>#DIV/0!</v>
      </c>
      <c r="AX113" s="1449" t="s">
        <v>2324</v>
      </c>
      <c r="AY113" s="1451" t="e">
        <f>UWert!$P107/(SUM(UWert!$P$100:$P$109))</f>
        <v>#DIV/0!</v>
      </c>
      <c r="AZ113" s="1450" t="e">
        <f t="shared" si="97"/>
        <v>#DIV/0!</v>
      </c>
      <c r="BA113" s="1451">
        <f>0*(AU113)*(1/0.72)</f>
        <v>0</v>
      </c>
      <c r="BB113" s="1451" t="e">
        <f>BA113/SUM(BA105:BA114)</f>
        <v>#DIV/0!</v>
      </c>
      <c r="BC113" s="1450" t="e">
        <f t="shared" si="91"/>
        <v>#DIV/0!</v>
      </c>
      <c r="BD113" s="1451" t="e">
        <f t="shared" si="92"/>
        <v>#DIV/0!</v>
      </c>
      <c r="BE113" s="1449" t="s">
        <v>2324</v>
      </c>
      <c r="BF113" s="1451" t="e">
        <f t="shared" si="93"/>
        <v>#DIV/0!</v>
      </c>
      <c r="BG113" s="1449" t="s">
        <v>2324</v>
      </c>
      <c r="BH113" s="1451" t="e">
        <f t="shared" si="94"/>
        <v>#DIV/0!</v>
      </c>
      <c r="BI113" s="1449" t="s">
        <v>2324</v>
      </c>
      <c r="BJ113" s="1425"/>
      <c r="BK113" s="1425"/>
      <c r="BL113" s="1425"/>
      <c r="BM113" s="1425"/>
      <c r="BN113" s="1425"/>
      <c r="BO113" s="1425"/>
      <c r="BP113" s="1425"/>
      <c r="BQ113" s="1425"/>
      <c r="BR113" s="1425"/>
      <c r="BS113" s="1425"/>
      <c r="BT113" s="1425"/>
      <c r="BU113" s="1425"/>
      <c r="BV113" s="1425"/>
      <c r="BW113" s="1425"/>
      <c r="BX113" s="1425"/>
      <c r="BY113" s="1425"/>
      <c r="BZ113" s="1339"/>
    </row>
    <row r="114" spans="18:78" s="174" customFormat="1" ht="12.6" customHeight="1">
      <c r="S114" s="569"/>
      <c r="T114" s="2600" t="str">
        <f>BT106</f>
        <v/>
      </c>
      <c r="U114" s="2601"/>
      <c r="V114" s="2600">
        <f>BU106</f>
        <v>0</v>
      </c>
      <c r="W114" s="2601"/>
      <c r="X114" s="2603">
        <f>BV106</f>
        <v>0</v>
      </c>
      <c r="Y114" s="2601"/>
      <c r="Z114" s="1338"/>
      <c r="AA114" s="1449"/>
      <c r="AB114" s="1449"/>
      <c r="AC114" s="1449"/>
      <c r="AD114" s="1451">
        <f t="shared" si="86"/>
        <v>0.2</v>
      </c>
      <c r="AE114" s="1450">
        <f>Ta_feuchte</f>
        <v>20</v>
      </c>
      <c r="AF114" s="1449" t="s">
        <v>2324</v>
      </c>
      <c r="AG114" s="1451" t="e">
        <f>SUM(UWert!$H108:$H109)/(SUM(UWert!$H$100:$H$109))</f>
        <v>#DIV/0!</v>
      </c>
      <c r="AH114" s="1450">
        <f t="shared" si="95"/>
        <v>2336.7157223473796</v>
      </c>
      <c r="AI114" s="1468">
        <f>0*AC114*(1/0.72)</f>
        <v>0</v>
      </c>
      <c r="AJ114" s="1451" t="e">
        <f>AI114/SUM(AI105:AI114)</f>
        <v>#DIV/0!</v>
      </c>
      <c r="AK114" s="1450">
        <f>AH114*Rh_aussen</f>
        <v>1402.0294334084276</v>
      </c>
      <c r="AL114" s="1451">
        <f t="shared" si="88"/>
        <v>10.489639823639493</v>
      </c>
      <c r="AM114" s="1449" t="s">
        <v>2324</v>
      </c>
      <c r="AN114" s="1451">
        <f t="shared" si="89"/>
        <v>12.032306379344021</v>
      </c>
      <c r="AO114" s="1449" t="s">
        <v>2324</v>
      </c>
      <c r="AP114" s="1451">
        <f t="shared" si="90"/>
        <v>12.032306379344021</v>
      </c>
      <c r="AQ114" s="1449" t="s">
        <v>2324</v>
      </c>
      <c r="AR114" s="1449"/>
      <c r="AS114" s="1449"/>
      <c r="AT114" s="1449"/>
      <c r="AU114" s="1449"/>
      <c r="AV114" s="1449">
        <f t="shared" si="96"/>
        <v>0.2</v>
      </c>
      <c r="AW114" s="1450">
        <f>Ta_feuchte</f>
        <v>20</v>
      </c>
      <c r="AX114" s="1449" t="s">
        <v>2324</v>
      </c>
      <c r="AY114" s="1451" t="e">
        <f>SUM(UWert!$P108:$P109)/(SUM(UWert!$P$100:$P$109))</f>
        <v>#DIV/0!</v>
      </c>
      <c r="AZ114" s="1450">
        <f t="shared" si="97"/>
        <v>2336.7157223473796</v>
      </c>
      <c r="BA114" s="1451">
        <f>0*(AU114)*(1/0.72)</f>
        <v>0</v>
      </c>
      <c r="BB114" s="1451" t="e">
        <f>BA114/SUM(BA105:BA114)</f>
        <v>#DIV/0!</v>
      </c>
      <c r="BC114" s="1450">
        <f>AZ114*Rh_aussen</f>
        <v>1402.0294334084276</v>
      </c>
      <c r="BD114" s="1451">
        <f t="shared" si="92"/>
        <v>10.489639823639493</v>
      </c>
      <c r="BE114" s="1449" t="s">
        <v>2324</v>
      </c>
      <c r="BF114" s="1451">
        <f t="shared" si="93"/>
        <v>12.032306379344021</v>
      </c>
      <c r="BG114" s="1449" t="s">
        <v>2324</v>
      </c>
      <c r="BH114" s="1451">
        <f t="shared" si="94"/>
        <v>12.032306379344021</v>
      </c>
      <c r="BI114" s="1449" t="s">
        <v>2324</v>
      </c>
      <c r="BJ114" s="1425"/>
      <c r="BK114" s="1425"/>
      <c r="BL114" s="1425"/>
      <c r="BM114" s="1425"/>
      <c r="BN114" s="1425"/>
      <c r="BO114" s="1425"/>
      <c r="BP114" s="1425"/>
      <c r="BQ114" s="1425"/>
      <c r="BR114" s="1425"/>
      <c r="BS114" s="1425"/>
      <c r="BT114" s="1425"/>
      <c r="BU114" s="1425"/>
      <c r="BV114" s="1425"/>
      <c r="BW114" s="1425"/>
      <c r="BX114" s="1425"/>
      <c r="BY114" s="1425"/>
      <c r="BZ114" s="1339"/>
    </row>
    <row r="115" spans="18:78" s="174" customFormat="1" ht="12.6" customHeight="1">
      <c r="S115" s="569"/>
      <c r="T115" s="615"/>
      <c r="U115" s="616"/>
      <c r="V115" s="2594" t="str">
        <f>BU107</f>
        <v/>
      </c>
      <c r="W115" s="2595"/>
      <c r="X115" s="2594" t="str">
        <f>BV107</f>
        <v/>
      </c>
      <c r="Y115" s="2595"/>
      <c r="Z115" s="1338"/>
      <c r="AA115" s="1449"/>
      <c r="AB115" s="1449"/>
      <c r="AC115" s="1449"/>
      <c r="AD115" s="1449"/>
      <c r="AE115" s="1449"/>
      <c r="AF115" s="1449"/>
      <c r="AG115" s="1449"/>
      <c r="AH115" s="1449"/>
      <c r="AI115" s="1453"/>
      <c r="AJ115" s="1449"/>
      <c r="AK115" s="1449"/>
      <c r="AL115" s="1449"/>
      <c r="AM115" s="1449"/>
      <c r="AN115" s="1449"/>
      <c r="AO115" s="1449"/>
      <c r="AP115" s="1449"/>
      <c r="AQ115" s="1449"/>
      <c r="AR115" s="1449"/>
      <c r="AS115" s="1449"/>
      <c r="AT115" s="1449"/>
      <c r="AU115" s="1449"/>
      <c r="AV115" s="1449"/>
      <c r="AW115" s="1449"/>
      <c r="AX115" s="1449"/>
      <c r="AY115" s="1449"/>
      <c r="AZ115" s="1449"/>
      <c r="BA115" s="1449"/>
      <c r="BB115" s="1449"/>
      <c r="BC115" s="1449"/>
      <c r="BD115" s="1449"/>
      <c r="BE115" s="1449"/>
      <c r="BF115" s="1449"/>
      <c r="BG115" s="1449"/>
      <c r="BH115" s="1449"/>
      <c r="BI115" s="1449"/>
      <c r="BJ115" s="1425"/>
      <c r="BK115" s="1425"/>
      <c r="BL115" s="1425"/>
      <c r="BM115" s="1425"/>
      <c r="BN115" s="1425"/>
      <c r="BO115" s="1425"/>
      <c r="BP115" s="1425"/>
      <c r="BQ115" s="1425"/>
      <c r="BR115" s="1425"/>
      <c r="BS115" s="1425"/>
      <c r="BT115" s="1425"/>
      <c r="BU115" s="1425"/>
      <c r="BV115" s="1425"/>
      <c r="BW115" s="1425"/>
      <c r="BX115" s="1425"/>
      <c r="BY115" s="1425"/>
      <c r="BZ115" s="1339"/>
    </row>
    <row r="116" spans="18:78" s="174" customFormat="1" ht="12.6" customHeight="1">
      <c r="S116" s="569"/>
      <c r="T116" s="2608"/>
      <c r="U116" s="2608"/>
      <c r="V116" s="565"/>
      <c r="W116" s="2608"/>
      <c r="X116" s="2608"/>
      <c r="Y116" s="199"/>
      <c r="Z116" s="1338"/>
      <c r="AA116" s="1449"/>
      <c r="AB116" s="1449"/>
      <c r="AC116" s="1449"/>
      <c r="AD116" s="1449"/>
      <c r="AE116" s="1449"/>
      <c r="AF116" s="1449"/>
      <c r="AG116" s="1449"/>
      <c r="AH116" s="1449"/>
      <c r="AI116" s="1453"/>
      <c r="AJ116" s="1449"/>
      <c r="AK116" s="1449"/>
      <c r="AL116" s="1449"/>
      <c r="AM116" s="1449"/>
      <c r="AN116" s="1449"/>
      <c r="AO116" s="1449"/>
      <c r="AP116" s="1449"/>
      <c r="AQ116" s="1449"/>
      <c r="AR116" s="1449"/>
      <c r="AS116" s="1449"/>
      <c r="AT116" s="1449"/>
      <c r="AU116" s="1449"/>
      <c r="AV116" s="1449"/>
      <c r="AW116" s="1449"/>
      <c r="AX116" s="1449"/>
      <c r="AY116" s="1449"/>
      <c r="AZ116" s="1449"/>
      <c r="BA116" s="1449"/>
      <c r="BB116" s="1449"/>
      <c r="BC116" s="1449"/>
      <c r="BD116" s="1449"/>
      <c r="BE116" s="1449"/>
      <c r="BF116" s="1449"/>
      <c r="BG116" s="1449"/>
      <c r="BH116" s="1449"/>
      <c r="BI116" s="1449"/>
      <c r="BJ116" s="1425"/>
      <c r="BK116" s="1425"/>
      <c r="BL116" s="1425"/>
      <c r="BM116" s="1425"/>
      <c r="BN116" s="1425"/>
      <c r="BO116" s="1425"/>
      <c r="BP116" s="1425"/>
      <c r="BQ116" s="1425"/>
      <c r="BR116" s="1425"/>
      <c r="BS116" s="1425"/>
      <c r="BT116" s="1425"/>
      <c r="BU116" s="1425"/>
      <c r="BV116" s="1425"/>
      <c r="BW116" s="1425"/>
      <c r="BX116" s="1425"/>
      <c r="BY116" s="1425"/>
      <c r="BZ116" s="1339"/>
    </row>
    <row r="117" spans="18:78" s="174" customFormat="1" ht="12.6" customHeight="1">
      <c r="S117" s="569"/>
      <c r="T117" s="199"/>
      <c r="U117" s="565"/>
      <c r="V117" s="565"/>
      <c r="W117" s="565"/>
      <c r="X117" s="565"/>
      <c r="Y117" s="199"/>
      <c r="Z117" s="1338"/>
      <c r="AA117" s="1449"/>
      <c r="AB117" s="1449"/>
      <c r="AC117" s="1449"/>
      <c r="AD117" s="1449"/>
      <c r="AE117" s="1449"/>
      <c r="AF117" s="1449"/>
      <c r="AG117" s="1449"/>
      <c r="AH117" s="1449"/>
      <c r="AI117" s="1453"/>
      <c r="AJ117" s="1449"/>
      <c r="AK117" s="1449"/>
      <c r="AL117" s="1449"/>
      <c r="AM117" s="1449"/>
      <c r="AN117" s="1449"/>
      <c r="AO117" s="1449"/>
      <c r="AP117" s="1449"/>
      <c r="AQ117" s="1449"/>
      <c r="AR117" s="1449"/>
      <c r="AS117" s="1449"/>
      <c r="AT117" s="1449"/>
      <c r="AU117" s="1449"/>
      <c r="AV117" s="1449"/>
      <c r="AW117" s="1449"/>
      <c r="AX117" s="1449"/>
      <c r="AY117" s="1449"/>
      <c r="AZ117" s="1449"/>
      <c r="BA117" s="1449"/>
      <c r="BB117" s="1449"/>
      <c r="BC117" s="1449"/>
      <c r="BD117" s="1449"/>
      <c r="BE117" s="1449"/>
      <c r="BF117" s="1449"/>
      <c r="BG117" s="1449"/>
      <c r="BH117" s="1449"/>
      <c r="BI117" s="1449"/>
      <c r="BJ117" s="1425"/>
      <c r="BK117" s="1425"/>
      <c r="BL117" s="1425"/>
      <c r="BM117" s="1425"/>
      <c r="BN117" s="1425"/>
      <c r="BO117" s="1425"/>
      <c r="BP117" s="1425"/>
      <c r="BQ117" s="1425"/>
      <c r="BR117" s="1425"/>
      <c r="BS117" s="1425"/>
      <c r="BT117" s="1425"/>
      <c r="BU117" s="1425"/>
      <c r="BV117" s="1425"/>
      <c r="BW117" s="1425"/>
      <c r="BX117" s="1425"/>
      <c r="BY117" s="1425"/>
      <c r="BZ117" s="1339"/>
    </row>
    <row r="118" spans="18:78" s="174" customFormat="1" ht="12.6" hidden="1" customHeight="1">
      <c r="S118" s="569"/>
      <c r="T118" s="199"/>
      <c r="U118" s="565"/>
      <c r="V118" s="565"/>
      <c r="W118" s="565"/>
      <c r="X118" s="565"/>
      <c r="Y118" s="199"/>
      <c r="Z118" s="1338"/>
      <c r="AA118" s="1449"/>
      <c r="AB118" s="1449"/>
      <c r="AC118" s="1449"/>
      <c r="AD118" s="1449"/>
      <c r="AE118" s="1449"/>
      <c r="AF118" s="1449"/>
      <c r="AG118" s="1449"/>
      <c r="AH118" s="1449"/>
      <c r="AI118" s="1453"/>
      <c r="AJ118" s="1449"/>
      <c r="AK118" s="1449"/>
      <c r="AL118" s="1449"/>
      <c r="AM118" s="1449"/>
      <c r="AN118" s="1449"/>
      <c r="AO118" s="1449"/>
      <c r="AP118" s="1449"/>
      <c r="AQ118" s="1449"/>
      <c r="AR118" s="1449"/>
      <c r="AS118" s="1449"/>
      <c r="AT118" s="1449"/>
      <c r="AU118" s="1449"/>
      <c r="AV118" s="1449"/>
      <c r="AW118" s="1449"/>
      <c r="AX118" s="1449"/>
      <c r="AY118" s="1449"/>
      <c r="AZ118" s="1449"/>
      <c r="BA118" s="1449"/>
      <c r="BB118" s="1449"/>
      <c r="BC118" s="1449"/>
      <c r="BD118" s="1449"/>
      <c r="BE118" s="1449"/>
      <c r="BF118" s="1449"/>
      <c r="BG118" s="1449"/>
      <c r="BH118" s="1449"/>
      <c r="BI118" s="1449"/>
      <c r="BJ118" s="1425"/>
      <c r="BK118" s="1425"/>
      <c r="BL118" s="1425"/>
      <c r="BM118" s="1425"/>
      <c r="BN118" s="1425"/>
      <c r="BO118" s="1425"/>
      <c r="BP118" s="1425"/>
      <c r="BQ118" s="1425"/>
      <c r="BR118" s="1425"/>
      <c r="BS118" s="1425"/>
      <c r="BT118" s="1425"/>
      <c r="BU118" s="1425"/>
      <c r="BV118" s="1425"/>
      <c r="BW118" s="1425"/>
      <c r="BX118" s="1425"/>
      <c r="BY118" s="1425"/>
      <c r="BZ118" s="1339"/>
    </row>
    <row r="119" spans="18:78" s="174" customFormat="1" ht="12.6" hidden="1" customHeight="1">
      <c r="S119" s="569"/>
      <c r="T119" s="199"/>
      <c r="U119" s="565"/>
      <c r="V119" s="565"/>
      <c r="W119" s="565"/>
      <c r="X119" s="565"/>
      <c r="Y119" s="199"/>
      <c r="Z119" s="1338"/>
      <c r="AA119" s="1449"/>
      <c r="AB119" s="1449"/>
      <c r="AC119" s="1449"/>
      <c r="AD119" s="1449"/>
      <c r="AE119" s="1449"/>
      <c r="AF119" s="1449"/>
      <c r="AG119" s="1449"/>
      <c r="AH119" s="1449"/>
      <c r="AI119" s="1453"/>
      <c r="AJ119" s="1449"/>
      <c r="AK119" s="1449"/>
      <c r="AL119" s="1449"/>
      <c r="AM119" s="1449"/>
      <c r="AN119" s="1449"/>
      <c r="AO119" s="1449"/>
      <c r="AP119" s="1449"/>
      <c r="AQ119" s="1449"/>
      <c r="AR119" s="1449"/>
      <c r="AS119" s="1449"/>
      <c r="AT119" s="1449"/>
      <c r="AU119" s="1449"/>
      <c r="AV119" s="1449"/>
      <c r="AW119" s="1449"/>
      <c r="AX119" s="1449"/>
      <c r="AY119" s="1449"/>
      <c r="AZ119" s="1449"/>
      <c r="BA119" s="1449"/>
      <c r="BB119" s="1449"/>
      <c r="BC119" s="1449"/>
      <c r="BD119" s="1449"/>
      <c r="BE119" s="1449"/>
      <c r="BF119" s="1449"/>
      <c r="BG119" s="1449"/>
      <c r="BH119" s="1449"/>
      <c r="BI119" s="1449"/>
      <c r="BJ119" s="1425"/>
      <c r="BK119" s="1425"/>
      <c r="BL119" s="1425"/>
      <c r="BM119" s="1425"/>
      <c r="BN119" s="1425"/>
      <c r="BO119" s="1425"/>
      <c r="BP119" s="1425"/>
      <c r="BQ119" s="1425"/>
      <c r="BR119" s="1425"/>
      <c r="BS119" s="1425"/>
      <c r="BT119" s="1425"/>
      <c r="BU119" s="1425"/>
      <c r="BV119" s="1425"/>
      <c r="BW119" s="1425"/>
      <c r="BX119" s="1425"/>
      <c r="BY119" s="1425"/>
      <c r="BZ119" s="1339"/>
    </row>
    <row r="120" spans="18:78" s="174" customFormat="1" ht="12.6" hidden="1" customHeight="1">
      <c r="S120" s="569"/>
      <c r="T120" s="199"/>
      <c r="U120" s="565"/>
      <c r="V120" s="565"/>
      <c r="W120" s="565"/>
      <c r="X120" s="565"/>
      <c r="Y120" s="199"/>
      <c r="Z120" s="1338"/>
      <c r="AA120" s="1449"/>
      <c r="AB120" s="1449"/>
      <c r="AC120" s="1449"/>
      <c r="AD120" s="1449"/>
      <c r="AE120" s="1449"/>
      <c r="AF120" s="1449"/>
      <c r="AG120" s="1449"/>
      <c r="AH120" s="1449"/>
      <c r="AI120" s="1453"/>
      <c r="AJ120" s="1449"/>
      <c r="AK120" s="1449"/>
      <c r="AL120" s="1449"/>
      <c r="AM120" s="1449"/>
      <c r="AN120" s="1449"/>
      <c r="AO120" s="1449"/>
      <c r="AP120" s="1449"/>
      <c r="AQ120" s="1449"/>
      <c r="AR120" s="1449"/>
      <c r="AS120" s="1449"/>
      <c r="AT120" s="1449"/>
      <c r="AU120" s="1449"/>
      <c r="AV120" s="1449"/>
      <c r="AW120" s="1449"/>
      <c r="AX120" s="1449"/>
      <c r="AY120" s="1449"/>
      <c r="AZ120" s="1449"/>
      <c r="BA120" s="1449"/>
      <c r="BB120" s="1449"/>
      <c r="BC120" s="1449"/>
      <c r="BD120" s="1449"/>
      <c r="BE120" s="1449"/>
      <c r="BF120" s="1449"/>
      <c r="BG120" s="1449"/>
      <c r="BH120" s="1449"/>
      <c r="BI120" s="1449"/>
      <c r="BJ120" s="1425"/>
      <c r="BK120" s="1425"/>
      <c r="BL120" s="1425"/>
      <c r="BM120" s="1425"/>
      <c r="BN120" s="1425"/>
      <c r="BO120" s="1425"/>
      <c r="BP120" s="1425"/>
      <c r="BQ120" s="1425"/>
      <c r="BR120" s="1425"/>
      <c r="BS120" s="1425"/>
      <c r="BT120" s="1425"/>
      <c r="BU120" s="1425"/>
      <c r="BV120" s="1425"/>
      <c r="BW120" s="1425"/>
      <c r="BX120" s="1425"/>
      <c r="BY120" s="1425"/>
      <c r="BZ120" s="1339"/>
    </row>
    <row r="121" spans="18:78" s="174" customFormat="1" ht="12.6" hidden="1" customHeight="1">
      <c r="S121" s="569"/>
      <c r="T121" s="199"/>
      <c r="U121" s="565"/>
      <c r="V121" s="565"/>
      <c r="W121" s="565"/>
      <c r="X121" s="565"/>
      <c r="Y121" s="199"/>
      <c r="Z121" s="1338"/>
      <c r="AA121" s="1449"/>
      <c r="AB121" s="1449"/>
      <c r="AC121" s="1449"/>
      <c r="AD121" s="1449"/>
      <c r="AE121" s="1449"/>
      <c r="AF121" s="1449"/>
      <c r="AG121" s="1449"/>
      <c r="AH121" s="1449"/>
      <c r="AI121" s="1453"/>
      <c r="AJ121" s="1449"/>
      <c r="AK121" s="1449"/>
      <c r="AL121" s="1449"/>
      <c r="AM121" s="1449"/>
      <c r="AN121" s="1449"/>
      <c r="AO121" s="1449"/>
      <c r="AP121" s="1449"/>
      <c r="AQ121" s="1449"/>
      <c r="AR121" s="1449"/>
      <c r="AS121" s="1449"/>
      <c r="AT121" s="1449"/>
      <c r="AU121" s="1449"/>
      <c r="AV121" s="1449"/>
      <c r="AW121" s="1449"/>
      <c r="AX121" s="1449"/>
      <c r="AY121" s="1449"/>
      <c r="AZ121" s="1449"/>
      <c r="BA121" s="1449"/>
      <c r="BB121" s="1449"/>
      <c r="BC121" s="1449"/>
      <c r="BD121" s="1449"/>
      <c r="BE121" s="1449"/>
      <c r="BF121" s="1449"/>
      <c r="BG121" s="1449"/>
      <c r="BH121" s="1449"/>
      <c r="BI121" s="1449"/>
      <c r="BJ121" s="1425"/>
      <c r="BK121" s="1425"/>
      <c r="BL121" s="1425"/>
      <c r="BM121" s="1425"/>
      <c r="BN121" s="1425"/>
      <c r="BO121" s="1425"/>
      <c r="BP121" s="1425"/>
      <c r="BQ121" s="1425"/>
      <c r="BR121" s="1425"/>
      <c r="BS121" s="1425"/>
      <c r="BT121" s="1425"/>
      <c r="BU121" s="1425"/>
      <c r="BV121" s="1425"/>
      <c r="BW121" s="1425"/>
      <c r="BX121" s="1425"/>
      <c r="BY121" s="1425"/>
      <c r="BZ121" s="1339"/>
    </row>
    <row r="122" spans="18:78" s="174" customFormat="1" ht="12.6" hidden="1" customHeight="1">
      <c r="S122" s="569"/>
      <c r="T122" s="199"/>
      <c r="U122" s="565"/>
      <c r="V122" s="565"/>
      <c r="W122" s="565"/>
      <c r="X122" s="565"/>
      <c r="Y122" s="199"/>
      <c r="Z122" s="1338"/>
      <c r="AA122" s="1449"/>
      <c r="AB122" s="1449"/>
      <c r="AC122" s="1449"/>
      <c r="AD122" s="1449"/>
      <c r="AE122" s="1449"/>
      <c r="AF122" s="1449"/>
      <c r="AG122" s="1449"/>
      <c r="AH122" s="1449"/>
      <c r="AI122" s="1453"/>
      <c r="AJ122" s="1449"/>
      <c r="AK122" s="1449"/>
      <c r="AL122" s="1449"/>
      <c r="AM122" s="1449"/>
      <c r="AN122" s="1449"/>
      <c r="AO122" s="1449"/>
      <c r="AP122" s="1449"/>
      <c r="AQ122" s="1449"/>
      <c r="AR122" s="1449"/>
      <c r="AS122" s="1449"/>
      <c r="AT122" s="1449"/>
      <c r="AU122" s="1449"/>
      <c r="AV122" s="1449"/>
      <c r="AW122" s="1449"/>
      <c r="AX122" s="1449"/>
      <c r="AY122" s="1449"/>
      <c r="AZ122" s="1449"/>
      <c r="BA122" s="1449"/>
      <c r="BB122" s="1449"/>
      <c r="BC122" s="1449"/>
      <c r="BD122" s="1449"/>
      <c r="BE122" s="1449"/>
      <c r="BF122" s="1449"/>
      <c r="BG122" s="1449"/>
      <c r="BH122" s="1449"/>
      <c r="BI122" s="1449"/>
      <c r="BJ122" s="1425"/>
      <c r="BK122" s="1425"/>
      <c r="BL122" s="1425"/>
      <c r="BM122" s="1425"/>
      <c r="BN122" s="1425"/>
      <c r="BO122" s="1425"/>
      <c r="BP122" s="1425"/>
      <c r="BQ122" s="1425"/>
      <c r="BR122" s="1425"/>
      <c r="BS122" s="1425"/>
      <c r="BT122" s="1425"/>
      <c r="BU122" s="1425"/>
      <c r="BV122" s="1425"/>
      <c r="BW122" s="1425"/>
      <c r="BX122" s="1425"/>
      <c r="BY122" s="1425"/>
      <c r="BZ122" s="1339"/>
    </row>
    <row r="123" spans="18:78" s="174" customFormat="1" ht="12.6" hidden="1" customHeight="1">
      <c r="S123" s="569"/>
      <c r="T123" s="199"/>
      <c r="U123" s="565"/>
      <c r="V123" s="565"/>
      <c r="W123" s="565"/>
      <c r="X123" s="565"/>
      <c r="Y123" s="199"/>
      <c r="Z123" s="1338"/>
      <c r="AA123" s="1449"/>
      <c r="AB123" s="1449"/>
      <c r="AC123" s="1449"/>
      <c r="AD123" s="1449"/>
      <c r="AE123" s="1449"/>
      <c r="AF123" s="1449"/>
      <c r="AG123" s="1449"/>
      <c r="AH123" s="1449"/>
      <c r="AI123" s="1453"/>
      <c r="AJ123" s="1449"/>
      <c r="AK123" s="1449"/>
      <c r="AL123" s="1449"/>
      <c r="AM123" s="1449"/>
      <c r="AN123" s="1449"/>
      <c r="AO123" s="1449"/>
      <c r="AP123" s="1449"/>
      <c r="AQ123" s="1449"/>
      <c r="AR123" s="1449"/>
      <c r="AS123" s="1449"/>
      <c r="AT123" s="1449"/>
      <c r="AU123" s="1449"/>
      <c r="AV123" s="1449"/>
      <c r="AW123" s="1449"/>
      <c r="AX123" s="1449"/>
      <c r="AY123" s="1449"/>
      <c r="AZ123" s="1449"/>
      <c r="BA123" s="1449"/>
      <c r="BB123" s="1449"/>
      <c r="BC123" s="1449"/>
      <c r="BD123" s="1449"/>
      <c r="BE123" s="1449"/>
      <c r="BF123" s="1449"/>
      <c r="BG123" s="1449"/>
      <c r="BH123" s="1449"/>
      <c r="BI123" s="1449"/>
      <c r="BJ123" s="1425"/>
      <c r="BK123" s="1425"/>
      <c r="BL123" s="1425"/>
      <c r="BM123" s="1425"/>
      <c r="BN123" s="1425"/>
      <c r="BO123" s="1425"/>
      <c r="BP123" s="1425"/>
      <c r="BQ123" s="1425"/>
      <c r="BR123" s="1425"/>
      <c r="BS123" s="1425"/>
      <c r="BT123" s="1425"/>
      <c r="BU123" s="1425"/>
      <c r="BV123" s="1425"/>
      <c r="BW123" s="1425"/>
      <c r="BX123" s="1425"/>
      <c r="BY123" s="1425"/>
      <c r="BZ123" s="1339"/>
    </row>
    <row r="124" spans="18:78" s="174" customFormat="1" ht="12.6" hidden="1" customHeight="1">
      <c r="S124" s="569"/>
      <c r="T124" s="199"/>
      <c r="U124" s="565"/>
      <c r="V124" s="565"/>
      <c r="W124" s="565"/>
      <c r="X124" s="565"/>
      <c r="Y124" s="199"/>
      <c r="Z124" s="1338"/>
      <c r="AA124" s="1449"/>
      <c r="AB124" s="1449"/>
      <c r="AC124" s="1449"/>
      <c r="AD124" s="1449"/>
      <c r="AE124" s="1449"/>
      <c r="AF124" s="1449"/>
      <c r="AG124" s="1449"/>
      <c r="AH124" s="1449"/>
      <c r="AI124" s="1453"/>
      <c r="AJ124" s="1449"/>
      <c r="AK124" s="1449"/>
      <c r="AL124" s="1449"/>
      <c r="AM124" s="1449"/>
      <c r="AN124" s="1449"/>
      <c r="AO124" s="1449"/>
      <c r="AP124" s="1449"/>
      <c r="AQ124" s="1449"/>
      <c r="AR124" s="1449"/>
      <c r="AS124" s="1449"/>
      <c r="AT124" s="1449"/>
      <c r="AU124" s="1449"/>
      <c r="AV124" s="1449"/>
      <c r="AW124" s="1449"/>
      <c r="AX124" s="1449"/>
      <c r="AY124" s="1449"/>
      <c r="AZ124" s="1449"/>
      <c r="BA124" s="1449"/>
      <c r="BB124" s="1449"/>
      <c r="BC124" s="1449"/>
      <c r="BD124" s="1449"/>
      <c r="BE124" s="1449"/>
      <c r="BF124" s="1449"/>
      <c r="BG124" s="1449"/>
      <c r="BH124" s="1449"/>
      <c r="BI124" s="1449"/>
      <c r="BJ124" s="1425"/>
      <c r="BK124" s="1425"/>
      <c r="BL124" s="1425"/>
      <c r="BM124" s="1425"/>
      <c r="BN124" s="1425"/>
      <c r="BO124" s="1425"/>
      <c r="BP124" s="1425"/>
      <c r="BQ124" s="1425"/>
      <c r="BR124" s="1425"/>
      <c r="BS124" s="1425"/>
      <c r="BT124" s="1425"/>
      <c r="BU124" s="1425"/>
      <c r="BV124" s="1425"/>
      <c r="BW124" s="1425"/>
      <c r="BX124" s="1425"/>
      <c r="BY124" s="1425"/>
      <c r="BZ124" s="1339"/>
    </row>
    <row r="125" spans="18:78" s="174" customFormat="1" ht="12.6" hidden="1" customHeight="1">
      <c r="S125" s="569"/>
      <c r="T125" s="199"/>
      <c r="U125" s="565"/>
      <c r="V125" s="565"/>
      <c r="W125" s="565"/>
      <c r="X125" s="565"/>
      <c r="Y125" s="199"/>
      <c r="Z125" s="1338"/>
      <c r="AA125" s="1449"/>
      <c r="AB125" s="1449"/>
      <c r="AC125" s="1449"/>
      <c r="AD125" s="1449"/>
      <c r="AE125" s="1449"/>
      <c r="AF125" s="1449"/>
      <c r="AG125" s="1449"/>
      <c r="AH125" s="1449"/>
      <c r="AI125" s="1453"/>
      <c r="AJ125" s="1449"/>
      <c r="AK125" s="1449"/>
      <c r="AL125" s="1449"/>
      <c r="AM125" s="1449"/>
      <c r="AN125" s="1449"/>
      <c r="AO125" s="1449"/>
      <c r="AP125" s="1449"/>
      <c r="AQ125" s="1449"/>
      <c r="AR125" s="1449"/>
      <c r="AS125" s="1449"/>
      <c r="AT125" s="1449"/>
      <c r="AU125" s="1449"/>
      <c r="AV125" s="1449"/>
      <c r="AW125" s="1449"/>
      <c r="AX125" s="1449"/>
      <c r="AY125" s="1449"/>
      <c r="AZ125" s="1449"/>
      <c r="BA125" s="1449"/>
      <c r="BB125" s="1449"/>
      <c r="BC125" s="1449"/>
      <c r="BD125" s="1449"/>
      <c r="BE125" s="1449"/>
      <c r="BF125" s="1449"/>
      <c r="BG125" s="1449"/>
      <c r="BH125" s="1449"/>
      <c r="BI125" s="1449"/>
      <c r="BJ125" s="1425"/>
      <c r="BK125" s="1425"/>
      <c r="BL125" s="1425"/>
      <c r="BM125" s="1425"/>
      <c r="BN125" s="1425"/>
      <c r="BO125" s="1425"/>
      <c r="BP125" s="1425"/>
      <c r="BQ125" s="1425"/>
      <c r="BR125" s="1425"/>
      <c r="BS125" s="1425"/>
      <c r="BT125" s="1425"/>
      <c r="BU125" s="1425"/>
      <c r="BV125" s="1425"/>
      <c r="BW125" s="1425"/>
      <c r="BX125" s="1425"/>
      <c r="BY125" s="1425"/>
      <c r="BZ125" s="1339"/>
    </row>
    <row r="126" spans="18:78" s="174" customFormat="1" ht="12.6" hidden="1" customHeight="1">
      <c r="S126" s="569"/>
      <c r="T126" s="199"/>
      <c r="U126" s="565"/>
      <c r="V126" s="565"/>
      <c r="W126" s="565"/>
      <c r="X126" s="565"/>
      <c r="Y126" s="199"/>
      <c r="Z126" s="1338"/>
      <c r="AA126" s="1449"/>
      <c r="AB126" s="1449"/>
      <c r="AC126" s="1449"/>
      <c r="AD126" s="1449"/>
      <c r="AE126" s="1449"/>
      <c r="AF126" s="1449"/>
      <c r="AG126" s="1449"/>
      <c r="AH126" s="1449"/>
      <c r="AI126" s="1453"/>
      <c r="AJ126" s="1449"/>
      <c r="AK126" s="1449"/>
      <c r="AL126" s="1449"/>
      <c r="AM126" s="1449"/>
      <c r="AN126" s="1449"/>
      <c r="AO126" s="1449"/>
      <c r="AP126" s="1449"/>
      <c r="AQ126" s="1449"/>
      <c r="AR126" s="1449"/>
      <c r="AS126" s="1449"/>
      <c r="AT126" s="1449"/>
      <c r="AU126" s="1449"/>
      <c r="AV126" s="1449"/>
      <c r="AW126" s="1449"/>
      <c r="AX126" s="1449"/>
      <c r="AY126" s="1449"/>
      <c r="AZ126" s="1449"/>
      <c r="BA126" s="1449"/>
      <c r="BB126" s="1449"/>
      <c r="BC126" s="1449"/>
      <c r="BD126" s="1449"/>
      <c r="BE126" s="1449"/>
      <c r="BF126" s="1449"/>
      <c r="BG126" s="1449"/>
      <c r="BH126" s="1449"/>
      <c r="BI126" s="1449"/>
      <c r="BJ126" s="1425"/>
      <c r="BK126" s="1425"/>
      <c r="BL126" s="1425"/>
      <c r="BM126" s="1425"/>
      <c r="BN126" s="1425"/>
      <c r="BO126" s="1425"/>
      <c r="BP126" s="1425"/>
      <c r="BQ126" s="1425"/>
      <c r="BR126" s="1425"/>
      <c r="BS126" s="1425"/>
      <c r="BT126" s="1425"/>
      <c r="BU126" s="1425"/>
      <c r="BV126" s="1425"/>
      <c r="BW126" s="1425"/>
      <c r="BX126" s="1425"/>
      <c r="BY126" s="1425"/>
      <c r="BZ126" s="1339"/>
    </row>
    <row r="127" spans="18:78" s="174" customFormat="1" ht="12.6" hidden="1" customHeight="1">
      <c r="S127" s="569"/>
      <c r="T127" s="199"/>
      <c r="U127" s="565"/>
      <c r="V127" s="565"/>
      <c r="W127" s="565"/>
      <c r="X127" s="565"/>
      <c r="Y127" s="199"/>
      <c r="Z127" s="1338"/>
      <c r="AA127" s="1449"/>
      <c r="AB127" s="1449"/>
      <c r="AC127" s="1449"/>
      <c r="AD127" s="1449"/>
      <c r="AE127" s="1449"/>
      <c r="AF127" s="1449"/>
      <c r="AG127" s="1449"/>
      <c r="AH127" s="1449"/>
      <c r="AI127" s="1453"/>
      <c r="AJ127" s="1449"/>
      <c r="AK127" s="1449"/>
      <c r="AL127" s="1449"/>
      <c r="AM127" s="1449"/>
      <c r="AN127" s="1449"/>
      <c r="AO127" s="1449"/>
      <c r="AP127" s="1449"/>
      <c r="AQ127" s="1449"/>
      <c r="AR127" s="1449"/>
      <c r="AS127" s="1449"/>
      <c r="AT127" s="1449"/>
      <c r="AU127" s="1449"/>
      <c r="AV127" s="1449"/>
      <c r="AW127" s="1449"/>
      <c r="AX127" s="1449"/>
      <c r="AY127" s="1449"/>
      <c r="AZ127" s="1449"/>
      <c r="BA127" s="1449"/>
      <c r="BB127" s="1449"/>
      <c r="BC127" s="1449"/>
      <c r="BD127" s="1449"/>
      <c r="BE127" s="1449"/>
      <c r="BF127" s="1449"/>
      <c r="BG127" s="1449"/>
      <c r="BH127" s="1449"/>
      <c r="BI127" s="1449"/>
      <c r="BJ127" s="1425"/>
      <c r="BK127" s="1425"/>
      <c r="BL127" s="1425"/>
      <c r="BM127" s="1425"/>
      <c r="BN127" s="1425"/>
      <c r="BO127" s="1425"/>
      <c r="BP127" s="1425"/>
      <c r="BQ127" s="1425"/>
      <c r="BR127" s="1425"/>
      <c r="BS127" s="1425"/>
      <c r="BT127" s="1425"/>
      <c r="BU127" s="1425"/>
      <c r="BV127" s="1425"/>
      <c r="BW127" s="1425"/>
      <c r="BX127" s="1425"/>
      <c r="BY127" s="1425"/>
      <c r="BZ127" s="1339"/>
    </row>
    <row r="128" spans="18:78" s="174" customFormat="1" ht="12.6" hidden="1" customHeight="1">
      <c r="S128" s="569"/>
      <c r="T128" s="199"/>
      <c r="U128" s="565"/>
      <c r="V128" s="565"/>
      <c r="W128" s="565"/>
      <c r="X128" s="565"/>
      <c r="Y128" s="199"/>
      <c r="Z128" s="1338"/>
      <c r="AA128" s="1449"/>
      <c r="AB128" s="1449"/>
      <c r="AC128" s="1449"/>
      <c r="AD128" s="1449"/>
      <c r="AE128" s="1449"/>
      <c r="AF128" s="1449"/>
      <c r="AG128" s="1449"/>
      <c r="AH128" s="1449"/>
      <c r="AI128" s="1453"/>
      <c r="AJ128" s="1449"/>
      <c r="AK128" s="1449"/>
      <c r="AL128" s="1449"/>
      <c r="AM128" s="1449"/>
      <c r="AN128" s="1449"/>
      <c r="AO128" s="1449"/>
      <c r="AP128" s="1449"/>
      <c r="AQ128" s="1449"/>
      <c r="AR128" s="1449"/>
      <c r="AS128" s="1449"/>
      <c r="AT128" s="1449"/>
      <c r="AU128" s="1449"/>
      <c r="AV128" s="1449"/>
      <c r="AW128" s="1449"/>
      <c r="AX128" s="1449"/>
      <c r="AY128" s="1449"/>
      <c r="AZ128" s="1449"/>
      <c r="BA128" s="1449"/>
      <c r="BB128" s="1449"/>
      <c r="BC128" s="1449"/>
      <c r="BD128" s="1449"/>
      <c r="BE128" s="1449"/>
      <c r="BF128" s="1449"/>
      <c r="BG128" s="1449"/>
      <c r="BH128" s="1449"/>
      <c r="BI128" s="1449"/>
      <c r="BJ128" s="1425"/>
      <c r="BK128" s="1425"/>
      <c r="BL128" s="1425"/>
      <c r="BM128" s="1425"/>
      <c r="BN128" s="1425"/>
      <c r="BO128" s="1425"/>
      <c r="BP128" s="1425"/>
      <c r="BQ128" s="1425"/>
      <c r="BR128" s="1425"/>
      <c r="BS128" s="1425"/>
      <c r="BT128" s="1425"/>
      <c r="BU128" s="1425"/>
      <c r="BV128" s="1425"/>
      <c r="BW128" s="1425"/>
      <c r="BX128" s="1425"/>
      <c r="BY128" s="1425"/>
      <c r="BZ128" s="1339"/>
    </row>
    <row r="129" spans="3:78" s="174" customFormat="1" ht="12.6" hidden="1" customHeight="1">
      <c r="S129" s="569"/>
      <c r="T129" s="199"/>
      <c r="U129" s="565"/>
      <c r="V129" s="565"/>
      <c r="W129" s="565"/>
      <c r="X129" s="565"/>
      <c r="Y129" s="199"/>
      <c r="Z129" s="1338"/>
      <c r="AA129" s="1449"/>
      <c r="AB129" s="1449"/>
      <c r="AC129" s="1449"/>
      <c r="AD129" s="1449"/>
      <c r="AE129" s="1449"/>
      <c r="AF129" s="1449"/>
      <c r="AG129" s="1449"/>
      <c r="AH129" s="1449"/>
      <c r="AI129" s="1453"/>
      <c r="AJ129" s="1449"/>
      <c r="AK129" s="1449"/>
      <c r="AL129" s="1449"/>
      <c r="AM129" s="1449"/>
      <c r="AN129" s="1449"/>
      <c r="AO129" s="1449"/>
      <c r="AP129" s="1449"/>
      <c r="AQ129" s="1449"/>
      <c r="AR129" s="1449"/>
      <c r="AS129" s="1449"/>
      <c r="AT129" s="1449"/>
      <c r="AU129" s="1449"/>
      <c r="AV129" s="1449"/>
      <c r="AW129" s="1449"/>
      <c r="AX129" s="1449"/>
      <c r="AY129" s="1449"/>
      <c r="AZ129" s="1449"/>
      <c r="BA129" s="1449"/>
      <c r="BB129" s="1449"/>
      <c r="BC129" s="1449"/>
      <c r="BD129" s="1449"/>
      <c r="BE129" s="1449"/>
      <c r="BF129" s="1449"/>
      <c r="BG129" s="1449"/>
      <c r="BH129" s="1449"/>
      <c r="BI129" s="1449"/>
      <c r="BJ129" s="1425"/>
      <c r="BK129" s="1425"/>
      <c r="BL129" s="1425"/>
      <c r="BM129" s="1425"/>
      <c r="BN129" s="1425"/>
      <c r="BO129" s="1425"/>
      <c r="BP129" s="1425"/>
      <c r="BQ129" s="1425"/>
      <c r="BR129" s="1425"/>
      <c r="BS129" s="1425"/>
      <c r="BT129" s="1425"/>
      <c r="BU129" s="1425"/>
      <c r="BV129" s="1425"/>
      <c r="BW129" s="1425"/>
      <c r="BX129" s="1425"/>
      <c r="BY129" s="1425"/>
      <c r="BZ129" s="1339"/>
    </row>
    <row r="130" spans="3:78" s="174" customFormat="1" ht="12.6" hidden="1" customHeight="1">
      <c r="S130" s="569"/>
      <c r="T130" s="199"/>
      <c r="U130" s="565"/>
      <c r="V130" s="565"/>
      <c r="W130" s="565"/>
      <c r="X130" s="565"/>
      <c r="Y130" s="199"/>
      <c r="Z130" s="1338"/>
      <c r="AA130" s="1449"/>
      <c r="AB130" s="1449"/>
      <c r="AC130" s="1449"/>
      <c r="AD130" s="1449"/>
      <c r="AE130" s="1449"/>
      <c r="AF130" s="1449"/>
      <c r="AG130" s="1449"/>
      <c r="AH130" s="1449"/>
      <c r="AI130" s="1453"/>
      <c r="AJ130" s="1449"/>
      <c r="AK130" s="1449"/>
      <c r="AL130" s="1449"/>
      <c r="AM130" s="1449"/>
      <c r="AN130" s="1449"/>
      <c r="AO130" s="1449"/>
      <c r="AP130" s="1449"/>
      <c r="AQ130" s="1449"/>
      <c r="AR130" s="1449"/>
      <c r="AS130" s="1449"/>
      <c r="AT130" s="1449"/>
      <c r="AU130" s="1449"/>
      <c r="AV130" s="1449"/>
      <c r="AW130" s="1449"/>
      <c r="AX130" s="1449"/>
      <c r="AY130" s="1449"/>
      <c r="AZ130" s="1449"/>
      <c r="BA130" s="1449"/>
      <c r="BB130" s="1449"/>
      <c r="BC130" s="1449"/>
      <c r="BD130" s="1449"/>
      <c r="BE130" s="1449"/>
      <c r="BF130" s="1449"/>
      <c r="BG130" s="1449"/>
      <c r="BH130" s="1449"/>
      <c r="BI130" s="1449"/>
      <c r="BJ130" s="1425"/>
      <c r="BK130" s="1425"/>
      <c r="BL130" s="1425"/>
      <c r="BM130" s="1425"/>
      <c r="BN130" s="1425"/>
      <c r="BO130" s="1425"/>
      <c r="BP130" s="1425"/>
      <c r="BQ130" s="1425"/>
      <c r="BR130" s="1425"/>
      <c r="BS130" s="1425"/>
      <c r="BT130" s="1425"/>
      <c r="BU130" s="1425"/>
      <c r="BV130" s="1425"/>
      <c r="BW130" s="1425"/>
      <c r="BX130" s="1425"/>
      <c r="BY130" s="1425"/>
      <c r="BZ130" s="1339"/>
    </row>
    <row r="131" spans="3:78" s="174" customFormat="1" ht="12.6" hidden="1" customHeight="1">
      <c r="S131" s="569"/>
      <c r="T131" s="199"/>
      <c r="U131" s="565"/>
      <c r="V131" s="565"/>
      <c r="W131" s="565"/>
      <c r="X131" s="565"/>
      <c r="Y131" s="199"/>
      <c r="Z131" s="1338"/>
      <c r="AA131" s="1449"/>
      <c r="AB131" s="1449"/>
      <c r="AC131" s="1449"/>
      <c r="AD131" s="1449"/>
      <c r="AE131" s="1449"/>
      <c r="AF131" s="1449"/>
      <c r="AG131" s="1449"/>
      <c r="AH131" s="1449"/>
      <c r="AI131" s="1453"/>
      <c r="AJ131" s="1449"/>
      <c r="AK131" s="1449"/>
      <c r="AL131" s="1449"/>
      <c r="AM131" s="1449"/>
      <c r="AN131" s="1449"/>
      <c r="AO131" s="1449"/>
      <c r="AP131" s="1449"/>
      <c r="AQ131" s="1449"/>
      <c r="AR131" s="1449"/>
      <c r="AS131" s="1449"/>
      <c r="AT131" s="1449"/>
      <c r="AU131" s="1449"/>
      <c r="AV131" s="1449"/>
      <c r="AW131" s="1449"/>
      <c r="AX131" s="1449"/>
      <c r="AY131" s="1449"/>
      <c r="AZ131" s="1449"/>
      <c r="BA131" s="1449"/>
      <c r="BB131" s="1449"/>
      <c r="BC131" s="1449"/>
      <c r="BD131" s="1449"/>
      <c r="BE131" s="1449"/>
      <c r="BF131" s="1449"/>
      <c r="BG131" s="1449"/>
      <c r="BH131" s="1449"/>
      <c r="BI131" s="1449"/>
      <c r="BJ131" s="1425"/>
      <c r="BK131" s="1425"/>
      <c r="BL131" s="1425"/>
      <c r="BM131" s="1425"/>
      <c r="BN131" s="1425"/>
      <c r="BO131" s="1425"/>
      <c r="BP131" s="1425"/>
      <c r="BQ131" s="1425"/>
      <c r="BR131" s="1425"/>
      <c r="BS131" s="1425"/>
      <c r="BT131" s="1425"/>
      <c r="BU131" s="1425"/>
      <c r="BV131" s="1425"/>
      <c r="BW131" s="1425"/>
      <c r="BX131" s="1425"/>
      <c r="BY131" s="1425"/>
      <c r="BZ131" s="1339"/>
    </row>
    <row r="132" spans="3:78" s="174" customFormat="1" ht="12.6" hidden="1" customHeight="1">
      <c r="S132" s="569"/>
      <c r="T132" s="199"/>
      <c r="U132" s="565"/>
      <c r="V132" s="565"/>
      <c r="W132" s="565"/>
      <c r="X132" s="565"/>
      <c r="Y132" s="199"/>
      <c r="Z132" s="1338"/>
      <c r="AA132" s="1449"/>
      <c r="AB132" s="1449"/>
      <c r="AC132" s="1449"/>
      <c r="AD132" s="1449"/>
      <c r="AE132" s="1449"/>
      <c r="AF132" s="1449"/>
      <c r="AG132" s="1449"/>
      <c r="AH132" s="1449"/>
      <c r="AI132" s="1453"/>
      <c r="AJ132" s="1449"/>
      <c r="AK132" s="1449"/>
      <c r="AL132" s="1449"/>
      <c r="AM132" s="1449"/>
      <c r="AN132" s="1449"/>
      <c r="AO132" s="1449"/>
      <c r="AP132" s="1449"/>
      <c r="AQ132" s="1449"/>
      <c r="AR132" s="1449"/>
      <c r="AS132" s="1449"/>
      <c r="AT132" s="1449"/>
      <c r="AU132" s="1449"/>
      <c r="AV132" s="1449"/>
      <c r="AW132" s="1449"/>
      <c r="AX132" s="1449"/>
      <c r="AY132" s="1449"/>
      <c r="AZ132" s="1449"/>
      <c r="BA132" s="1449"/>
      <c r="BB132" s="1449"/>
      <c r="BC132" s="1449"/>
      <c r="BD132" s="1449"/>
      <c r="BE132" s="1449"/>
      <c r="BF132" s="1449"/>
      <c r="BG132" s="1449"/>
      <c r="BH132" s="1449"/>
      <c r="BI132" s="1449"/>
      <c r="BJ132" s="1425"/>
      <c r="BK132" s="1425"/>
      <c r="BL132" s="1425"/>
      <c r="BM132" s="1425"/>
      <c r="BN132" s="1425"/>
      <c r="BO132" s="1425"/>
      <c r="BP132" s="1425"/>
      <c r="BQ132" s="1425"/>
      <c r="BR132" s="1425"/>
      <c r="BS132" s="1425"/>
      <c r="BT132" s="1425"/>
      <c r="BU132" s="1425"/>
      <c r="BV132" s="1425"/>
      <c r="BW132" s="1425"/>
      <c r="BX132" s="1425"/>
      <c r="BY132" s="1425"/>
      <c r="BZ132" s="1339"/>
    </row>
    <row r="133" spans="3:78" s="174" customFormat="1" ht="12.6" hidden="1" customHeight="1">
      <c r="S133" s="569"/>
      <c r="T133" s="199"/>
      <c r="U133" s="565"/>
      <c r="V133" s="565"/>
      <c r="W133" s="565"/>
      <c r="X133" s="565"/>
      <c r="Y133" s="199"/>
      <c r="Z133" s="1338"/>
      <c r="AA133" s="1449"/>
      <c r="AB133" s="1449"/>
      <c r="AC133" s="1449"/>
      <c r="AD133" s="1449"/>
      <c r="AE133" s="1449"/>
      <c r="AF133" s="1449"/>
      <c r="AG133" s="1449"/>
      <c r="AH133" s="1449"/>
      <c r="AI133" s="1453"/>
      <c r="AJ133" s="1449"/>
      <c r="AK133" s="1449"/>
      <c r="AL133" s="1449"/>
      <c r="AM133" s="1449"/>
      <c r="AN133" s="1449"/>
      <c r="AO133" s="1449"/>
      <c r="AP133" s="1449"/>
      <c r="AQ133" s="1449"/>
      <c r="AR133" s="1449"/>
      <c r="AS133" s="1449"/>
      <c r="AT133" s="1449"/>
      <c r="AU133" s="1449"/>
      <c r="AV133" s="1449"/>
      <c r="AW133" s="1449"/>
      <c r="AX133" s="1449"/>
      <c r="AY133" s="1449"/>
      <c r="AZ133" s="1449"/>
      <c r="BA133" s="1449"/>
      <c r="BB133" s="1449"/>
      <c r="BC133" s="1449"/>
      <c r="BD133" s="1449"/>
      <c r="BE133" s="1449"/>
      <c r="BF133" s="1449"/>
      <c r="BG133" s="1449"/>
      <c r="BH133" s="1449"/>
      <c r="BI133" s="1449"/>
      <c r="BJ133" s="1425"/>
      <c r="BK133" s="1425"/>
      <c r="BL133" s="1425"/>
      <c r="BM133" s="1425"/>
      <c r="BN133" s="1425"/>
      <c r="BO133" s="1425"/>
      <c r="BP133" s="1425"/>
      <c r="BQ133" s="1425"/>
      <c r="BR133" s="1425"/>
      <c r="BS133" s="1425"/>
      <c r="BT133" s="1425"/>
      <c r="BU133" s="1425"/>
      <c r="BV133" s="1425"/>
      <c r="BW133" s="1425"/>
      <c r="BX133" s="1425"/>
      <c r="BY133" s="1425"/>
      <c r="BZ133" s="1339"/>
    </row>
    <row r="134" spans="3:78" s="174" customFormat="1" ht="12.6" hidden="1" customHeight="1">
      <c r="S134" s="569"/>
      <c r="T134" s="199"/>
      <c r="U134" s="565"/>
      <c r="V134" s="565"/>
      <c r="W134" s="565"/>
      <c r="X134" s="565"/>
      <c r="Y134" s="199"/>
      <c r="Z134" s="1338"/>
      <c r="AA134" s="1449"/>
      <c r="AB134" s="1449"/>
      <c r="AC134" s="1449"/>
      <c r="AD134" s="1449"/>
      <c r="AE134" s="1449"/>
      <c r="AF134" s="1449"/>
      <c r="AG134" s="1449"/>
      <c r="AH134" s="1449"/>
      <c r="AI134" s="1453"/>
      <c r="AJ134" s="1449"/>
      <c r="AK134" s="1449"/>
      <c r="AL134" s="1449"/>
      <c r="AM134" s="1449"/>
      <c r="AN134" s="1449"/>
      <c r="AO134" s="1449"/>
      <c r="AP134" s="1449"/>
      <c r="AQ134" s="1449"/>
      <c r="AR134" s="1449"/>
      <c r="AS134" s="1449"/>
      <c r="AT134" s="1449"/>
      <c r="AU134" s="1449"/>
      <c r="AV134" s="1449"/>
      <c r="AW134" s="1449"/>
      <c r="AX134" s="1449"/>
      <c r="AY134" s="1449"/>
      <c r="AZ134" s="1449"/>
      <c r="BA134" s="1449"/>
      <c r="BB134" s="1449"/>
      <c r="BC134" s="1449"/>
      <c r="BD134" s="1449"/>
      <c r="BE134" s="1449"/>
      <c r="BF134" s="1449"/>
      <c r="BG134" s="1449"/>
      <c r="BH134" s="1449"/>
      <c r="BI134" s="1449"/>
      <c r="BJ134" s="1425"/>
      <c r="BK134" s="1425"/>
      <c r="BL134" s="1425"/>
      <c r="BM134" s="1425"/>
      <c r="BN134" s="1425"/>
      <c r="BO134" s="1425"/>
      <c r="BP134" s="1425"/>
      <c r="BQ134" s="1425"/>
      <c r="BR134" s="1425"/>
      <c r="BS134" s="1425"/>
      <c r="BT134" s="1425"/>
      <c r="BU134" s="1425"/>
      <c r="BV134" s="1425"/>
      <c r="BW134" s="1425"/>
      <c r="BX134" s="1425"/>
      <c r="BY134" s="1425"/>
      <c r="BZ134" s="1339"/>
    </row>
    <row r="135" spans="3:78" s="174" customFormat="1" ht="12.6" hidden="1" customHeight="1">
      <c r="S135" s="569"/>
      <c r="T135" s="199"/>
      <c r="U135" s="565"/>
      <c r="V135" s="572"/>
      <c r="W135" s="572"/>
      <c r="X135" s="572"/>
      <c r="Y135" s="572"/>
      <c r="Z135" s="1338"/>
      <c r="AA135" s="1449"/>
      <c r="AB135" s="1449"/>
      <c r="AC135" s="1449"/>
      <c r="AD135" s="1449"/>
      <c r="AE135" s="1449"/>
      <c r="AF135" s="1449"/>
      <c r="AG135" s="1449"/>
      <c r="AH135" s="1449"/>
      <c r="AI135" s="1453"/>
      <c r="AJ135" s="1449"/>
      <c r="AK135" s="1449"/>
      <c r="AL135" s="1449"/>
      <c r="AM135" s="1449"/>
      <c r="AN135" s="1449"/>
      <c r="AO135" s="1449"/>
      <c r="AP135" s="1449"/>
      <c r="AQ135" s="1449"/>
      <c r="AR135" s="1449"/>
      <c r="AS135" s="1449"/>
      <c r="AT135" s="1449"/>
      <c r="AU135" s="1449"/>
      <c r="AV135" s="1449"/>
      <c r="AW135" s="1449"/>
      <c r="AX135" s="1449"/>
      <c r="AY135" s="1449"/>
      <c r="AZ135" s="1449"/>
      <c r="BA135" s="1449"/>
      <c r="BB135" s="1449"/>
      <c r="BC135" s="1449"/>
      <c r="BD135" s="1449"/>
      <c r="BE135" s="1449"/>
      <c r="BF135" s="1449"/>
      <c r="BG135" s="1449"/>
      <c r="BH135" s="1449"/>
      <c r="BI135" s="1449"/>
      <c r="BJ135" s="1425"/>
      <c r="BK135" s="1425"/>
      <c r="BL135" s="1425"/>
      <c r="BM135" s="1425"/>
      <c r="BN135" s="1425"/>
      <c r="BO135" s="1425"/>
      <c r="BP135" s="1425"/>
      <c r="BQ135" s="1425"/>
      <c r="BR135" s="1425"/>
      <c r="BS135" s="1425"/>
      <c r="BT135" s="1425"/>
      <c r="BU135" s="1425"/>
      <c r="BV135" s="1425"/>
      <c r="BW135" s="1425"/>
      <c r="BX135" s="1425"/>
      <c r="BY135" s="1425"/>
      <c r="BZ135" s="1339"/>
    </row>
    <row r="136" spans="3:78" s="174" customFormat="1" ht="12.6" hidden="1" customHeight="1">
      <c r="S136" s="569"/>
      <c r="T136" s="199"/>
      <c r="U136" s="199"/>
      <c r="V136" s="572"/>
      <c r="W136" s="572"/>
      <c r="X136" s="572"/>
      <c r="Y136" s="566"/>
      <c r="Z136" s="1346"/>
      <c r="AA136" s="1449"/>
      <c r="AB136" s="1449"/>
      <c r="AC136" s="1449"/>
      <c r="AD136" s="1449"/>
      <c r="AE136" s="1449"/>
      <c r="AF136" s="1449"/>
      <c r="AG136" s="1449"/>
      <c r="AH136" s="1449"/>
      <c r="AI136" s="1453"/>
      <c r="AJ136" s="1449"/>
      <c r="AK136" s="1449"/>
      <c r="AL136" s="1449"/>
      <c r="AM136" s="1449"/>
      <c r="AN136" s="1449"/>
      <c r="AO136" s="1449"/>
      <c r="AP136" s="1449"/>
      <c r="AQ136" s="1449"/>
      <c r="AR136" s="1449"/>
      <c r="AS136" s="1449"/>
      <c r="AT136" s="1449"/>
      <c r="AU136" s="1449"/>
      <c r="AV136" s="1449"/>
      <c r="AW136" s="1449"/>
      <c r="AX136" s="1449"/>
      <c r="AY136" s="1449"/>
      <c r="AZ136" s="1449"/>
      <c r="BA136" s="1449"/>
      <c r="BB136" s="1449"/>
      <c r="BC136" s="1449"/>
      <c r="BD136" s="1449"/>
      <c r="BE136" s="1449"/>
      <c r="BF136" s="1449"/>
      <c r="BG136" s="1449"/>
      <c r="BH136" s="1449"/>
      <c r="BI136" s="1454"/>
      <c r="BJ136" s="1425"/>
      <c r="BK136" s="1425"/>
      <c r="BL136" s="1425"/>
      <c r="BM136" s="1425"/>
      <c r="BN136" s="1425"/>
      <c r="BO136" s="1425"/>
      <c r="BP136" s="1425"/>
      <c r="BQ136" s="1425"/>
      <c r="BR136" s="1425"/>
      <c r="BS136" s="1425"/>
      <c r="BT136" s="1425"/>
      <c r="BU136" s="1425"/>
      <c r="BV136" s="1425"/>
      <c r="BW136" s="1425"/>
      <c r="BX136" s="1425"/>
      <c r="BY136" s="1425"/>
      <c r="BZ136" s="1339"/>
    </row>
    <row r="137" spans="3:78" s="174" customFormat="1" ht="12.6" hidden="1" customHeight="1">
      <c r="S137" s="569"/>
      <c r="T137" s="199"/>
      <c r="U137" s="199"/>
      <c r="V137" s="572"/>
      <c r="W137" s="572"/>
      <c r="X137" s="572"/>
      <c r="Y137" s="566"/>
      <c r="Z137" s="1346"/>
      <c r="AA137" s="1449"/>
      <c r="AB137" s="1449"/>
      <c r="AC137" s="1449"/>
      <c r="AD137" s="1449"/>
      <c r="AE137" s="1449"/>
      <c r="AF137" s="1449"/>
      <c r="AG137" s="1449"/>
      <c r="AH137" s="1449"/>
      <c r="AI137" s="1453"/>
      <c r="AJ137" s="1449"/>
      <c r="AK137" s="1449"/>
      <c r="AL137" s="1449"/>
      <c r="AM137" s="1449"/>
      <c r="AN137" s="1449"/>
      <c r="AO137" s="1449"/>
      <c r="AP137" s="1449"/>
      <c r="AQ137" s="1449"/>
      <c r="AR137" s="1449"/>
      <c r="AS137" s="1449"/>
      <c r="AT137" s="1449"/>
      <c r="AU137" s="1449"/>
      <c r="AV137" s="1449"/>
      <c r="AW137" s="1449"/>
      <c r="AX137" s="1449"/>
      <c r="AY137" s="1449"/>
      <c r="AZ137" s="1449"/>
      <c r="BA137" s="1449"/>
      <c r="BB137" s="1449"/>
      <c r="BC137" s="1449"/>
      <c r="BD137" s="1449"/>
      <c r="BE137" s="1449"/>
      <c r="BF137" s="1449"/>
      <c r="BG137" s="1449"/>
      <c r="BH137" s="1449"/>
      <c r="BI137" s="1454"/>
      <c r="BJ137" s="1425"/>
      <c r="BK137" s="1425"/>
      <c r="BL137" s="1425"/>
      <c r="BM137" s="1425"/>
      <c r="BN137" s="1425"/>
      <c r="BO137" s="1425"/>
      <c r="BP137" s="1425"/>
      <c r="BQ137" s="1425"/>
      <c r="BR137" s="1425"/>
      <c r="BS137" s="1425"/>
      <c r="BT137" s="1425"/>
      <c r="BU137" s="1425"/>
      <c r="BV137" s="1425"/>
      <c r="BW137" s="1425"/>
      <c r="BX137" s="1425"/>
      <c r="BY137" s="1425"/>
      <c r="BZ137" s="1339"/>
    </row>
    <row r="138" spans="3:78" s="174" customFormat="1" ht="12.6" hidden="1" customHeight="1">
      <c r="S138" s="569"/>
      <c r="T138" s="199"/>
      <c r="U138" s="199"/>
      <c r="V138" s="572"/>
      <c r="W138" s="572"/>
      <c r="X138" s="572"/>
      <c r="Y138" s="566"/>
      <c r="Z138" s="1346"/>
      <c r="AA138" s="1449"/>
      <c r="AB138" s="1449"/>
      <c r="AC138" s="1449"/>
      <c r="AD138" s="1449"/>
      <c r="AE138" s="1449"/>
      <c r="AF138" s="1449"/>
      <c r="AG138" s="1449"/>
      <c r="AH138" s="1449"/>
      <c r="AI138" s="1453"/>
      <c r="AJ138" s="1449"/>
      <c r="AK138" s="1449"/>
      <c r="AL138" s="1449"/>
      <c r="AM138" s="1449"/>
      <c r="AN138" s="1449"/>
      <c r="AO138" s="1449"/>
      <c r="AP138" s="1449"/>
      <c r="AQ138" s="1449"/>
      <c r="AR138" s="1449"/>
      <c r="AS138" s="1449"/>
      <c r="AT138" s="1449"/>
      <c r="AU138" s="1449"/>
      <c r="AV138" s="1449"/>
      <c r="AW138" s="1449"/>
      <c r="AX138" s="1449"/>
      <c r="AY138" s="1449"/>
      <c r="AZ138" s="1449"/>
      <c r="BA138" s="1449"/>
      <c r="BB138" s="1449"/>
      <c r="BC138" s="1449"/>
      <c r="BD138" s="1449"/>
      <c r="BE138" s="1449"/>
      <c r="BF138" s="1449"/>
      <c r="BG138" s="1449"/>
      <c r="BH138" s="1449"/>
      <c r="BI138" s="1454"/>
      <c r="BJ138" s="1425"/>
      <c r="BK138" s="1425"/>
      <c r="BL138" s="1425"/>
      <c r="BM138" s="1425"/>
      <c r="BN138" s="1425"/>
      <c r="BO138" s="1425"/>
      <c r="BP138" s="1425"/>
      <c r="BQ138" s="1425"/>
      <c r="BR138" s="1425"/>
      <c r="BS138" s="1425"/>
      <c r="BT138" s="1425"/>
      <c r="BU138" s="1425"/>
      <c r="BV138" s="1425"/>
      <c r="BW138" s="1425"/>
      <c r="BX138" s="1425"/>
      <c r="BY138" s="1425"/>
      <c r="BZ138" s="1339"/>
    </row>
    <row r="139" spans="3:78" s="174" customFormat="1" ht="12.6" customHeight="1">
      <c r="S139" s="569"/>
      <c r="T139" s="199"/>
      <c r="U139" s="199"/>
      <c r="V139" s="572"/>
      <c r="W139" s="572"/>
      <c r="X139" s="572"/>
      <c r="Y139" s="566"/>
      <c r="Z139" s="1346"/>
      <c r="AA139" s="1449"/>
      <c r="AB139" s="1449"/>
      <c r="AC139" s="1449"/>
      <c r="AD139" s="1449"/>
      <c r="AE139" s="1449"/>
      <c r="AF139" s="1449"/>
      <c r="AG139" s="1449"/>
      <c r="AH139" s="1449"/>
      <c r="AI139" s="1453"/>
      <c r="AJ139" s="1449"/>
      <c r="AK139" s="1449"/>
      <c r="AL139" s="1449"/>
      <c r="AM139" s="1449"/>
      <c r="AN139" s="1449"/>
      <c r="AO139" s="1449"/>
      <c r="AP139" s="1449"/>
      <c r="AQ139" s="1449"/>
      <c r="AR139" s="1449"/>
      <c r="AS139" s="1449"/>
      <c r="AT139" s="1449"/>
      <c r="AU139" s="1449"/>
      <c r="AV139" s="1449"/>
      <c r="AW139" s="1449"/>
      <c r="AX139" s="1449"/>
      <c r="AY139" s="1449"/>
      <c r="AZ139" s="1449"/>
      <c r="BA139" s="1449"/>
      <c r="BB139" s="1449"/>
      <c r="BC139" s="1449"/>
      <c r="BD139" s="1449"/>
      <c r="BE139" s="1449"/>
      <c r="BF139" s="1449"/>
      <c r="BG139" s="1449"/>
      <c r="BH139" s="1449"/>
      <c r="BI139" s="1454"/>
      <c r="BJ139" s="1425"/>
      <c r="BK139" s="1425"/>
      <c r="BL139" s="1425"/>
      <c r="BM139" s="1425"/>
      <c r="BN139" s="1425"/>
      <c r="BO139" s="1425"/>
      <c r="BP139" s="1425"/>
      <c r="BQ139" s="1425"/>
      <c r="BR139" s="1425"/>
      <c r="BS139" s="1425"/>
      <c r="BT139" s="1425"/>
      <c r="BU139" s="1425"/>
      <c r="BV139" s="1425"/>
      <c r="BW139" s="1425"/>
      <c r="BX139" s="1425"/>
      <c r="BY139" s="1425"/>
      <c r="BZ139" s="1339"/>
    </row>
    <row r="140" spans="3:78" s="174" customFormat="1" ht="12.6" customHeight="1">
      <c r="C140" s="350" t="s">
        <v>1761</v>
      </c>
      <c r="S140" s="569"/>
      <c r="T140" s="199"/>
      <c r="U140" s="199"/>
      <c r="V140" s="572"/>
      <c r="W140" s="572"/>
      <c r="X140" s="572"/>
      <c r="Y140" s="566"/>
      <c r="Z140" s="1346"/>
      <c r="AA140" s="1449"/>
      <c r="AB140" s="1449"/>
      <c r="AC140" s="1449"/>
      <c r="AD140" s="1449"/>
      <c r="AE140" s="1449"/>
      <c r="AF140" s="1449"/>
      <c r="AG140" s="1449"/>
      <c r="AH140" s="1449"/>
      <c r="AI140" s="1453"/>
      <c r="AJ140" s="1449"/>
      <c r="AK140" s="1449"/>
      <c r="AL140" s="1449"/>
      <c r="AM140" s="1449"/>
      <c r="AN140" s="1449"/>
      <c r="AO140" s="1449"/>
      <c r="AP140" s="1449"/>
      <c r="AQ140" s="1449"/>
      <c r="AR140" s="1449"/>
      <c r="AS140" s="1449"/>
      <c r="AT140" s="1449"/>
      <c r="AU140" s="1449"/>
      <c r="AV140" s="1449"/>
      <c r="AW140" s="1449"/>
      <c r="AX140" s="1449"/>
      <c r="AY140" s="1449"/>
      <c r="AZ140" s="1449"/>
      <c r="BA140" s="1449"/>
      <c r="BB140" s="1449"/>
      <c r="BC140" s="1449"/>
      <c r="BD140" s="1449"/>
      <c r="BE140" s="1449"/>
      <c r="BF140" s="1449"/>
      <c r="BG140" s="1449"/>
      <c r="BH140" s="1449"/>
      <c r="BI140" s="1454"/>
      <c r="BJ140" s="1425"/>
      <c r="BK140" s="1425"/>
      <c r="BL140" s="1425"/>
      <c r="BM140" s="1425"/>
      <c r="BN140" s="1425"/>
      <c r="BO140" s="1425"/>
      <c r="BP140" s="1425"/>
      <c r="BQ140" s="1425"/>
      <c r="BR140" s="1425"/>
      <c r="BS140" s="1425"/>
      <c r="BT140" s="1425"/>
      <c r="BU140" s="1425"/>
      <c r="BV140" s="1425"/>
      <c r="BW140" s="1425"/>
      <c r="BX140" s="1425"/>
      <c r="BY140" s="1425"/>
      <c r="BZ140" s="1425"/>
    </row>
    <row r="141" spans="3:78" s="174" customFormat="1" ht="4.9000000000000004" customHeight="1" thickBot="1">
      <c r="C141" s="350"/>
      <c r="S141" s="569"/>
      <c r="T141" s="199"/>
      <c r="U141" s="199"/>
      <c r="V141" s="572"/>
      <c r="W141" s="572"/>
      <c r="X141" s="572"/>
      <c r="Y141" s="566"/>
      <c r="Z141" s="1346"/>
      <c r="AA141" s="1449"/>
      <c r="AB141" s="1449"/>
      <c r="AC141" s="1449"/>
      <c r="AD141" s="1449"/>
      <c r="AE141" s="1449"/>
      <c r="AF141" s="1449"/>
      <c r="AG141" s="1449"/>
      <c r="AH141" s="1449"/>
      <c r="AI141" s="1453"/>
      <c r="AJ141" s="1449"/>
      <c r="AK141" s="1449"/>
      <c r="AL141" s="1449"/>
      <c r="AM141" s="1449"/>
      <c r="AN141" s="1449"/>
      <c r="AO141" s="1449"/>
      <c r="AP141" s="1449"/>
      <c r="AQ141" s="1449"/>
      <c r="AR141" s="1449"/>
      <c r="AS141" s="1449"/>
      <c r="AT141" s="1449"/>
      <c r="AU141" s="1449"/>
      <c r="AV141" s="1449"/>
      <c r="AW141" s="1449"/>
      <c r="AX141" s="1449"/>
      <c r="AY141" s="1449"/>
      <c r="AZ141" s="1449"/>
      <c r="BA141" s="1449"/>
      <c r="BB141" s="1449"/>
      <c r="BC141" s="1449"/>
      <c r="BD141" s="1449"/>
      <c r="BE141" s="1449"/>
      <c r="BF141" s="1449"/>
      <c r="BG141" s="1449"/>
      <c r="BH141" s="1449"/>
      <c r="BI141" s="1454"/>
      <c r="BJ141" s="1425"/>
      <c r="BK141" s="1425"/>
      <c r="BL141" s="1425"/>
      <c r="BM141" s="1425"/>
      <c r="BN141" s="1425"/>
      <c r="BO141" s="1425"/>
      <c r="BP141" s="1425"/>
      <c r="BQ141" s="1425"/>
      <c r="BR141" s="1425"/>
      <c r="BS141" s="1425"/>
      <c r="BT141" s="1425"/>
      <c r="BU141" s="1425"/>
      <c r="BV141" s="1425"/>
      <c r="BW141" s="1425"/>
      <c r="BX141" s="1425"/>
      <c r="BY141" s="1425"/>
      <c r="BZ141" s="1425"/>
    </row>
    <row r="142" spans="3:78" s="174" customFormat="1" ht="12.6" customHeight="1" thickBot="1">
      <c r="C142" s="487">
        <v>19</v>
      </c>
      <c r="D142" s="490">
        <f>UWert!C128</f>
        <v>0</v>
      </c>
      <c r="E142" s="485"/>
      <c r="F142" s="485"/>
      <c r="G142" s="485"/>
      <c r="H142" s="485"/>
      <c r="I142" s="485"/>
      <c r="J142" s="485"/>
      <c r="K142" s="485"/>
      <c r="L142" s="485"/>
      <c r="M142" s="485"/>
      <c r="N142" s="485"/>
      <c r="O142" s="485"/>
      <c r="P142" s="485"/>
      <c r="Q142" s="486"/>
      <c r="S142" s="569"/>
      <c r="T142" s="568">
        <v>19</v>
      </c>
      <c r="U142" s="488">
        <f>UWert!C128</f>
        <v>0</v>
      </c>
      <c r="V142" s="573"/>
      <c r="W142" s="488"/>
      <c r="X142" s="573"/>
      <c r="Y142" s="567"/>
      <c r="Z142" s="1338"/>
      <c r="AA142" s="1448" t="s">
        <v>1957</v>
      </c>
      <c r="AB142" s="1448" t="s">
        <v>1958</v>
      </c>
      <c r="AC142" s="1449" t="s">
        <v>2326</v>
      </c>
      <c r="AD142" s="1449" t="s">
        <v>791</v>
      </c>
      <c r="AE142" s="1449" t="s">
        <v>2327</v>
      </c>
      <c r="AF142" s="1449"/>
      <c r="AG142" s="1449" t="s">
        <v>1959</v>
      </c>
      <c r="AH142" s="1449" t="s">
        <v>106</v>
      </c>
      <c r="AI142" s="1453" t="s">
        <v>2201</v>
      </c>
      <c r="AJ142" s="1449" t="s">
        <v>108</v>
      </c>
      <c r="AK142" s="1449" t="s">
        <v>1250</v>
      </c>
      <c r="AL142" s="1449" t="s">
        <v>109</v>
      </c>
      <c r="AM142" s="1449"/>
      <c r="AN142" s="1449" t="s">
        <v>110</v>
      </c>
      <c r="AO142" s="1449"/>
      <c r="AP142" s="1449" t="s">
        <v>111</v>
      </c>
      <c r="AQ142" s="1449"/>
      <c r="AR142" s="1449"/>
      <c r="AS142" s="1448" t="s">
        <v>1957</v>
      </c>
      <c r="AT142" s="1448" t="s">
        <v>1958</v>
      </c>
      <c r="AU142" s="1449" t="s">
        <v>2326</v>
      </c>
      <c r="AV142" s="1449" t="s">
        <v>791</v>
      </c>
      <c r="AW142" s="1449" t="s">
        <v>2327</v>
      </c>
      <c r="AX142" s="1449"/>
      <c r="AY142" s="1449" t="s">
        <v>1959</v>
      </c>
      <c r="AZ142" s="1449" t="s">
        <v>106</v>
      </c>
      <c r="BA142" s="1449" t="s">
        <v>107</v>
      </c>
      <c r="BB142" s="1449" t="s">
        <v>108</v>
      </c>
      <c r="BC142" s="1449" t="s">
        <v>1250</v>
      </c>
      <c r="BD142" s="1449" t="s">
        <v>109</v>
      </c>
      <c r="BE142" s="1449"/>
      <c r="BF142" s="1449" t="s">
        <v>110</v>
      </c>
      <c r="BG142" s="1449"/>
      <c r="BH142" s="1449" t="s">
        <v>111</v>
      </c>
      <c r="BI142" s="1449"/>
      <c r="BJ142" s="1424"/>
      <c r="BK142" s="1426">
        <v>19.100000000000001</v>
      </c>
      <c r="BL142" s="1427" t="s">
        <v>840</v>
      </c>
      <c r="BM142" s="1428" t="s">
        <v>838</v>
      </c>
      <c r="BN142" s="1429" t="s">
        <v>839</v>
      </c>
      <c r="BO142" s="1430"/>
      <c r="BP142" s="1430"/>
      <c r="BQ142" s="1430"/>
      <c r="BR142" s="1430"/>
      <c r="BS142" s="1426">
        <v>19.2</v>
      </c>
      <c r="BT142" s="1427" t="s">
        <v>840</v>
      </c>
      <c r="BU142" s="1428" t="s">
        <v>838</v>
      </c>
      <c r="BV142" s="1429" t="s">
        <v>839</v>
      </c>
      <c r="BW142" s="1425"/>
      <c r="BX142" s="1425"/>
      <c r="BY142" s="1425"/>
      <c r="BZ142" s="1425"/>
    </row>
    <row r="143" spans="3:78" s="174" customFormat="1" ht="12.6" customHeight="1">
      <c r="C143" s="456"/>
      <c r="D143" s="456"/>
      <c r="E143" s="456"/>
      <c r="F143" s="456"/>
      <c r="G143" s="456"/>
      <c r="H143" s="456"/>
      <c r="I143" s="456"/>
      <c r="K143" s="456"/>
      <c r="L143" s="456"/>
      <c r="M143" s="456"/>
      <c r="N143" s="456"/>
      <c r="O143" s="456"/>
      <c r="P143" s="456"/>
      <c r="S143" s="569"/>
      <c r="T143" s="490" t="str">
        <f>Uebersetzung!D434</f>
        <v>1ère partie</v>
      </c>
      <c r="U143" s="485"/>
      <c r="V143" s="485"/>
      <c r="W143" s="485"/>
      <c r="X143" s="485"/>
      <c r="Y143" s="486"/>
      <c r="Z143" s="1338"/>
      <c r="AA143" s="1450" t="e">
        <f>Rh_innen*AH143-Rh_aussen*AH152</f>
        <v>#DIV/0!</v>
      </c>
      <c r="AB143" s="1449">
        <f>Ti_feuchte-Ta_feuchte</f>
        <v>0</v>
      </c>
      <c r="AC143" s="1451">
        <v>0.1</v>
      </c>
      <c r="AD143" s="1449">
        <v>0</v>
      </c>
      <c r="AE143" s="1451" t="e">
        <f t="shared" ref="AE143:AE151" si="98">AG144*$AB$143+AE144</f>
        <v>#DIV/0!</v>
      </c>
      <c r="AF143" s="1449" t="s">
        <v>2324</v>
      </c>
      <c r="AG143" s="1451"/>
      <c r="AH143" s="1450" t="e">
        <f>IF(AE143&gt;0,1.40574*POWER(10,10)*EXP(-3928.5/(AE143+231.667)),3.61633*POWER(10,12)*EXP(-6150.6/(AE143+273.33)))</f>
        <v>#DIV/0!</v>
      </c>
      <c r="AI143" s="1468"/>
      <c r="AJ143" s="1451"/>
      <c r="AK143" s="1450" t="e">
        <f>AH143*Rh_innen</f>
        <v>#DIV/0!</v>
      </c>
      <c r="AL143" s="1451" t="e">
        <f>(1/(LN(AK143/(3.61633*POWER(10,12))))*-6150.6)-273.33</f>
        <v>#DIV/0!</v>
      </c>
      <c r="AM143" s="1449" t="s">
        <v>2324</v>
      </c>
      <c r="AN143" s="1451" t="e">
        <f>(1/(LN(AK143/(1.40574*POWER(10,10))))*-3928.5)-231.66</f>
        <v>#DIV/0!</v>
      </c>
      <c r="AO143" s="1449" t="s">
        <v>2324</v>
      </c>
      <c r="AP143" s="1451" t="e">
        <f>IF(AN143&lt;0,AL143,AN143)</f>
        <v>#DIV/0!</v>
      </c>
      <c r="AQ143" s="1449" t="s">
        <v>2324</v>
      </c>
      <c r="AR143" s="1449"/>
      <c r="AS143" s="1450" t="e">
        <f>Rh_innen*AZ143-Rh_aussen*AZ152</f>
        <v>#DIV/0!</v>
      </c>
      <c r="AT143" s="1449">
        <f>Ti_feuchte-Ta_feuchte</f>
        <v>0</v>
      </c>
      <c r="AU143" s="1451">
        <v>0.1</v>
      </c>
      <c r="AV143" s="1449">
        <v>0</v>
      </c>
      <c r="AW143" s="1451" t="e">
        <f t="shared" ref="AW143:AW151" si="99">AY144*$AT$143+AW144</f>
        <v>#DIV/0!</v>
      </c>
      <c r="AX143" s="1449" t="s">
        <v>2324</v>
      </c>
      <c r="AY143" s="1451"/>
      <c r="AZ143" s="1450" t="e">
        <f>IF(AW143&gt;0,1.40574*POWER(10,10)*EXP(-3928.5/(AW143+231.667)),3.61633*POWER(10,12)*EXP(-6150.6/(AW143+273.33)))</f>
        <v>#DIV/0!</v>
      </c>
      <c r="BA143" s="1451"/>
      <c r="BB143" s="1451"/>
      <c r="BC143" s="1450" t="e">
        <f>AZ143*Rh_innen</f>
        <v>#DIV/0!</v>
      </c>
      <c r="BD143" s="1451" t="e">
        <f>(1/(LN(BC143/(3.61633*POWER(10,12))))*-6150.6)-273.33</f>
        <v>#DIV/0!</v>
      </c>
      <c r="BE143" s="1449" t="s">
        <v>2324</v>
      </c>
      <c r="BF143" s="1451" t="e">
        <f>(1/(LN(BC143/(1.40574*POWER(10,10))))*-3928.5)-231.66</f>
        <v>#DIV/0!</v>
      </c>
      <c r="BG143" s="1449" t="s">
        <v>2324</v>
      </c>
      <c r="BH143" s="1451" t="e">
        <f>IF(BF143&lt;0,BD143,BF143)</f>
        <v>#DIV/0!</v>
      </c>
      <c r="BI143" s="1449" t="s">
        <v>2324</v>
      </c>
      <c r="BJ143" s="1424"/>
      <c r="BK143" s="1430"/>
      <c r="BL143" s="1431" t="s">
        <v>1987</v>
      </c>
      <c r="BM143" s="1432" t="s">
        <v>1988</v>
      </c>
      <c r="BN143" s="1433" t="s">
        <v>1989</v>
      </c>
      <c r="BO143" s="1430"/>
      <c r="BP143" s="1430"/>
      <c r="BQ143" s="1430"/>
      <c r="BR143" s="1430"/>
      <c r="BS143" s="1430"/>
      <c r="BT143" s="1431" t="s">
        <v>1987</v>
      </c>
      <c r="BU143" s="1432" t="s">
        <v>1988</v>
      </c>
      <c r="BV143" s="1433" t="s">
        <v>1989</v>
      </c>
      <c r="BW143" s="1425"/>
      <c r="BX143" s="1425"/>
      <c r="BY143" s="1425"/>
      <c r="BZ143" s="1425"/>
    </row>
    <row r="144" spans="3:78" s="174" customFormat="1" ht="12.6" customHeight="1">
      <c r="C144" s="456"/>
      <c r="D144" s="456"/>
      <c r="E144" s="456"/>
      <c r="F144" s="456"/>
      <c r="G144" s="456"/>
      <c r="H144" s="456"/>
      <c r="I144" s="456"/>
      <c r="K144" s="456"/>
      <c r="L144" s="456"/>
      <c r="M144" s="456"/>
      <c r="N144" s="456"/>
      <c r="O144" s="456"/>
      <c r="P144" s="456"/>
      <c r="S144" s="569"/>
      <c r="T144" s="2592" t="str">
        <f>T111</f>
        <v>valeur qui est</v>
      </c>
      <c r="U144" s="2593"/>
      <c r="V144" s="2596" t="str">
        <f>V111</f>
        <v>valeur limite</v>
      </c>
      <c r="W144" s="2597"/>
      <c r="X144" s="2596" t="str">
        <f>X111</f>
        <v>valeur limite</v>
      </c>
      <c r="Y144" s="2597"/>
      <c r="Z144" s="1338"/>
      <c r="AA144" s="1449"/>
      <c r="AB144" s="1449"/>
      <c r="AC144" s="1451">
        <f>UWert!$F137/100</f>
        <v>0</v>
      </c>
      <c r="AD144" s="1451">
        <f t="shared" ref="AD144:AD152" si="100">AD143+AC143</f>
        <v>0.1</v>
      </c>
      <c r="AE144" s="1451" t="e">
        <f t="shared" si="98"/>
        <v>#DIV/0!</v>
      </c>
      <c r="AF144" s="1449" t="s">
        <v>2324</v>
      </c>
      <c r="AG144" s="1451" t="e">
        <f>UWert!$H136/(SUM(UWert!$H$136:$H$145))</f>
        <v>#DIV/0!</v>
      </c>
      <c r="AH144" s="1450" t="e">
        <f>IF(AE144&gt;0,1.40574*POWER(10,10)*EXP(-3928.5/(AE144+231.667)),3.61633*POWER(10,12)*EXP(-6150.6/(AE144+273.33)))</f>
        <v>#DIV/0!</v>
      </c>
      <c r="AI144" s="1468">
        <f>INDEX(Bauteile!$I$57:$I$1152,UWert!BA137)*(AC144)*(1/0.72)</f>
        <v>0</v>
      </c>
      <c r="AJ144" s="1451" t="e">
        <f>AI144/SUM(AI143:AI152)</f>
        <v>#DIV/0!</v>
      </c>
      <c r="AK144" s="1450" t="e">
        <f t="shared" ref="AK144:AK151" si="101">AJ144*$AA$143+AK145</f>
        <v>#DIV/0!</v>
      </c>
      <c r="AL144" s="1451" t="e">
        <f t="shared" ref="AL144:AL152" si="102">(1/(LN(AK144/(3.61633*POWER(10,12))))*-6150.6)-273.33</f>
        <v>#DIV/0!</v>
      </c>
      <c r="AM144" s="1449" t="s">
        <v>2324</v>
      </c>
      <c r="AN144" s="1451" t="e">
        <f t="shared" ref="AN144:AN152" si="103">(1/(LN(AK144/(1.40574*POWER(10,10))))*-3928.5)-231.66</f>
        <v>#DIV/0!</v>
      </c>
      <c r="AO144" s="1449" t="s">
        <v>2324</v>
      </c>
      <c r="AP144" s="1451" t="e">
        <f t="shared" ref="AP144:AP152" si="104">IF(AN144&lt;0,AL144,AN144)</f>
        <v>#DIV/0!</v>
      </c>
      <c r="AQ144" s="1449" t="s">
        <v>2324</v>
      </c>
      <c r="AR144" s="1449"/>
      <c r="AS144" s="1449"/>
      <c r="AT144" s="1449"/>
      <c r="AU144" s="1451">
        <f>UWert!$N137/100</f>
        <v>0</v>
      </c>
      <c r="AV144" s="1449">
        <f>AV143+AU143</f>
        <v>0.1</v>
      </c>
      <c r="AW144" s="1451" t="e">
        <f t="shared" si="99"/>
        <v>#DIV/0!</v>
      </c>
      <c r="AX144" s="1449" t="s">
        <v>2324</v>
      </c>
      <c r="AY144" s="1451" t="e">
        <f>UWert!$P136/(SUM(UWert!$P$136:$P$145))</f>
        <v>#DIV/0!</v>
      </c>
      <c r="AZ144" s="1450" t="e">
        <f>IF(AW144&gt;0,1.40574*POWER(10,10)*EXP(-3928.5/(AW144+231.667)),3.61633*POWER(10,12)*EXP(-6150.6/(AW144+273.33)))</f>
        <v>#DIV/0!</v>
      </c>
      <c r="BA144" s="1451">
        <f>INDEX(Bauteile!$I$57:$I$1152,UWert!BB137)*(AU144)*(1/0.72)</f>
        <v>0</v>
      </c>
      <c r="BB144" s="1451" t="e">
        <f>BA144/SUM(BA143:BA152)</f>
        <v>#DIV/0!</v>
      </c>
      <c r="BC144" s="1450" t="e">
        <f t="shared" ref="BC144:BC151" si="105">BB144*$AS$143+BC145</f>
        <v>#DIV/0!</v>
      </c>
      <c r="BD144" s="1451" t="e">
        <f t="shared" ref="BD144:BD152" si="106">(1/(LN(BC144/(3.61633*POWER(10,12))))*-6150.6)-273.33</f>
        <v>#DIV/0!</v>
      </c>
      <c r="BE144" s="1449" t="s">
        <v>2324</v>
      </c>
      <c r="BF144" s="1451" t="e">
        <f t="shared" ref="BF144:BF152" si="107">(1/(LN(BC144/(1.40574*POWER(10,10))))*-3928.5)-231.66</f>
        <v>#DIV/0!</v>
      </c>
      <c r="BG144" s="1449" t="s">
        <v>2324</v>
      </c>
      <c r="BH144" s="1451" t="e">
        <f t="shared" ref="BH144:BH152" si="108">IF(BF144&lt;0,BD144,BF144)</f>
        <v>#DIV/0!</v>
      </c>
      <c r="BI144" s="1449" t="s">
        <v>2324</v>
      </c>
      <c r="BJ144" s="1424"/>
      <c r="BK144" s="1430"/>
      <c r="BL144" s="1434" t="str">
        <f>IF(BL145&gt;0,BL145*((1/BL145)-(1/6)),"")</f>
        <v/>
      </c>
      <c r="BM144" s="1435">
        <f>$BM$15</f>
        <v>0</v>
      </c>
      <c r="BN144" s="1436">
        <f>$BN$15</f>
        <v>0</v>
      </c>
      <c r="BO144" s="1430"/>
      <c r="BP144" s="1430"/>
      <c r="BQ144" s="1430"/>
      <c r="BR144" s="1430"/>
      <c r="BS144" s="1430"/>
      <c r="BT144" s="1434" t="str">
        <f>IF(BT145&gt;0,BT145*((1/BT145)-(1/6)),"")</f>
        <v/>
      </c>
      <c r="BU144" s="1435">
        <f>$BM$15</f>
        <v>0</v>
      </c>
      <c r="BV144" s="1436">
        <f>$BN$15</f>
        <v>0</v>
      </c>
      <c r="BW144" s="1425"/>
      <c r="BX144" s="1425"/>
      <c r="BY144" s="1425"/>
      <c r="BZ144" s="1425"/>
    </row>
    <row r="145" spans="1:78" s="174" customFormat="1" ht="12.6" customHeight="1" thickBot="1">
      <c r="C145" s="456"/>
      <c r="D145" s="456"/>
      <c r="E145" s="456"/>
      <c r="F145" s="456"/>
      <c r="G145" s="456"/>
      <c r="H145" s="456"/>
      <c r="I145" s="456"/>
      <c r="K145" s="456"/>
      <c r="L145" s="456"/>
      <c r="M145" s="456"/>
      <c r="N145" s="456"/>
      <c r="O145" s="456"/>
      <c r="P145" s="456"/>
      <c r="S145" s="569"/>
      <c r="T145" s="2596"/>
      <c r="U145" s="2607"/>
      <c r="V145" s="2596" t="str">
        <f>V112</f>
        <v>condens.</v>
      </c>
      <c r="W145" s="2597"/>
      <c r="X145" s="2596" t="str">
        <f>X112</f>
        <v>penicillium</v>
      </c>
      <c r="Y145" s="2604"/>
      <c r="Z145" s="1338"/>
      <c r="AA145" s="1449"/>
      <c r="AB145" s="1449"/>
      <c r="AC145" s="1451">
        <f>UWert!$F138/100</f>
        <v>0</v>
      </c>
      <c r="AD145" s="1451">
        <f t="shared" si="100"/>
        <v>0.1</v>
      </c>
      <c r="AE145" s="1451" t="e">
        <f t="shared" si="98"/>
        <v>#DIV/0!</v>
      </c>
      <c r="AF145" s="1449" t="s">
        <v>2324</v>
      </c>
      <c r="AG145" s="1451" t="e">
        <f>UWert!$H137/(SUM(UWert!$H$136:$H$145))</f>
        <v>#DIV/0!</v>
      </c>
      <c r="AH145" s="1450" t="e">
        <f t="shared" ref="AH145:AH151" si="109">IF(AE145&gt;0,1.40574*POWER(10,10)*EXP(-3928.5/(AE145+231.667)),3.61633*POWER(10,12)*EXP(-6150.6/(AE145+273.33)))</f>
        <v>#DIV/0!</v>
      </c>
      <c r="AI145" s="1468">
        <f>INDEX(Bauteile!$I$57:$I$1152,UWert!BA138)*(AC145)*(1/0.72)</f>
        <v>0</v>
      </c>
      <c r="AJ145" s="1451" t="e">
        <f>AI145/SUM(AI143:AI152)</f>
        <v>#DIV/0!</v>
      </c>
      <c r="AK145" s="1450" t="e">
        <f t="shared" si="101"/>
        <v>#DIV/0!</v>
      </c>
      <c r="AL145" s="1451" t="e">
        <f t="shared" si="102"/>
        <v>#DIV/0!</v>
      </c>
      <c r="AM145" s="1449" t="s">
        <v>2324</v>
      </c>
      <c r="AN145" s="1451" t="e">
        <f t="shared" si="103"/>
        <v>#DIV/0!</v>
      </c>
      <c r="AO145" s="1449" t="s">
        <v>2324</v>
      </c>
      <c r="AP145" s="1451" t="e">
        <f t="shared" si="104"/>
        <v>#DIV/0!</v>
      </c>
      <c r="AQ145" s="1449" t="s">
        <v>2324</v>
      </c>
      <c r="AR145" s="1449"/>
      <c r="AS145" s="1449"/>
      <c r="AT145" s="1449"/>
      <c r="AU145" s="1451">
        <f>UWert!$N138/100</f>
        <v>0</v>
      </c>
      <c r="AV145" s="1449">
        <f t="shared" ref="AV145:AV152" si="110">AV144+AU144</f>
        <v>0.1</v>
      </c>
      <c r="AW145" s="1451" t="e">
        <f t="shared" si="99"/>
        <v>#DIV/0!</v>
      </c>
      <c r="AX145" s="1449" t="s">
        <v>2324</v>
      </c>
      <c r="AY145" s="1451" t="e">
        <f>UWert!$P137/(SUM(UWert!$P$136:$P$145))</f>
        <v>#DIV/0!</v>
      </c>
      <c r="AZ145" s="1450" t="e">
        <f t="shared" ref="AZ145:AZ152" si="111">IF(AW145&gt;0,1.40574*POWER(10,10)*EXP(-3928.5/(AW145+231.667)),3.61633*POWER(10,12)*EXP(-6150.6/(AW145+273.33)))</f>
        <v>#DIV/0!</v>
      </c>
      <c r="BA145" s="1451">
        <f>INDEX(Bauteile!$I$57:$I$1152,UWert!BB138)*(AU145)*(1/0.72)</f>
        <v>0</v>
      </c>
      <c r="BB145" s="1451" t="e">
        <f>BA145/SUM(BA143:BA152)</f>
        <v>#DIV/0!</v>
      </c>
      <c r="BC145" s="1450" t="e">
        <f t="shared" si="105"/>
        <v>#DIV/0!</v>
      </c>
      <c r="BD145" s="1451" t="e">
        <f t="shared" si="106"/>
        <v>#DIV/0!</v>
      </c>
      <c r="BE145" s="1449" t="s">
        <v>2324</v>
      </c>
      <c r="BF145" s="1451" t="e">
        <f t="shared" si="107"/>
        <v>#DIV/0!</v>
      </c>
      <c r="BG145" s="1449" t="s">
        <v>2324</v>
      </c>
      <c r="BH145" s="1451" t="e">
        <f t="shared" si="108"/>
        <v>#DIV/0!</v>
      </c>
      <c r="BI145" s="1449" t="s">
        <v>2324</v>
      </c>
      <c r="BJ145" s="1424"/>
      <c r="BK145" s="1437"/>
      <c r="BL145" s="1438">
        <f>IF(UWert!F134&gt;0,1/((1/UWert!F134)-(1/8)+(1/6)),)</f>
        <v>0</v>
      </c>
      <c r="BM145" s="1439" t="str">
        <f>IF(BL144&gt;BM144,"","Problem !!!")</f>
        <v/>
      </c>
      <c r="BN145" s="1440" t="str">
        <f>IF(BL144&gt;BN144,"","Problem !!!")</f>
        <v/>
      </c>
      <c r="BO145" s="1437"/>
      <c r="BP145" s="1437"/>
      <c r="BQ145" s="1437"/>
      <c r="BR145" s="1437"/>
      <c r="BS145" s="1437"/>
      <c r="BT145" s="1438">
        <f>IF(UWert!N134&gt;0,1/((1/UWert!N134)-(1/8)+(1/6)),)</f>
        <v>0</v>
      </c>
      <c r="BU145" s="1439" t="str">
        <f>IF(BT144&gt;BU144,"","Problem !!!")</f>
        <v/>
      </c>
      <c r="BV145" s="1440" t="str">
        <f>IF(BT144&gt;BV144,"","Problem !!!")</f>
        <v/>
      </c>
      <c r="BW145" s="1425"/>
      <c r="BX145" s="1425"/>
      <c r="BY145" s="1425"/>
      <c r="BZ145" s="1425"/>
    </row>
    <row r="146" spans="1:78" s="174" customFormat="1" ht="12.6" customHeight="1">
      <c r="C146" s="456"/>
      <c r="D146" s="456"/>
      <c r="E146" s="456"/>
      <c r="F146" s="456"/>
      <c r="G146" s="456"/>
      <c r="H146" s="456"/>
      <c r="I146" s="456"/>
      <c r="K146" s="456"/>
      <c r="L146" s="456"/>
      <c r="M146" s="456"/>
      <c r="N146" s="456"/>
      <c r="O146" s="456"/>
      <c r="P146" s="456"/>
      <c r="S146" s="569"/>
      <c r="T146" s="2602" t="s">
        <v>274</v>
      </c>
      <c r="U146" s="2601"/>
      <c r="V146" s="2602" t="s">
        <v>273</v>
      </c>
      <c r="W146" s="2601"/>
      <c r="X146" s="2603" t="s">
        <v>276</v>
      </c>
      <c r="Y146" s="2601"/>
      <c r="Z146" s="1338"/>
      <c r="AA146" s="1449"/>
      <c r="AB146" s="1449"/>
      <c r="AC146" s="1451">
        <f>UWert!$F139/100</f>
        <v>0</v>
      </c>
      <c r="AD146" s="1451">
        <f t="shared" si="100"/>
        <v>0.1</v>
      </c>
      <c r="AE146" s="1451" t="e">
        <f t="shared" si="98"/>
        <v>#DIV/0!</v>
      </c>
      <c r="AF146" s="1449" t="s">
        <v>2324</v>
      </c>
      <c r="AG146" s="1451" t="e">
        <f>UWert!$H138/(SUM(UWert!$H$136:$H$145))</f>
        <v>#DIV/0!</v>
      </c>
      <c r="AH146" s="1450" t="e">
        <f t="shared" si="109"/>
        <v>#DIV/0!</v>
      </c>
      <c r="AI146" s="1468">
        <f>INDEX(Bauteile!$I$57:$I$1152,UWert!BA139)*(AC146)*(1/0.72)</f>
        <v>0</v>
      </c>
      <c r="AJ146" s="1451" t="e">
        <f>AI146/SUM(AI143:AI152)</f>
        <v>#DIV/0!</v>
      </c>
      <c r="AK146" s="1450" t="e">
        <f t="shared" si="101"/>
        <v>#DIV/0!</v>
      </c>
      <c r="AL146" s="1451" t="e">
        <f t="shared" si="102"/>
        <v>#DIV/0!</v>
      </c>
      <c r="AM146" s="1449" t="s">
        <v>2324</v>
      </c>
      <c r="AN146" s="1451" t="e">
        <f t="shared" si="103"/>
        <v>#DIV/0!</v>
      </c>
      <c r="AO146" s="1449" t="s">
        <v>2324</v>
      </c>
      <c r="AP146" s="1451" t="e">
        <f t="shared" si="104"/>
        <v>#DIV/0!</v>
      </c>
      <c r="AQ146" s="1449" t="s">
        <v>2324</v>
      </c>
      <c r="AR146" s="1449"/>
      <c r="AS146" s="1449"/>
      <c r="AT146" s="1449"/>
      <c r="AU146" s="1451">
        <f>UWert!$N139/100</f>
        <v>0</v>
      </c>
      <c r="AV146" s="1449">
        <f t="shared" si="110"/>
        <v>0.1</v>
      </c>
      <c r="AW146" s="1451" t="e">
        <f t="shared" si="99"/>
        <v>#DIV/0!</v>
      </c>
      <c r="AX146" s="1449" t="s">
        <v>2324</v>
      </c>
      <c r="AY146" s="1451" t="e">
        <f>UWert!$P138/(SUM(UWert!$P$136:$P$145))</f>
        <v>#DIV/0!</v>
      </c>
      <c r="AZ146" s="1450" t="e">
        <f t="shared" si="111"/>
        <v>#DIV/0!</v>
      </c>
      <c r="BA146" s="1451">
        <f>INDEX(Bauteile!$I$57:$I$1152,UWert!BB139)*(AU146)*(1/0.72)</f>
        <v>0</v>
      </c>
      <c r="BB146" s="1451" t="e">
        <f>BA146/SUM(BA143:BA152)</f>
        <v>#DIV/0!</v>
      </c>
      <c r="BC146" s="1450" t="e">
        <f t="shared" si="105"/>
        <v>#DIV/0!</v>
      </c>
      <c r="BD146" s="1451" t="e">
        <f t="shared" si="106"/>
        <v>#DIV/0!</v>
      </c>
      <c r="BE146" s="1449" t="s">
        <v>2324</v>
      </c>
      <c r="BF146" s="1451" t="e">
        <f t="shared" si="107"/>
        <v>#DIV/0!</v>
      </c>
      <c r="BG146" s="1449" t="s">
        <v>2324</v>
      </c>
      <c r="BH146" s="1451" t="e">
        <f t="shared" si="108"/>
        <v>#DIV/0!</v>
      </c>
      <c r="BI146" s="1449" t="s">
        <v>2324</v>
      </c>
      <c r="BJ146" s="1424"/>
      <c r="BK146" s="1425"/>
      <c r="BL146" s="1425"/>
      <c r="BM146" s="1425"/>
      <c r="BN146" s="1425"/>
      <c r="BO146" s="1425"/>
      <c r="BP146" s="1425"/>
      <c r="BQ146" s="1425"/>
      <c r="BR146" s="1425"/>
      <c r="BS146" s="1425"/>
      <c r="BT146" s="1425"/>
      <c r="BU146" s="1425"/>
      <c r="BV146" s="1425"/>
      <c r="BW146" s="1425"/>
      <c r="BX146" s="1425"/>
      <c r="BY146" s="1425"/>
      <c r="BZ146" s="1425"/>
    </row>
    <row r="147" spans="1:78" s="174" customFormat="1" ht="12.6" customHeight="1">
      <c r="C147" s="456"/>
      <c r="D147" s="456"/>
      <c r="E147" s="456"/>
      <c r="F147" s="456"/>
      <c r="G147" s="456"/>
      <c r="H147" s="456"/>
      <c r="I147" s="456"/>
      <c r="K147" s="456"/>
      <c r="L147" s="456"/>
      <c r="M147" s="456"/>
      <c r="N147" s="456"/>
      <c r="O147" s="456"/>
      <c r="P147" s="456"/>
      <c r="S147" s="569"/>
      <c r="T147" s="2600" t="str">
        <f>BL144</f>
        <v/>
      </c>
      <c r="U147" s="2601"/>
      <c r="V147" s="2600">
        <f>BM144</f>
        <v>0</v>
      </c>
      <c r="W147" s="2601"/>
      <c r="X147" s="2603">
        <f>BN144</f>
        <v>0</v>
      </c>
      <c r="Y147" s="2601"/>
      <c r="Z147" s="1338"/>
      <c r="AA147" s="1449"/>
      <c r="AB147" s="1449"/>
      <c r="AC147" s="1451">
        <f>UWert!$F140/100</f>
        <v>0</v>
      </c>
      <c r="AD147" s="1451">
        <f t="shared" si="100"/>
        <v>0.1</v>
      </c>
      <c r="AE147" s="1451" t="e">
        <f t="shared" si="98"/>
        <v>#DIV/0!</v>
      </c>
      <c r="AF147" s="1449" t="s">
        <v>2324</v>
      </c>
      <c r="AG147" s="1451" t="e">
        <f>UWert!$H139/(SUM(UWert!$H$136:$H$145))</f>
        <v>#DIV/0!</v>
      </c>
      <c r="AH147" s="1450" t="e">
        <f t="shared" si="109"/>
        <v>#DIV/0!</v>
      </c>
      <c r="AI147" s="1468">
        <f>INDEX(Bauteile!$I$57:$I$1152,UWert!BA140)*(AC147)*(1/0.72)</f>
        <v>0</v>
      </c>
      <c r="AJ147" s="1451" t="e">
        <f>AI147/SUM(AI143:AI152)</f>
        <v>#DIV/0!</v>
      </c>
      <c r="AK147" s="1450" t="e">
        <f t="shared" si="101"/>
        <v>#DIV/0!</v>
      </c>
      <c r="AL147" s="1451" t="e">
        <f t="shared" si="102"/>
        <v>#DIV/0!</v>
      </c>
      <c r="AM147" s="1449" t="s">
        <v>2324</v>
      </c>
      <c r="AN147" s="1451" t="e">
        <f t="shared" si="103"/>
        <v>#DIV/0!</v>
      </c>
      <c r="AO147" s="1449" t="s">
        <v>2324</v>
      </c>
      <c r="AP147" s="1451" t="e">
        <f t="shared" si="104"/>
        <v>#DIV/0!</v>
      </c>
      <c r="AQ147" s="1449" t="s">
        <v>2324</v>
      </c>
      <c r="AR147" s="1449"/>
      <c r="AS147" s="1449"/>
      <c r="AT147" s="1449"/>
      <c r="AU147" s="1451">
        <f>UWert!$N140/100</f>
        <v>0</v>
      </c>
      <c r="AV147" s="1449">
        <f t="shared" si="110"/>
        <v>0.1</v>
      </c>
      <c r="AW147" s="1451" t="e">
        <f t="shared" si="99"/>
        <v>#DIV/0!</v>
      </c>
      <c r="AX147" s="1449" t="s">
        <v>2324</v>
      </c>
      <c r="AY147" s="1451" t="e">
        <f>UWert!$P139/(SUM(UWert!$P$136:$P$145))</f>
        <v>#DIV/0!</v>
      </c>
      <c r="AZ147" s="1450" t="e">
        <f t="shared" si="111"/>
        <v>#DIV/0!</v>
      </c>
      <c r="BA147" s="1451">
        <f>INDEX(Bauteile!$I$57:$I$1152,UWert!BB140)*(AU147)*(1/0.72)</f>
        <v>0</v>
      </c>
      <c r="BB147" s="1451" t="e">
        <f>BA147/SUM(BA143:BA152)</f>
        <v>#DIV/0!</v>
      </c>
      <c r="BC147" s="1450" t="e">
        <f t="shared" si="105"/>
        <v>#DIV/0!</v>
      </c>
      <c r="BD147" s="1451" t="e">
        <f t="shared" si="106"/>
        <v>#DIV/0!</v>
      </c>
      <c r="BE147" s="1449" t="s">
        <v>2324</v>
      </c>
      <c r="BF147" s="1451" t="e">
        <f t="shared" si="107"/>
        <v>#DIV/0!</v>
      </c>
      <c r="BG147" s="1449" t="s">
        <v>2324</v>
      </c>
      <c r="BH147" s="1451" t="e">
        <f t="shared" si="108"/>
        <v>#DIV/0!</v>
      </c>
      <c r="BI147" s="1449" t="s">
        <v>2324</v>
      </c>
      <c r="BJ147" s="1424"/>
      <c r="BK147" s="1425"/>
      <c r="BL147" s="1425"/>
      <c r="BM147" s="1425"/>
      <c r="BN147" s="1425"/>
      <c r="BO147" s="1425"/>
      <c r="BP147" s="1425"/>
      <c r="BQ147" s="1425"/>
      <c r="BR147" s="1425"/>
      <c r="BS147" s="1425"/>
      <c r="BT147" s="1425"/>
      <c r="BU147" s="1425"/>
      <c r="BV147" s="1425"/>
      <c r="BW147" s="1425"/>
      <c r="BX147" s="1425"/>
      <c r="BY147" s="1425"/>
      <c r="BZ147" s="1425"/>
    </row>
    <row r="148" spans="1:78" s="174" customFormat="1" ht="12.6" customHeight="1">
      <c r="C148" s="456"/>
      <c r="D148" s="456"/>
      <c r="E148" s="456"/>
      <c r="F148" s="456"/>
      <c r="G148" s="456"/>
      <c r="H148" s="456"/>
      <c r="I148" s="456"/>
      <c r="K148" s="456"/>
      <c r="L148" s="456"/>
      <c r="M148" s="456"/>
      <c r="N148" s="456"/>
      <c r="O148" s="456"/>
      <c r="P148" s="456"/>
      <c r="S148" s="569"/>
      <c r="T148" s="615"/>
      <c r="U148" s="616"/>
      <c r="V148" s="2594" t="str">
        <f>BM145</f>
        <v/>
      </c>
      <c r="W148" s="2609"/>
      <c r="X148" s="2594" t="str">
        <f>BN145</f>
        <v/>
      </c>
      <c r="Y148" s="2609"/>
      <c r="Z148" s="1338"/>
      <c r="AA148" s="1449"/>
      <c r="AB148" s="1449"/>
      <c r="AC148" s="1451">
        <f>UWert!$F141/100</f>
        <v>0</v>
      </c>
      <c r="AD148" s="1451">
        <f t="shared" si="100"/>
        <v>0.1</v>
      </c>
      <c r="AE148" s="1451" t="e">
        <f t="shared" si="98"/>
        <v>#DIV/0!</v>
      </c>
      <c r="AF148" s="1449" t="s">
        <v>2324</v>
      </c>
      <c r="AG148" s="1451" t="e">
        <f>UWert!$H140/(SUM(UWert!$H$136:$H$145))</f>
        <v>#DIV/0!</v>
      </c>
      <c r="AH148" s="1450" t="e">
        <f t="shared" si="109"/>
        <v>#DIV/0!</v>
      </c>
      <c r="AI148" s="1468">
        <f>INDEX(Bauteile!$I$57:$I$1152,UWert!BA141)*(AC148)*(1/0.72)</f>
        <v>0</v>
      </c>
      <c r="AJ148" s="1451" t="e">
        <f>AI148/SUM(AI143:AI152)</f>
        <v>#DIV/0!</v>
      </c>
      <c r="AK148" s="1450" t="e">
        <f t="shared" si="101"/>
        <v>#DIV/0!</v>
      </c>
      <c r="AL148" s="1451" t="e">
        <f t="shared" si="102"/>
        <v>#DIV/0!</v>
      </c>
      <c r="AM148" s="1449" t="s">
        <v>2324</v>
      </c>
      <c r="AN148" s="1451" t="e">
        <f t="shared" si="103"/>
        <v>#DIV/0!</v>
      </c>
      <c r="AO148" s="1449" t="s">
        <v>2324</v>
      </c>
      <c r="AP148" s="1451" t="e">
        <f t="shared" si="104"/>
        <v>#DIV/0!</v>
      </c>
      <c r="AQ148" s="1449" t="s">
        <v>2324</v>
      </c>
      <c r="AR148" s="1449"/>
      <c r="AS148" s="1449"/>
      <c r="AT148" s="1449"/>
      <c r="AU148" s="1451">
        <f>UWert!$N141/100</f>
        <v>0</v>
      </c>
      <c r="AV148" s="1449">
        <f t="shared" si="110"/>
        <v>0.1</v>
      </c>
      <c r="AW148" s="1451" t="e">
        <f t="shared" si="99"/>
        <v>#DIV/0!</v>
      </c>
      <c r="AX148" s="1449" t="s">
        <v>2324</v>
      </c>
      <c r="AY148" s="1451" t="e">
        <f>UWert!$P140/(SUM(UWert!$P$136:$P$145))</f>
        <v>#DIV/0!</v>
      </c>
      <c r="AZ148" s="1450" t="e">
        <f t="shared" si="111"/>
        <v>#DIV/0!</v>
      </c>
      <c r="BA148" s="1451">
        <f>INDEX(Bauteile!$I$57:$I$1152,UWert!BB141)*(AU148)*(1/0.72)</f>
        <v>0</v>
      </c>
      <c r="BB148" s="1451" t="e">
        <f>BA148/SUM(BA143:BA152)</f>
        <v>#DIV/0!</v>
      </c>
      <c r="BC148" s="1450" t="e">
        <f t="shared" si="105"/>
        <v>#DIV/0!</v>
      </c>
      <c r="BD148" s="1451" t="e">
        <f t="shared" si="106"/>
        <v>#DIV/0!</v>
      </c>
      <c r="BE148" s="1449" t="s">
        <v>2324</v>
      </c>
      <c r="BF148" s="1451" t="e">
        <f t="shared" si="107"/>
        <v>#DIV/0!</v>
      </c>
      <c r="BG148" s="1449" t="s">
        <v>2324</v>
      </c>
      <c r="BH148" s="1451" t="e">
        <f t="shared" si="108"/>
        <v>#DIV/0!</v>
      </c>
      <c r="BI148" s="1449" t="s">
        <v>2324</v>
      </c>
      <c r="BJ148" s="1424"/>
      <c r="BK148" s="1425"/>
      <c r="BL148" s="1425"/>
      <c r="BM148" s="1425"/>
      <c r="BN148" s="1425"/>
      <c r="BO148" s="1425"/>
      <c r="BP148" s="1425"/>
      <c r="BQ148" s="1425"/>
      <c r="BR148" s="1425"/>
      <c r="BS148" s="1425"/>
      <c r="BT148" s="1425"/>
      <c r="BU148" s="1425"/>
      <c r="BV148" s="1425"/>
      <c r="BW148" s="1425"/>
      <c r="BX148" s="1425"/>
      <c r="BY148" s="1425"/>
      <c r="BZ148" s="1425"/>
    </row>
    <row r="149" spans="1:78" s="174" customFormat="1" ht="12.6" customHeight="1">
      <c r="C149" s="456"/>
      <c r="D149" s="456"/>
      <c r="E149" s="456"/>
      <c r="F149" s="456"/>
      <c r="G149" s="456"/>
      <c r="H149" s="456"/>
      <c r="I149" s="456"/>
      <c r="K149" s="456"/>
      <c r="L149" s="456"/>
      <c r="M149" s="456"/>
      <c r="N149" s="456"/>
      <c r="O149" s="456"/>
      <c r="P149" s="456"/>
      <c r="S149" s="569"/>
      <c r="T149" s="490" t="str">
        <f>Uebersetzung!D435</f>
        <v>2ème partie</v>
      </c>
      <c r="U149" s="488"/>
      <c r="V149" s="573"/>
      <c r="W149" s="488"/>
      <c r="X149" s="573"/>
      <c r="Y149" s="567"/>
      <c r="Z149" s="1338"/>
      <c r="AA149" s="1449"/>
      <c r="AB149" s="1449"/>
      <c r="AC149" s="1451">
        <f>UWert!$F142/100</f>
        <v>0</v>
      </c>
      <c r="AD149" s="1451">
        <f t="shared" si="100"/>
        <v>0.1</v>
      </c>
      <c r="AE149" s="1451" t="e">
        <f t="shared" si="98"/>
        <v>#DIV/0!</v>
      </c>
      <c r="AF149" s="1449" t="s">
        <v>2324</v>
      </c>
      <c r="AG149" s="1451" t="e">
        <f>UWert!$H141/(SUM(UWert!$H$136:$H$145))</f>
        <v>#DIV/0!</v>
      </c>
      <c r="AH149" s="1450" t="e">
        <f t="shared" si="109"/>
        <v>#DIV/0!</v>
      </c>
      <c r="AI149" s="1468">
        <f>INDEX(Bauteile!$I$57:$I$1152,UWert!BA142)*(AC149)*(1/0.72)</f>
        <v>0</v>
      </c>
      <c r="AJ149" s="1451" t="e">
        <f>AI149/SUM(AI143:AI152)</f>
        <v>#DIV/0!</v>
      </c>
      <c r="AK149" s="1450" t="e">
        <f t="shared" si="101"/>
        <v>#DIV/0!</v>
      </c>
      <c r="AL149" s="1451" t="e">
        <f t="shared" si="102"/>
        <v>#DIV/0!</v>
      </c>
      <c r="AM149" s="1449" t="s">
        <v>2324</v>
      </c>
      <c r="AN149" s="1451" t="e">
        <f t="shared" si="103"/>
        <v>#DIV/0!</v>
      </c>
      <c r="AO149" s="1449" t="s">
        <v>2324</v>
      </c>
      <c r="AP149" s="1451" t="e">
        <f t="shared" si="104"/>
        <v>#DIV/0!</v>
      </c>
      <c r="AQ149" s="1449" t="s">
        <v>2324</v>
      </c>
      <c r="AR149" s="1449"/>
      <c r="AS149" s="1449"/>
      <c r="AT149" s="1449"/>
      <c r="AU149" s="1451">
        <f>UWert!$N142/100</f>
        <v>0</v>
      </c>
      <c r="AV149" s="1449">
        <f t="shared" si="110"/>
        <v>0.1</v>
      </c>
      <c r="AW149" s="1451" t="e">
        <f t="shared" si="99"/>
        <v>#DIV/0!</v>
      </c>
      <c r="AX149" s="1449" t="s">
        <v>2324</v>
      </c>
      <c r="AY149" s="1451" t="e">
        <f>UWert!$P141/(SUM(UWert!$P$136:$P$145))</f>
        <v>#DIV/0!</v>
      </c>
      <c r="AZ149" s="1450" t="e">
        <f t="shared" si="111"/>
        <v>#DIV/0!</v>
      </c>
      <c r="BA149" s="1451">
        <f>INDEX(Bauteile!$I$57:$I$1152,UWert!BB142)*(AU149)*(1/0.72)</f>
        <v>0</v>
      </c>
      <c r="BB149" s="1451" t="e">
        <f>BA149/SUM(BA143:BA152)</f>
        <v>#DIV/0!</v>
      </c>
      <c r="BC149" s="1450" t="e">
        <f t="shared" si="105"/>
        <v>#DIV/0!</v>
      </c>
      <c r="BD149" s="1451" t="e">
        <f t="shared" si="106"/>
        <v>#DIV/0!</v>
      </c>
      <c r="BE149" s="1449" t="s">
        <v>2324</v>
      </c>
      <c r="BF149" s="1451" t="e">
        <f t="shared" si="107"/>
        <v>#DIV/0!</v>
      </c>
      <c r="BG149" s="1449" t="s">
        <v>2324</v>
      </c>
      <c r="BH149" s="1451" t="e">
        <f t="shared" si="108"/>
        <v>#DIV/0!</v>
      </c>
      <c r="BI149" s="1449" t="s">
        <v>2324</v>
      </c>
      <c r="BJ149" s="1424"/>
      <c r="BK149" s="1425"/>
      <c r="BL149" s="1425"/>
      <c r="BM149" s="1425"/>
      <c r="BN149" s="1425"/>
      <c r="BO149" s="1425"/>
      <c r="BP149" s="1425"/>
      <c r="BQ149" s="1425"/>
      <c r="BR149" s="1425"/>
      <c r="BS149" s="1425"/>
      <c r="BT149" s="1425"/>
      <c r="BU149" s="1425"/>
      <c r="BV149" s="1425"/>
      <c r="BW149" s="1425"/>
      <c r="BX149" s="1425"/>
      <c r="BY149" s="1425"/>
      <c r="BZ149" s="1425"/>
    </row>
    <row r="150" spans="1:78" s="174" customFormat="1" ht="12.6" customHeight="1">
      <c r="C150" s="456"/>
      <c r="D150" s="456"/>
      <c r="E150" s="456"/>
      <c r="F150" s="456"/>
      <c r="G150" s="456"/>
      <c r="H150" s="456"/>
      <c r="I150" s="456"/>
      <c r="K150" s="456"/>
      <c r="L150" s="456"/>
      <c r="M150" s="456"/>
      <c r="N150" s="456"/>
      <c r="O150" s="456"/>
      <c r="P150" s="456"/>
      <c r="S150" s="569"/>
      <c r="T150" s="2592" t="str">
        <f>T144</f>
        <v>valeur qui est</v>
      </c>
      <c r="U150" s="2593"/>
      <c r="V150" s="2596" t="str">
        <f>V144</f>
        <v>valeur limite</v>
      </c>
      <c r="W150" s="2597"/>
      <c r="X150" s="2596" t="str">
        <f>X144</f>
        <v>valeur limite</v>
      </c>
      <c r="Y150" s="2597"/>
      <c r="Z150" s="1338"/>
      <c r="AA150" s="1449"/>
      <c r="AB150" s="1449"/>
      <c r="AC150" s="1451">
        <f>UWert!$F143/100</f>
        <v>0</v>
      </c>
      <c r="AD150" s="1451">
        <f t="shared" si="100"/>
        <v>0.1</v>
      </c>
      <c r="AE150" s="1451" t="e">
        <f t="shared" si="98"/>
        <v>#DIV/0!</v>
      </c>
      <c r="AF150" s="1449" t="s">
        <v>2324</v>
      </c>
      <c r="AG150" s="1451" t="e">
        <f>UWert!$H142/(SUM(UWert!$H$136:$H$145))</f>
        <v>#DIV/0!</v>
      </c>
      <c r="AH150" s="1450" t="e">
        <f t="shared" si="109"/>
        <v>#DIV/0!</v>
      </c>
      <c r="AI150" s="1468">
        <f>INDEX(Bauteile!$I$57:$I$1152,UWert!BA143)*(AC150)*(1/0.72)</f>
        <v>0</v>
      </c>
      <c r="AJ150" s="1451" t="e">
        <f>AI150/SUM(AI143:AI152)</f>
        <v>#DIV/0!</v>
      </c>
      <c r="AK150" s="1450" t="e">
        <f t="shared" si="101"/>
        <v>#DIV/0!</v>
      </c>
      <c r="AL150" s="1451" t="e">
        <f t="shared" si="102"/>
        <v>#DIV/0!</v>
      </c>
      <c r="AM150" s="1449" t="s">
        <v>2324</v>
      </c>
      <c r="AN150" s="1451" t="e">
        <f t="shared" si="103"/>
        <v>#DIV/0!</v>
      </c>
      <c r="AO150" s="1449" t="s">
        <v>2324</v>
      </c>
      <c r="AP150" s="1451" t="e">
        <f t="shared" si="104"/>
        <v>#DIV/0!</v>
      </c>
      <c r="AQ150" s="1449" t="s">
        <v>2324</v>
      </c>
      <c r="AR150" s="1449"/>
      <c r="AS150" s="1449"/>
      <c r="AT150" s="1449"/>
      <c r="AU150" s="1451">
        <f>UWert!$N143/100</f>
        <v>0</v>
      </c>
      <c r="AV150" s="1449">
        <f t="shared" si="110"/>
        <v>0.1</v>
      </c>
      <c r="AW150" s="1451" t="e">
        <f t="shared" si="99"/>
        <v>#DIV/0!</v>
      </c>
      <c r="AX150" s="1449" t="s">
        <v>2324</v>
      </c>
      <c r="AY150" s="1451" t="e">
        <f>UWert!$P142/(SUM(UWert!$P$136:$P$145))</f>
        <v>#DIV/0!</v>
      </c>
      <c r="AZ150" s="1450" t="e">
        <f t="shared" si="111"/>
        <v>#DIV/0!</v>
      </c>
      <c r="BA150" s="1451">
        <f>INDEX(Bauteile!$I$57:$I$1152,UWert!BB143)*(AU150)*(1/0.72)</f>
        <v>0</v>
      </c>
      <c r="BB150" s="1451" t="e">
        <f>BA150/SUM(BA143:BA152)</f>
        <v>#DIV/0!</v>
      </c>
      <c r="BC150" s="1450" t="e">
        <f t="shared" si="105"/>
        <v>#DIV/0!</v>
      </c>
      <c r="BD150" s="1451" t="e">
        <f t="shared" si="106"/>
        <v>#DIV/0!</v>
      </c>
      <c r="BE150" s="1449" t="s">
        <v>2324</v>
      </c>
      <c r="BF150" s="1451" t="e">
        <f t="shared" si="107"/>
        <v>#DIV/0!</v>
      </c>
      <c r="BG150" s="1449" t="s">
        <v>2324</v>
      </c>
      <c r="BH150" s="1451" t="e">
        <f t="shared" si="108"/>
        <v>#DIV/0!</v>
      </c>
      <c r="BI150" s="1449" t="s">
        <v>2324</v>
      </c>
      <c r="BJ150" s="1424"/>
      <c r="BK150" s="1425"/>
      <c r="BL150" s="1425"/>
      <c r="BM150" s="1425"/>
      <c r="BN150" s="1425"/>
      <c r="BO150" s="1425"/>
      <c r="BP150" s="1425"/>
      <c r="BQ150" s="1425"/>
      <c r="BR150" s="1425"/>
      <c r="BS150" s="1425"/>
      <c r="BT150" s="1425"/>
      <c r="BU150" s="1425"/>
      <c r="BV150" s="1425"/>
      <c r="BW150" s="1425"/>
      <c r="BX150" s="1425"/>
      <c r="BY150" s="1425"/>
      <c r="BZ150" s="1425"/>
    </row>
    <row r="151" spans="1:78" s="174" customFormat="1" ht="12.6" customHeight="1">
      <c r="C151" s="456"/>
      <c r="D151" s="456"/>
      <c r="E151" s="456"/>
      <c r="F151" s="456"/>
      <c r="G151" s="456"/>
      <c r="H151" s="456"/>
      <c r="I151" s="456"/>
      <c r="K151" s="456"/>
      <c r="L151" s="456"/>
      <c r="M151" s="456"/>
      <c r="N151" s="456"/>
      <c r="O151" s="456"/>
      <c r="P151" s="456"/>
      <c r="S151" s="569"/>
      <c r="T151" s="2596"/>
      <c r="U151" s="2607"/>
      <c r="V151" s="2596" t="str">
        <f>V145</f>
        <v>condens.</v>
      </c>
      <c r="W151" s="2597"/>
      <c r="X151" s="2596" t="str">
        <f>X145</f>
        <v>penicillium</v>
      </c>
      <c r="Y151" s="2604"/>
      <c r="Z151" s="1338"/>
      <c r="AA151" s="1449"/>
      <c r="AB151" s="1449"/>
      <c r="AC151" s="1451">
        <v>0.1</v>
      </c>
      <c r="AD151" s="1451">
        <f t="shared" si="100"/>
        <v>0.1</v>
      </c>
      <c r="AE151" s="1451" t="e">
        <f t="shared" si="98"/>
        <v>#DIV/0!</v>
      </c>
      <c r="AF151" s="1449" t="s">
        <v>2324</v>
      </c>
      <c r="AG151" s="1451" t="e">
        <f>UWert!$H143/(SUM(UWert!$H$136:$H$145))</f>
        <v>#DIV/0!</v>
      </c>
      <c r="AH151" s="1450" t="e">
        <f t="shared" si="109"/>
        <v>#DIV/0!</v>
      </c>
      <c r="AI151" s="1468">
        <f>0*AC151/0.72</f>
        <v>0</v>
      </c>
      <c r="AJ151" s="1451" t="e">
        <f>AI151/SUM(AI143:AI152)</f>
        <v>#DIV/0!</v>
      </c>
      <c r="AK151" s="1450" t="e">
        <f t="shared" si="101"/>
        <v>#DIV/0!</v>
      </c>
      <c r="AL151" s="1451" t="e">
        <f t="shared" si="102"/>
        <v>#DIV/0!</v>
      </c>
      <c r="AM151" s="1449" t="s">
        <v>2324</v>
      </c>
      <c r="AN151" s="1451" t="e">
        <f t="shared" si="103"/>
        <v>#DIV/0!</v>
      </c>
      <c r="AO151" s="1449" t="s">
        <v>2324</v>
      </c>
      <c r="AP151" s="1451" t="e">
        <f t="shared" si="104"/>
        <v>#DIV/0!</v>
      </c>
      <c r="AQ151" s="1449" t="s">
        <v>2324</v>
      </c>
      <c r="AR151" s="1449"/>
      <c r="AS151" s="1449"/>
      <c r="AT151" s="1449"/>
      <c r="AU151" s="1451">
        <v>0.1</v>
      </c>
      <c r="AV151" s="1449">
        <f t="shared" si="110"/>
        <v>0.1</v>
      </c>
      <c r="AW151" s="1451" t="e">
        <f t="shared" si="99"/>
        <v>#DIV/0!</v>
      </c>
      <c r="AX151" s="1449" t="s">
        <v>2324</v>
      </c>
      <c r="AY151" s="1451" t="e">
        <f>UWert!$P143/(SUM(UWert!$P$136:$P$145))</f>
        <v>#DIV/0!</v>
      </c>
      <c r="AZ151" s="1450" t="e">
        <f t="shared" si="111"/>
        <v>#DIV/0!</v>
      </c>
      <c r="BA151" s="1451">
        <f>0*AU151/0.72</f>
        <v>0</v>
      </c>
      <c r="BB151" s="1451" t="e">
        <f>BA151/SUM(BA143:BA152)</f>
        <v>#DIV/0!</v>
      </c>
      <c r="BC151" s="1450" t="e">
        <f t="shared" si="105"/>
        <v>#DIV/0!</v>
      </c>
      <c r="BD151" s="1451" t="e">
        <f t="shared" si="106"/>
        <v>#DIV/0!</v>
      </c>
      <c r="BE151" s="1449" t="s">
        <v>2324</v>
      </c>
      <c r="BF151" s="1451" t="e">
        <f t="shared" si="107"/>
        <v>#DIV/0!</v>
      </c>
      <c r="BG151" s="1449" t="s">
        <v>2324</v>
      </c>
      <c r="BH151" s="1451" t="e">
        <f t="shared" si="108"/>
        <v>#DIV/0!</v>
      </c>
      <c r="BI151" s="1449" t="s">
        <v>2324</v>
      </c>
      <c r="BJ151" s="1424"/>
      <c r="BK151" s="1425"/>
      <c r="BL151" s="1425"/>
      <c r="BM151" s="1425"/>
      <c r="BN151" s="1425"/>
      <c r="BO151" s="1425"/>
      <c r="BP151" s="1425"/>
      <c r="BQ151" s="1425"/>
      <c r="BR151" s="1425"/>
      <c r="BS151" s="1425"/>
      <c r="BT151" s="1425"/>
      <c r="BU151" s="1425"/>
      <c r="BV151" s="1425"/>
      <c r="BW151" s="1425"/>
      <c r="BX151" s="1425"/>
      <c r="BY151" s="1425"/>
      <c r="BZ151" s="1425"/>
    </row>
    <row r="152" spans="1:78" s="174" customFormat="1" ht="12.6" customHeight="1">
      <c r="C152" s="456"/>
      <c r="D152" s="456"/>
      <c r="E152" s="456"/>
      <c r="F152" s="456"/>
      <c r="G152" s="456"/>
      <c r="H152" s="456"/>
      <c r="I152" s="456"/>
      <c r="K152" s="456"/>
      <c r="L152" s="456"/>
      <c r="M152" s="456"/>
      <c r="N152" s="456"/>
      <c r="O152" s="456"/>
      <c r="P152" s="456"/>
      <c r="S152" s="569"/>
      <c r="T152" s="2602" t="s">
        <v>274</v>
      </c>
      <c r="U152" s="2601"/>
      <c r="V152" s="2602" t="s">
        <v>273</v>
      </c>
      <c r="W152" s="2601"/>
      <c r="X152" s="2603" t="s">
        <v>276</v>
      </c>
      <c r="Y152" s="2601"/>
      <c r="Z152" s="1338"/>
      <c r="AA152" s="1449"/>
      <c r="AB152" s="1449"/>
      <c r="AC152" s="1449"/>
      <c r="AD152" s="1451">
        <f t="shared" si="100"/>
        <v>0.2</v>
      </c>
      <c r="AE152" s="1450">
        <f>Ta_feuchte</f>
        <v>20</v>
      </c>
      <c r="AF152" s="1449" t="s">
        <v>2324</v>
      </c>
      <c r="AG152" s="1451" t="e">
        <f>SUM(UWert!$H144:$H145)/(SUM(UWert!$H$136:$H$145))</f>
        <v>#DIV/0!</v>
      </c>
      <c r="AH152" s="1450">
        <f>IF(AE152&gt;0,1.40574*POWER(10,10)*EXP(-3928.5/(AE152+231.667)),3.61633*POWER(10,12)*EXP(-6150.6/(AE152+273.33)))</f>
        <v>2336.7157223473796</v>
      </c>
      <c r="AI152" s="1468">
        <f>0*AC152/0.72</f>
        <v>0</v>
      </c>
      <c r="AJ152" s="1451" t="e">
        <f>AI152/SUM(AI143:AI152)</f>
        <v>#DIV/0!</v>
      </c>
      <c r="AK152" s="1450">
        <f>AH152*Rh_aussen</f>
        <v>1402.0294334084276</v>
      </c>
      <c r="AL152" s="1451">
        <f t="shared" si="102"/>
        <v>10.489639823639493</v>
      </c>
      <c r="AM152" s="1449" t="s">
        <v>2324</v>
      </c>
      <c r="AN152" s="1451">
        <f t="shared" si="103"/>
        <v>12.032306379344021</v>
      </c>
      <c r="AO152" s="1449" t="s">
        <v>2324</v>
      </c>
      <c r="AP152" s="1451">
        <f t="shared" si="104"/>
        <v>12.032306379344021</v>
      </c>
      <c r="AQ152" s="1449" t="s">
        <v>2324</v>
      </c>
      <c r="AR152" s="1449"/>
      <c r="AS152" s="1449"/>
      <c r="AT152" s="1449"/>
      <c r="AU152" s="1449"/>
      <c r="AV152" s="1449">
        <f t="shared" si="110"/>
        <v>0.2</v>
      </c>
      <c r="AW152" s="1450">
        <f>Ta_feuchte</f>
        <v>20</v>
      </c>
      <c r="AX152" s="1449" t="s">
        <v>2324</v>
      </c>
      <c r="AY152" s="1451" t="e">
        <f>SUM(UWert!$P144:$P145)/(SUM(UWert!$P$136:$P$145))</f>
        <v>#DIV/0!</v>
      </c>
      <c r="AZ152" s="1450">
        <f t="shared" si="111"/>
        <v>2336.7157223473796</v>
      </c>
      <c r="BA152" s="1451">
        <f>0*(AU152/0.72)</f>
        <v>0</v>
      </c>
      <c r="BB152" s="1451" t="e">
        <f>BA152/SUM(BA143:BA152)</f>
        <v>#DIV/0!</v>
      </c>
      <c r="BC152" s="1450">
        <f>AZ152*Rh_aussen</f>
        <v>1402.0294334084276</v>
      </c>
      <c r="BD152" s="1451">
        <f t="shared" si="106"/>
        <v>10.489639823639493</v>
      </c>
      <c r="BE152" s="1449" t="s">
        <v>2324</v>
      </c>
      <c r="BF152" s="1451">
        <f t="shared" si="107"/>
        <v>12.032306379344021</v>
      </c>
      <c r="BG152" s="1449" t="s">
        <v>2324</v>
      </c>
      <c r="BH152" s="1451">
        <f t="shared" si="108"/>
        <v>12.032306379344021</v>
      </c>
      <c r="BI152" s="1449" t="s">
        <v>2324</v>
      </c>
      <c r="BJ152" s="1424"/>
      <c r="BK152" s="1425"/>
      <c r="BL152" s="1425"/>
      <c r="BM152" s="1425"/>
      <c r="BN152" s="1425"/>
      <c r="BO152" s="1425"/>
      <c r="BP152" s="1425"/>
      <c r="BQ152" s="1425"/>
      <c r="BR152" s="1425"/>
      <c r="BS152" s="1425"/>
      <c r="BT152" s="1425"/>
      <c r="BU152" s="1425"/>
      <c r="BV152" s="1425"/>
      <c r="BW152" s="1425"/>
      <c r="BX152" s="1425"/>
      <c r="BY152" s="1425"/>
      <c r="BZ152" s="1425"/>
    </row>
    <row r="153" spans="1:78" s="174" customFormat="1">
      <c r="C153" s="456"/>
      <c r="D153" s="456"/>
      <c r="E153" s="456"/>
      <c r="F153" s="456"/>
      <c r="G153" s="456"/>
      <c r="H153" s="456"/>
      <c r="I153" s="456"/>
      <c r="K153" s="456"/>
      <c r="L153" s="456"/>
      <c r="M153" s="456"/>
      <c r="N153" s="456"/>
      <c r="O153" s="456"/>
      <c r="P153" s="456"/>
      <c r="S153" s="569"/>
      <c r="T153" s="2600" t="str">
        <f>BT144</f>
        <v/>
      </c>
      <c r="U153" s="2601"/>
      <c r="V153" s="2600">
        <f>BU144</f>
        <v>0</v>
      </c>
      <c r="W153" s="2601"/>
      <c r="X153" s="2603">
        <f>BV144</f>
        <v>0</v>
      </c>
      <c r="Y153" s="2601"/>
      <c r="Z153" s="1338"/>
      <c r="AA153" s="1455"/>
      <c r="AB153" s="1455"/>
      <c r="AC153" s="1455"/>
      <c r="AD153" s="1455"/>
      <c r="AE153" s="1455"/>
      <c r="AF153" s="1455"/>
      <c r="AG153" s="1455"/>
      <c r="AH153" s="1455"/>
      <c r="AI153" s="1469"/>
      <c r="AJ153" s="1455"/>
      <c r="AK153" s="1455"/>
      <c r="AL153" s="1455"/>
      <c r="AM153" s="1455"/>
      <c r="AN153" s="1455"/>
      <c r="AO153" s="1455"/>
      <c r="AP153" s="1455"/>
      <c r="AQ153" s="1455"/>
      <c r="AR153" s="1455"/>
      <c r="AS153" s="1455"/>
      <c r="AT153" s="1455"/>
      <c r="AU153" s="1455"/>
      <c r="AV153" s="1455"/>
      <c r="AW153" s="1455"/>
      <c r="AX153" s="1455"/>
      <c r="AY153" s="1455"/>
      <c r="AZ153" s="1455"/>
      <c r="BA153" s="1455"/>
      <c r="BB153" s="1455"/>
      <c r="BC153" s="1455"/>
      <c r="BD153" s="1455"/>
      <c r="BE153" s="1455"/>
      <c r="BF153" s="1455"/>
      <c r="BG153" s="1455"/>
      <c r="BH153" s="1455"/>
      <c r="BI153" s="1455"/>
      <c r="BJ153" s="1441"/>
      <c r="BK153" s="1425"/>
      <c r="BL153" s="1425"/>
      <c r="BM153" s="1425"/>
      <c r="BN153" s="1425"/>
      <c r="BO153" s="1425"/>
      <c r="BP153" s="1425"/>
      <c r="BQ153" s="1425"/>
      <c r="BR153" s="1425"/>
      <c r="BS153" s="1425"/>
      <c r="BT153" s="1425"/>
      <c r="BU153" s="1425"/>
      <c r="BV153" s="1425"/>
      <c r="BW153" s="1425"/>
      <c r="BX153" s="1425"/>
      <c r="BY153" s="1425"/>
      <c r="BZ153" s="1425"/>
    </row>
    <row r="154" spans="1:78" s="174" customFormat="1">
      <c r="C154" s="456"/>
      <c r="D154" s="456"/>
      <c r="E154" s="456"/>
      <c r="F154" s="456"/>
      <c r="G154" s="456"/>
      <c r="H154" s="456"/>
      <c r="I154" s="456"/>
      <c r="K154" s="456"/>
      <c r="L154" s="456"/>
      <c r="M154" s="456"/>
      <c r="N154" s="456"/>
      <c r="O154" s="456"/>
      <c r="P154" s="456"/>
      <c r="S154" s="569"/>
      <c r="T154" s="615"/>
      <c r="U154" s="616"/>
      <c r="V154" s="2594" t="str">
        <f>BU145</f>
        <v/>
      </c>
      <c r="W154" s="2595"/>
      <c r="X154" s="2594" t="str">
        <f>BV145</f>
        <v/>
      </c>
      <c r="Y154" s="2595"/>
      <c r="Z154" s="1338"/>
      <c r="AA154" s="1443"/>
      <c r="AB154" s="1443"/>
      <c r="AC154" s="1443"/>
      <c r="AD154" s="1443"/>
      <c r="AE154" s="1443"/>
      <c r="AF154" s="1443"/>
      <c r="AG154" s="1443"/>
      <c r="AH154" s="1443"/>
      <c r="AI154" s="1444"/>
      <c r="AJ154" s="1443"/>
      <c r="AK154" s="1443"/>
      <c r="AL154" s="1443"/>
      <c r="AM154" s="1443"/>
      <c r="AN154" s="1443"/>
      <c r="AO154" s="1443"/>
      <c r="AP154" s="1443"/>
      <c r="AQ154" s="1443"/>
      <c r="AR154" s="1443"/>
      <c r="AS154" s="1443"/>
      <c r="AT154" s="1443"/>
      <c r="AU154" s="1443"/>
      <c r="AV154" s="1443"/>
      <c r="AW154" s="1443"/>
      <c r="AX154" s="1443"/>
      <c r="AY154" s="1443"/>
      <c r="AZ154" s="1443"/>
      <c r="BA154" s="1443"/>
      <c r="BB154" s="1443"/>
      <c r="BC154" s="1443"/>
      <c r="BD154" s="1443"/>
      <c r="BE154" s="1443"/>
      <c r="BF154" s="1443"/>
      <c r="BG154" s="1443"/>
      <c r="BH154" s="1443"/>
      <c r="BI154" s="1443"/>
      <c r="BJ154" s="1425"/>
      <c r="BK154" s="1425"/>
      <c r="BL154" s="1425"/>
      <c r="BM154" s="1425"/>
      <c r="BN154" s="1425"/>
      <c r="BO154" s="1425"/>
      <c r="BP154" s="1425"/>
      <c r="BQ154" s="1425"/>
      <c r="BR154" s="1425"/>
      <c r="BS154" s="1425"/>
      <c r="BT154" s="1425"/>
      <c r="BU154" s="1425"/>
      <c r="BV154" s="1425"/>
      <c r="BW154" s="1425"/>
      <c r="BX154" s="1425"/>
      <c r="BY154" s="1425"/>
      <c r="BZ154" s="1425"/>
    </row>
    <row r="155" spans="1:78" s="174" customFormat="1">
      <c r="C155" s="456"/>
      <c r="D155" s="456"/>
      <c r="E155" s="456"/>
      <c r="F155" s="456"/>
      <c r="G155" s="456"/>
      <c r="H155" s="456"/>
      <c r="I155" s="456"/>
      <c r="K155" s="456"/>
      <c r="L155" s="456"/>
      <c r="M155" s="456"/>
      <c r="N155" s="456"/>
      <c r="O155" s="456"/>
      <c r="P155" s="456"/>
      <c r="S155" s="569"/>
      <c r="T155" s="2608"/>
      <c r="U155" s="2608"/>
      <c r="V155" s="565"/>
      <c r="W155" s="2608"/>
      <c r="X155" s="2608"/>
      <c r="Y155" s="199"/>
      <c r="Z155" s="1338"/>
      <c r="AA155" s="1443"/>
      <c r="AB155" s="1443"/>
      <c r="AC155" s="1443"/>
      <c r="AD155" s="1443"/>
      <c r="AE155" s="1443"/>
      <c r="AF155" s="1443"/>
      <c r="AG155" s="1443"/>
      <c r="AH155" s="1443"/>
      <c r="AI155" s="1444"/>
      <c r="AJ155" s="1443"/>
      <c r="AK155" s="1443"/>
      <c r="AL155" s="1443"/>
      <c r="AM155" s="1443"/>
      <c r="AN155" s="1443"/>
      <c r="AO155" s="1443"/>
      <c r="AP155" s="1443"/>
      <c r="AQ155" s="1443"/>
      <c r="AR155" s="1443"/>
      <c r="AS155" s="1443"/>
      <c r="AT155" s="1443"/>
      <c r="AU155" s="1443"/>
      <c r="AV155" s="1443"/>
      <c r="AW155" s="1443"/>
      <c r="AX155" s="1443"/>
      <c r="AY155" s="1443"/>
      <c r="AZ155" s="1443"/>
      <c r="BA155" s="1443"/>
      <c r="BB155" s="1443"/>
      <c r="BC155" s="1443"/>
      <c r="BD155" s="1443"/>
      <c r="BE155" s="1443"/>
      <c r="BF155" s="1443"/>
      <c r="BG155" s="1443"/>
      <c r="BH155" s="1443"/>
      <c r="BI155" s="1443"/>
      <c r="BJ155" s="1425"/>
      <c r="BK155" s="1425"/>
      <c r="BL155" s="1425"/>
      <c r="BM155" s="1425"/>
      <c r="BN155" s="1425"/>
      <c r="BO155" s="1425"/>
      <c r="BP155" s="1425"/>
      <c r="BQ155" s="1425"/>
      <c r="BR155" s="1425"/>
      <c r="BS155" s="1425"/>
      <c r="BT155" s="1425"/>
      <c r="BU155" s="1425"/>
      <c r="BV155" s="1425"/>
      <c r="BW155" s="1425"/>
      <c r="BX155" s="1425"/>
      <c r="BY155" s="1425"/>
      <c r="BZ155" s="1425"/>
    </row>
    <row r="156" spans="1:78" s="174" customFormat="1" ht="13.5" thickBot="1">
      <c r="C156" s="199"/>
      <c r="D156" s="199"/>
      <c r="E156" s="199"/>
      <c r="F156" s="199"/>
      <c r="G156" s="199"/>
      <c r="H156" s="199"/>
      <c r="I156" s="199"/>
      <c r="J156" s="199"/>
      <c r="K156" s="199"/>
      <c r="L156" s="199"/>
      <c r="M156" s="199"/>
      <c r="N156" s="199"/>
      <c r="O156" s="199"/>
      <c r="P156" s="199"/>
      <c r="Q156" s="199"/>
      <c r="S156" s="569"/>
      <c r="T156" s="199"/>
      <c r="U156" s="199"/>
      <c r="V156" s="565"/>
      <c r="W156" s="565"/>
      <c r="X156" s="565"/>
      <c r="Y156" s="199"/>
      <c r="Z156" s="1338"/>
      <c r="AA156" s="1443"/>
      <c r="AB156" s="1443"/>
      <c r="AC156" s="1443"/>
      <c r="AD156" s="1443"/>
      <c r="AE156" s="1443"/>
      <c r="AF156" s="1443"/>
      <c r="AG156" s="1443"/>
      <c r="AH156" s="1443"/>
      <c r="AI156" s="1444"/>
      <c r="AJ156" s="1443"/>
      <c r="AK156" s="1443"/>
      <c r="AL156" s="1443"/>
      <c r="AM156" s="1443"/>
      <c r="AN156" s="1443"/>
      <c r="AO156" s="1443"/>
      <c r="AP156" s="1443"/>
      <c r="AQ156" s="1443"/>
      <c r="AR156" s="1443"/>
      <c r="AS156" s="1443"/>
      <c r="AT156" s="1443"/>
      <c r="AU156" s="1443"/>
      <c r="AV156" s="1443"/>
      <c r="AW156" s="1443"/>
      <c r="AX156" s="1443"/>
      <c r="AY156" s="1443"/>
      <c r="AZ156" s="1443"/>
      <c r="BA156" s="1443"/>
      <c r="BB156" s="1443"/>
      <c r="BC156" s="1443"/>
      <c r="BD156" s="1443"/>
      <c r="BE156" s="1443"/>
      <c r="BF156" s="1443"/>
      <c r="BG156" s="1443"/>
      <c r="BH156" s="1443"/>
      <c r="BI156" s="1443"/>
      <c r="BJ156" s="1425"/>
      <c r="BK156" s="1425"/>
      <c r="BL156" s="1425"/>
      <c r="BM156" s="1425"/>
      <c r="BN156" s="1425"/>
      <c r="BO156" s="1425"/>
      <c r="BP156" s="1425"/>
      <c r="BQ156" s="1425"/>
      <c r="BR156" s="1425"/>
      <c r="BS156" s="1425"/>
      <c r="BT156" s="1425"/>
      <c r="BU156" s="1425"/>
      <c r="BV156" s="1425"/>
      <c r="BW156" s="1425"/>
      <c r="BX156" s="1425"/>
      <c r="BY156" s="1425"/>
      <c r="BZ156" s="1425"/>
    </row>
    <row r="157" spans="1:78" s="174" customFormat="1" ht="4.9000000000000004" hidden="1" customHeight="1">
      <c r="C157" s="350"/>
      <c r="S157" s="569"/>
      <c r="T157" s="199"/>
      <c r="U157" s="199"/>
      <c r="V157" s="572"/>
      <c r="W157" s="572"/>
      <c r="X157" s="572"/>
      <c r="Y157" s="1425"/>
      <c r="Z157" s="1425"/>
      <c r="AA157" s="1443"/>
      <c r="AB157" s="1443"/>
      <c r="AC157" s="1443"/>
      <c r="AD157" s="1443"/>
      <c r="AE157" s="1443"/>
      <c r="AF157" s="1443"/>
      <c r="AG157" s="1443"/>
      <c r="AH157" s="1443"/>
      <c r="AI157" s="1444"/>
      <c r="AJ157" s="1443"/>
      <c r="AK157" s="1443"/>
      <c r="AL157" s="1443"/>
      <c r="AM157" s="1443"/>
      <c r="AN157" s="1443"/>
      <c r="AO157" s="1443"/>
      <c r="AP157" s="1443"/>
      <c r="AQ157" s="1443"/>
      <c r="AR157" s="1443"/>
      <c r="AS157" s="1443"/>
      <c r="AT157" s="1443"/>
      <c r="AU157" s="1443"/>
      <c r="AV157" s="1443"/>
      <c r="AW157" s="1443"/>
      <c r="AX157" s="1443"/>
      <c r="AY157" s="1443"/>
      <c r="AZ157" s="1443"/>
      <c r="BA157" s="1443"/>
      <c r="BB157" s="1443"/>
      <c r="BC157" s="1443"/>
      <c r="BD157" s="1443"/>
      <c r="BE157" s="1443"/>
      <c r="BF157" s="1443"/>
      <c r="BG157" s="1443"/>
      <c r="BH157" s="1443"/>
      <c r="BI157" s="1443"/>
      <c r="BJ157" s="1425"/>
      <c r="BK157" s="1425"/>
      <c r="BL157" s="1425"/>
      <c r="BM157" s="1425"/>
      <c r="BN157" s="1425"/>
      <c r="BO157" s="1425"/>
      <c r="BP157" s="1425"/>
      <c r="BQ157" s="1425"/>
      <c r="BR157" s="1425"/>
      <c r="BS157" s="1425"/>
      <c r="BT157" s="1425"/>
      <c r="BU157" s="1425"/>
      <c r="BV157" s="1425"/>
      <c r="BW157" s="1425"/>
      <c r="BX157" s="1425"/>
      <c r="BY157" s="1425"/>
      <c r="BZ157" s="1425"/>
    </row>
    <row r="158" spans="1:78" s="174" customFormat="1" ht="12.6" hidden="1" customHeight="1" thickBot="1">
      <c r="A158" s="1425"/>
      <c r="B158" s="1425"/>
      <c r="C158" s="1425"/>
      <c r="D158" s="1425"/>
      <c r="E158" s="1425"/>
      <c r="F158" s="1425"/>
      <c r="G158" s="1425"/>
      <c r="H158" s="1425"/>
      <c r="I158" s="1425"/>
      <c r="J158" s="1425"/>
      <c r="K158" s="1425"/>
      <c r="L158" s="1425"/>
      <c r="M158" s="1425"/>
      <c r="N158" s="1425"/>
      <c r="O158" s="1425"/>
      <c r="P158" s="1425"/>
      <c r="Q158" s="1425"/>
      <c r="R158" s="1425"/>
      <c r="S158" s="1425"/>
      <c r="T158" s="1425"/>
      <c r="U158" s="1425"/>
      <c r="V158" s="1425"/>
      <c r="W158" s="1425"/>
      <c r="X158" s="1425"/>
      <c r="Y158" s="1425"/>
      <c r="Z158" s="1425"/>
      <c r="AA158" s="1443"/>
      <c r="AB158" s="1443"/>
      <c r="AC158" s="1443"/>
      <c r="AD158" s="1443"/>
      <c r="AE158" s="1443"/>
      <c r="AF158" s="1443"/>
      <c r="AG158" s="1443"/>
      <c r="AH158" s="1443"/>
      <c r="AI158" s="1444"/>
      <c r="AJ158" s="1443"/>
      <c r="AK158" s="1443"/>
      <c r="AL158" s="1443"/>
      <c r="AM158" s="1443"/>
      <c r="AN158" s="1443"/>
      <c r="AO158" s="1443"/>
      <c r="AP158" s="1443"/>
      <c r="AQ158" s="1443"/>
      <c r="AR158" s="1443"/>
      <c r="AS158" s="1443"/>
      <c r="AT158" s="1443"/>
      <c r="AU158" s="1443"/>
      <c r="AV158" s="1443"/>
      <c r="AW158" s="1443"/>
      <c r="AX158" s="1443"/>
      <c r="AY158" s="1443"/>
      <c r="AZ158" s="1443"/>
      <c r="BA158" s="1443"/>
      <c r="BB158" s="1443"/>
      <c r="BC158" s="1443"/>
      <c r="BD158" s="1443"/>
      <c r="BE158" s="1443"/>
      <c r="BF158" s="1443"/>
      <c r="BG158" s="1443"/>
      <c r="BH158" s="1443"/>
      <c r="BI158" s="1443"/>
      <c r="BJ158" s="1425"/>
      <c r="BK158" s="1425"/>
      <c r="BL158" s="1425"/>
      <c r="BM158" s="1425"/>
      <c r="BN158" s="1425"/>
      <c r="BO158" s="1425"/>
      <c r="BP158" s="1425"/>
      <c r="BQ158" s="1425"/>
      <c r="BR158" s="1425"/>
      <c r="BS158" s="1425"/>
      <c r="BT158" s="1425"/>
      <c r="BU158" s="1425"/>
      <c r="BV158" s="1425"/>
      <c r="BW158" s="1425"/>
      <c r="BX158" s="1425"/>
      <c r="BY158" s="1425"/>
      <c r="BZ158" s="1425"/>
    </row>
    <row r="159" spans="1:78" s="174" customFormat="1" ht="12.6" customHeight="1" thickBot="1">
      <c r="C159" s="487">
        <v>20</v>
      </c>
      <c r="D159" s="490">
        <f>UWert!C148</f>
        <v>0</v>
      </c>
      <c r="E159" s="485"/>
      <c r="F159" s="485"/>
      <c r="G159" s="485"/>
      <c r="H159" s="485"/>
      <c r="I159" s="485"/>
      <c r="J159" s="485"/>
      <c r="K159" s="485"/>
      <c r="L159" s="485"/>
      <c r="M159" s="485"/>
      <c r="N159" s="485"/>
      <c r="O159" s="485"/>
      <c r="P159" s="485"/>
      <c r="Q159" s="486"/>
      <c r="S159" s="569"/>
      <c r="T159" s="568">
        <v>20</v>
      </c>
      <c r="U159" s="488">
        <f>UWert!C145</f>
        <v>0</v>
      </c>
      <c r="V159" s="573"/>
      <c r="W159" s="488"/>
      <c r="X159" s="573"/>
      <c r="Y159" s="567"/>
      <c r="Z159" s="1338"/>
      <c r="AA159" s="1448" t="s">
        <v>1957</v>
      </c>
      <c r="AB159" s="1448" t="s">
        <v>1958</v>
      </c>
      <c r="AC159" s="1449" t="s">
        <v>2326</v>
      </c>
      <c r="AD159" s="1449" t="s">
        <v>791</v>
      </c>
      <c r="AE159" s="1449" t="s">
        <v>2327</v>
      </c>
      <c r="AF159" s="1449"/>
      <c r="AG159" s="1449" t="s">
        <v>1959</v>
      </c>
      <c r="AH159" s="1449" t="s">
        <v>106</v>
      </c>
      <c r="AI159" s="1453" t="s">
        <v>2201</v>
      </c>
      <c r="AJ159" s="1449" t="s">
        <v>108</v>
      </c>
      <c r="AK159" s="1449" t="s">
        <v>1250</v>
      </c>
      <c r="AL159" s="1449" t="s">
        <v>109</v>
      </c>
      <c r="AM159" s="1449"/>
      <c r="AN159" s="1449" t="s">
        <v>110</v>
      </c>
      <c r="AO159" s="1449"/>
      <c r="AP159" s="1449" t="s">
        <v>111</v>
      </c>
      <c r="AQ159" s="1449"/>
      <c r="AR159" s="1449"/>
      <c r="AS159" s="1448" t="s">
        <v>1957</v>
      </c>
      <c r="AT159" s="1448" t="s">
        <v>1958</v>
      </c>
      <c r="AU159" s="1449" t="s">
        <v>2326</v>
      </c>
      <c r="AV159" s="1449" t="s">
        <v>791</v>
      </c>
      <c r="AW159" s="1449" t="s">
        <v>2327</v>
      </c>
      <c r="AX159" s="1449"/>
      <c r="AY159" s="1449" t="s">
        <v>1959</v>
      </c>
      <c r="AZ159" s="1449" t="s">
        <v>106</v>
      </c>
      <c r="BA159" s="1449" t="s">
        <v>107</v>
      </c>
      <c r="BB159" s="1449" t="s">
        <v>108</v>
      </c>
      <c r="BC159" s="1449" t="s">
        <v>1250</v>
      </c>
      <c r="BD159" s="1449" t="s">
        <v>109</v>
      </c>
      <c r="BE159" s="1449"/>
      <c r="BF159" s="1449" t="s">
        <v>110</v>
      </c>
      <c r="BG159" s="1449"/>
      <c r="BH159" s="1449" t="s">
        <v>111</v>
      </c>
      <c r="BI159" s="1449"/>
      <c r="BJ159" s="1424"/>
      <c r="BK159" s="1426">
        <v>19.100000000000001</v>
      </c>
      <c r="BL159" s="1427" t="s">
        <v>840</v>
      </c>
      <c r="BM159" s="1428" t="s">
        <v>838</v>
      </c>
      <c r="BN159" s="1429" t="s">
        <v>839</v>
      </c>
      <c r="BO159" s="1430"/>
      <c r="BP159" s="1430"/>
      <c r="BQ159" s="1430"/>
      <c r="BR159" s="1430"/>
      <c r="BS159" s="1426">
        <v>19.2</v>
      </c>
      <c r="BT159" s="1427" t="s">
        <v>840</v>
      </c>
      <c r="BU159" s="1428" t="s">
        <v>838</v>
      </c>
      <c r="BV159" s="1429" t="s">
        <v>839</v>
      </c>
      <c r="BW159" s="1425"/>
      <c r="BX159" s="1425"/>
      <c r="BY159" s="1425"/>
      <c r="BZ159" s="1425"/>
    </row>
    <row r="160" spans="1:78" s="174" customFormat="1" ht="12.6" customHeight="1">
      <c r="C160" s="456"/>
      <c r="D160" s="456"/>
      <c r="E160" s="456"/>
      <c r="F160" s="456"/>
      <c r="G160" s="456"/>
      <c r="H160" s="456"/>
      <c r="I160" s="456"/>
      <c r="K160" s="456"/>
      <c r="L160" s="456"/>
      <c r="M160" s="456"/>
      <c r="N160" s="456"/>
      <c r="O160" s="456"/>
      <c r="P160" s="456"/>
      <c r="S160" s="569"/>
      <c r="T160" s="490" t="str">
        <f>T143</f>
        <v>1ère partie</v>
      </c>
      <c r="U160" s="485"/>
      <c r="V160" s="485"/>
      <c r="W160" s="485"/>
      <c r="X160" s="485"/>
      <c r="Y160" s="486"/>
      <c r="Z160" s="1338"/>
      <c r="AA160" s="1450" t="e">
        <f>Rh_innen*AH160-Rh_aussen*AH169</f>
        <v>#DIV/0!</v>
      </c>
      <c r="AB160" s="1449">
        <f>Ti_feuchte-Ta_feuchte</f>
        <v>0</v>
      </c>
      <c r="AC160" s="1451">
        <v>0.1</v>
      </c>
      <c r="AD160" s="1449">
        <v>0</v>
      </c>
      <c r="AE160" s="1451" t="e">
        <f>AG161*$AB$160+AE161</f>
        <v>#DIV/0!</v>
      </c>
      <c r="AF160" s="1449" t="s">
        <v>2324</v>
      </c>
      <c r="AG160" s="1451"/>
      <c r="AH160" s="1450" t="e">
        <f>IF(AE160&gt;0,1.40574*POWER(10,10)*EXP(-3928.5/(AE160+231.667)),3.61633*POWER(10,12)*EXP(-6150.6/(AE160+273.33)))</f>
        <v>#DIV/0!</v>
      </c>
      <c r="AI160" s="1468"/>
      <c r="AJ160" s="1451"/>
      <c r="AK160" s="1450" t="e">
        <f>AH160*Rh_innen</f>
        <v>#DIV/0!</v>
      </c>
      <c r="AL160" s="1451" t="e">
        <f>(1/(LN(AK160/(3.61633*POWER(10,12))))*-6150.6)-273.33</f>
        <v>#DIV/0!</v>
      </c>
      <c r="AM160" s="1449" t="s">
        <v>2324</v>
      </c>
      <c r="AN160" s="1451" t="e">
        <f>(1/(LN(AK160/(1.40574*POWER(10,10))))*-3928.5)-231.66</f>
        <v>#DIV/0!</v>
      </c>
      <c r="AO160" s="1449" t="s">
        <v>2324</v>
      </c>
      <c r="AP160" s="1451" t="e">
        <f>IF(AN160&lt;0,AL160,AN160)</f>
        <v>#DIV/0!</v>
      </c>
      <c r="AQ160" s="1449" t="s">
        <v>2324</v>
      </c>
      <c r="AR160" s="1449"/>
      <c r="AS160" s="1450" t="e">
        <f>Rh_innen*AZ160-Rh_aussen*AZ169</f>
        <v>#DIV/0!</v>
      </c>
      <c r="AT160" s="1449">
        <f>Ti_feuchte-Ta_feuchte</f>
        <v>0</v>
      </c>
      <c r="AU160" s="1451">
        <v>0.1</v>
      </c>
      <c r="AV160" s="1449">
        <v>0</v>
      </c>
      <c r="AW160" s="1451" t="e">
        <f>AY161*$AT$160+AW161</f>
        <v>#DIV/0!</v>
      </c>
      <c r="AX160" s="1449" t="s">
        <v>2324</v>
      </c>
      <c r="AY160" s="1451"/>
      <c r="AZ160" s="1450" t="e">
        <f>IF(AW160&gt;0,1.40574*POWER(10,10)*EXP(-3928.5/(AW160+231.667)),3.61633*POWER(10,12)*EXP(-6150.6/(AW160+273.33)))</f>
        <v>#DIV/0!</v>
      </c>
      <c r="BA160" s="1451"/>
      <c r="BB160" s="1451"/>
      <c r="BC160" s="1450" t="e">
        <f>AZ160*Rh_innen</f>
        <v>#DIV/0!</v>
      </c>
      <c r="BD160" s="1451" t="e">
        <f>(1/(LN(BC160/(3.61633*POWER(10,12))))*-6150.6)-273.33</f>
        <v>#DIV/0!</v>
      </c>
      <c r="BE160" s="1449" t="s">
        <v>2324</v>
      </c>
      <c r="BF160" s="1451" t="e">
        <f>(1/(LN(BC160/(1.40574*POWER(10,10))))*-3928.5)-231.66</f>
        <v>#DIV/0!</v>
      </c>
      <c r="BG160" s="1449" t="s">
        <v>2324</v>
      </c>
      <c r="BH160" s="1451" t="e">
        <f>IF(BF160&lt;0,BD160,BF160)</f>
        <v>#DIV/0!</v>
      </c>
      <c r="BI160" s="1449" t="s">
        <v>2324</v>
      </c>
      <c r="BJ160" s="1424"/>
      <c r="BK160" s="1430"/>
      <c r="BL160" s="1431" t="s">
        <v>1987</v>
      </c>
      <c r="BM160" s="1432" t="s">
        <v>1988</v>
      </c>
      <c r="BN160" s="1433" t="s">
        <v>1989</v>
      </c>
      <c r="BO160" s="1430"/>
      <c r="BP160" s="1430"/>
      <c r="BQ160" s="1430"/>
      <c r="BR160" s="1430"/>
      <c r="BS160" s="1430"/>
      <c r="BT160" s="1431" t="s">
        <v>1987</v>
      </c>
      <c r="BU160" s="1432" t="s">
        <v>1988</v>
      </c>
      <c r="BV160" s="1433" t="s">
        <v>1989</v>
      </c>
      <c r="BW160" s="1425"/>
      <c r="BX160" s="1425"/>
      <c r="BY160" s="1425"/>
      <c r="BZ160" s="1425"/>
    </row>
    <row r="161" spans="1:78" s="174" customFormat="1" ht="12.6" customHeight="1">
      <c r="C161" s="456"/>
      <c r="D161" s="456"/>
      <c r="E161" s="456"/>
      <c r="F161" s="456"/>
      <c r="G161" s="456"/>
      <c r="H161" s="456"/>
      <c r="I161" s="456"/>
      <c r="K161" s="456"/>
      <c r="L161" s="456"/>
      <c r="M161" s="456"/>
      <c r="N161" s="456"/>
      <c r="O161" s="456"/>
      <c r="P161" s="456"/>
      <c r="S161" s="569"/>
      <c r="T161" s="2592" t="str">
        <f>T150</f>
        <v>valeur qui est</v>
      </c>
      <c r="U161" s="2593"/>
      <c r="V161" s="2596" t="str">
        <f>V150</f>
        <v>valeur limite</v>
      </c>
      <c r="W161" s="2597"/>
      <c r="X161" s="2596" t="str">
        <f>X150</f>
        <v>valeur limite</v>
      </c>
      <c r="Y161" s="2597"/>
      <c r="Z161" s="1338"/>
      <c r="AA161" s="1449"/>
      <c r="AB161" s="1449"/>
      <c r="AC161" s="1451">
        <f>UWert!$F154/100</f>
        <v>0</v>
      </c>
      <c r="AD161" s="1451">
        <f t="shared" ref="AD161:AD169" si="112">AD160+AC160</f>
        <v>0.1</v>
      </c>
      <c r="AE161" s="1451" t="e">
        <f t="shared" ref="AE161:AE168" si="113">AG162*$AB$160+AE162</f>
        <v>#DIV/0!</v>
      </c>
      <c r="AF161" s="1449" t="s">
        <v>2324</v>
      </c>
      <c r="AG161" s="1451" t="e">
        <f>UWert!$H153/(SUM(UWert!$H$153:$H$162))</f>
        <v>#DIV/0!</v>
      </c>
      <c r="AH161" s="1450" t="e">
        <f>IF(AE161&gt;0,1.40574*POWER(10,10)*EXP(-3928.5/(AE161+231.667)),3.61633*POWER(10,12)*EXP(-6150.6/(AE161+273.33)))</f>
        <v>#DIV/0!</v>
      </c>
      <c r="AI161" s="1468">
        <f>INDEX(Bauteile!$I$57:$I$1152,UWert!BA154)*(AC161)*(1/0.72)</f>
        <v>0</v>
      </c>
      <c r="AJ161" s="1451" t="e">
        <f>AI161/SUM(AI160:AI169)</f>
        <v>#DIV/0!</v>
      </c>
      <c r="AK161" s="1450" t="e">
        <f>AJ161*$AA$160+AK162</f>
        <v>#DIV/0!</v>
      </c>
      <c r="AL161" s="1451" t="e">
        <f t="shared" ref="AL161:AL169" si="114">(1/(LN(AK161/(3.61633*POWER(10,12))))*-6150.6)-273.33</f>
        <v>#DIV/0!</v>
      </c>
      <c r="AM161" s="1449" t="s">
        <v>2324</v>
      </c>
      <c r="AN161" s="1451" t="e">
        <f t="shared" ref="AN161:AN169" si="115">(1/(LN(AK161/(1.40574*POWER(10,10))))*-3928.5)-231.66</f>
        <v>#DIV/0!</v>
      </c>
      <c r="AO161" s="1449" t="s">
        <v>2324</v>
      </c>
      <c r="AP161" s="1451" t="e">
        <f t="shared" ref="AP161:AP169" si="116">IF(AN161&lt;0,AL161,AN161)</f>
        <v>#DIV/0!</v>
      </c>
      <c r="AQ161" s="1449" t="s">
        <v>2324</v>
      </c>
      <c r="AR161" s="1449"/>
      <c r="AS161" s="1449"/>
      <c r="AT161" s="1449"/>
      <c r="AU161" s="1451">
        <f>UWert!$N154/100</f>
        <v>0</v>
      </c>
      <c r="AV161" s="1449">
        <f>AV160+AU160</f>
        <v>0.1</v>
      </c>
      <c r="AW161" s="1451" t="e">
        <f t="shared" ref="AW161:AW168" si="117">AY162*$AT$160+AW162</f>
        <v>#DIV/0!</v>
      </c>
      <c r="AX161" s="1449" t="s">
        <v>2324</v>
      </c>
      <c r="AY161" s="1451" t="e">
        <f>UWert!$P153/(SUM(UWert!$P$153:$P$162))</f>
        <v>#DIV/0!</v>
      </c>
      <c r="AZ161" s="1450" t="e">
        <f>IF(AW161&gt;0,1.40574*POWER(10,10)*EXP(-3928.5/(AW161+231.667)),3.61633*POWER(10,12)*EXP(-6150.6/(AW161+273.33)))</f>
        <v>#DIV/0!</v>
      </c>
      <c r="BA161" s="1451">
        <f>INDEX(Bauteile!$I$57:$I$1152,UWert!BB154)*(AU161)*(1/0.72)</f>
        <v>0</v>
      </c>
      <c r="BB161" s="1451" t="e">
        <f>BA161/SUM(BA160:BA169)</f>
        <v>#DIV/0!</v>
      </c>
      <c r="BC161" s="1450" t="e">
        <f>BB161*$AS$160+BC162</f>
        <v>#DIV/0!</v>
      </c>
      <c r="BD161" s="1451" t="e">
        <f t="shared" ref="BD161:BD169" si="118">(1/(LN(BC161/(3.61633*POWER(10,12))))*-6150.6)-273.33</f>
        <v>#DIV/0!</v>
      </c>
      <c r="BE161" s="1449" t="s">
        <v>2324</v>
      </c>
      <c r="BF161" s="1451" t="e">
        <f t="shared" ref="BF161:BF169" si="119">(1/(LN(BC161/(1.40574*POWER(10,10))))*-3928.5)-231.66</f>
        <v>#DIV/0!</v>
      </c>
      <c r="BG161" s="1449" t="s">
        <v>2324</v>
      </c>
      <c r="BH161" s="1451" t="e">
        <f t="shared" ref="BH161:BH169" si="120">IF(BF161&lt;0,BD161,BF161)</f>
        <v>#DIV/0!</v>
      </c>
      <c r="BI161" s="1449" t="s">
        <v>2324</v>
      </c>
      <c r="BJ161" s="1424"/>
      <c r="BK161" s="1430"/>
      <c r="BL161" s="1434" t="str">
        <f>IF(BL162&gt;0,BL162*((1/BL162)-(1/6)),"")</f>
        <v/>
      </c>
      <c r="BM161" s="1435">
        <f>$BM$15</f>
        <v>0</v>
      </c>
      <c r="BN161" s="1436">
        <f>$BN$15</f>
        <v>0</v>
      </c>
      <c r="BO161" s="1430"/>
      <c r="BP161" s="1430"/>
      <c r="BQ161" s="1430"/>
      <c r="BR161" s="1430"/>
      <c r="BS161" s="1430"/>
      <c r="BT161" s="1434" t="str">
        <f>IF(BT162&gt;0,BT162*((1/BT162)-(1/6)),"")</f>
        <v/>
      </c>
      <c r="BU161" s="1435">
        <f>$BM$15</f>
        <v>0</v>
      </c>
      <c r="BV161" s="1436">
        <f>$BN$15</f>
        <v>0</v>
      </c>
      <c r="BW161" s="1425"/>
      <c r="BX161" s="1425"/>
      <c r="BY161" s="1425"/>
      <c r="BZ161" s="1425"/>
    </row>
    <row r="162" spans="1:78" s="174" customFormat="1" ht="12.6" customHeight="1" thickBot="1">
      <c r="C162" s="456"/>
      <c r="D162" s="456"/>
      <c r="E162" s="456"/>
      <c r="F162" s="456"/>
      <c r="G162" s="456"/>
      <c r="H162" s="456"/>
      <c r="I162" s="456"/>
      <c r="K162" s="456"/>
      <c r="L162" s="456"/>
      <c r="M162" s="456"/>
      <c r="N162" s="456"/>
      <c r="O162" s="456"/>
      <c r="P162" s="456"/>
      <c r="S162" s="569"/>
      <c r="T162" s="2596"/>
      <c r="U162" s="2607"/>
      <c r="V162" s="2596" t="str">
        <f>V151</f>
        <v>condens.</v>
      </c>
      <c r="W162" s="2597"/>
      <c r="X162" s="2596" t="str">
        <f>X151</f>
        <v>penicillium</v>
      </c>
      <c r="Y162" s="2604"/>
      <c r="Z162" s="1338"/>
      <c r="AA162" s="1449"/>
      <c r="AB162" s="1449"/>
      <c r="AC162" s="1451">
        <f>UWert!$F155/100</f>
        <v>0</v>
      </c>
      <c r="AD162" s="1451">
        <f t="shared" si="112"/>
        <v>0.1</v>
      </c>
      <c r="AE162" s="1451" t="e">
        <f t="shared" si="113"/>
        <v>#DIV/0!</v>
      </c>
      <c r="AF162" s="1449" t="s">
        <v>2324</v>
      </c>
      <c r="AG162" s="1451" t="e">
        <f>UWert!$H154/(SUM(UWert!$H$153:$H$162))</f>
        <v>#DIV/0!</v>
      </c>
      <c r="AH162" s="1450" t="e">
        <f t="shared" ref="AH162:AH168" si="121">IF(AE162&gt;0,1.40574*POWER(10,10)*EXP(-3928.5/(AE162+231.667)),3.61633*POWER(10,12)*EXP(-6150.6/(AE162+273.33)))</f>
        <v>#DIV/0!</v>
      </c>
      <c r="AI162" s="1468">
        <f>INDEX(Bauteile!$I$57:$I$1152,UWert!BA155)*(AC162)*(1/0.72)</f>
        <v>0</v>
      </c>
      <c r="AJ162" s="1451" t="e">
        <f>AI162/SUM(AI160:AI169)</f>
        <v>#DIV/0!</v>
      </c>
      <c r="AK162" s="1450" t="e">
        <f t="shared" ref="AK162:AK168" si="122">AJ162*$AA$160+AK163</f>
        <v>#DIV/0!</v>
      </c>
      <c r="AL162" s="1451" t="e">
        <f t="shared" si="114"/>
        <v>#DIV/0!</v>
      </c>
      <c r="AM162" s="1449" t="s">
        <v>2324</v>
      </c>
      <c r="AN162" s="1451" t="e">
        <f t="shared" si="115"/>
        <v>#DIV/0!</v>
      </c>
      <c r="AO162" s="1449" t="s">
        <v>2324</v>
      </c>
      <c r="AP162" s="1451" t="e">
        <f t="shared" si="116"/>
        <v>#DIV/0!</v>
      </c>
      <c r="AQ162" s="1449" t="s">
        <v>2324</v>
      </c>
      <c r="AR162" s="1449"/>
      <c r="AS162" s="1449"/>
      <c r="AT162" s="1449"/>
      <c r="AU162" s="1451">
        <f>UWert!$N155/100</f>
        <v>0</v>
      </c>
      <c r="AV162" s="1449">
        <f t="shared" ref="AV162:AV169" si="123">AV161+AU161</f>
        <v>0.1</v>
      </c>
      <c r="AW162" s="1451" t="e">
        <f t="shared" si="117"/>
        <v>#DIV/0!</v>
      </c>
      <c r="AX162" s="1449" t="s">
        <v>2324</v>
      </c>
      <c r="AY162" s="1451" t="e">
        <f>UWert!$P154/(SUM(UWert!$P$153:$P$162))</f>
        <v>#DIV/0!</v>
      </c>
      <c r="AZ162" s="1450" t="e">
        <f t="shared" ref="AZ162:AZ169" si="124">IF(AW162&gt;0,1.40574*POWER(10,10)*EXP(-3928.5/(AW162+231.667)),3.61633*POWER(10,12)*EXP(-6150.6/(AW162+273.33)))</f>
        <v>#DIV/0!</v>
      </c>
      <c r="BA162" s="1451">
        <f>INDEX(Bauteile!$I$57:$I$1152,UWert!BB155)*(AU162)*(1/0.72)</f>
        <v>0</v>
      </c>
      <c r="BB162" s="1451" t="e">
        <f>BA162/SUM(BA160:BA169)</f>
        <v>#DIV/0!</v>
      </c>
      <c r="BC162" s="1450" t="e">
        <f t="shared" ref="BC162:BC168" si="125">BB162*$AS$160+BC163</f>
        <v>#DIV/0!</v>
      </c>
      <c r="BD162" s="1451" t="e">
        <f t="shared" si="118"/>
        <v>#DIV/0!</v>
      </c>
      <c r="BE162" s="1449" t="s">
        <v>2324</v>
      </c>
      <c r="BF162" s="1451" t="e">
        <f t="shared" si="119"/>
        <v>#DIV/0!</v>
      </c>
      <c r="BG162" s="1449" t="s">
        <v>2324</v>
      </c>
      <c r="BH162" s="1451" t="e">
        <f t="shared" si="120"/>
        <v>#DIV/0!</v>
      </c>
      <c r="BI162" s="1449" t="s">
        <v>2324</v>
      </c>
      <c r="BJ162" s="1424"/>
      <c r="BK162" s="1437"/>
      <c r="BL162" s="1438">
        <f>IF(UWert!F151&gt;0,1/((1/UWert!F151)-(1/8)+(1/6)),)</f>
        <v>0</v>
      </c>
      <c r="BM162" s="1439" t="str">
        <f>IF(BL161&gt;BM161,"","Problem !!!")</f>
        <v/>
      </c>
      <c r="BN162" s="1440" t="str">
        <f>IF(BL161&gt;BN161,"","Problem !!!")</f>
        <v/>
      </c>
      <c r="BO162" s="1437"/>
      <c r="BP162" s="1437"/>
      <c r="BQ162" s="1437"/>
      <c r="BR162" s="1437"/>
      <c r="BS162" s="1437"/>
      <c r="BT162" s="1438">
        <f>IF(UWert!N151&gt;0,1/((1/UWert!N151)-(1/8)+(1/6)),)</f>
        <v>0</v>
      </c>
      <c r="BU162" s="1439" t="str">
        <f>IF(BT161&gt;BU161,"","Problem !!!")</f>
        <v/>
      </c>
      <c r="BV162" s="1440" t="str">
        <f>IF(BT161&gt;BV161,"","Problem !!!")</f>
        <v/>
      </c>
      <c r="BW162" s="1425"/>
      <c r="BX162" s="1425"/>
      <c r="BY162" s="1425"/>
      <c r="BZ162" s="1425"/>
    </row>
    <row r="163" spans="1:78" s="174" customFormat="1" ht="12.6" customHeight="1">
      <c r="C163" s="456"/>
      <c r="D163" s="456"/>
      <c r="E163" s="456"/>
      <c r="F163" s="456"/>
      <c r="G163" s="456"/>
      <c r="H163" s="456"/>
      <c r="I163" s="456"/>
      <c r="K163" s="456"/>
      <c r="L163" s="456"/>
      <c r="M163" s="456"/>
      <c r="N163" s="456"/>
      <c r="O163" s="456"/>
      <c r="P163" s="456"/>
      <c r="S163" s="569"/>
      <c r="T163" s="2602" t="s">
        <v>274</v>
      </c>
      <c r="U163" s="2601"/>
      <c r="V163" s="2602" t="s">
        <v>273</v>
      </c>
      <c r="W163" s="2601"/>
      <c r="X163" s="2603" t="s">
        <v>276</v>
      </c>
      <c r="Y163" s="2601"/>
      <c r="Z163" s="1338"/>
      <c r="AA163" s="1449"/>
      <c r="AB163" s="1449"/>
      <c r="AC163" s="1451">
        <f>UWert!$F156/100</f>
        <v>0</v>
      </c>
      <c r="AD163" s="1451">
        <f t="shared" si="112"/>
        <v>0.1</v>
      </c>
      <c r="AE163" s="1451" t="e">
        <f t="shared" si="113"/>
        <v>#DIV/0!</v>
      </c>
      <c r="AF163" s="1449" t="s">
        <v>2324</v>
      </c>
      <c r="AG163" s="1451" t="e">
        <f>UWert!$H155/(SUM(UWert!$H$153:$H$162))</f>
        <v>#DIV/0!</v>
      </c>
      <c r="AH163" s="1450" t="e">
        <f t="shared" si="121"/>
        <v>#DIV/0!</v>
      </c>
      <c r="AI163" s="1468">
        <f>INDEX(Bauteile!$I$57:$I$1152,UWert!BA156)*(AC163)*(1/0.72)</f>
        <v>0</v>
      </c>
      <c r="AJ163" s="1451" t="e">
        <f>AI163/SUM(AI160:AI169)</f>
        <v>#DIV/0!</v>
      </c>
      <c r="AK163" s="1450" t="e">
        <f t="shared" si="122"/>
        <v>#DIV/0!</v>
      </c>
      <c r="AL163" s="1451" t="e">
        <f t="shared" si="114"/>
        <v>#DIV/0!</v>
      </c>
      <c r="AM163" s="1449" t="s">
        <v>2324</v>
      </c>
      <c r="AN163" s="1451" t="e">
        <f t="shared" si="115"/>
        <v>#DIV/0!</v>
      </c>
      <c r="AO163" s="1449" t="s">
        <v>2324</v>
      </c>
      <c r="AP163" s="1451" t="e">
        <f t="shared" si="116"/>
        <v>#DIV/0!</v>
      </c>
      <c r="AQ163" s="1449" t="s">
        <v>2324</v>
      </c>
      <c r="AR163" s="1449"/>
      <c r="AS163" s="1449"/>
      <c r="AT163" s="1449"/>
      <c r="AU163" s="1451">
        <f>UWert!$N156/100</f>
        <v>0</v>
      </c>
      <c r="AV163" s="1449">
        <f t="shared" si="123"/>
        <v>0.1</v>
      </c>
      <c r="AW163" s="1451" t="e">
        <f t="shared" si="117"/>
        <v>#DIV/0!</v>
      </c>
      <c r="AX163" s="1449" t="s">
        <v>2324</v>
      </c>
      <c r="AY163" s="1451" t="e">
        <f>UWert!$P155/(SUM(UWert!$P$153:$P$162))</f>
        <v>#DIV/0!</v>
      </c>
      <c r="AZ163" s="1450" t="e">
        <f t="shared" si="124"/>
        <v>#DIV/0!</v>
      </c>
      <c r="BA163" s="1451">
        <f>INDEX(Bauteile!$I$57:$I$1152,UWert!BB156)*(AU163)*(1/0.72)</f>
        <v>0</v>
      </c>
      <c r="BB163" s="1451" t="e">
        <f>BA163/SUM(BA160:BA169)</f>
        <v>#DIV/0!</v>
      </c>
      <c r="BC163" s="1450" t="e">
        <f t="shared" si="125"/>
        <v>#DIV/0!</v>
      </c>
      <c r="BD163" s="1451" t="e">
        <f t="shared" si="118"/>
        <v>#DIV/0!</v>
      </c>
      <c r="BE163" s="1449" t="s">
        <v>2324</v>
      </c>
      <c r="BF163" s="1451" t="e">
        <f t="shared" si="119"/>
        <v>#DIV/0!</v>
      </c>
      <c r="BG163" s="1449" t="s">
        <v>2324</v>
      </c>
      <c r="BH163" s="1451" t="e">
        <f t="shared" si="120"/>
        <v>#DIV/0!</v>
      </c>
      <c r="BI163" s="1449" t="s">
        <v>2324</v>
      </c>
      <c r="BJ163" s="1424"/>
      <c r="BK163" s="1425"/>
      <c r="BL163" s="1425"/>
      <c r="BM163" s="1425"/>
      <c r="BN163" s="1425"/>
      <c r="BO163" s="1425"/>
      <c r="BP163" s="1425"/>
      <c r="BQ163" s="1425"/>
      <c r="BR163" s="1425"/>
      <c r="BS163" s="1425"/>
      <c r="BT163" s="1425"/>
      <c r="BU163" s="1425"/>
      <c r="BV163" s="1425"/>
      <c r="BW163" s="1425"/>
      <c r="BX163" s="1425"/>
      <c r="BY163" s="1425"/>
      <c r="BZ163" s="1425"/>
    </row>
    <row r="164" spans="1:78" s="174" customFormat="1" ht="12.6" customHeight="1">
      <c r="C164" s="456"/>
      <c r="D164" s="456"/>
      <c r="E164" s="456"/>
      <c r="F164" s="456"/>
      <c r="G164" s="456"/>
      <c r="H164" s="456"/>
      <c r="I164" s="456"/>
      <c r="K164" s="456"/>
      <c r="L164" s="456"/>
      <c r="M164" s="456"/>
      <c r="N164" s="456"/>
      <c r="O164" s="456"/>
      <c r="P164" s="456"/>
      <c r="S164" s="569"/>
      <c r="T164" s="2600" t="str">
        <f>BL161</f>
        <v/>
      </c>
      <c r="U164" s="2601"/>
      <c r="V164" s="2600">
        <f>BM161</f>
        <v>0</v>
      </c>
      <c r="W164" s="2601"/>
      <c r="X164" s="2603">
        <f>BN161</f>
        <v>0</v>
      </c>
      <c r="Y164" s="2601"/>
      <c r="Z164" s="1338"/>
      <c r="AA164" s="1449"/>
      <c r="AB164" s="1449"/>
      <c r="AC164" s="1451">
        <f>UWert!$F157/100</f>
        <v>0</v>
      </c>
      <c r="AD164" s="1451">
        <f t="shared" si="112"/>
        <v>0.1</v>
      </c>
      <c r="AE164" s="1451" t="e">
        <f t="shared" si="113"/>
        <v>#DIV/0!</v>
      </c>
      <c r="AF164" s="1449" t="s">
        <v>2324</v>
      </c>
      <c r="AG164" s="1451" t="e">
        <f>UWert!$H156/(SUM(UWert!$H$153:$H$162))</f>
        <v>#DIV/0!</v>
      </c>
      <c r="AH164" s="1450" t="e">
        <f t="shared" si="121"/>
        <v>#DIV/0!</v>
      </c>
      <c r="AI164" s="1468">
        <f>INDEX(Bauteile!$I$57:$I$1152,UWert!BA157)*(AC164)*(1/0.72)</f>
        <v>0</v>
      </c>
      <c r="AJ164" s="1451" t="e">
        <f>AI164/SUM(AI160:AI169)</f>
        <v>#DIV/0!</v>
      </c>
      <c r="AK164" s="1450" t="e">
        <f t="shared" si="122"/>
        <v>#DIV/0!</v>
      </c>
      <c r="AL164" s="1451" t="e">
        <f t="shared" si="114"/>
        <v>#DIV/0!</v>
      </c>
      <c r="AM164" s="1449" t="s">
        <v>2324</v>
      </c>
      <c r="AN164" s="1451" t="e">
        <f t="shared" si="115"/>
        <v>#DIV/0!</v>
      </c>
      <c r="AO164" s="1449" t="s">
        <v>2324</v>
      </c>
      <c r="AP164" s="1451" t="e">
        <f t="shared" si="116"/>
        <v>#DIV/0!</v>
      </c>
      <c r="AQ164" s="1449" t="s">
        <v>2324</v>
      </c>
      <c r="AR164" s="1449"/>
      <c r="AS164" s="1449"/>
      <c r="AT164" s="1449"/>
      <c r="AU164" s="1451">
        <f>UWert!$N157/100</f>
        <v>0</v>
      </c>
      <c r="AV164" s="1449">
        <f t="shared" si="123"/>
        <v>0.1</v>
      </c>
      <c r="AW164" s="1451" t="e">
        <f t="shared" si="117"/>
        <v>#DIV/0!</v>
      </c>
      <c r="AX164" s="1449" t="s">
        <v>2324</v>
      </c>
      <c r="AY164" s="1451" t="e">
        <f>UWert!$P156/(SUM(UWert!$P$153:$P$162))</f>
        <v>#DIV/0!</v>
      </c>
      <c r="AZ164" s="1450" t="e">
        <f t="shared" si="124"/>
        <v>#DIV/0!</v>
      </c>
      <c r="BA164" s="1451">
        <f>INDEX(Bauteile!$I$57:$I$1152,UWert!BB157)*(AU164)*(1/0.72)</f>
        <v>0</v>
      </c>
      <c r="BB164" s="1451" t="e">
        <f>BA164/SUM(BA160:BA169)</f>
        <v>#DIV/0!</v>
      </c>
      <c r="BC164" s="1450" t="e">
        <f t="shared" si="125"/>
        <v>#DIV/0!</v>
      </c>
      <c r="BD164" s="1451" t="e">
        <f t="shared" si="118"/>
        <v>#DIV/0!</v>
      </c>
      <c r="BE164" s="1449" t="s">
        <v>2324</v>
      </c>
      <c r="BF164" s="1451" t="e">
        <f t="shared" si="119"/>
        <v>#DIV/0!</v>
      </c>
      <c r="BG164" s="1449" t="s">
        <v>2324</v>
      </c>
      <c r="BH164" s="1451" t="e">
        <f t="shared" si="120"/>
        <v>#DIV/0!</v>
      </c>
      <c r="BI164" s="1449" t="s">
        <v>2324</v>
      </c>
      <c r="BJ164" s="1424"/>
      <c r="BK164" s="1425"/>
      <c r="BL164" s="1425"/>
      <c r="BM164" s="1425"/>
      <c r="BN164" s="1425"/>
      <c r="BO164" s="1425"/>
      <c r="BP164" s="1425"/>
      <c r="BQ164" s="1425"/>
      <c r="BR164" s="1425"/>
      <c r="BS164" s="1425"/>
      <c r="BT164" s="1425"/>
      <c r="BU164" s="1425"/>
      <c r="BV164" s="1425"/>
      <c r="BW164" s="1425"/>
      <c r="BX164" s="1425"/>
      <c r="BY164" s="1425"/>
      <c r="BZ164" s="1425"/>
    </row>
    <row r="165" spans="1:78" s="174" customFormat="1" ht="12.6" customHeight="1">
      <c r="C165" s="456"/>
      <c r="D165" s="456"/>
      <c r="E165" s="456"/>
      <c r="F165" s="456"/>
      <c r="G165" s="456"/>
      <c r="H165" s="456"/>
      <c r="I165" s="456"/>
      <c r="K165" s="456"/>
      <c r="L165" s="456"/>
      <c r="M165" s="456"/>
      <c r="N165" s="456"/>
      <c r="O165" s="456"/>
      <c r="P165" s="456"/>
      <c r="S165" s="569"/>
      <c r="T165" s="615"/>
      <c r="U165" s="616"/>
      <c r="V165" s="2594" t="str">
        <f>BM162</f>
        <v/>
      </c>
      <c r="W165" s="2609"/>
      <c r="X165" s="2594" t="str">
        <f>BN162</f>
        <v/>
      </c>
      <c r="Y165" s="2609"/>
      <c r="Z165" s="1338"/>
      <c r="AA165" s="1449"/>
      <c r="AB165" s="1449"/>
      <c r="AC165" s="1451">
        <f>UWert!$F158/100</f>
        <v>0</v>
      </c>
      <c r="AD165" s="1451">
        <f t="shared" si="112"/>
        <v>0.1</v>
      </c>
      <c r="AE165" s="1451" t="e">
        <f t="shared" si="113"/>
        <v>#DIV/0!</v>
      </c>
      <c r="AF165" s="1449" t="s">
        <v>2324</v>
      </c>
      <c r="AG165" s="1451" t="e">
        <f>UWert!$H157/(SUM(UWert!$H$153:$H$162))</f>
        <v>#DIV/0!</v>
      </c>
      <c r="AH165" s="1450" t="e">
        <f t="shared" si="121"/>
        <v>#DIV/0!</v>
      </c>
      <c r="AI165" s="1468">
        <f>INDEX(Bauteile!$I$57:$I$1152,UWert!BA158)*(AC165)*(1/0.72)</f>
        <v>0</v>
      </c>
      <c r="AJ165" s="1451" t="e">
        <f>AI165/SUM(AI160:AI169)</f>
        <v>#DIV/0!</v>
      </c>
      <c r="AK165" s="1450" t="e">
        <f t="shared" si="122"/>
        <v>#DIV/0!</v>
      </c>
      <c r="AL165" s="1451" t="e">
        <f t="shared" si="114"/>
        <v>#DIV/0!</v>
      </c>
      <c r="AM165" s="1449" t="s">
        <v>2324</v>
      </c>
      <c r="AN165" s="1451" t="e">
        <f t="shared" si="115"/>
        <v>#DIV/0!</v>
      </c>
      <c r="AO165" s="1449" t="s">
        <v>2324</v>
      </c>
      <c r="AP165" s="1451" t="e">
        <f t="shared" si="116"/>
        <v>#DIV/0!</v>
      </c>
      <c r="AQ165" s="1449" t="s">
        <v>2324</v>
      </c>
      <c r="AR165" s="1449"/>
      <c r="AS165" s="1449"/>
      <c r="AT165" s="1449"/>
      <c r="AU165" s="1451">
        <f>UWert!$N158/100</f>
        <v>0</v>
      </c>
      <c r="AV165" s="1449">
        <f t="shared" si="123"/>
        <v>0.1</v>
      </c>
      <c r="AW165" s="1451" t="e">
        <f t="shared" si="117"/>
        <v>#DIV/0!</v>
      </c>
      <c r="AX165" s="1449" t="s">
        <v>2324</v>
      </c>
      <c r="AY165" s="1451" t="e">
        <f>UWert!$P157/(SUM(UWert!$P$153:$P$162))</f>
        <v>#DIV/0!</v>
      </c>
      <c r="AZ165" s="1450" t="e">
        <f t="shared" si="124"/>
        <v>#DIV/0!</v>
      </c>
      <c r="BA165" s="1451">
        <f>INDEX(Bauteile!$I$57:$I$1152,UWert!BB158)*(AU165)*(1/0.72)</f>
        <v>0</v>
      </c>
      <c r="BB165" s="1451" t="e">
        <f>BA165/SUM(BA160:BA169)</f>
        <v>#DIV/0!</v>
      </c>
      <c r="BC165" s="1450" t="e">
        <f t="shared" si="125"/>
        <v>#DIV/0!</v>
      </c>
      <c r="BD165" s="1451" t="e">
        <f t="shared" si="118"/>
        <v>#DIV/0!</v>
      </c>
      <c r="BE165" s="1449" t="s">
        <v>2324</v>
      </c>
      <c r="BF165" s="1451" t="e">
        <f t="shared" si="119"/>
        <v>#DIV/0!</v>
      </c>
      <c r="BG165" s="1449" t="s">
        <v>2324</v>
      </c>
      <c r="BH165" s="1451" t="e">
        <f t="shared" si="120"/>
        <v>#DIV/0!</v>
      </c>
      <c r="BI165" s="1449" t="s">
        <v>2324</v>
      </c>
      <c r="BJ165" s="1424"/>
      <c r="BK165" s="1425"/>
      <c r="BL165" s="1425"/>
      <c r="BM165" s="1425"/>
      <c r="BN165" s="1425"/>
      <c r="BO165" s="1425"/>
      <c r="BP165" s="1425"/>
      <c r="BQ165" s="1425"/>
      <c r="BR165" s="1425"/>
      <c r="BS165" s="1425"/>
      <c r="BT165" s="1425"/>
      <c r="BU165" s="1425"/>
      <c r="BV165" s="1425"/>
      <c r="BW165" s="1425"/>
      <c r="BX165" s="1425"/>
      <c r="BY165" s="1425"/>
      <c r="BZ165" s="1425"/>
    </row>
    <row r="166" spans="1:78" s="174" customFormat="1" ht="12.6" customHeight="1">
      <c r="C166" s="456"/>
      <c r="D166" s="456"/>
      <c r="E166" s="456"/>
      <c r="F166" s="456"/>
      <c r="G166" s="456"/>
      <c r="H166" s="456"/>
      <c r="I166" s="456"/>
      <c r="K166" s="456"/>
      <c r="L166" s="456"/>
      <c r="M166" s="456"/>
      <c r="N166" s="456"/>
      <c r="O166" s="456"/>
      <c r="P166" s="456"/>
      <c r="S166" s="569"/>
      <c r="T166" s="490" t="str">
        <f>Kondens!T149</f>
        <v>2ème partie</v>
      </c>
      <c r="U166" s="488"/>
      <c r="V166" s="573"/>
      <c r="W166" s="488"/>
      <c r="X166" s="573"/>
      <c r="Y166" s="567"/>
      <c r="Z166" s="1338"/>
      <c r="AA166" s="1449"/>
      <c r="AB166" s="1449"/>
      <c r="AC166" s="1451">
        <f>UWert!$F159/100</f>
        <v>0</v>
      </c>
      <c r="AD166" s="1451">
        <f t="shared" si="112"/>
        <v>0.1</v>
      </c>
      <c r="AE166" s="1451" t="e">
        <f t="shared" si="113"/>
        <v>#DIV/0!</v>
      </c>
      <c r="AF166" s="1449" t="s">
        <v>2324</v>
      </c>
      <c r="AG166" s="1451" t="e">
        <f>UWert!$H158/(SUM(UWert!$H$153:$H$162))</f>
        <v>#DIV/0!</v>
      </c>
      <c r="AH166" s="1450" t="e">
        <f t="shared" si="121"/>
        <v>#DIV/0!</v>
      </c>
      <c r="AI166" s="1468">
        <f>INDEX(Bauteile!$I$57:$I$1152,UWert!BA159)*(AC166)*(1/0.72)</f>
        <v>0</v>
      </c>
      <c r="AJ166" s="1451" t="e">
        <f>AI166/SUM(AI160:AI169)</f>
        <v>#DIV/0!</v>
      </c>
      <c r="AK166" s="1450" t="e">
        <f t="shared" si="122"/>
        <v>#DIV/0!</v>
      </c>
      <c r="AL166" s="1451" t="e">
        <f t="shared" si="114"/>
        <v>#DIV/0!</v>
      </c>
      <c r="AM166" s="1449" t="s">
        <v>2324</v>
      </c>
      <c r="AN166" s="1451" t="e">
        <f t="shared" si="115"/>
        <v>#DIV/0!</v>
      </c>
      <c r="AO166" s="1449" t="s">
        <v>2324</v>
      </c>
      <c r="AP166" s="1451" t="e">
        <f t="shared" si="116"/>
        <v>#DIV/0!</v>
      </c>
      <c r="AQ166" s="1449" t="s">
        <v>2324</v>
      </c>
      <c r="AR166" s="1449"/>
      <c r="AS166" s="1449"/>
      <c r="AT166" s="1449"/>
      <c r="AU166" s="1451">
        <f>UWert!$N159/100</f>
        <v>0</v>
      </c>
      <c r="AV166" s="1449">
        <f t="shared" si="123"/>
        <v>0.1</v>
      </c>
      <c r="AW166" s="1451" t="e">
        <f t="shared" si="117"/>
        <v>#DIV/0!</v>
      </c>
      <c r="AX166" s="1449" t="s">
        <v>2324</v>
      </c>
      <c r="AY166" s="1451" t="e">
        <f>UWert!$P158/(SUM(UWert!$P$153:$P$162))</f>
        <v>#DIV/0!</v>
      </c>
      <c r="AZ166" s="1450" t="e">
        <f t="shared" si="124"/>
        <v>#DIV/0!</v>
      </c>
      <c r="BA166" s="1451">
        <f>INDEX(Bauteile!$I$57:$I$1152,UWert!BB159)*(AU166)*(1/0.72)</f>
        <v>0</v>
      </c>
      <c r="BB166" s="1451" t="e">
        <f>BA166/SUM(BA160:BA169)</f>
        <v>#DIV/0!</v>
      </c>
      <c r="BC166" s="1450" t="e">
        <f t="shared" si="125"/>
        <v>#DIV/0!</v>
      </c>
      <c r="BD166" s="1451" t="e">
        <f t="shared" si="118"/>
        <v>#DIV/0!</v>
      </c>
      <c r="BE166" s="1449" t="s">
        <v>2324</v>
      </c>
      <c r="BF166" s="1451" t="e">
        <f t="shared" si="119"/>
        <v>#DIV/0!</v>
      </c>
      <c r="BG166" s="1449" t="s">
        <v>2324</v>
      </c>
      <c r="BH166" s="1451" t="e">
        <f t="shared" si="120"/>
        <v>#DIV/0!</v>
      </c>
      <c r="BI166" s="1449" t="s">
        <v>2324</v>
      </c>
      <c r="BJ166" s="1424"/>
      <c r="BK166" s="1425"/>
      <c r="BL166" s="1425"/>
      <c r="BM166" s="1425"/>
      <c r="BN166" s="1425"/>
      <c r="BO166" s="1425"/>
      <c r="BP166" s="1425"/>
      <c r="BQ166" s="1425"/>
      <c r="BR166" s="1425"/>
      <c r="BS166" s="1425"/>
      <c r="BT166" s="1425"/>
      <c r="BU166" s="1425"/>
      <c r="BV166" s="1425"/>
      <c r="BW166" s="1425"/>
      <c r="BX166" s="1425"/>
      <c r="BY166" s="1425"/>
      <c r="BZ166" s="1425"/>
    </row>
    <row r="167" spans="1:78" s="174" customFormat="1" ht="12.6" customHeight="1">
      <c r="C167" s="456"/>
      <c r="D167" s="456"/>
      <c r="E167" s="456"/>
      <c r="F167" s="456"/>
      <c r="G167" s="456"/>
      <c r="H167" s="456"/>
      <c r="I167" s="456"/>
      <c r="K167" s="456"/>
      <c r="L167" s="456"/>
      <c r="M167" s="456"/>
      <c r="N167" s="456"/>
      <c r="O167" s="456"/>
      <c r="P167" s="456"/>
      <c r="S167" s="569"/>
      <c r="T167" s="2592" t="str">
        <f>T161</f>
        <v>valeur qui est</v>
      </c>
      <c r="U167" s="2593"/>
      <c r="V167" s="2596" t="str">
        <f>V161</f>
        <v>valeur limite</v>
      </c>
      <c r="W167" s="2597"/>
      <c r="X167" s="2596" t="str">
        <f>X161</f>
        <v>valeur limite</v>
      </c>
      <c r="Y167" s="2597"/>
      <c r="Z167" s="1338"/>
      <c r="AA167" s="1449"/>
      <c r="AB167" s="1449"/>
      <c r="AC167" s="1451">
        <f>UWert!$F160/100</f>
        <v>0</v>
      </c>
      <c r="AD167" s="1451">
        <f t="shared" si="112"/>
        <v>0.1</v>
      </c>
      <c r="AE167" s="1451" t="e">
        <f t="shared" si="113"/>
        <v>#DIV/0!</v>
      </c>
      <c r="AF167" s="1449" t="s">
        <v>2324</v>
      </c>
      <c r="AG167" s="1451" t="e">
        <f>UWert!$H159/(SUM(UWert!$H$153:$H$162))</f>
        <v>#DIV/0!</v>
      </c>
      <c r="AH167" s="1450" t="e">
        <f t="shared" si="121"/>
        <v>#DIV/0!</v>
      </c>
      <c r="AI167" s="1468">
        <f>INDEX(Bauteile!$I$57:$I$1152,UWert!BA160)*(AC167)*(1/0.72)</f>
        <v>0</v>
      </c>
      <c r="AJ167" s="1451" t="e">
        <f>AI167/SUM(AI160:AI169)</f>
        <v>#DIV/0!</v>
      </c>
      <c r="AK167" s="1450" t="e">
        <f t="shared" si="122"/>
        <v>#DIV/0!</v>
      </c>
      <c r="AL167" s="1451" t="e">
        <f t="shared" si="114"/>
        <v>#DIV/0!</v>
      </c>
      <c r="AM167" s="1449" t="s">
        <v>2324</v>
      </c>
      <c r="AN167" s="1451" t="e">
        <f t="shared" si="115"/>
        <v>#DIV/0!</v>
      </c>
      <c r="AO167" s="1449" t="s">
        <v>2324</v>
      </c>
      <c r="AP167" s="1451" t="e">
        <f t="shared" si="116"/>
        <v>#DIV/0!</v>
      </c>
      <c r="AQ167" s="1449" t="s">
        <v>2324</v>
      </c>
      <c r="AR167" s="1449"/>
      <c r="AS167" s="1449"/>
      <c r="AT167" s="1449"/>
      <c r="AU167" s="1451">
        <f>UWert!$N160/100</f>
        <v>0</v>
      </c>
      <c r="AV167" s="1449">
        <f t="shared" si="123"/>
        <v>0.1</v>
      </c>
      <c r="AW167" s="1451" t="e">
        <f t="shared" si="117"/>
        <v>#DIV/0!</v>
      </c>
      <c r="AX167" s="1449" t="s">
        <v>2324</v>
      </c>
      <c r="AY167" s="1451" t="e">
        <f>UWert!$P159/(SUM(UWert!$P$153:$P$162))</f>
        <v>#DIV/0!</v>
      </c>
      <c r="AZ167" s="1450" t="e">
        <f t="shared" si="124"/>
        <v>#DIV/0!</v>
      </c>
      <c r="BA167" s="1451">
        <f>INDEX(Bauteile!$I$57:$I$1152,UWert!BB160)*(AU167)*(1/0.72)</f>
        <v>0</v>
      </c>
      <c r="BB167" s="1451" t="e">
        <f>BA167/SUM(BA160:BA169)</f>
        <v>#DIV/0!</v>
      </c>
      <c r="BC167" s="1450" t="e">
        <f t="shared" si="125"/>
        <v>#DIV/0!</v>
      </c>
      <c r="BD167" s="1451" t="e">
        <f t="shared" si="118"/>
        <v>#DIV/0!</v>
      </c>
      <c r="BE167" s="1449" t="s">
        <v>2324</v>
      </c>
      <c r="BF167" s="1451" t="e">
        <f t="shared" si="119"/>
        <v>#DIV/0!</v>
      </c>
      <c r="BG167" s="1449" t="s">
        <v>2324</v>
      </c>
      <c r="BH167" s="1451" t="e">
        <f t="shared" si="120"/>
        <v>#DIV/0!</v>
      </c>
      <c r="BI167" s="1449" t="s">
        <v>2324</v>
      </c>
      <c r="BJ167" s="1424"/>
      <c r="BK167" s="1425"/>
      <c r="BL167" s="1425"/>
      <c r="BM167" s="1425"/>
      <c r="BN167" s="1425"/>
      <c r="BO167" s="1425"/>
      <c r="BP167" s="1425"/>
      <c r="BQ167" s="1425"/>
      <c r="BR167" s="1425"/>
      <c r="BS167" s="1425"/>
      <c r="BT167" s="1425"/>
      <c r="BU167" s="1425"/>
      <c r="BV167" s="1425"/>
      <c r="BW167" s="1425"/>
      <c r="BX167" s="1425"/>
      <c r="BY167" s="1425"/>
      <c r="BZ167" s="1425"/>
    </row>
    <row r="168" spans="1:78" s="174" customFormat="1" ht="12.6" customHeight="1">
      <c r="C168" s="456"/>
      <c r="D168" s="456"/>
      <c r="E168" s="456"/>
      <c r="F168" s="456"/>
      <c r="G168" s="456"/>
      <c r="H168" s="456"/>
      <c r="I168" s="456"/>
      <c r="K168" s="456"/>
      <c r="L168" s="456"/>
      <c r="M168" s="456"/>
      <c r="N168" s="456"/>
      <c r="O168" s="456"/>
      <c r="P168" s="456"/>
      <c r="S168" s="569"/>
      <c r="T168" s="2596"/>
      <c r="U168" s="2607"/>
      <c r="V168" s="2596" t="str">
        <f>V162</f>
        <v>condens.</v>
      </c>
      <c r="W168" s="2597"/>
      <c r="X168" s="2596" t="str">
        <f>X162</f>
        <v>penicillium</v>
      </c>
      <c r="Y168" s="2604"/>
      <c r="Z168" s="1338"/>
      <c r="AA168" s="1449"/>
      <c r="AB168" s="1449"/>
      <c r="AC168" s="1451">
        <v>0.1</v>
      </c>
      <c r="AD168" s="1451">
        <f t="shared" si="112"/>
        <v>0.1</v>
      </c>
      <c r="AE168" s="1451" t="e">
        <f t="shared" si="113"/>
        <v>#DIV/0!</v>
      </c>
      <c r="AF168" s="1449" t="s">
        <v>2324</v>
      </c>
      <c r="AG168" s="1451" t="e">
        <f>UWert!$H160/(SUM(UWert!$H$153:$H$162))</f>
        <v>#DIV/0!</v>
      </c>
      <c r="AH168" s="1450" t="e">
        <f t="shared" si="121"/>
        <v>#DIV/0!</v>
      </c>
      <c r="AI168" s="1468">
        <f>0*AC168/0.72</f>
        <v>0</v>
      </c>
      <c r="AJ168" s="1451" t="e">
        <f>AI168/SUM(AI160:AI169)</f>
        <v>#DIV/0!</v>
      </c>
      <c r="AK168" s="1450" t="e">
        <f t="shared" si="122"/>
        <v>#DIV/0!</v>
      </c>
      <c r="AL168" s="1451" t="e">
        <f t="shared" si="114"/>
        <v>#DIV/0!</v>
      </c>
      <c r="AM168" s="1449" t="s">
        <v>2324</v>
      </c>
      <c r="AN168" s="1451" t="e">
        <f t="shared" si="115"/>
        <v>#DIV/0!</v>
      </c>
      <c r="AO168" s="1449" t="s">
        <v>2324</v>
      </c>
      <c r="AP168" s="1451" t="e">
        <f t="shared" si="116"/>
        <v>#DIV/0!</v>
      </c>
      <c r="AQ168" s="1449" t="s">
        <v>2324</v>
      </c>
      <c r="AR168" s="1449"/>
      <c r="AS168" s="1449"/>
      <c r="AT168" s="1449"/>
      <c r="AU168" s="1451">
        <v>0.1</v>
      </c>
      <c r="AV168" s="1449">
        <f t="shared" si="123"/>
        <v>0.1</v>
      </c>
      <c r="AW168" s="1451" t="e">
        <f t="shared" si="117"/>
        <v>#DIV/0!</v>
      </c>
      <c r="AX168" s="1449" t="s">
        <v>2324</v>
      </c>
      <c r="AY168" s="1451" t="e">
        <f>UWert!$P160/(SUM(UWert!$P$153:$P$162))</f>
        <v>#DIV/0!</v>
      </c>
      <c r="AZ168" s="1450" t="e">
        <f t="shared" si="124"/>
        <v>#DIV/0!</v>
      </c>
      <c r="BA168" s="1451">
        <f>0*AU168/0.72</f>
        <v>0</v>
      </c>
      <c r="BB168" s="1451" t="e">
        <f>BA168/SUM(BA160:BA169)</f>
        <v>#DIV/0!</v>
      </c>
      <c r="BC168" s="1450" t="e">
        <f t="shared" si="125"/>
        <v>#DIV/0!</v>
      </c>
      <c r="BD168" s="1451" t="e">
        <f t="shared" si="118"/>
        <v>#DIV/0!</v>
      </c>
      <c r="BE168" s="1449" t="s">
        <v>2324</v>
      </c>
      <c r="BF168" s="1451" t="e">
        <f t="shared" si="119"/>
        <v>#DIV/0!</v>
      </c>
      <c r="BG168" s="1449" t="s">
        <v>2324</v>
      </c>
      <c r="BH168" s="1451" t="e">
        <f t="shared" si="120"/>
        <v>#DIV/0!</v>
      </c>
      <c r="BI168" s="1449" t="s">
        <v>2324</v>
      </c>
      <c r="BJ168" s="1424"/>
      <c r="BK168" s="1425"/>
      <c r="BL168" s="1425"/>
      <c r="BM168" s="1425"/>
      <c r="BN168" s="1425"/>
      <c r="BO168" s="1425"/>
      <c r="BP168" s="1425"/>
      <c r="BQ168" s="1425"/>
      <c r="BR168" s="1425"/>
      <c r="BS168" s="1425"/>
      <c r="BT168" s="1425"/>
      <c r="BU168" s="1425"/>
      <c r="BV168" s="1425"/>
      <c r="BW168" s="1425"/>
      <c r="BX168" s="1425"/>
      <c r="BY168" s="1425"/>
      <c r="BZ168" s="1425"/>
    </row>
    <row r="169" spans="1:78" s="174" customFormat="1" ht="12.6" customHeight="1">
      <c r="C169" s="456"/>
      <c r="D169" s="456"/>
      <c r="E169" s="456"/>
      <c r="F169" s="456"/>
      <c r="G169" s="456"/>
      <c r="H169" s="456"/>
      <c r="I169" s="456"/>
      <c r="K169" s="456"/>
      <c r="L169" s="456"/>
      <c r="M169" s="456"/>
      <c r="N169" s="456"/>
      <c r="O169" s="456"/>
      <c r="P169" s="456"/>
      <c r="S169" s="569"/>
      <c r="T169" s="2602" t="s">
        <v>274</v>
      </c>
      <c r="U169" s="2601"/>
      <c r="V169" s="2602" t="s">
        <v>273</v>
      </c>
      <c r="W169" s="2601"/>
      <c r="X169" s="2603" t="s">
        <v>276</v>
      </c>
      <c r="Y169" s="2601"/>
      <c r="Z169" s="1338"/>
      <c r="AA169" s="1449"/>
      <c r="AB169" s="1449"/>
      <c r="AC169" s="1449"/>
      <c r="AD169" s="1451">
        <f t="shared" si="112"/>
        <v>0.2</v>
      </c>
      <c r="AE169" s="1450">
        <f>Ta_feuchte</f>
        <v>20</v>
      </c>
      <c r="AF169" s="1449" t="s">
        <v>2324</v>
      </c>
      <c r="AG169" s="1451" t="e">
        <f>SUM(UWert!$H161:$H162)/(SUM(UWert!$H$153:$H$162))</f>
        <v>#DIV/0!</v>
      </c>
      <c r="AH169" s="1450">
        <f>IF(AE169&gt;0,1.40574*POWER(10,10)*EXP(-3928.5/(AE169+231.667)),3.61633*POWER(10,12)*EXP(-6150.6/(AE169+273.33)))</f>
        <v>2336.7157223473796</v>
      </c>
      <c r="AI169" s="1468">
        <f>0*AC169/0.72</f>
        <v>0</v>
      </c>
      <c r="AJ169" s="1451" t="e">
        <f>AI169/SUM(AI160:AI169)</f>
        <v>#DIV/0!</v>
      </c>
      <c r="AK169" s="1450">
        <f>AH169*Rh_aussen</f>
        <v>1402.0294334084276</v>
      </c>
      <c r="AL169" s="1451">
        <f t="shared" si="114"/>
        <v>10.489639823639493</v>
      </c>
      <c r="AM169" s="1449" t="s">
        <v>2324</v>
      </c>
      <c r="AN169" s="1451">
        <f t="shared" si="115"/>
        <v>12.032306379344021</v>
      </c>
      <c r="AO169" s="1449" t="s">
        <v>2324</v>
      </c>
      <c r="AP169" s="1451">
        <f t="shared" si="116"/>
        <v>12.032306379344021</v>
      </c>
      <c r="AQ169" s="1449" t="s">
        <v>2324</v>
      </c>
      <c r="AR169" s="1449"/>
      <c r="AS169" s="1449"/>
      <c r="AT169" s="1449"/>
      <c r="AU169" s="1449"/>
      <c r="AV169" s="1449">
        <f t="shared" si="123"/>
        <v>0.2</v>
      </c>
      <c r="AW169" s="1450">
        <f>Ta_feuchte</f>
        <v>20</v>
      </c>
      <c r="AX169" s="1449" t="s">
        <v>2324</v>
      </c>
      <c r="AY169" s="1451" t="e">
        <f>SUM(UWert!$P161:$P162)/(SUM(UWert!$P$153:$P$162))</f>
        <v>#DIV/0!</v>
      </c>
      <c r="AZ169" s="1450">
        <f t="shared" si="124"/>
        <v>2336.7157223473796</v>
      </c>
      <c r="BA169" s="1451">
        <f>0*(AU169/0.72)</f>
        <v>0</v>
      </c>
      <c r="BB169" s="1451" t="e">
        <f>BA169/SUM(BA160:BA169)</f>
        <v>#DIV/0!</v>
      </c>
      <c r="BC169" s="1450">
        <f>AZ169*Rh_aussen</f>
        <v>1402.0294334084276</v>
      </c>
      <c r="BD169" s="1451">
        <f t="shared" si="118"/>
        <v>10.489639823639493</v>
      </c>
      <c r="BE169" s="1449" t="s">
        <v>2324</v>
      </c>
      <c r="BF169" s="1451">
        <f t="shared" si="119"/>
        <v>12.032306379344021</v>
      </c>
      <c r="BG169" s="1449" t="s">
        <v>2324</v>
      </c>
      <c r="BH169" s="1451">
        <f t="shared" si="120"/>
        <v>12.032306379344021</v>
      </c>
      <c r="BI169" s="1449" t="s">
        <v>2324</v>
      </c>
      <c r="BJ169" s="1424"/>
      <c r="BK169" s="1425"/>
      <c r="BL169" s="1425"/>
      <c r="BM169" s="1425"/>
      <c r="BN169" s="1425"/>
      <c r="BO169" s="1425"/>
      <c r="BP169" s="1425"/>
      <c r="BQ169" s="1425"/>
      <c r="BR169" s="1425"/>
      <c r="BS169" s="1425"/>
      <c r="BT169" s="1425"/>
      <c r="BU169" s="1425"/>
      <c r="BV169" s="1425"/>
      <c r="BW169" s="1425"/>
      <c r="BX169" s="1425"/>
      <c r="BY169" s="1425"/>
      <c r="BZ169" s="1425"/>
    </row>
    <row r="170" spans="1:78" s="174" customFormat="1">
      <c r="C170" s="456"/>
      <c r="D170" s="456"/>
      <c r="E170" s="456"/>
      <c r="F170" s="456"/>
      <c r="G170" s="456"/>
      <c r="H170" s="456"/>
      <c r="I170" s="456"/>
      <c r="K170" s="456"/>
      <c r="L170" s="456"/>
      <c r="M170" s="456"/>
      <c r="N170" s="456"/>
      <c r="O170" s="456"/>
      <c r="P170" s="456"/>
      <c r="S170" s="569"/>
      <c r="T170" s="2600" t="str">
        <f>BT161</f>
        <v/>
      </c>
      <c r="U170" s="2601"/>
      <c r="V170" s="2600">
        <f>BU161</f>
        <v>0</v>
      </c>
      <c r="W170" s="2601"/>
      <c r="X170" s="2603">
        <f>BV161</f>
        <v>0</v>
      </c>
      <c r="Y170" s="2601"/>
      <c r="Z170" s="1338"/>
      <c r="AA170" s="1455"/>
      <c r="AB170" s="1455"/>
      <c r="AC170" s="1455"/>
      <c r="AD170" s="1455"/>
      <c r="AE170" s="1455"/>
      <c r="AF170" s="1455"/>
      <c r="AG170" s="1455"/>
      <c r="AH170" s="1455"/>
      <c r="AI170" s="1469"/>
      <c r="AJ170" s="1455"/>
      <c r="AK170" s="1455"/>
      <c r="AL170" s="1455"/>
      <c r="AM170" s="1455"/>
      <c r="AN170" s="1455"/>
      <c r="AO170" s="1455"/>
      <c r="AP170" s="1455"/>
      <c r="AQ170" s="1455"/>
      <c r="AR170" s="1455"/>
      <c r="AS170" s="1455"/>
      <c r="AT170" s="1455"/>
      <c r="AU170" s="1455"/>
      <c r="AV170" s="1455"/>
      <c r="AW170" s="1455"/>
      <c r="AX170" s="1455"/>
      <c r="AY170" s="1455"/>
      <c r="AZ170" s="1455"/>
      <c r="BA170" s="1455"/>
      <c r="BB170" s="1455"/>
      <c r="BC170" s="1455"/>
      <c r="BD170" s="1455"/>
      <c r="BE170" s="1455"/>
      <c r="BF170" s="1455"/>
      <c r="BG170" s="1455"/>
      <c r="BH170" s="1455"/>
      <c r="BI170" s="1455"/>
      <c r="BJ170" s="1441"/>
      <c r="BK170" s="1425"/>
      <c r="BL170" s="1425"/>
      <c r="BM170" s="1425"/>
      <c r="BN170" s="1425"/>
      <c r="BO170" s="1425"/>
      <c r="BP170" s="1425"/>
      <c r="BQ170" s="1425"/>
      <c r="BR170" s="1425"/>
      <c r="BS170" s="1425"/>
      <c r="BT170" s="1425"/>
      <c r="BU170" s="1425"/>
      <c r="BV170" s="1425"/>
      <c r="BW170" s="1425"/>
      <c r="BX170" s="1425"/>
      <c r="BY170" s="1425"/>
      <c r="BZ170" s="1425"/>
    </row>
    <row r="171" spans="1:78" s="174" customFormat="1">
      <c r="C171" s="456"/>
      <c r="D171" s="456"/>
      <c r="E171" s="456"/>
      <c r="F171" s="456"/>
      <c r="G171" s="456"/>
      <c r="H171" s="456"/>
      <c r="I171" s="456"/>
      <c r="K171" s="456"/>
      <c r="L171" s="456"/>
      <c r="M171" s="456"/>
      <c r="N171" s="456"/>
      <c r="O171" s="456"/>
      <c r="P171" s="456"/>
      <c r="S171" s="569"/>
      <c r="T171" s="615"/>
      <c r="U171" s="616"/>
      <c r="V171" s="2594" t="str">
        <f>BU162</f>
        <v/>
      </c>
      <c r="W171" s="2595"/>
      <c r="X171" s="2594" t="str">
        <f>BV162</f>
        <v/>
      </c>
      <c r="Y171" s="2595"/>
      <c r="Z171" s="1338"/>
      <c r="AA171" s="1443"/>
      <c r="AB171" s="1443"/>
      <c r="AC171" s="1443"/>
      <c r="AD171" s="1443"/>
      <c r="AE171" s="1443"/>
      <c r="AF171" s="1443"/>
      <c r="AG171" s="1443"/>
      <c r="AH171" s="1443"/>
      <c r="AI171" s="1444"/>
      <c r="AJ171" s="1443"/>
      <c r="AK171" s="1443"/>
      <c r="AL171" s="1443"/>
      <c r="AM171" s="1443"/>
      <c r="AN171" s="1443"/>
      <c r="AO171" s="1443"/>
      <c r="AP171" s="1443"/>
      <c r="AQ171" s="1443"/>
      <c r="AR171" s="1443"/>
      <c r="AS171" s="1443"/>
      <c r="AT171" s="1443"/>
      <c r="AU171" s="1443"/>
      <c r="AV171" s="1443"/>
      <c r="AW171" s="1443"/>
      <c r="AX171" s="1443"/>
      <c r="AY171" s="1443"/>
      <c r="AZ171" s="1443"/>
      <c r="BA171" s="1443"/>
      <c r="BB171" s="1443"/>
      <c r="BC171" s="1443"/>
      <c r="BD171" s="1443"/>
      <c r="BE171" s="1443"/>
      <c r="BF171" s="1443"/>
      <c r="BG171" s="1443"/>
      <c r="BH171" s="1443"/>
      <c r="BI171" s="1443"/>
      <c r="BJ171" s="1425"/>
      <c r="BK171" s="1425"/>
      <c r="BL171" s="1425"/>
      <c r="BM171" s="1425"/>
      <c r="BN171" s="1425"/>
      <c r="BO171" s="1425"/>
      <c r="BP171" s="1425"/>
      <c r="BQ171" s="1425"/>
      <c r="BR171" s="1425"/>
      <c r="BS171" s="1425"/>
      <c r="BT171" s="1425"/>
      <c r="BU171" s="1425"/>
      <c r="BV171" s="1425"/>
      <c r="BW171" s="1425"/>
      <c r="BX171" s="1425"/>
      <c r="BY171" s="1425"/>
      <c r="BZ171" s="1425"/>
    </row>
    <row r="172" spans="1:78" s="174" customFormat="1">
      <c r="C172" s="456"/>
      <c r="D172" s="456"/>
      <c r="E172" s="456"/>
      <c r="F172" s="456"/>
      <c r="G172" s="456"/>
      <c r="H172" s="456"/>
      <c r="I172" s="456"/>
      <c r="K172" s="456"/>
      <c r="L172" s="456"/>
      <c r="M172" s="456"/>
      <c r="N172" s="456"/>
      <c r="O172" s="456"/>
      <c r="P172" s="456"/>
      <c r="S172" s="569"/>
      <c r="T172" s="2608"/>
      <c r="U172" s="2608"/>
      <c r="V172" s="565"/>
      <c r="W172" s="2608"/>
      <c r="X172" s="2608"/>
      <c r="Y172" s="199"/>
      <c r="Z172" s="1338"/>
      <c r="AA172" s="1443"/>
      <c r="AB172" s="1443"/>
      <c r="AC172" s="1443"/>
      <c r="AD172" s="1443"/>
      <c r="AE172" s="1443"/>
      <c r="AF172" s="1443"/>
      <c r="AG172" s="1443"/>
      <c r="AH172" s="1443"/>
      <c r="AI172" s="1444"/>
      <c r="AJ172" s="1443"/>
      <c r="AK172" s="1443"/>
      <c r="AL172" s="1443"/>
      <c r="AM172" s="1443"/>
      <c r="AN172" s="1443"/>
      <c r="AO172" s="1443"/>
      <c r="AP172" s="1443"/>
      <c r="AQ172" s="1443"/>
      <c r="AR172" s="1443"/>
      <c r="AS172" s="1443"/>
      <c r="AT172" s="1443"/>
      <c r="AU172" s="1443"/>
      <c r="AV172" s="1443"/>
      <c r="AW172" s="1443"/>
      <c r="AX172" s="1443"/>
      <c r="AY172" s="1443"/>
      <c r="AZ172" s="1443"/>
      <c r="BA172" s="1443"/>
      <c r="BB172" s="1443"/>
      <c r="BC172" s="1443"/>
      <c r="BD172" s="1443"/>
      <c r="BE172" s="1443"/>
      <c r="BF172" s="1443"/>
      <c r="BG172" s="1443"/>
      <c r="BH172" s="1443"/>
      <c r="BI172" s="1443"/>
      <c r="BJ172" s="1425"/>
      <c r="BK172" s="1425"/>
      <c r="BL172" s="1425"/>
      <c r="BM172" s="1425"/>
      <c r="BN172" s="1425"/>
      <c r="BO172" s="1425"/>
      <c r="BP172" s="1425"/>
      <c r="BQ172" s="1425"/>
      <c r="BR172" s="1425"/>
      <c r="BS172" s="1425"/>
      <c r="BT172" s="1425"/>
      <c r="BU172" s="1425"/>
      <c r="BV172" s="1425"/>
      <c r="BW172" s="1425"/>
      <c r="BX172" s="1425"/>
      <c r="BY172" s="1425"/>
      <c r="BZ172" s="1425"/>
    </row>
    <row r="173" spans="1:78" s="174" customFormat="1" ht="13.5" thickBot="1">
      <c r="C173" s="199"/>
      <c r="D173" s="199"/>
      <c r="E173" s="199"/>
      <c r="F173" s="199"/>
      <c r="G173" s="199"/>
      <c r="H173" s="199"/>
      <c r="I173" s="199"/>
      <c r="J173" s="199"/>
      <c r="K173" s="199"/>
      <c r="L173" s="199"/>
      <c r="M173" s="199"/>
      <c r="N173" s="199"/>
      <c r="O173" s="199"/>
      <c r="P173" s="199"/>
      <c r="Q173" s="199"/>
      <c r="S173" s="569"/>
      <c r="T173" s="199"/>
      <c r="U173" s="199"/>
      <c r="V173" s="565"/>
      <c r="W173" s="565"/>
      <c r="X173" s="565"/>
      <c r="Y173" s="199"/>
      <c r="Z173" s="1338"/>
      <c r="AA173" s="1443"/>
      <c r="AB173" s="1443"/>
      <c r="AC173" s="1443"/>
      <c r="AD173" s="1443"/>
      <c r="AE173" s="1443"/>
      <c r="AF173" s="1443"/>
      <c r="AG173" s="1443"/>
      <c r="AH173" s="1443"/>
      <c r="AI173" s="1444"/>
      <c r="AJ173" s="1443"/>
      <c r="AK173" s="1443"/>
      <c r="AL173" s="1443"/>
      <c r="AM173" s="1443"/>
      <c r="AN173" s="1443"/>
      <c r="AO173" s="1443"/>
      <c r="AP173" s="1443"/>
      <c r="AQ173" s="1443"/>
      <c r="AR173" s="1443"/>
      <c r="AS173" s="1443"/>
      <c r="AT173" s="1443"/>
      <c r="AU173" s="1443"/>
      <c r="AV173" s="1443"/>
      <c r="AW173" s="1443"/>
      <c r="AX173" s="1443"/>
      <c r="AY173" s="1443"/>
      <c r="AZ173" s="1443"/>
      <c r="BA173" s="1443"/>
      <c r="BB173" s="1443"/>
      <c r="BC173" s="1443"/>
      <c r="BD173" s="1443"/>
      <c r="BE173" s="1443"/>
      <c r="BF173" s="1443"/>
      <c r="BG173" s="1443"/>
      <c r="BH173" s="1443"/>
      <c r="BI173" s="1443"/>
      <c r="BJ173" s="1425"/>
      <c r="BK173" s="1425"/>
      <c r="BL173" s="1425"/>
      <c r="BM173" s="1425"/>
      <c r="BN173" s="1425"/>
      <c r="BO173" s="1425"/>
      <c r="BP173" s="1425"/>
      <c r="BQ173" s="1425"/>
      <c r="BR173" s="1425"/>
      <c r="BS173" s="1425"/>
      <c r="BT173" s="1425"/>
      <c r="BU173" s="1425"/>
      <c r="BV173" s="1425"/>
      <c r="BW173" s="1425"/>
      <c r="BX173" s="1425"/>
      <c r="BY173" s="1425"/>
      <c r="BZ173" s="1425"/>
    </row>
    <row r="174" spans="1:78" s="174" customFormat="1" ht="12.6" hidden="1" customHeight="1">
      <c r="A174" s="1425"/>
      <c r="B174" s="1425"/>
      <c r="C174" s="1425"/>
      <c r="D174" s="1425"/>
      <c r="E174" s="1425"/>
      <c r="F174" s="1425"/>
      <c r="G174" s="1425"/>
      <c r="H174" s="1425"/>
      <c r="I174" s="1425"/>
      <c r="J174" s="1425"/>
      <c r="K174" s="1425"/>
      <c r="L174" s="1425"/>
      <c r="M174" s="1425"/>
      <c r="N174" s="1425"/>
      <c r="O174" s="1425"/>
      <c r="P174" s="1425"/>
      <c r="Q174" s="1425"/>
      <c r="R174" s="1425"/>
      <c r="S174" s="1425"/>
      <c r="T174" s="1425"/>
      <c r="U174" s="1425"/>
      <c r="V174" s="1425"/>
      <c r="W174" s="1425"/>
      <c r="X174" s="1425"/>
      <c r="Y174" s="1425"/>
      <c r="Z174" s="1425"/>
      <c r="AA174" s="1443"/>
      <c r="AB174" s="1443"/>
      <c r="AC174" s="1443"/>
      <c r="AD174" s="1443"/>
      <c r="AE174" s="1443"/>
      <c r="AF174" s="1443"/>
      <c r="AG174" s="1443"/>
      <c r="AH174" s="1443"/>
      <c r="AI174" s="1444"/>
      <c r="AJ174" s="1443"/>
      <c r="AK174" s="1443"/>
      <c r="AL174" s="1443"/>
      <c r="AM174" s="1443"/>
      <c r="AN174" s="1443"/>
      <c r="AO174" s="1443"/>
      <c r="AP174" s="1443"/>
      <c r="AQ174" s="1443"/>
      <c r="AR174" s="1443"/>
      <c r="AS174" s="1443"/>
      <c r="AT174" s="1443"/>
      <c r="AU174" s="1443"/>
      <c r="AV174" s="1443"/>
      <c r="AW174" s="1443"/>
      <c r="AX174" s="1443"/>
      <c r="AY174" s="1443"/>
      <c r="AZ174" s="1443"/>
      <c r="BA174" s="1443"/>
      <c r="BB174" s="1443"/>
      <c r="BC174" s="1443"/>
      <c r="BD174" s="1443"/>
      <c r="BE174" s="1443"/>
      <c r="BF174" s="1443"/>
      <c r="BG174" s="1443"/>
      <c r="BH174" s="1443"/>
      <c r="BI174" s="1443"/>
      <c r="BJ174" s="1425"/>
      <c r="BK174" s="1425"/>
      <c r="BL174" s="1425"/>
      <c r="BM174" s="1425"/>
      <c r="BN174" s="1425"/>
      <c r="BO174" s="1425"/>
      <c r="BP174" s="1425"/>
      <c r="BQ174" s="1425"/>
      <c r="BR174" s="1425"/>
      <c r="BS174" s="1425"/>
      <c r="BT174" s="1425"/>
      <c r="BU174" s="1425"/>
      <c r="BV174" s="1425"/>
      <c r="BW174" s="1425"/>
      <c r="BX174" s="1425"/>
      <c r="BY174" s="1425"/>
      <c r="BZ174" s="1425"/>
    </row>
    <row r="175" spans="1:78" s="174" customFormat="1" ht="12.6" hidden="1" customHeight="1" thickBot="1">
      <c r="A175" s="1425"/>
      <c r="B175" s="1425"/>
      <c r="C175" s="1425"/>
      <c r="D175" s="1425"/>
      <c r="E175" s="1425"/>
      <c r="F175" s="1425"/>
      <c r="G175" s="1425"/>
      <c r="H175" s="1425"/>
      <c r="I175" s="1425"/>
      <c r="J175" s="1425"/>
      <c r="K175" s="1425"/>
      <c r="L175" s="1425"/>
      <c r="M175" s="1425"/>
      <c r="N175" s="1425"/>
      <c r="O175" s="1425"/>
      <c r="P175" s="1425"/>
      <c r="Q175" s="1425"/>
      <c r="R175" s="1425"/>
      <c r="S175" s="1425"/>
      <c r="T175" s="1425"/>
      <c r="U175" s="1425"/>
      <c r="V175" s="1425"/>
      <c r="W175" s="1425"/>
      <c r="X175" s="1425"/>
      <c r="Y175" s="1425"/>
      <c r="Z175" s="1425"/>
      <c r="AA175" s="1443"/>
      <c r="AB175" s="1443"/>
      <c r="AC175" s="1443"/>
      <c r="AD175" s="1443"/>
      <c r="AE175" s="1443"/>
      <c r="AF175" s="1443"/>
      <c r="AG175" s="1443"/>
      <c r="AH175" s="1443"/>
      <c r="AI175" s="1444"/>
      <c r="AJ175" s="1443"/>
      <c r="AK175" s="1443"/>
      <c r="AL175" s="1443"/>
      <c r="AM175" s="1443"/>
      <c r="AN175" s="1443"/>
      <c r="AO175" s="1443"/>
      <c r="AP175" s="1443"/>
      <c r="AQ175" s="1443"/>
      <c r="AR175" s="1443"/>
      <c r="AS175" s="1443"/>
      <c r="AT175" s="1443"/>
      <c r="AU175" s="1443"/>
      <c r="AV175" s="1443"/>
      <c r="AW175" s="1443"/>
      <c r="AX175" s="1443"/>
      <c r="AY175" s="1443"/>
      <c r="AZ175" s="1443"/>
      <c r="BA175" s="1443"/>
      <c r="BB175" s="1443"/>
      <c r="BC175" s="1443"/>
      <c r="BD175" s="1443"/>
      <c r="BE175" s="1443"/>
      <c r="BF175" s="1443"/>
      <c r="BG175" s="1443"/>
      <c r="BH175" s="1443"/>
      <c r="BI175" s="1443"/>
      <c r="BJ175" s="1425"/>
      <c r="BK175" s="1425"/>
      <c r="BL175" s="1425"/>
      <c r="BM175" s="1425"/>
      <c r="BN175" s="1425"/>
      <c r="BO175" s="1425"/>
      <c r="BP175" s="1425"/>
      <c r="BQ175" s="1425"/>
      <c r="BR175" s="1425"/>
      <c r="BS175" s="1425"/>
      <c r="BT175" s="1425"/>
      <c r="BU175" s="1425"/>
      <c r="BV175" s="1425"/>
      <c r="BW175" s="1425"/>
      <c r="BX175" s="1425"/>
      <c r="BY175" s="1425"/>
      <c r="BZ175" s="1425"/>
    </row>
    <row r="176" spans="1:78" s="174" customFormat="1" ht="12.6" customHeight="1" thickBot="1">
      <c r="C176" s="487">
        <v>21</v>
      </c>
      <c r="D176" s="490">
        <f>UWert!C165</f>
        <v>0</v>
      </c>
      <c r="E176" s="485"/>
      <c r="F176" s="485"/>
      <c r="G176" s="485"/>
      <c r="H176" s="485"/>
      <c r="I176" s="485"/>
      <c r="J176" s="485"/>
      <c r="K176" s="485"/>
      <c r="L176" s="485"/>
      <c r="M176" s="485"/>
      <c r="N176" s="485"/>
      <c r="O176" s="485"/>
      <c r="P176" s="485"/>
      <c r="Q176" s="486"/>
      <c r="S176" s="569"/>
      <c r="T176" s="568">
        <v>21</v>
      </c>
      <c r="U176" s="488">
        <f>UWert!C162</f>
        <v>0</v>
      </c>
      <c r="V176" s="573"/>
      <c r="W176" s="488"/>
      <c r="X176" s="573"/>
      <c r="Y176" s="567"/>
      <c r="Z176" s="1338"/>
      <c r="AA176" s="1448" t="s">
        <v>1957</v>
      </c>
      <c r="AB176" s="1448" t="s">
        <v>1958</v>
      </c>
      <c r="AC176" s="1449" t="s">
        <v>2326</v>
      </c>
      <c r="AD176" s="1449" t="s">
        <v>791</v>
      </c>
      <c r="AE176" s="1449" t="s">
        <v>2327</v>
      </c>
      <c r="AF176" s="1449"/>
      <c r="AG176" s="1449" t="s">
        <v>1959</v>
      </c>
      <c r="AH176" s="1449" t="s">
        <v>106</v>
      </c>
      <c r="AI176" s="1453" t="s">
        <v>2201</v>
      </c>
      <c r="AJ176" s="1449" t="s">
        <v>108</v>
      </c>
      <c r="AK176" s="1449" t="s">
        <v>1250</v>
      </c>
      <c r="AL176" s="1449" t="s">
        <v>109</v>
      </c>
      <c r="AM176" s="1449"/>
      <c r="AN176" s="1449" t="s">
        <v>110</v>
      </c>
      <c r="AO176" s="1449"/>
      <c r="AP176" s="1449" t="s">
        <v>111</v>
      </c>
      <c r="AQ176" s="1449"/>
      <c r="AR176" s="1449"/>
      <c r="AS176" s="1448" t="s">
        <v>1957</v>
      </c>
      <c r="AT176" s="1448" t="s">
        <v>1958</v>
      </c>
      <c r="AU176" s="1449" t="s">
        <v>2326</v>
      </c>
      <c r="AV176" s="1449" t="s">
        <v>791</v>
      </c>
      <c r="AW176" s="1449" t="s">
        <v>2327</v>
      </c>
      <c r="AX176" s="1449"/>
      <c r="AY176" s="1449" t="s">
        <v>1959</v>
      </c>
      <c r="AZ176" s="1449" t="s">
        <v>106</v>
      </c>
      <c r="BA176" s="1449" t="s">
        <v>107</v>
      </c>
      <c r="BB176" s="1449" t="s">
        <v>108</v>
      </c>
      <c r="BC176" s="1449" t="s">
        <v>1250</v>
      </c>
      <c r="BD176" s="1449" t="s">
        <v>109</v>
      </c>
      <c r="BE176" s="1449"/>
      <c r="BF176" s="1449" t="s">
        <v>110</v>
      </c>
      <c r="BG176" s="1449"/>
      <c r="BH176" s="1449" t="s">
        <v>111</v>
      </c>
      <c r="BI176" s="1449"/>
      <c r="BJ176" s="1424"/>
      <c r="BK176" s="1426">
        <v>19.100000000000001</v>
      </c>
      <c r="BL176" s="1427" t="s">
        <v>840</v>
      </c>
      <c r="BM176" s="1428" t="s">
        <v>838</v>
      </c>
      <c r="BN176" s="1429" t="s">
        <v>839</v>
      </c>
      <c r="BO176" s="1430"/>
      <c r="BP176" s="1430"/>
      <c r="BQ176" s="1430"/>
      <c r="BR176" s="1430"/>
      <c r="BS176" s="1426">
        <v>19.2</v>
      </c>
      <c r="BT176" s="1427" t="s">
        <v>840</v>
      </c>
      <c r="BU176" s="1428" t="s">
        <v>838</v>
      </c>
      <c r="BV176" s="1429" t="s">
        <v>839</v>
      </c>
      <c r="BW176" s="1425"/>
      <c r="BX176" s="1425"/>
      <c r="BY176" s="1425"/>
      <c r="BZ176" s="1425"/>
    </row>
    <row r="177" spans="3:78" s="174" customFormat="1" ht="12.6" customHeight="1">
      <c r="C177" s="456"/>
      <c r="D177" s="456"/>
      <c r="E177" s="456"/>
      <c r="F177" s="456"/>
      <c r="G177" s="456"/>
      <c r="H177" s="456"/>
      <c r="I177" s="456"/>
      <c r="K177" s="456"/>
      <c r="L177" s="456"/>
      <c r="M177" s="456"/>
      <c r="N177" s="456"/>
      <c r="O177" s="456"/>
      <c r="P177" s="456"/>
      <c r="S177" s="569"/>
      <c r="T177" s="490" t="str">
        <f>T160</f>
        <v>1ère partie</v>
      </c>
      <c r="U177" s="485"/>
      <c r="V177" s="485"/>
      <c r="W177" s="485"/>
      <c r="X177" s="485"/>
      <c r="Y177" s="486"/>
      <c r="Z177" s="1338"/>
      <c r="AA177" s="1450" t="e">
        <f>Rh_innen*AH177-Rh_aussen*AH186</f>
        <v>#DIV/0!</v>
      </c>
      <c r="AB177" s="1449">
        <f>Ti_feuchte-Ta_feuchte</f>
        <v>0</v>
      </c>
      <c r="AC177" s="1451">
        <v>0.1</v>
      </c>
      <c r="AD177" s="1449">
        <v>0</v>
      </c>
      <c r="AE177" s="1451" t="e">
        <f>AG178*$AB$177+AE178</f>
        <v>#DIV/0!</v>
      </c>
      <c r="AF177" s="1449" t="s">
        <v>2324</v>
      </c>
      <c r="AG177" s="1451"/>
      <c r="AH177" s="1450" t="e">
        <f>IF(AE177&gt;0,1.40574*POWER(10,10)*EXP(-3928.5/(AE177+231.667)),3.61633*POWER(10,12)*EXP(-6150.6/(AE177+273.33)))</f>
        <v>#DIV/0!</v>
      </c>
      <c r="AI177" s="1468"/>
      <c r="AJ177" s="1451"/>
      <c r="AK177" s="1450" t="e">
        <f>AH177*Rh_innen</f>
        <v>#DIV/0!</v>
      </c>
      <c r="AL177" s="1451" t="e">
        <f>(1/(LN(AK177/(3.61633*POWER(10,12))))*-6150.6)-273.33</f>
        <v>#DIV/0!</v>
      </c>
      <c r="AM177" s="1449" t="s">
        <v>2324</v>
      </c>
      <c r="AN177" s="1451" t="e">
        <f>(1/(LN(AK177/(1.40574*POWER(10,10))))*-3928.5)-231.66</f>
        <v>#DIV/0!</v>
      </c>
      <c r="AO177" s="1449" t="s">
        <v>2324</v>
      </c>
      <c r="AP177" s="1451" t="e">
        <f>IF(AN177&lt;0,AL177,AN177)</f>
        <v>#DIV/0!</v>
      </c>
      <c r="AQ177" s="1449" t="s">
        <v>2324</v>
      </c>
      <c r="AR177" s="1449"/>
      <c r="AS177" s="1450" t="e">
        <f>Rh_innen*AZ177-Rh_aussen*AZ186</f>
        <v>#DIV/0!</v>
      </c>
      <c r="AT177" s="1449">
        <f>Ti_feuchte-Ta_feuchte</f>
        <v>0</v>
      </c>
      <c r="AU177" s="1451">
        <v>0.1</v>
      </c>
      <c r="AV177" s="1449">
        <v>0</v>
      </c>
      <c r="AW177" s="1451" t="e">
        <f>AY178*$AT$177+AW178</f>
        <v>#DIV/0!</v>
      </c>
      <c r="AX177" s="1449" t="s">
        <v>2324</v>
      </c>
      <c r="AY177" s="1451"/>
      <c r="AZ177" s="1450" t="e">
        <f>IF(AW177&gt;0,1.40574*POWER(10,10)*EXP(-3928.5/(AW177+231.667)),3.61633*POWER(10,12)*EXP(-6150.6/(AW177+273.33)))</f>
        <v>#DIV/0!</v>
      </c>
      <c r="BA177" s="1451"/>
      <c r="BB177" s="1451"/>
      <c r="BC177" s="1450" t="e">
        <f>AZ177*Rh_innen</f>
        <v>#DIV/0!</v>
      </c>
      <c r="BD177" s="1451" t="e">
        <f>(1/(LN(BC177/(3.61633*POWER(10,12))))*-6150.6)-273.33</f>
        <v>#DIV/0!</v>
      </c>
      <c r="BE177" s="1449" t="s">
        <v>2324</v>
      </c>
      <c r="BF177" s="1451" t="e">
        <f>(1/(LN(BC177/(1.40574*POWER(10,10))))*-3928.5)-231.66</f>
        <v>#DIV/0!</v>
      </c>
      <c r="BG177" s="1449" t="s">
        <v>2324</v>
      </c>
      <c r="BH177" s="1451" t="e">
        <f>IF(BF177&lt;0,BD177,BF177)</f>
        <v>#DIV/0!</v>
      </c>
      <c r="BI177" s="1449" t="s">
        <v>2324</v>
      </c>
      <c r="BJ177" s="1424"/>
      <c r="BK177" s="1430"/>
      <c r="BL177" s="1431" t="s">
        <v>1987</v>
      </c>
      <c r="BM177" s="1432" t="s">
        <v>1988</v>
      </c>
      <c r="BN177" s="1433" t="s">
        <v>1989</v>
      </c>
      <c r="BO177" s="1430"/>
      <c r="BP177" s="1430"/>
      <c r="BQ177" s="1430"/>
      <c r="BR177" s="1430"/>
      <c r="BS177" s="1430"/>
      <c r="BT177" s="1431" t="s">
        <v>1987</v>
      </c>
      <c r="BU177" s="1432" t="s">
        <v>1988</v>
      </c>
      <c r="BV177" s="1433" t="s">
        <v>1989</v>
      </c>
      <c r="BW177" s="1425"/>
      <c r="BX177" s="1425"/>
      <c r="BY177" s="1425"/>
      <c r="BZ177" s="1425"/>
    </row>
    <row r="178" spans="3:78" s="174" customFormat="1" ht="12.6" customHeight="1">
      <c r="C178" s="456"/>
      <c r="D178" s="456"/>
      <c r="E178" s="456"/>
      <c r="F178" s="456"/>
      <c r="G178" s="456"/>
      <c r="H178" s="456"/>
      <c r="I178" s="456"/>
      <c r="K178" s="456"/>
      <c r="L178" s="456"/>
      <c r="M178" s="456"/>
      <c r="N178" s="456"/>
      <c r="O178" s="456"/>
      <c r="P178" s="456"/>
      <c r="S178" s="569"/>
      <c r="T178" s="2592" t="str">
        <f>T161</f>
        <v>valeur qui est</v>
      </c>
      <c r="U178" s="2593"/>
      <c r="V178" s="2596" t="str">
        <f>V167</f>
        <v>valeur limite</v>
      </c>
      <c r="W178" s="2597"/>
      <c r="X178" s="2596" t="str">
        <f>X167</f>
        <v>valeur limite</v>
      </c>
      <c r="Y178" s="2597"/>
      <c r="Z178" s="1338"/>
      <c r="AA178" s="1449"/>
      <c r="AB178" s="1449"/>
      <c r="AC178" s="1451">
        <f>UWert!$F171/100</f>
        <v>0</v>
      </c>
      <c r="AD178" s="1451">
        <f t="shared" ref="AD178:AD186" si="126">AD177+AC177</f>
        <v>0.1</v>
      </c>
      <c r="AE178" s="1451" t="e">
        <f t="shared" ref="AE178:AE185" si="127">AG179*$AB$177+AE179</f>
        <v>#DIV/0!</v>
      </c>
      <c r="AF178" s="1449" t="s">
        <v>2324</v>
      </c>
      <c r="AG178" s="1451" t="e">
        <f>UWert!$H170/(SUM(UWert!$H$170:$H$179))</f>
        <v>#DIV/0!</v>
      </c>
      <c r="AH178" s="1450" t="e">
        <f>IF(AE178&gt;0,1.40574*POWER(10,10)*EXP(-3928.5/(AE178+231.667)),3.61633*POWER(10,12)*EXP(-6150.6/(AE178+273.33)))</f>
        <v>#DIV/0!</v>
      </c>
      <c r="AI178" s="1468">
        <f>INDEX(Bauteile!$I$57:$I$1152,UWert!BA171)*(AC178)*(1/0.72)</f>
        <v>0</v>
      </c>
      <c r="AJ178" s="1451" t="e">
        <f>AI178/SUM(AI177:AI186)</f>
        <v>#DIV/0!</v>
      </c>
      <c r="AK178" s="1450" t="e">
        <f>AJ178*$AA$177+AK179</f>
        <v>#DIV/0!</v>
      </c>
      <c r="AL178" s="1451" t="e">
        <f t="shared" ref="AL178:AL186" si="128">(1/(LN(AK178/(3.61633*POWER(10,12))))*-6150.6)-273.33</f>
        <v>#DIV/0!</v>
      </c>
      <c r="AM178" s="1449" t="s">
        <v>2324</v>
      </c>
      <c r="AN178" s="1451" t="e">
        <f t="shared" ref="AN178:AN186" si="129">(1/(LN(AK178/(1.40574*POWER(10,10))))*-3928.5)-231.66</f>
        <v>#DIV/0!</v>
      </c>
      <c r="AO178" s="1449" t="s">
        <v>2324</v>
      </c>
      <c r="AP178" s="1451" t="e">
        <f t="shared" ref="AP178:AP186" si="130">IF(AN178&lt;0,AL178,AN178)</f>
        <v>#DIV/0!</v>
      </c>
      <c r="AQ178" s="1449" t="s">
        <v>2324</v>
      </c>
      <c r="AR178" s="1449"/>
      <c r="AS178" s="1449"/>
      <c r="AT178" s="1449"/>
      <c r="AU178" s="1451">
        <f>UWert!$N171/100</f>
        <v>0</v>
      </c>
      <c r="AV178" s="1449">
        <f>AV177+AU177</f>
        <v>0.1</v>
      </c>
      <c r="AW178" s="1451" t="e">
        <f t="shared" ref="AW178:AW185" si="131">AY179*$AT$177+AW179</f>
        <v>#DIV/0!</v>
      </c>
      <c r="AX178" s="1449" t="s">
        <v>2324</v>
      </c>
      <c r="AY178" s="1451" t="e">
        <f>UWert!$P170/(SUM(UWert!$P$170:$P$179))</f>
        <v>#DIV/0!</v>
      </c>
      <c r="AZ178" s="1450" t="e">
        <f>IF(AW178&gt;0,1.40574*POWER(10,10)*EXP(-3928.5/(AW178+231.667)),3.61633*POWER(10,12)*EXP(-6150.6/(AW178+273.33)))</f>
        <v>#DIV/0!</v>
      </c>
      <c r="BA178" s="1451">
        <f>INDEX(Bauteile!$I$57:$I$1152,UWert!BB171)*(AU178)*(1/0.72)</f>
        <v>0</v>
      </c>
      <c r="BB178" s="1451" t="e">
        <f>BA178/SUM(BA177:BA186)</f>
        <v>#DIV/0!</v>
      </c>
      <c r="BC178" s="1450" t="e">
        <f>BB178*$AS$177+BC179</f>
        <v>#DIV/0!</v>
      </c>
      <c r="BD178" s="1451" t="e">
        <f t="shared" ref="BD178:BD186" si="132">(1/(LN(BC178/(3.61633*POWER(10,12))))*-6150.6)-273.33</f>
        <v>#DIV/0!</v>
      </c>
      <c r="BE178" s="1449" t="s">
        <v>2324</v>
      </c>
      <c r="BF178" s="1451" t="e">
        <f t="shared" ref="BF178:BF186" si="133">(1/(LN(BC178/(1.40574*POWER(10,10))))*-3928.5)-231.66</f>
        <v>#DIV/0!</v>
      </c>
      <c r="BG178" s="1449" t="s">
        <v>2324</v>
      </c>
      <c r="BH178" s="1451" t="e">
        <f t="shared" ref="BH178:BH186" si="134">IF(BF178&lt;0,BD178,BF178)</f>
        <v>#DIV/0!</v>
      </c>
      <c r="BI178" s="1449" t="s">
        <v>2324</v>
      </c>
      <c r="BJ178" s="1424"/>
      <c r="BK178" s="1430"/>
      <c r="BL178" s="1434" t="str">
        <f>IF(BL179&gt;0,BL179*((1/BL179)-(1/6)),"")</f>
        <v/>
      </c>
      <c r="BM178" s="1435">
        <f>$BM$15</f>
        <v>0</v>
      </c>
      <c r="BN178" s="1436">
        <f>$BN$15</f>
        <v>0</v>
      </c>
      <c r="BO178" s="1430"/>
      <c r="BP178" s="1430"/>
      <c r="BQ178" s="1430"/>
      <c r="BR178" s="1430"/>
      <c r="BS178" s="1430"/>
      <c r="BT178" s="1434" t="str">
        <f>IF(BT179&gt;0,BT179*((1/BT179)-(1/6)),"")</f>
        <v/>
      </c>
      <c r="BU178" s="1435">
        <f>$BM$15</f>
        <v>0</v>
      </c>
      <c r="BV178" s="1436">
        <f>$BN$15</f>
        <v>0</v>
      </c>
      <c r="BW178" s="1425"/>
      <c r="BX178" s="1425"/>
      <c r="BY178" s="1425"/>
      <c r="BZ178" s="1425"/>
    </row>
    <row r="179" spans="3:78" s="174" customFormat="1" ht="12.6" customHeight="1" thickBot="1">
      <c r="C179" s="456"/>
      <c r="D179" s="456"/>
      <c r="E179" s="456"/>
      <c r="F179" s="456"/>
      <c r="G179" s="456"/>
      <c r="H179" s="456"/>
      <c r="I179" s="456"/>
      <c r="K179" s="456"/>
      <c r="L179" s="456"/>
      <c r="M179" s="456"/>
      <c r="N179" s="456"/>
      <c r="O179" s="456"/>
      <c r="P179" s="456"/>
      <c r="S179" s="569"/>
      <c r="T179" s="2596"/>
      <c r="U179" s="2607"/>
      <c r="V179" s="2596" t="str">
        <f>V168</f>
        <v>condens.</v>
      </c>
      <c r="W179" s="2597"/>
      <c r="X179" s="2596" t="str">
        <f>X168</f>
        <v>penicillium</v>
      </c>
      <c r="Y179" s="2604"/>
      <c r="Z179" s="1338"/>
      <c r="AA179" s="1449"/>
      <c r="AB179" s="1449"/>
      <c r="AC179" s="1451">
        <f>UWert!$F172/100</f>
        <v>0</v>
      </c>
      <c r="AD179" s="1451">
        <f t="shared" si="126"/>
        <v>0.1</v>
      </c>
      <c r="AE179" s="1451" t="e">
        <f t="shared" si="127"/>
        <v>#DIV/0!</v>
      </c>
      <c r="AF179" s="1449" t="s">
        <v>2324</v>
      </c>
      <c r="AG179" s="1451" t="e">
        <f>UWert!$H171/(SUM(UWert!$H$170:$H$179))</f>
        <v>#DIV/0!</v>
      </c>
      <c r="AH179" s="1450" t="e">
        <f t="shared" ref="AH179:AH185" si="135">IF(AE179&gt;0,1.40574*POWER(10,10)*EXP(-3928.5/(AE179+231.667)),3.61633*POWER(10,12)*EXP(-6150.6/(AE179+273.33)))</f>
        <v>#DIV/0!</v>
      </c>
      <c r="AI179" s="1468">
        <f>INDEX(Bauteile!$I$57:$I$1152,UWert!BA172)*(AC179)*(1/0.72)</f>
        <v>0</v>
      </c>
      <c r="AJ179" s="1451" t="e">
        <f>AI179/SUM(AI177:AI186)</f>
        <v>#DIV/0!</v>
      </c>
      <c r="AK179" s="1450" t="e">
        <f t="shared" ref="AK179:AK185" si="136">AJ179*$AA$177+AK180</f>
        <v>#DIV/0!</v>
      </c>
      <c r="AL179" s="1451" t="e">
        <f t="shared" si="128"/>
        <v>#DIV/0!</v>
      </c>
      <c r="AM179" s="1449" t="s">
        <v>2324</v>
      </c>
      <c r="AN179" s="1451" t="e">
        <f t="shared" si="129"/>
        <v>#DIV/0!</v>
      </c>
      <c r="AO179" s="1449" t="s">
        <v>2324</v>
      </c>
      <c r="AP179" s="1451" t="e">
        <f t="shared" si="130"/>
        <v>#DIV/0!</v>
      </c>
      <c r="AQ179" s="1449" t="s">
        <v>2324</v>
      </c>
      <c r="AR179" s="1449"/>
      <c r="AS179" s="1449"/>
      <c r="AT179" s="1449"/>
      <c r="AU179" s="1451">
        <f>UWert!$N172/100</f>
        <v>0</v>
      </c>
      <c r="AV179" s="1449">
        <f t="shared" ref="AV179:AV186" si="137">AV178+AU178</f>
        <v>0.1</v>
      </c>
      <c r="AW179" s="1451" t="e">
        <f t="shared" si="131"/>
        <v>#DIV/0!</v>
      </c>
      <c r="AX179" s="1449" t="s">
        <v>2324</v>
      </c>
      <c r="AY179" s="1451" t="e">
        <f>UWert!$P171/(SUM(UWert!$P$170:$P$179))</f>
        <v>#DIV/0!</v>
      </c>
      <c r="AZ179" s="1450" t="e">
        <f t="shared" ref="AZ179:AZ186" si="138">IF(AW179&gt;0,1.40574*POWER(10,10)*EXP(-3928.5/(AW179+231.667)),3.61633*POWER(10,12)*EXP(-6150.6/(AW179+273.33)))</f>
        <v>#DIV/0!</v>
      </c>
      <c r="BA179" s="1451">
        <f>INDEX(Bauteile!$I$57:$I$1152,UWert!BB172)*(AU179)*(1/0.72)</f>
        <v>0</v>
      </c>
      <c r="BB179" s="1451" t="e">
        <f>BA179/SUM(BA177:BA186)</f>
        <v>#DIV/0!</v>
      </c>
      <c r="BC179" s="1450" t="e">
        <f t="shared" ref="BC179:BC185" si="139">BB179*$AS$177+BC180</f>
        <v>#DIV/0!</v>
      </c>
      <c r="BD179" s="1451" t="e">
        <f t="shared" si="132"/>
        <v>#DIV/0!</v>
      </c>
      <c r="BE179" s="1449" t="s">
        <v>2324</v>
      </c>
      <c r="BF179" s="1451" t="e">
        <f t="shared" si="133"/>
        <v>#DIV/0!</v>
      </c>
      <c r="BG179" s="1449" t="s">
        <v>2324</v>
      </c>
      <c r="BH179" s="1451" t="e">
        <f t="shared" si="134"/>
        <v>#DIV/0!</v>
      </c>
      <c r="BI179" s="1449" t="s">
        <v>2324</v>
      </c>
      <c r="BJ179" s="1424"/>
      <c r="BK179" s="1437"/>
      <c r="BL179" s="1438">
        <f>IF(UWert!F168&gt;0,1/((1/UWert!F168)-(1/8)+(1/6)),)</f>
        <v>0</v>
      </c>
      <c r="BM179" s="1439" t="str">
        <f>IF(BL178&gt;BM178,"","Problem !!!")</f>
        <v/>
      </c>
      <c r="BN179" s="1440" t="str">
        <f>IF(BL178&gt;BN178,"","Problem !!!")</f>
        <v/>
      </c>
      <c r="BO179" s="1437"/>
      <c r="BP179" s="1437"/>
      <c r="BQ179" s="1437"/>
      <c r="BR179" s="1437"/>
      <c r="BS179" s="1437"/>
      <c r="BT179" s="1438">
        <f>IF(UWert!N168&gt;0,1/((1/UWert!N168)-(1/8)+(1/6)),)</f>
        <v>0</v>
      </c>
      <c r="BU179" s="1439" t="str">
        <f>IF(BT178&gt;BU178,"","Problem !!!")</f>
        <v/>
      </c>
      <c r="BV179" s="1440" t="str">
        <f>IF(BT178&gt;BV178,"","Problem !!!")</f>
        <v/>
      </c>
      <c r="BW179" s="1425"/>
      <c r="BX179" s="1425"/>
      <c r="BY179" s="1425"/>
      <c r="BZ179" s="1425"/>
    </row>
    <row r="180" spans="3:78" s="174" customFormat="1" ht="12.6" customHeight="1">
      <c r="C180" s="456"/>
      <c r="D180" s="456"/>
      <c r="E180" s="456"/>
      <c r="F180" s="456"/>
      <c r="G180" s="456"/>
      <c r="H180" s="456"/>
      <c r="I180" s="456"/>
      <c r="K180" s="456"/>
      <c r="L180" s="456"/>
      <c r="M180" s="456"/>
      <c r="N180" s="456"/>
      <c r="O180" s="456"/>
      <c r="P180" s="456"/>
      <c r="S180" s="569"/>
      <c r="T180" s="2602" t="s">
        <v>274</v>
      </c>
      <c r="U180" s="2601"/>
      <c r="V180" s="2602" t="s">
        <v>273</v>
      </c>
      <c r="W180" s="2601"/>
      <c r="X180" s="2603" t="s">
        <v>276</v>
      </c>
      <c r="Y180" s="2601"/>
      <c r="Z180" s="1338"/>
      <c r="AA180" s="1449"/>
      <c r="AB180" s="1449"/>
      <c r="AC180" s="1451">
        <f>UWert!$F173/100</f>
        <v>0</v>
      </c>
      <c r="AD180" s="1451">
        <f t="shared" si="126"/>
        <v>0.1</v>
      </c>
      <c r="AE180" s="1451" t="e">
        <f t="shared" si="127"/>
        <v>#DIV/0!</v>
      </c>
      <c r="AF180" s="1449" t="s">
        <v>2324</v>
      </c>
      <c r="AG180" s="1451" t="e">
        <f>UWert!$H172/(SUM(UWert!$H$170:$H$179))</f>
        <v>#DIV/0!</v>
      </c>
      <c r="AH180" s="1450" t="e">
        <f t="shared" si="135"/>
        <v>#DIV/0!</v>
      </c>
      <c r="AI180" s="1468">
        <f>INDEX(Bauteile!$I$57:$I$1152,UWert!BA173)*(AC180)*(1/0.72)</f>
        <v>0</v>
      </c>
      <c r="AJ180" s="1451" t="e">
        <f>AI180/SUM(AI177:AI186)</f>
        <v>#DIV/0!</v>
      </c>
      <c r="AK180" s="1450" t="e">
        <f t="shared" si="136"/>
        <v>#DIV/0!</v>
      </c>
      <c r="AL180" s="1451" t="e">
        <f t="shared" si="128"/>
        <v>#DIV/0!</v>
      </c>
      <c r="AM180" s="1449" t="s">
        <v>2324</v>
      </c>
      <c r="AN180" s="1451" t="e">
        <f t="shared" si="129"/>
        <v>#DIV/0!</v>
      </c>
      <c r="AO180" s="1449" t="s">
        <v>2324</v>
      </c>
      <c r="AP180" s="1451" t="e">
        <f t="shared" si="130"/>
        <v>#DIV/0!</v>
      </c>
      <c r="AQ180" s="1449" t="s">
        <v>2324</v>
      </c>
      <c r="AR180" s="1449"/>
      <c r="AS180" s="1449"/>
      <c r="AT180" s="1449"/>
      <c r="AU180" s="1451">
        <f>UWert!$N173/100</f>
        <v>0</v>
      </c>
      <c r="AV180" s="1449">
        <f t="shared" si="137"/>
        <v>0.1</v>
      </c>
      <c r="AW180" s="1451" t="e">
        <f t="shared" si="131"/>
        <v>#DIV/0!</v>
      </c>
      <c r="AX180" s="1449" t="s">
        <v>2324</v>
      </c>
      <c r="AY180" s="1451" t="e">
        <f>UWert!$P172/(SUM(UWert!$P$170:$P$179))</f>
        <v>#DIV/0!</v>
      </c>
      <c r="AZ180" s="1450" t="e">
        <f t="shared" si="138"/>
        <v>#DIV/0!</v>
      </c>
      <c r="BA180" s="1451">
        <f>INDEX(Bauteile!$I$57:$I$1152,UWert!BB173)*(AU180)*(1/0.72)</f>
        <v>0</v>
      </c>
      <c r="BB180" s="1451" t="e">
        <f>BA180/SUM(BA177:BA186)</f>
        <v>#DIV/0!</v>
      </c>
      <c r="BC180" s="1450" t="e">
        <f t="shared" si="139"/>
        <v>#DIV/0!</v>
      </c>
      <c r="BD180" s="1451" t="e">
        <f t="shared" si="132"/>
        <v>#DIV/0!</v>
      </c>
      <c r="BE180" s="1449" t="s">
        <v>2324</v>
      </c>
      <c r="BF180" s="1451" t="e">
        <f t="shared" si="133"/>
        <v>#DIV/0!</v>
      </c>
      <c r="BG180" s="1449" t="s">
        <v>2324</v>
      </c>
      <c r="BH180" s="1451" t="e">
        <f t="shared" si="134"/>
        <v>#DIV/0!</v>
      </c>
      <c r="BI180" s="1449" t="s">
        <v>2324</v>
      </c>
      <c r="BJ180" s="1424"/>
      <c r="BK180" s="1425"/>
      <c r="BL180" s="1425"/>
      <c r="BM180" s="1425"/>
      <c r="BN180" s="1425"/>
      <c r="BO180" s="1425"/>
      <c r="BP180" s="1425"/>
      <c r="BQ180" s="1425"/>
      <c r="BR180" s="1425"/>
      <c r="BS180" s="1425"/>
      <c r="BT180" s="1425"/>
      <c r="BU180" s="1425"/>
      <c r="BV180" s="1425"/>
      <c r="BW180" s="1425"/>
      <c r="BX180" s="1425"/>
      <c r="BY180" s="1425"/>
      <c r="BZ180" s="1425"/>
    </row>
    <row r="181" spans="3:78" s="174" customFormat="1" ht="12.6" customHeight="1">
      <c r="C181" s="456"/>
      <c r="D181" s="456"/>
      <c r="E181" s="456"/>
      <c r="F181" s="456"/>
      <c r="G181" s="456"/>
      <c r="H181" s="456"/>
      <c r="I181" s="456"/>
      <c r="K181" s="456"/>
      <c r="L181" s="456"/>
      <c r="M181" s="456"/>
      <c r="N181" s="456"/>
      <c r="O181" s="456"/>
      <c r="P181" s="456"/>
      <c r="S181" s="569"/>
      <c r="T181" s="2600" t="str">
        <f>BL178</f>
        <v/>
      </c>
      <c r="U181" s="2601"/>
      <c r="V181" s="2600">
        <f>BM178</f>
        <v>0</v>
      </c>
      <c r="W181" s="2601"/>
      <c r="X181" s="2603">
        <f>BN178</f>
        <v>0</v>
      </c>
      <c r="Y181" s="2601"/>
      <c r="Z181" s="1338"/>
      <c r="AA181" s="1449"/>
      <c r="AB181" s="1449"/>
      <c r="AC181" s="1451">
        <f>UWert!$F174/100</f>
        <v>0</v>
      </c>
      <c r="AD181" s="1451">
        <f t="shared" si="126"/>
        <v>0.1</v>
      </c>
      <c r="AE181" s="1451" t="e">
        <f t="shared" si="127"/>
        <v>#DIV/0!</v>
      </c>
      <c r="AF181" s="1449" t="s">
        <v>2324</v>
      </c>
      <c r="AG181" s="1451" t="e">
        <f>UWert!$H173/(SUM(UWert!$H$170:$H$179))</f>
        <v>#DIV/0!</v>
      </c>
      <c r="AH181" s="1450" t="e">
        <f t="shared" si="135"/>
        <v>#DIV/0!</v>
      </c>
      <c r="AI181" s="1468">
        <f>INDEX(Bauteile!$I$57:$I$1152,UWert!BA174)*(AC181)*(1/0.72)</f>
        <v>0</v>
      </c>
      <c r="AJ181" s="1451" t="e">
        <f>AI181/SUM(AI177:AI186)</f>
        <v>#DIV/0!</v>
      </c>
      <c r="AK181" s="1450" t="e">
        <f t="shared" si="136"/>
        <v>#DIV/0!</v>
      </c>
      <c r="AL181" s="1451" t="e">
        <f t="shared" si="128"/>
        <v>#DIV/0!</v>
      </c>
      <c r="AM181" s="1449" t="s">
        <v>2324</v>
      </c>
      <c r="AN181" s="1451" t="e">
        <f t="shared" si="129"/>
        <v>#DIV/0!</v>
      </c>
      <c r="AO181" s="1449" t="s">
        <v>2324</v>
      </c>
      <c r="AP181" s="1451" t="e">
        <f t="shared" si="130"/>
        <v>#DIV/0!</v>
      </c>
      <c r="AQ181" s="1449" t="s">
        <v>2324</v>
      </c>
      <c r="AR181" s="1449"/>
      <c r="AS181" s="1449"/>
      <c r="AT181" s="1449"/>
      <c r="AU181" s="1451">
        <f>UWert!$N174/100</f>
        <v>0</v>
      </c>
      <c r="AV181" s="1449">
        <f t="shared" si="137"/>
        <v>0.1</v>
      </c>
      <c r="AW181" s="1451" t="e">
        <f t="shared" si="131"/>
        <v>#DIV/0!</v>
      </c>
      <c r="AX181" s="1449" t="s">
        <v>2324</v>
      </c>
      <c r="AY181" s="1451" t="e">
        <f>UWert!$P173/(SUM(UWert!$P$170:$P$179))</f>
        <v>#DIV/0!</v>
      </c>
      <c r="AZ181" s="1450" t="e">
        <f t="shared" si="138"/>
        <v>#DIV/0!</v>
      </c>
      <c r="BA181" s="1451">
        <f>INDEX(Bauteile!$I$57:$I$1152,UWert!BB174)*(AU181)*(1/0.72)</f>
        <v>0</v>
      </c>
      <c r="BB181" s="1451" t="e">
        <f>BA181/SUM(BA177:BA186)</f>
        <v>#DIV/0!</v>
      </c>
      <c r="BC181" s="1450" t="e">
        <f t="shared" si="139"/>
        <v>#DIV/0!</v>
      </c>
      <c r="BD181" s="1451" t="e">
        <f t="shared" si="132"/>
        <v>#DIV/0!</v>
      </c>
      <c r="BE181" s="1449" t="s">
        <v>2324</v>
      </c>
      <c r="BF181" s="1451" t="e">
        <f t="shared" si="133"/>
        <v>#DIV/0!</v>
      </c>
      <c r="BG181" s="1449" t="s">
        <v>2324</v>
      </c>
      <c r="BH181" s="1451" t="e">
        <f t="shared" si="134"/>
        <v>#DIV/0!</v>
      </c>
      <c r="BI181" s="1449" t="s">
        <v>2324</v>
      </c>
      <c r="BJ181" s="1424"/>
      <c r="BK181" s="1425"/>
      <c r="BL181" s="1425"/>
      <c r="BM181" s="1425"/>
      <c r="BN181" s="1425"/>
      <c r="BO181" s="1425"/>
      <c r="BP181" s="1425"/>
      <c r="BQ181" s="1425"/>
      <c r="BR181" s="1425"/>
      <c r="BS181" s="1425"/>
      <c r="BT181" s="1425"/>
      <c r="BU181" s="1425"/>
      <c r="BV181" s="1425"/>
      <c r="BW181" s="1425"/>
      <c r="BX181" s="1425"/>
      <c r="BY181" s="1425"/>
      <c r="BZ181" s="1425"/>
    </row>
    <row r="182" spans="3:78" s="174" customFormat="1" ht="12.6" customHeight="1">
      <c r="C182" s="456"/>
      <c r="D182" s="456"/>
      <c r="E182" s="456"/>
      <c r="F182" s="456"/>
      <c r="G182" s="456"/>
      <c r="H182" s="456"/>
      <c r="I182" s="456"/>
      <c r="K182" s="456"/>
      <c r="L182" s="456"/>
      <c r="M182" s="456"/>
      <c r="N182" s="456"/>
      <c r="O182" s="456"/>
      <c r="P182" s="456"/>
      <c r="S182" s="569"/>
      <c r="T182" s="615"/>
      <c r="U182" s="616"/>
      <c r="V182" s="2594" t="str">
        <f>BM179</f>
        <v/>
      </c>
      <c r="W182" s="2609"/>
      <c r="X182" s="2594" t="str">
        <f>BN179</f>
        <v/>
      </c>
      <c r="Y182" s="2609"/>
      <c r="Z182" s="1338"/>
      <c r="AA182" s="1449"/>
      <c r="AB182" s="1449"/>
      <c r="AC182" s="1451">
        <f>UWert!$F175/100</f>
        <v>0</v>
      </c>
      <c r="AD182" s="1451">
        <f t="shared" si="126"/>
        <v>0.1</v>
      </c>
      <c r="AE182" s="1451" t="e">
        <f t="shared" si="127"/>
        <v>#DIV/0!</v>
      </c>
      <c r="AF182" s="1449" t="s">
        <v>2324</v>
      </c>
      <c r="AG182" s="1451" t="e">
        <f>UWert!$H174/(SUM(UWert!$H$170:$H$179))</f>
        <v>#DIV/0!</v>
      </c>
      <c r="AH182" s="1450" t="e">
        <f t="shared" si="135"/>
        <v>#DIV/0!</v>
      </c>
      <c r="AI182" s="1468">
        <f>INDEX(Bauteile!$I$57:$I$1152,UWert!BA175)*(AC182)*(1/0.72)</f>
        <v>0</v>
      </c>
      <c r="AJ182" s="1451" t="e">
        <f>AI182/SUM(AI177:AI186)</f>
        <v>#DIV/0!</v>
      </c>
      <c r="AK182" s="1450" t="e">
        <f t="shared" si="136"/>
        <v>#DIV/0!</v>
      </c>
      <c r="AL182" s="1451" t="e">
        <f t="shared" si="128"/>
        <v>#DIV/0!</v>
      </c>
      <c r="AM182" s="1449" t="s">
        <v>2324</v>
      </c>
      <c r="AN182" s="1451" t="e">
        <f t="shared" si="129"/>
        <v>#DIV/0!</v>
      </c>
      <c r="AO182" s="1449" t="s">
        <v>2324</v>
      </c>
      <c r="AP182" s="1451" t="e">
        <f t="shared" si="130"/>
        <v>#DIV/0!</v>
      </c>
      <c r="AQ182" s="1449" t="s">
        <v>2324</v>
      </c>
      <c r="AR182" s="1449"/>
      <c r="AS182" s="1449"/>
      <c r="AT182" s="1449"/>
      <c r="AU182" s="1451">
        <f>UWert!$N175/100</f>
        <v>0</v>
      </c>
      <c r="AV182" s="1449">
        <f t="shared" si="137"/>
        <v>0.1</v>
      </c>
      <c r="AW182" s="1451" t="e">
        <f t="shared" si="131"/>
        <v>#DIV/0!</v>
      </c>
      <c r="AX182" s="1449" t="s">
        <v>2324</v>
      </c>
      <c r="AY182" s="1451" t="e">
        <f>UWert!$P174/(SUM(UWert!$P$170:$P$179))</f>
        <v>#DIV/0!</v>
      </c>
      <c r="AZ182" s="1450" t="e">
        <f t="shared" si="138"/>
        <v>#DIV/0!</v>
      </c>
      <c r="BA182" s="1451">
        <f>INDEX(Bauteile!$I$57:$I$1152,UWert!BB175)*(AU182)*(1/0.72)</f>
        <v>0</v>
      </c>
      <c r="BB182" s="1451" t="e">
        <f>BA182/SUM(BA177:BA186)</f>
        <v>#DIV/0!</v>
      </c>
      <c r="BC182" s="1450" t="e">
        <f t="shared" si="139"/>
        <v>#DIV/0!</v>
      </c>
      <c r="BD182" s="1451" t="e">
        <f t="shared" si="132"/>
        <v>#DIV/0!</v>
      </c>
      <c r="BE182" s="1449" t="s">
        <v>2324</v>
      </c>
      <c r="BF182" s="1451" t="e">
        <f t="shared" si="133"/>
        <v>#DIV/0!</v>
      </c>
      <c r="BG182" s="1449" t="s">
        <v>2324</v>
      </c>
      <c r="BH182" s="1451" t="e">
        <f t="shared" si="134"/>
        <v>#DIV/0!</v>
      </c>
      <c r="BI182" s="1449" t="s">
        <v>2324</v>
      </c>
      <c r="BJ182" s="1424"/>
      <c r="BK182" s="1425"/>
      <c r="BL182" s="1425"/>
      <c r="BM182" s="1425"/>
      <c r="BN182" s="1425"/>
      <c r="BO182" s="1425"/>
      <c r="BP182" s="1425"/>
      <c r="BQ182" s="1425"/>
      <c r="BR182" s="1425"/>
      <c r="BS182" s="1425"/>
      <c r="BT182" s="1425"/>
      <c r="BU182" s="1425"/>
      <c r="BV182" s="1425"/>
      <c r="BW182" s="1425"/>
      <c r="BX182" s="1425"/>
      <c r="BY182" s="1425"/>
      <c r="BZ182" s="1425"/>
    </row>
    <row r="183" spans="3:78" s="174" customFormat="1" ht="12.6" customHeight="1">
      <c r="C183" s="456"/>
      <c r="D183" s="456"/>
      <c r="E183" s="456"/>
      <c r="F183" s="456"/>
      <c r="G183" s="456"/>
      <c r="H183" s="456"/>
      <c r="I183" s="456"/>
      <c r="K183" s="456"/>
      <c r="L183" s="456"/>
      <c r="M183" s="456"/>
      <c r="N183" s="456"/>
      <c r="O183" s="456"/>
      <c r="P183" s="456"/>
      <c r="S183" s="569"/>
      <c r="T183" s="490" t="str">
        <f>T166</f>
        <v>2ème partie</v>
      </c>
      <c r="U183" s="488"/>
      <c r="V183" s="573"/>
      <c r="W183" s="488"/>
      <c r="X183" s="573"/>
      <c r="Y183" s="567"/>
      <c r="Z183" s="1338"/>
      <c r="AA183" s="1449"/>
      <c r="AB183" s="1449"/>
      <c r="AC183" s="1451">
        <f>UWert!$F176/100</f>
        <v>0</v>
      </c>
      <c r="AD183" s="1451">
        <f t="shared" si="126"/>
        <v>0.1</v>
      </c>
      <c r="AE183" s="1451" t="e">
        <f t="shared" si="127"/>
        <v>#DIV/0!</v>
      </c>
      <c r="AF183" s="1449" t="s">
        <v>2324</v>
      </c>
      <c r="AG183" s="1451" t="e">
        <f>UWert!$H175/(SUM(UWert!$H$170:$H$179))</f>
        <v>#DIV/0!</v>
      </c>
      <c r="AH183" s="1450" t="e">
        <f t="shared" si="135"/>
        <v>#DIV/0!</v>
      </c>
      <c r="AI183" s="1468">
        <f>INDEX(Bauteile!$I$57:$I$1152,UWert!BA176)*(AC183)*(1/0.72)</f>
        <v>0</v>
      </c>
      <c r="AJ183" s="1451" t="e">
        <f>AI183/SUM(AI177:AI186)</f>
        <v>#DIV/0!</v>
      </c>
      <c r="AK183" s="1450" t="e">
        <f t="shared" si="136"/>
        <v>#DIV/0!</v>
      </c>
      <c r="AL183" s="1451" t="e">
        <f t="shared" si="128"/>
        <v>#DIV/0!</v>
      </c>
      <c r="AM183" s="1449" t="s">
        <v>2324</v>
      </c>
      <c r="AN183" s="1451" t="e">
        <f t="shared" si="129"/>
        <v>#DIV/0!</v>
      </c>
      <c r="AO183" s="1449" t="s">
        <v>2324</v>
      </c>
      <c r="AP183" s="1451" t="e">
        <f t="shared" si="130"/>
        <v>#DIV/0!</v>
      </c>
      <c r="AQ183" s="1449" t="s">
        <v>2324</v>
      </c>
      <c r="AR183" s="1449"/>
      <c r="AS183" s="1449"/>
      <c r="AT183" s="1449"/>
      <c r="AU183" s="1451">
        <f>UWert!$N176/100</f>
        <v>0</v>
      </c>
      <c r="AV183" s="1449">
        <f t="shared" si="137"/>
        <v>0.1</v>
      </c>
      <c r="AW183" s="1451" t="e">
        <f t="shared" si="131"/>
        <v>#DIV/0!</v>
      </c>
      <c r="AX183" s="1449" t="s">
        <v>2324</v>
      </c>
      <c r="AY183" s="1451" t="e">
        <f>UWert!$P175/(SUM(UWert!$P$170:$P$179))</f>
        <v>#DIV/0!</v>
      </c>
      <c r="AZ183" s="1450" t="e">
        <f t="shared" si="138"/>
        <v>#DIV/0!</v>
      </c>
      <c r="BA183" s="1451">
        <f>INDEX(Bauteile!$I$57:$I$1152,UWert!BB176)*(AU183)*(1/0.72)</f>
        <v>0</v>
      </c>
      <c r="BB183" s="1451" t="e">
        <f>BA183/SUM(BA177:BA186)</f>
        <v>#DIV/0!</v>
      </c>
      <c r="BC183" s="1450" t="e">
        <f t="shared" si="139"/>
        <v>#DIV/0!</v>
      </c>
      <c r="BD183" s="1451" t="e">
        <f t="shared" si="132"/>
        <v>#DIV/0!</v>
      </c>
      <c r="BE183" s="1449" t="s">
        <v>2324</v>
      </c>
      <c r="BF183" s="1451" t="e">
        <f t="shared" si="133"/>
        <v>#DIV/0!</v>
      </c>
      <c r="BG183" s="1449" t="s">
        <v>2324</v>
      </c>
      <c r="BH183" s="1451" t="e">
        <f t="shared" si="134"/>
        <v>#DIV/0!</v>
      </c>
      <c r="BI183" s="1449" t="s">
        <v>2324</v>
      </c>
      <c r="BJ183" s="1424"/>
      <c r="BK183" s="1425"/>
      <c r="BL183" s="1425"/>
      <c r="BM183" s="1425"/>
      <c r="BN183" s="1425"/>
      <c r="BO183" s="1425"/>
      <c r="BP183" s="1425"/>
      <c r="BQ183" s="1425"/>
      <c r="BR183" s="1425"/>
      <c r="BS183" s="1425"/>
      <c r="BT183" s="1425"/>
      <c r="BU183" s="1425"/>
      <c r="BV183" s="1425"/>
      <c r="BW183" s="1425"/>
      <c r="BX183" s="1425"/>
      <c r="BY183" s="1425"/>
      <c r="BZ183" s="1425"/>
    </row>
    <row r="184" spans="3:78" s="174" customFormat="1" ht="12.6" customHeight="1">
      <c r="C184" s="456"/>
      <c r="D184" s="456"/>
      <c r="E184" s="456"/>
      <c r="F184" s="456"/>
      <c r="G184" s="456"/>
      <c r="H184" s="456"/>
      <c r="I184" s="456"/>
      <c r="K184" s="456"/>
      <c r="L184" s="456"/>
      <c r="M184" s="456"/>
      <c r="N184" s="456"/>
      <c r="O184" s="456"/>
      <c r="P184" s="456"/>
      <c r="S184" s="569"/>
      <c r="T184" s="2592" t="str">
        <f>T178</f>
        <v>valeur qui est</v>
      </c>
      <c r="U184" s="2593"/>
      <c r="V184" s="2596" t="str">
        <f>V178</f>
        <v>valeur limite</v>
      </c>
      <c r="W184" s="2597"/>
      <c r="X184" s="2596" t="str">
        <f>X178</f>
        <v>valeur limite</v>
      </c>
      <c r="Y184" s="2597"/>
      <c r="Z184" s="1338"/>
      <c r="AA184" s="1449"/>
      <c r="AB184" s="1449"/>
      <c r="AC184" s="1451">
        <f>UWert!$F177/100</f>
        <v>0</v>
      </c>
      <c r="AD184" s="1451">
        <f t="shared" si="126"/>
        <v>0.1</v>
      </c>
      <c r="AE184" s="1451" t="e">
        <f t="shared" si="127"/>
        <v>#DIV/0!</v>
      </c>
      <c r="AF184" s="1449" t="s">
        <v>2324</v>
      </c>
      <c r="AG184" s="1451" t="e">
        <f>UWert!$H176/(SUM(UWert!$H$170:$H$179))</f>
        <v>#DIV/0!</v>
      </c>
      <c r="AH184" s="1450" t="e">
        <f t="shared" si="135"/>
        <v>#DIV/0!</v>
      </c>
      <c r="AI184" s="1468">
        <f>INDEX(Bauteile!$I$57:$I$1152,UWert!BA177)*(AC184)*(1/0.72)</f>
        <v>0</v>
      </c>
      <c r="AJ184" s="1451" t="e">
        <f>AI184/SUM(AI177:AI186)</f>
        <v>#DIV/0!</v>
      </c>
      <c r="AK184" s="1450" t="e">
        <f t="shared" si="136"/>
        <v>#DIV/0!</v>
      </c>
      <c r="AL184" s="1451" t="e">
        <f t="shared" si="128"/>
        <v>#DIV/0!</v>
      </c>
      <c r="AM184" s="1449" t="s">
        <v>2324</v>
      </c>
      <c r="AN184" s="1451" t="e">
        <f t="shared" si="129"/>
        <v>#DIV/0!</v>
      </c>
      <c r="AO184" s="1449" t="s">
        <v>2324</v>
      </c>
      <c r="AP184" s="1451" t="e">
        <f t="shared" si="130"/>
        <v>#DIV/0!</v>
      </c>
      <c r="AQ184" s="1449" t="s">
        <v>2324</v>
      </c>
      <c r="AR184" s="1449"/>
      <c r="AS184" s="1449"/>
      <c r="AT184" s="1449"/>
      <c r="AU184" s="1451">
        <f>UWert!$N177/100</f>
        <v>0</v>
      </c>
      <c r="AV184" s="1449">
        <f t="shared" si="137"/>
        <v>0.1</v>
      </c>
      <c r="AW184" s="1451" t="e">
        <f t="shared" si="131"/>
        <v>#DIV/0!</v>
      </c>
      <c r="AX184" s="1449" t="s">
        <v>2324</v>
      </c>
      <c r="AY184" s="1451" t="e">
        <f>UWert!$P176/(SUM(UWert!$P$170:$P$179))</f>
        <v>#DIV/0!</v>
      </c>
      <c r="AZ184" s="1450" t="e">
        <f t="shared" si="138"/>
        <v>#DIV/0!</v>
      </c>
      <c r="BA184" s="1451">
        <f>INDEX(Bauteile!$I$57:$I$1152,UWert!BB177)*(AU184)*(1/0.72)</f>
        <v>0</v>
      </c>
      <c r="BB184" s="1451" t="e">
        <f>BA184/SUM(BA177:BA186)</f>
        <v>#DIV/0!</v>
      </c>
      <c r="BC184" s="1450" t="e">
        <f t="shared" si="139"/>
        <v>#DIV/0!</v>
      </c>
      <c r="BD184" s="1451" t="e">
        <f t="shared" si="132"/>
        <v>#DIV/0!</v>
      </c>
      <c r="BE184" s="1449" t="s">
        <v>2324</v>
      </c>
      <c r="BF184" s="1451" t="e">
        <f t="shared" si="133"/>
        <v>#DIV/0!</v>
      </c>
      <c r="BG184" s="1449" t="s">
        <v>2324</v>
      </c>
      <c r="BH184" s="1451" t="e">
        <f t="shared" si="134"/>
        <v>#DIV/0!</v>
      </c>
      <c r="BI184" s="1449" t="s">
        <v>2324</v>
      </c>
      <c r="BJ184" s="1424"/>
      <c r="BK184" s="1425"/>
      <c r="BL184" s="1425"/>
      <c r="BM184" s="1425"/>
      <c r="BN184" s="1425"/>
      <c r="BO184" s="1425"/>
      <c r="BP184" s="1425"/>
      <c r="BQ184" s="1425"/>
      <c r="BR184" s="1425"/>
      <c r="BS184" s="1425"/>
      <c r="BT184" s="1425"/>
      <c r="BU184" s="1425"/>
      <c r="BV184" s="1425"/>
      <c r="BW184" s="1425"/>
      <c r="BX184" s="1425"/>
      <c r="BY184" s="1425"/>
      <c r="BZ184" s="1425"/>
    </row>
    <row r="185" spans="3:78" s="174" customFormat="1" ht="12.6" customHeight="1">
      <c r="C185" s="456"/>
      <c r="D185" s="456"/>
      <c r="E185" s="456"/>
      <c r="F185" s="456"/>
      <c r="G185" s="456"/>
      <c r="H185" s="456"/>
      <c r="I185" s="456"/>
      <c r="K185" s="456"/>
      <c r="L185" s="456"/>
      <c r="M185" s="456"/>
      <c r="N185" s="456"/>
      <c r="O185" s="456"/>
      <c r="P185" s="456"/>
      <c r="S185" s="569"/>
      <c r="T185" s="2596"/>
      <c r="U185" s="2607"/>
      <c r="V185" s="2596" t="str">
        <f>V179</f>
        <v>condens.</v>
      </c>
      <c r="W185" s="2597"/>
      <c r="X185" s="2596" t="str">
        <f>X179</f>
        <v>penicillium</v>
      </c>
      <c r="Y185" s="2604"/>
      <c r="Z185" s="1338"/>
      <c r="AA185" s="1449"/>
      <c r="AB185" s="1449"/>
      <c r="AC185" s="1451">
        <v>0.1</v>
      </c>
      <c r="AD185" s="1451">
        <f t="shared" si="126"/>
        <v>0.1</v>
      </c>
      <c r="AE185" s="1451" t="e">
        <f t="shared" si="127"/>
        <v>#DIV/0!</v>
      </c>
      <c r="AF185" s="1449" t="s">
        <v>2324</v>
      </c>
      <c r="AG185" s="1451" t="e">
        <f>UWert!$H177/(SUM(UWert!$H$170:$H$179))</f>
        <v>#DIV/0!</v>
      </c>
      <c r="AH185" s="1450" t="e">
        <f t="shared" si="135"/>
        <v>#DIV/0!</v>
      </c>
      <c r="AI185" s="1468">
        <f>0*AC185/0.72</f>
        <v>0</v>
      </c>
      <c r="AJ185" s="1451" t="e">
        <f>AI185/SUM(AI177:AI186)</f>
        <v>#DIV/0!</v>
      </c>
      <c r="AK185" s="1450" t="e">
        <f t="shared" si="136"/>
        <v>#DIV/0!</v>
      </c>
      <c r="AL185" s="1451" t="e">
        <f t="shared" si="128"/>
        <v>#DIV/0!</v>
      </c>
      <c r="AM185" s="1449" t="s">
        <v>2324</v>
      </c>
      <c r="AN185" s="1451" t="e">
        <f t="shared" si="129"/>
        <v>#DIV/0!</v>
      </c>
      <c r="AO185" s="1449" t="s">
        <v>2324</v>
      </c>
      <c r="AP185" s="1451" t="e">
        <f t="shared" si="130"/>
        <v>#DIV/0!</v>
      </c>
      <c r="AQ185" s="1449" t="s">
        <v>2324</v>
      </c>
      <c r="AR185" s="1449"/>
      <c r="AS185" s="1449"/>
      <c r="AT185" s="1449"/>
      <c r="AU185" s="1451">
        <v>0.1</v>
      </c>
      <c r="AV185" s="1449">
        <f t="shared" si="137"/>
        <v>0.1</v>
      </c>
      <c r="AW185" s="1451" t="e">
        <f t="shared" si="131"/>
        <v>#DIV/0!</v>
      </c>
      <c r="AX185" s="1449" t="s">
        <v>2324</v>
      </c>
      <c r="AY185" s="1451" t="e">
        <f>UWert!$P177/(SUM(UWert!$P$170:$P$179))</f>
        <v>#DIV/0!</v>
      </c>
      <c r="AZ185" s="1450" t="e">
        <f t="shared" si="138"/>
        <v>#DIV/0!</v>
      </c>
      <c r="BA185" s="1451">
        <f>0*AU185/0.72</f>
        <v>0</v>
      </c>
      <c r="BB185" s="1451" t="e">
        <f>BA185/SUM(BA177:BA186)</f>
        <v>#DIV/0!</v>
      </c>
      <c r="BC185" s="1450" t="e">
        <f t="shared" si="139"/>
        <v>#DIV/0!</v>
      </c>
      <c r="BD185" s="1451" t="e">
        <f t="shared" si="132"/>
        <v>#DIV/0!</v>
      </c>
      <c r="BE185" s="1449" t="s">
        <v>2324</v>
      </c>
      <c r="BF185" s="1451" t="e">
        <f t="shared" si="133"/>
        <v>#DIV/0!</v>
      </c>
      <c r="BG185" s="1449" t="s">
        <v>2324</v>
      </c>
      <c r="BH185" s="1451" t="e">
        <f t="shared" si="134"/>
        <v>#DIV/0!</v>
      </c>
      <c r="BI185" s="1449" t="s">
        <v>2324</v>
      </c>
      <c r="BJ185" s="1424"/>
      <c r="BK185" s="1425"/>
      <c r="BL185" s="1425"/>
      <c r="BM185" s="1425"/>
      <c r="BN185" s="1425"/>
      <c r="BO185" s="1425"/>
      <c r="BP185" s="1425"/>
      <c r="BQ185" s="1425"/>
      <c r="BR185" s="1425"/>
      <c r="BS185" s="1425"/>
      <c r="BT185" s="1425"/>
      <c r="BU185" s="1425"/>
      <c r="BV185" s="1425"/>
      <c r="BW185" s="1425"/>
      <c r="BX185" s="1425"/>
      <c r="BY185" s="1425"/>
      <c r="BZ185" s="1425"/>
    </row>
    <row r="186" spans="3:78" s="174" customFormat="1" ht="12.6" customHeight="1">
      <c r="C186" s="456"/>
      <c r="D186" s="456"/>
      <c r="E186" s="456"/>
      <c r="F186" s="456"/>
      <c r="G186" s="456"/>
      <c r="H186" s="456"/>
      <c r="I186" s="456"/>
      <c r="K186" s="456"/>
      <c r="L186" s="456"/>
      <c r="M186" s="456"/>
      <c r="N186" s="456"/>
      <c r="O186" s="456"/>
      <c r="P186" s="456"/>
      <c r="S186" s="569"/>
      <c r="T186" s="2602" t="s">
        <v>274</v>
      </c>
      <c r="U186" s="2601"/>
      <c r="V186" s="2602" t="s">
        <v>273</v>
      </c>
      <c r="W186" s="2601"/>
      <c r="X186" s="2603" t="s">
        <v>276</v>
      </c>
      <c r="Y186" s="2601"/>
      <c r="Z186" s="1338"/>
      <c r="AA186" s="1449"/>
      <c r="AB186" s="1449"/>
      <c r="AC186" s="1449"/>
      <c r="AD186" s="1451">
        <f t="shared" si="126"/>
        <v>0.2</v>
      </c>
      <c r="AE186" s="1450">
        <f>Ta_feuchte</f>
        <v>20</v>
      </c>
      <c r="AF186" s="1449" t="s">
        <v>2324</v>
      </c>
      <c r="AG186" s="1451" t="e">
        <f>SUM(UWert!$H178:$H179)/(SUM(UWert!$H$170:$H$179))</f>
        <v>#DIV/0!</v>
      </c>
      <c r="AH186" s="1450">
        <f>IF(AE186&gt;0,1.40574*POWER(10,10)*EXP(-3928.5/(AE186+231.667)),3.61633*POWER(10,12)*EXP(-6150.6/(AE186+273.33)))</f>
        <v>2336.7157223473796</v>
      </c>
      <c r="AI186" s="1468">
        <f>0*AC186/0.72</f>
        <v>0</v>
      </c>
      <c r="AJ186" s="1451" t="e">
        <f>AI186/SUM(AI177:AI186)</f>
        <v>#DIV/0!</v>
      </c>
      <c r="AK186" s="1450">
        <f>AH186*Rh_aussen</f>
        <v>1402.0294334084276</v>
      </c>
      <c r="AL186" s="1451">
        <f t="shared" si="128"/>
        <v>10.489639823639493</v>
      </c>
      <c r="AM186" s="1449" t="s">
        <v>2324</v>
      </c>
      <c r="AN186" s="1451">
        <f t="shared" si="129"/>
        <v>12.032306379344021</v>
      </c>
      <c r="AO186" s="1449" t="s">
        <v>2324</v>
      </c>
      <c r="AP186" s="1451">
        <f t="shared" si="130"/>
        <v>12.032306379344021</v>
      </c>
      <c r="AQ186" s="1449" t="s">
        <v>2324</v>
      </c>
      <c r="AR186" s="1449"/>
      <c r="AS186" s="1449"/>
      <c r="AT186" s="1449"/>
      <c r="AU186" s="1449"/>
      <c r="AV186" s="1449">
        <f t="shared" si="137"/>
        <v>0.2</v>
      </c>
      <c r="AW186" s="1450">
        <f>Ta_feuchte</f>
        <v>20</v>
      </c>
      <c r="AX186" s="1449" t="s">
        <v>2324</v>
      </c>
      <c r="AY186" s="1451" t="e">
        <f>SUM(UWert!$P178:$P179)/(SUM(UWert!$P$170:$P$179))</f>
        <v>#DIV/0!</v>
      </c>
      <c r="AZ186" s="1450">
        <f t="shared" si="138"/>
        <v>2336.7157223473796</v>
      </c>
      <c r="BA186" s="1451">
        <f>0*(AU186/0.72)</f>
        <v>0</v>
      </c>
      <c r="BB186" s="1451" t="e">
        <f>BA186/SUM(BA177:BA186)</f>
        <v>#DIV/0!</v>
      </c>
      <c r="BC186" s="1450">
        <f>AZ186*Rh_aussen</f>
        <v>1402.0294334084276</v>
      </c>
      <c r="BD186" s="1451">
        <f t="shared" si="132"/>
        <v>10.489639823639493</v>
      </c>
      <c r="BE186" s="1449" t="s">
        <v>2324</v>
      </c>
      <c r="BF186" s="1451">
        <f t="shared" si="133"/>
        <v>12.032306379344021</v>
      </c>
      <c r="BG186" s="1449" t="s">
        <v>2324</v>
      </c>
      <c r="BH186" s="1451">
        <f t="shared" si="134"/>
        <v>12.032306379344021</v>
      </c>
      <c r="BI186" s="1449" t="s">
        <v>2324</v>
      </c>
      <c r="BJ186" s="1424"/>
      <c r="BK186" s="1425"/>
      <c r="BL186" s="1425"/>
      <c r="BM186" s="1425"/>
      <c r="BN186" s="1425"/>
      <c r="BO186" s="1425"/>
      <c r="BP186" s="1425"/>
      <c r="BQ186" s="1425"/>
      <c r="BR186" s="1425"/>
      <c r="BS186" s="1425"/>
      <c r="BT186" s="1425"/>
      <c r="BU186" s="1425"/>
      <c r="BV186" s="1425"/>
      <c r="BW186" s="1425"/>
      <c r="BX186" s="1425"/>
      <c r="BY186" s="1425"/>
      <c r="BZ186" s="1425"/>
    </row>
    <row r="187" spans="3:78" s="174" customFormat="1">
      <c r="C187" s="456"/>
      <c r="D187" s="456"/>
      <c r="E187" s="456"/>
      <c r="F187" s="456"/>
      <c r="G187" s="456"/>
      <c r="H187" s="456"/>
      <c r="I187" s="456"/>
      <c r="K187" s="456"/>
      <c r="L187" s="456"/>
      <c r="M187" s="456"/>
      <c r="N187" s="456"/>
      <c r="O187" s="456"/>
      <c r="P187" s="456"/>
      <c r="S187" s="569"/>
      <c r="T187" s="2600" t="str">
        <f>BT178</f>
        <v/>
      </c>
      <c r="U187" s="2601"/>
      <c r="V187" s="2600">
        <f>BU178</f>
        <v>0</v>
      </c>
      <c r="W187" s="2601"/>
      <c r="X187" s="2603">
        <f>BV178</f>
        <v>0</v>
      </c>
      <c r="Y187" s="2601"/>
      <c r="Z187" s="1338"/>
      <c r="AA187" s="1455"/>
      <c r="AB187" s="1455"/>
      <c r="AC187" s="1455"/>
      <c r="AD187" s="1455"/>
      <c r="AE187" s="1455"/>
      <c r="AF187" s="1455"/>
      <c r="AG187" s="1455"/>
      <c r="AH187" s="1455"/>
      <c r="AI187" s="1469"/>
      <c r="AJ187" s="1455"/>
      <c r="AK187" s="1455"/>
      <c r="AL187" s="1455"/>
      <c r="AM187" s="1455"/>
      <c r="AN187" s="1455"/>
      <c r="AO187" s="1455"/>
      <c r="AP187" s="1455"/>
      <c r="AQ187" s="1455"/>
      <c r="AR187" s="1455"/>
      <c r="AS187" s="1455"/>
      <c r="AT187" s="1455"/>
      <c r="AU187" s="1455"/>
      <c r="AV187" s="1455"/>
      <c r="AW187" s="1455"/>
      <c r="AX187" s="1455"/>
      <c r="AY187" s="1455"/>
      <c r="AZ187" s="1455"/>
      <c r="BA187" s="1455"/>
      <c r="BB187" s="1455"/>
      <c r="BC187" s="1455"/>
      <c r="BD187" s="1455"/>
      <c r="BE187" s="1455"/>
      <c r="BF187" s="1455"/>
      <c r="BG187" s="1455"/>
      <c r="BH187" s="1455"/>
      <c r="BI187" s="1455"/>
      <c r="BJ187" s="1441"/>
      <c r="BK187" s="1425"/>
      <c r="BL187" s="1425"/>
      <c r="BM187" s="1425"/>
      <c r="BN187" s="1425"/>
      <c r="BO187" s="1425"/>
      <c r="BP187" s="1425"/>
      <c r="BQ187" s="1425"/>
      <c r="BR187" s="1425"/>
      <c r="BS187" s="1425"/>
      <c r="BT187" s="1425"/>
      <c r="BU187" s="1425"/>
      <c r="BV187" s="1425"/>
      <c r="BW187" s="1425"/>
      <c r="BX187" s="1425"/>
      <c r="BY187" s="1425"/>
      <c r="BZ187" s="1425"/>
    </row>
    <row r="188" spans="3:78" s="174" customFormat="1">
      <c r="C188" s="456"/>
      <c r="D188" s="456"/>
      <c r="E188" s="456"/>
      <c r="F188" s="456"/>
      <c r="G188" s="456"/>
      <c r="H188" s="456"/>
      <c r="I188" s="456"/>
      <c r="K188" s="456"/>
      <c r="L188" s="456"/>
      <c r="M188" s="456"/>
      <c r="N188" s="456"/>
      <c r="O188" s="456"/>
      <c r="P188" s="456"/>
      <c r="S188" s="569"/>
      <c r="T188" s="615"/>
      <c r="U188" s="616"/>
      <c r="V188" s="2594" t="str">
        <f>BU179</f>
        <v/>
      </c>
      <c r="W188" s="2595"/>
      <c r="X188" s="2594" t="str">
        <f>BV179</f>
        <v/>
      </c>
      <c r="Y188" s="2595"/>
      <c r="Z188" s="1338"/>
      <c r="AA188" s="1443"/>
      <c r="AB188" s="1443"/>
      <c r="AC188" s="1443"/>
      <c r="AD188" s="1443"/>
      <c r="AE188" s="1443"/>
      <c r="AF188" s="1443"/>
      <c r="AG188" s="1443"/>
      <c r="AH188" s="1443"/>
      <c r="AI188" s="1444"/>
      <c r="AJ188" s="1443"/>
      <c r="AK188" s="1443"/>
      <c r="AL188" s="1443"/>
      <c r="AM188" s="1443"/>
      <c r="AN188" s="1443"/>
      <c r="AO188" s="1443"/>
      <c r="AP188" s="1443"/>
      <c r="AQ188" s="1443"/>
      <c r="AR188" s="1443"/>
      <c r="AS188" s="1443"/>
      <c r="AT188" s="1443"/>
      <c r="AU188" s="1443"/>
      <c r="AV188" s="1443"/>
      <c r="AW188" s="1443"/>
      <c r="AX188" s="1443"/>
      <c r="AY188" s="1443"/>
      <c r="AZ188" s="1443"/>
      <c r="BA188" s="1443"/>
      <c r="BB188" s="1443"/>
      <c r="BC188" s="1443"/>
      <c r="BD188" s="1443"/>
      <c r="BE188" s="1443"/>
      <c r="BF188" s="1443"/>
      <c r="BG188" s="1443"/>
      <c r="BH188" s="1443"/>
      <c r="BI188" s="1443"/>
      <c r="BJ188" s="1425"/>
      <c r="BK188" s="1425"/>
      <c r="BL188" s="1425"/>
      <c r="BM188" s="1425"/>
      <c r="BN188" s="1425"/>
      <c r="BO188" s="1425"/>
      <c r="BP188" s="1425"/>
      <c r="BQ188" s="1425"/>
      <c r="BR188" s="1425"/>
      <c r="BS188" s="1425"/>
      <c r="BT188" s="1425"/>
      <c r="BU188" s="1425"/>
      <c r="BV188" s="1425"/>
      <c r="BW188" s="1425"/>
      <c r="BX188" s="1425"/>
      <c r="BY188" s="1425"/>
      <c r="BZ188" s="1425"/>
    </row>
    <row r="189" spans="3:78" s="174" customFormat="1">
      <c r="C189" s="456"/>
      <c r="D189" s="456"/>
      <c r="E189" s="456"/>
      <c r="F189" s="456"/>
      <c r="G189" s="456"/>
      <c r="H189" s="456"/>
      <c r="I189" s="456"/>
      <c r="K189" s="456"/>
      <c r="L189" s="456"/>
      <c r="M189" s="456"/>
      <c r="N189" s="456"/>
      <c r="O189" s="456"/>
      <c r="P189" s="456"/>
      <c r="S189" s="569"/>
      <c r="T189" s="2608"/>
      <c r="U189" s="2608"/>
      <c r="V189" s="565"/>
      <c r="W189" s="2608"/>
      <c r="X189" s="2608"/>
      <c r="Y189" s="199"/>
      <c r="Z189" s="1338"/>
      <c r="AA189" s="1443"/>
      <c r="AB189" s="1443"/>
      <c r="AC189" s="1443"/>
      <c r="AD189" s="1443"/>
      <c r="AE189" s="1443"/>
      <c r="AF189" s="1443"/>
      <c r="AG189" s="1443"/>
      <c r="AH189" s="1443"/>
      <c r="AI189" s="1444"/>
      <c r="AJ189" s="1443"/>
      <c r="AK189" s="1443"/>
      <c r="AL189" s="1443"/>
      <c r="AM189" s="1443"/>
      <c r="AN189" s="1443"/>
      <c r="AO189" s="1443"/>
      <c r="AP189" s="1443"/>
      <c r="AQ189" s="1443"/>
      <c r="AR189" s="1443"/>
      <c r="AS189" s="1443"/>
      <c r="AT189" s="1443"/>
      <c r="AU189" s="1443"/>
      <c r="AV189" s="1443"/>
      <c r="AW189" s="1443"/>
      <c r="AX189" s="1443"/>
      <c r="AY189" s="1443"/>
      <c r="AZ189" s="1443"/>
      <c r="BA189" s="1443"/>
      <c r="BB189" s="1443"/>
      <c r="BC189" s="1443"/>
      <c r="BD189" s="1443"/>
      <c r="BE189" s="1443"/>
      <c r="BF189" s="1443"/>
      <c r="BG189" s="1443"/>
      <c r="BH189" s="1443"/>
      <c r="BI189" s="1443"/>
      <c r="BJ189" s="1425"/>
      <c r="BK189" s="1425"/>
      <c r="BL189" s="1425"/>
      <c r="BM189" s="1425"/>
      <c r="BN189" s="1425"/>
      <c r="BO189" s="1425"/>
      <c r="BP189" s="1425"/>
      <c r="BQ189" s="1425"/>
      <c r="BR189" s="1425"/>
      <c r="BS189" s="1425"/>
      <c r="BT189" s="1425"/>
      <c r="BU189" s="1425"/>
      <c r="BV189" s="1425"/>
      <c r="BW189" s="1425"/>
      <c r="BX189" s="1425"/>
      <c r="BY189" s="1425"/>
      <c r="BZ189" s="1425"/>
    </row>
    <row r="190" spans="3:78" s="174" customFormat="1">
      <c r="C190" s="199"/>
      <c r="D190" s="199"/>
      <c r="E190" s="199"/>
      <c r="F190" s="199"/>
      <c r="G190" s="199"/>
      <c r="H190" s="199"/>
      <c r="I190" s="199"/>
      <c r="J190" s="199"/>
      <c r="K190" s="199"/>
      <c r="L190" s="199"/>
      <c r="M190" s="199"/>
      <c r="N190" s="199"/>
      <c r="O190" s="199"/>
      <c r="P190" s="199"/>
      <c r="Q190" s="199"/>
      <c r="S190" s="569"/>
      <c r="T190" s="199"/>
      <c r="U190" s="199"/>
      <c r="V190" s="565"/>
      <c r="W190" s="565"/>
      <c r="X190" s="565"/>
      <c r="Y190" s="199"/>
      <c r="Z190" s="1338"/>
      <c r="AA190" s="1443"/>
      <c r="AB190" s="1443"/>
      <c r="AC190" s="1443"/>
      <c r="AD190" s="1443"/>
      <c r="AE190" s="1443"/>
      <c r="AF190" s="1443"/>
      <c r="AG190" s="1443"/>
      <c r="AH190" s="1443"/>
      <c r="AI190" s="1444"/>
      <c r="AJ190" s="1443"/>
      <c r="AK190" s="1443"/>
      <c r="AL190" s="1443"/>
      <c r="AM190" s="1443"/>
      <c r="AN190" s="1443"/>
      <c r="AO190" s="1443"/>
      <c r="AP190" s="1443"/>
      <c r="AQ190" s="1443"/>
      <c r="AR190" s="1443"/>
      <c r="AS190" s="1443"/>
      <c r="AT190" s="1443"/>
      <c r="AU190" s="1443"/>
      <c r="AV190" s="1443"/>
      <c r="AW190" s="1443"/>
      <c r="AX190" s="1443"/>
      <c r="AY190" s="1443"/>
      <c r="AZ190" s="1443"/>
      <c r="BA190" s="1443"/>
      <c r="BB190" s="1443"/>
      <c r="BC190" s="1443"/>
      <c r="BD190" s="1443"/>
      <c r="BE190" s="1443"/>
      <c r="BF190" s="1443"/>
      <c r="BG190" s="1443"/>
      <c r="BH190" s="1443"/>
      <c r="BI190" s="1443"/>
      <c r="BJ190" s="1425"/>
      <c r="BK190" s="1425"/>
      <c r="BL190" s="1425"/>
      <c r="BM190" s="1425"/>
      <c r="BN190" s="1425"/>
      <c r="BO190" s="1425"/>
      <c r="BP190" s="1425"/>
      <c r="BQ190" s="1425"/>
      <c r="BR190" s="1425"/>
      <c r="BS190" s="1425"/>
      <c r="BT190" s="1425"/>
      <c r="BU190" s="1425"/>
      <c r="BV190" s="1425"/>
      <c r="BW190" s="1425"/>
      <c r="BX190" s="1425"/>
      <c r="BY190" s="1425"/>
      <c r="BZ190" s="1425"/>
    </row>
    <row r="191" spans="3:78" s="174" customFormat="1">
      <c r="Z191" s="1339"/>
      <c r="AA191" s="1443"/>
      <c r="AB191" s="1443"/>
      <c r="AC191" s="1443"/>
      <c r="AD191" s="1443"/>
      <c r="AE191" s="1443"/>
      <c r="AF191" s="1443"/>
      <c r="AG191" s="1443"/>
      <c r="AH191" s="1443"/>
      <c r="AI191" s="1444"/>
      <c r="AJ191" s="1443"/>
      <c r="AK191" s="1443"/>
      <c r="AL191" s="1443"/>
      <c r="AM191" s="1443"/>
      <c r="AN191" s="1443"/>
      <c r="AO191" s="1443"/>
      <c r="AP191" s="1443"/>
      <c r="AQ191" s="1443"/>
      <c r="AR191" s="1443"/>
      <c r="AS191" s="1443"/>
      <c r="AT191" s="1443"/>
      <c r="AU191" s="1443"/>
      <c r="AV191" s="1443"/>
      <c r="AW191" s="1443"/>
      <c r="AX191" s="1443"/>
      <c r="AY191" s="1443"/>
      <c r="AZ191" s="1443"/>
      <c r="BA191" s="1443"/>
      <c r="BB191" s="1443"/>
      <c r="BC191" s="1443"/>
      <c r="BD191" s="1443"/>
      <c r="BE191" s="1443"/>
      <c r="BF191" s="1443"/>
      <c r="BG191" s="1443"/>
      <c r="BH191" s="1443"/>
      <c r="BI191" s="1443"/>
      <c r="BJ191" s="1425"/>
      <c r="BK191" s="1425"/>
      <c r="BL191" s="1425"/>
      <c r="BM191" s="1425"/>
      <c r="BN191" s="1425"/>
      <c r="BO191" s="1425"/>
      <c r="BP191" s="1425"/>
      <c r="BQ191" s="1425"/>
      <c r="BR191" s="1425"/>
      <c r="BS191" s="1425"/>
      <c r="BT191" s="1425"/>
      <c r="BU191" s="1425"/>
      <c r="BV191" s="1425"/>
      <c r="BW191" s="1425"/>
      <c r="BX191" s="1425"/>
      <c r="BY191" s="1425"/>
      <c r="BZ191" s="1339"/>
    </row>
    <row r="192" spans="3:78" s="174" customFormat="1">
      <c r="Z192" s="1339"/>
      <c r="AA192" s="1443"/>
      <c r="AB192" s="1443"/>
      <c r="AC192" s="1443"/>
      <c r="AD192" s="1443"/>
      <c r="AE192" s="1443"/>
      <c r="AF192" s="1443"/>
      <c r="AG192" s="1443"/>
      <c r="AH192" s="1443"/>
      <c r="AI192" s="1444"/>
      <c r="AJ192" s="1443"/>
      <c r="AK192" s="1443"/>
      <c r="AL192" s="1443"/>
      <c r="AM192" s="1443"/>
      <c r="AN192" s="1443"/>
      <c r="AO192" s="1443"/>
      <c r="AP192" s="1443"/>
      <c r="AQ192" s="1443"/>
      <c r="AR192" s="1443"/>
      <c r="AS192" s="1443"/>
      <c r="AT192" s="1443"/>
      <c r="AU192" s="1443"/>
      <c r="AV192" s="1443"/>
      <c r="AW192" s="1443"/>
      <c r="AX192" s="1443"/>
      <c r="AY192" s="1443"/>
      <c r="AZ192" s="1443"/>
      <c r="BA192" s="1443"/>
      <c r="BB192" s="1443"/>
      <c r="BC192" s="1443"/>
      <c r="BD192" s="1443"/>
      <c r="BE192" s="1443"/>
      <c r="BF192" s="1443"/>
      <c r="BG192" s="1443"/>
      <c r="BH192" s="1443"/>
      <c r="BI192" s="1443"/>
      <c r="BJ192" s="1425"/>
      <c r="BK192" s="1425"/>
      <c r="BL192" s="1425"/>
      <c r="BM192" s="1425"/>
      <c r="BN192" s="1425"/>
      <c r="BO192" s="1425"/>
      <c r="BP192" s="1425"/>
      <c r="BQ192" s="1425"/>
      <c r="BR192" s="1425"/>
      <c r="BS192" s="1425"/>
      <c r="BT192" s="1425"/>
      <c r="BU192" s="1425"/>
      <c r="BV192" s="1425"/>
      <c r="BW192" s="1425"/>
      <c r="BX192" s="1425"/>
      <c r="BY192" s="1425"/>
      <c r="BZ192" s="1339"/>
    </row>
    <row r="193" spans="26:78" s="174" customFormat="1">
      <c r="Z193" s="1339"/>
      <c r="AA193" s="1443"/>
      <c r="AB193" s="1443"/>
      <c r="AC193" s="1443"/>
      <c r="AD193" s="1443"/>
      <c r="AE193" s="1443"/>
      <c r="AF193" s="1443"/>
      <c r="AG193" s="1443"/>
      <c r="AH193" s="1443"/>
      <c r="AI193" s="1444"/>
      <c r="AJ193" s="1443"/>
      <c r="AK193" s="1443"/>
      <c r="AL193" s="1443"/>
      <c r="AM193" s="1443"/>
      <c r="AN193" s="1443"/>
      <c r="AO193" s="1443"/>
      <c r="AP193" s="1443"/>
      <c r="AQ193" s="1443"/>
      <c r="AR193" s="1443"/>
      <c r="AS193" s="1443"/>
      <c r="AT193" s="1443"/>
      <c r="AU193" s="1443"/>
      <c r="AV193" s="1443"/>
      <c r="AW193" s="1443"/>
      <c r="AX193" s="1443"/>
      <c r="AY193" s="1443"/>
      <c r="AZ193" s="1443"/>
      <c r="BA193" s="1443"/>
      <c r="BB193" s="1443"/>
      <c r="BC193" s="1443"/>
      <c r="BD193" s="1443"/>
      <c r="BE193" s="1443"/>
      <c r="BF193" s="1443"/>
      <c r="BG193" s="1443"/>
      <c r="BH193" s="1443"/>
      <c r="BI193" s="1443"/>
      <c r="BJ193" s="1425"/>
      <c r="BK193" s="1425"/>
      <c r="BL193" s="1425"/>
      <c r="BM193" s="1425"/>
      <c r="BN193" s="1425"/>
      <c r="BO193" s="1425"/>
      <c r="BP193" s="1425"/>
      <c r="BQ193" s="1425"/>
      <c r="BR193" s="1425"/>
      <c r="BS193" s="1425"/>
      <c r="BT193" s="1425"/>
      <c r="BU193" s="1425"/>
      <c r="BV193" s="1425"/>
      <c r="BW193" s="1425"/>
      <c r="BX193" s="1425"/>
      <c r="BY193" s="1425"/>
      <c r="BZ193" s="1339"/>
    </row>
    <row r="194" spans="26:78" s="174" customFormat="1">
      <c r="Z194" s="1339"/>
      <c r="AA194" s="1443"/>
      <c r="AB194" s="1443"/>
      <c r="AC194" s="1443"/>
      <c r="AD194" s="1443"/>
      <c r="AE194" s="1443"/>
      <c r="AF194" s="1443"/>
      <c r="AG194" s="1443"/>
      <c r="AH194" s="1443"/>
      <c r="AI194" s="1444"/>
      <c r="AJ194" s="1443"/>
      <c r="AK194" s="1443"/>
      <c r="AL194" s="1443"/>
      <c r="AM194" s="1443"/>
      <c r="AN194" s="1443"/>
      <c r="AO194" s="1443"/>
      <c r="AP194" s="1443"/>
      <c r="AQ194" s="1443"/>
      <c r="AR194" s="1443"/>
      <c r="AS194" s="1443"/>
      <c r="AT194" s="1443"/>
      <c r="AU194" s="1443"/>
      <c r="AV194" s="1443"/>
      <c r="AW194" s="1443"/>
      <c r="AX194" s="1443"/>
      <c r="AY194" s="1443"/>
      <c r="AZ194" s="1443"/>
      <c r="BA194" s="1443"/>
      <c r="BB194" s="1443"/>
      <c r="BC194" s="1443"/>
      <c r="BD194" s="1443"/>
      <c r="BE194" s="1443"/>
      <c r="BF194" s="1443"/>
      <c r="BG194" s="1443"/>
      <c r="BH194" s="1443"/>
      <c r="BI194" s="1443"/>
      <c r="BJ194" s="1425"/>
      <c r="BK194" s="1425"/>
      <c r="BL194" s="1425"/>
      <c r="BM194" s="1425"/>
      <c r="BN194" s="1425"/>
      <c r="BO194" s="1425"/>
      <c r="BP194" s="1425"/>
      <c r="BQ194" s="1425"/>
      <c r="BR194" s="1425"/>
      <c r="BS194" s="1425"/>
      <c r="BT194" s="1425"/>
      <c r="BU194" s="1425"/>
      <c r="BV194" s="1425"/>
      <c r="BW194" s="1425"/>
      <c r="BX194" s="1425"/>
      <c r="BY194" s="1425"/>
      <c r="BZ194" s="1339"/>
    </row>
    <row r="195" spans="26:78" s="174" customFormat="1">
      <c r="Z195" s="1339"/>
      <c r="AA195" s="1443"/>
      <c r="AB195" s="1443"/>
      <c r="AC195" s="1443"/>
      <c r="AD195" s="1443"/>
      <c r="AE195" s="1443"/>
      <c r="AF195" s="1443"/>
      <c r="AG195" s="1443"/>
      <c r="AH195" s="1443"/>
      <c r="AI195" s="1444"/>
      <c r="AJ195" s="1443"/>
      <c r="AK195" s="1443"/>
      <c r="AL195" s="1443"/>
      <c r="AM195" s="1443"/>
      <c r="AN195" s="1443"/>
      <c r="AO195" s="1443"/>
      <c r="AP195" s="1443"/>
      <c r="AQ195" s="1443"/>
      <c r="AR195" s="1443"/>
      <c r="AS195" s="1443"/>
      <c r="AT195" s="1443"/>
      <c r="AU195" s="1443"/>
      <c r="AV195" s="1443"/>
      <c r="AW195" s="1443"/>
      <c r="AX195" s="1443"/>
      <c r="AY195" s="1443"/>
      <c r="AZ195" s="1443"/>
      <c r="BA195" s="1443"/>
      <c r="BB195" s="1443"/>
      <c r="BC195" s="1443"/>
      <c r="BD195" s="1443"/>
      <c r="BE195" s="1443"/>
      <c r="BF195" s="1443"/>
      <c r="BG195" s="1443"/>
      <c r="BH195" s="1443"/>
      <c r="BI195" s="1443"/>
      <c r="BJ195" s="1425"/>
      <c r="BK195" s="1425"/>
      <c r="BL195" s="1425"/>
      <c r="BM195" s="1425"/>
      <c r="BN195" s="1425"/>
      <c r="BO195" s="1425"/>
      <c r="BP195" s="1425"/>
      <c r="BQ195" s="1425"/>
      <c r="BR195" s="1425"/>
      <c r="BS195" s="1425"/>
      <c r="BT195" s="1425"/>
      <c r="BU195" s="1425"/>
      <c r="BV195" s="1425"/>
      <c r="BW195" s="1425"/>
      <c r="BX195" s="1425"/>
      <c r="BY195" s="1425"/>
      <c r="BZ195" s="1339"/>
    </row>
    <row r="196" spans="26:78" s="174" customFormat="1">
      <c r="Z196" s="1339"/>
      <c r="AA196" s="1443"/>
      <c r="AB196" s="1443"/>
      <c r="AC196" s="1443"/>
      <c r="AD196" s="1443"/>
      <c r="AE196" s="1443"/>
      <c r="AF196" s="1443"/>
      <c r="AG196" s="1443"/>
      <c r="AH196" s="1443"/>
      <c r="AI196" s="1444"/>
      <c r="AJ196" s="1443"/>
      <c r="AK196" s="1443"/>
      <c r="AL196" s="1443"/>
      <c r="AM196" s="1443"/>
      <c r="AN196" s="1443"/>
      <c r="AO196" s="1443"/>
      <c r="AP196" s="1443"/>
      <c r="AQ196" s="1443"/>
      <c r="AR196" s="1443"/>
      <c r="AS196" s="1443"/>
      <c r="AT196" s="1443"/>
      <c r="AU196" s="1443"/>
      <c r="AV196" s="1443"/>
      <c r="AW196" s="1443"/>
      <c r="AX196" s="1443"/>
      <c r="AY196" s="1443"/>
      <c r="AZ196" s="1443"/>
      <c r="BA196" s="1443"/>
      <c r="BB196" s="1443"/>
      <c r="BC196" s="1443"/>
      <c r="BD196" s="1443"/>
      <c r="BE196" s="1443"/>
      <c r="BF196" s="1443"/>
      <c r="BG196" s="1443"/>
      <c r="BH196" s="1443"/>
      <c r="BI196" s="1443"/>
      <c r="BJ196" s="1425"/>
      <c r="BK196" s="1425"/>
      <c r="BL196" s="1425"/>
      <c r="BM196" s="1425"/>
      <c r="BN196" s="1425"/>
      <c r="BO196" s="1425"/>
      <c r="BP196" s="1425"/>
      <c r="BQ196" s="1425"/>
      <c r="BR196" s="1425"/>
      <c r="BS196" s="1425"/>
      <c r="BT196" s="1425"/>
      <c r="BU196" s="1425"/>
      <c r="BV196" s="1425"/>
      <c r="BW196" s="1425"/>
      <c r="BX196" s="1425"/>
      <c r="BY196" s="1425"/>
      <c r="BZ196" s="1339"/>
    </row>
    <row r="197" spans="26:78" s="174" customFormat="1">
      <c r="Z197" s="1339"/>
      <c r="AA197" s="1443"/>
      <c r="AB197" s="1443"/>
      <c r="AC197" s="1443"/>
      <c r="AD197" s="1443"/>
      <c r="AE197" s="1443"/>
      <c r="AF197" s="1443"/>
      <c r="AG197" s="1443"/>
      <c r="AH197" s="1443"/>
      <c r="AI197" s="1444"/>
      <c r="AJ197" s="1443"/>
      <c r="AK197" s="1443"/>
      <c r="AL197" s="1443"/>
      <c r="AM197" s="1443"/>
      <c r="AN197" s="1443"/>
      <c r="AO197" s="1443"/>
      <c r="AP197" s="1443"/>
      <c r="AQ197" s="1443"/>
      <c r="AR197" s="1443"/>
      <c r="AS197" s="1443"/>
      <c r="AT197" s="1443"/>
      <c r="AU197" s="1443"/>
      <c r="AV197" s="1443"/>
      <c r="AW197" s="1443"/>
      <c r="AX197" s="1443"/>
      <c r="AY197" s="1443"/>
      <c r="AZ197" s="1443"/>
      <c r="BA197" s="1443"/>
      <c r="BB197" s="1443"/>
      <c r="BC197" s="1443"/>
      <c r="BD197" s="1443"/>
      <c r="BE197" s="1443"/>
      <c r="BF197" s="1443"/>
      <c r="BG197" s="1443"/>
      <c r="BH197" s="1443"/>
      <c r="BI197" s="1443"/>
      <c r="BJ197" s="1425"/>
      <c r="BK197" s="1425"/>
      <c r="BL197" s="1425"/>
      <c r="BM197" s="1425"/>
      <c r="BN197" s="1425"/>
      <c r="BO197" s="1425"/>
      <c r="BP197" s="1425"/>
      <c r="BQ197" s="1425"/>
      <c r="BR197" s="1425"/>
      <c r="BS197" s="1425"/>
      <c r="BT197" s="1425"/>
      <c r="BU197" s="1425"/>
      <c r="BV197" s="1425"/>
      <c r="BW197" s="1425"/>
      <c r="BX197" s="1425"/>
      <c r="BY197" s="1425"/>
      <c r="BZ197" s="1339"/>
    </row>
    <row r="198" spans="26:78" s="174" customFormat="1">
      <c r="Z198" s="1339"/>
      <c r="AA198" s="1443"/>
      <c r="AB198" s="1443"/>
      <c r="AC198" s="1443"/>
      <c r="AD198" s="1443"/>
      <c r="AE198" s="1443"/>
      <c r="AF198" s="1443"/>
      <c r="AG198" s="1443"/>
      <c r="AH198" s="1443"/>
      <c r="AI198" s="1444"/>
      <c r="AJ198" s="1443"/>
      <c r="AK198" s="1443"/>
      <c r="AL198" s="1443"/>
      <c r="AM198" s="1443"/>
      <c r="AN198" s="1443"/>
      <c r="AO198" s="1443"/>
      <c r="AP198" s="1443"/>
      <c r="AQ198" s="1443"/>
      <c r="AR198" s="1443"/>
      <c r="AS198" s="1443"/>
      <c r="AT198" s="1443"/>
      <c r="AU198" s="1443"/>
      <c r="AV198" s="1443"/>
      <c r="AW198" s="1443"/>
      <c r="AX198" s="1443"/>
      <c r="AY198" s="1443"/>
      <c r="AZ198" s="1443"/>
      <c r="BA198" s="1443"/>
      <c r="BB198" s="1443"/>
      <c r="BC198" s="1443"/>
      <c r="BD198" s="1443"/>
      <c r="BE198" s="1443"/>
      <c r="BF198" s="1443"/>
      <c r="BG198" s="1443"/>
      <c r="BH198" s="1443"/>
      <c r="BI198" s="1443"/>
      <c r="BJ198" s="1425"/>
      <c r="BK198" s="1425"/>
      <c r="BL198" s="1425"/>
      <c r="BM198" s="1425"/>
      <c r="BN198" s="1425"/>
      <c r="BO198" s="1425"/>
      <c r="BP198" s="1425"/>
      <c r="BQ198" s="1425"/>
      <c r="BR198" s="1425"/>
      <c r="BS198" s="1425"/>
      <c r="BT198" s="1425"/>
      <c r="BU198" s="1425"/>
      <c r="BV198" s="1425"/>
      <c r="BW198" s="1425"/>
      <c r="BX198" s="1425"/>
      <c r="BY198" s="1425"/>
      <c r="BZ198" s="1339"/>
    </row>
    <row r="199" spans="26:78" s="174" customFormat="1">
      <c r="Z199" s="1339"/>
      <c r="AA199" s="1443"/>
      <c r="AB199" s="1443"/>
      <c r="AC199" s="1443"/>
      <c r="AD199" s="1443"/>
      <c r="AE199" s="1443"/>
      <c r="AF199" s="1443"/>
      <c r="AG199" s="1443"/>
      <c r="AH199" s="1443"/>
      <c r="AI199" s="1444"/>
      <c r="AJ199" s="1443"/>
      <c r="AK199" s="1443"/>
      <c r="AL199" s="1443"/>
      <c r="AM199" s="1443"/>
      <c r="AN199" s="1443"/>
      <c r="AO199" s="1443"/>
      <c r="AP199" s="1443"/>
      <c r="AQ199" s="1443"/>
      <c r="AR199" s="1443"/>
      <c r="AS199" s="1443"/>
      <c r="AT199" s="1443"/>
      <c r="AU199" s="1443"/>
      <c r="AV199" s="1443"/>
      <c r="AW199" s="1443"/>
      <c r="AX199" s="1443"/>
      <c r="AY199" s="1443"/>
      <c r="AZ199" s="1443"/>
      <c r="BA199" s="1443"/>
      <c r="BB199" s="1443"/>
      <c r="BC199" s="1443"/>
      <c r="BD199" s="1443"/>
      <c r="BE199" s="1443"/>
      <c r="BF199" s="1443"/>
      <c r="BG199" s="1443"/>
      <c r="BH199" s="1443"/>
      <c r="BI199" s="1443"/>
      <c r="BJ199" s="1425"/>
      <c r="BK199" s="1425"/>
      <c r="BL199" s="1425"/>
      <c r="BM199" s="1425"/>
      <c r="BN199" s="1425"/>
      <c r="BO199" s="1425"/>
      <c r="BP199" s="1425"/>
      <c r="BQ199" s="1425"/>
      <c r="BR199" s="1425"/>
      <c r="BS199" s="1425"/>
      <c r="BT199" s="1425"/>
      <c r="BU199" s="1425"/>
      <c r="BV199" s="1425"/>
      <c r="BW199" s="1425"/>
      <c r="BX199" s="1425"/>
      <c r="BY199" s="1425"/>
      <c r="BZ199" s="1339"/>
    </row>
    <row r="200" spans="26:78" s="174" customFormat="1">
      <c r="Z200" s="1339"/>
      <c r="AA200" s="1443"/>
      <c r="AB200" s="1443"/>
      <c r="AC200" s="1443"/>
      <c r="AD200" s="1443"/>
      <c r="AE200" s="1443"/>
      <c r="AF200" s="1443"/>
      <c r="AG200" s="1443"/>
      <c r="AH200" s="1443"/>
      <c r="AI200" s="1444"/>
      <c r="AJ200" s="1443"/>
      <c r="AK200" s="1443"/>
      <c r="AL200" s="1443"/>
      <c r="AM200" s="1443"/>
      <c r="AN200" s="1443"/>
      <c r="AO200" s="1443"/>
      <c r="AP200" s="1443"/>
      <c r="AQ200" s="1443"/>
      <c r="AR200" s="1443"/>
      <c r="AS200" s="1443"/>
      <c r="AT200" s="1443"/>
      <c r="AU200" s="1443"/>
      <c r="AV200" s="1443"/>
      <c r="AW200" s="1443"/>
      <c r="AX200" s="1443"/>
      <c r="AY200" s="1443"/>
      <c r="AZ200" s="1443"/>
      <c r="BA200" s="1443"/>
      <c r="BB200" s="1443"/>
      <c r="BC200" s="1443"/>
      <c r="BD200" s="1443"/>
      <c r="BE200" s="1443"/>
      <c r="BF200" s="1443"/>
      <c r="BG200" s="1443"/>
      <c r="BH200" s="1443"/>
      <c r="BI200" s="1443"/>
      <c r="BJ200" s="1425"/>
      <c r="BK200" s="1425"/>
      <c r="BL200" s="1425"/>
      <c r="BM200" s="1425"/>
      <c r="BN200" s="1425"/>
      <c r="BO200" s="1425"/>
      <c r="BP200" s="1425"/>
      <c r="BQ200" s="1425"/>
      <c r="BR200" s="1425"/>
      <c r="BS200" s="1425"/>
      <c r="BT200" s="1425"/>
      <c r="BU200" s="1425"/>
      <c r="BV200" s="1425"/>
      <c r="BW200" s="1425"/>
      <c r="BX200" s="1425"/>
      <c r="BY200" s="1425"/>
      <c r="BZ200" s="1339"/>
    </row>
    <row r="201" spans="26:78" s="174" customFormat="1">
      <c r="Z201" s="1339"/>
      <c r="AA201" s="1443"/>
      <c r="AB201" s="1443"/>
      <c r="AC201" s="1443"/>
      <c r="AD201" s="1443"/>
      <c r="AE201" s="1443"/>
      <c r="AF201" s="1443"/>
      <c r="AG201" s="1443"/>
      <c r="AH201" s="1443"/>
      <c r="AI201" s="1444"/>
      <c r="AJ201" s="1443"/>
      <c r="AK201" s="1443"/>
      <c r="AL201" s="1443"/>
      <c r="AM201" s="1443"/>
      <c r="AN201" s="1443"/>
      <c r="AO201" s="1443"/>
      <c r="AP201" s="1443"/>
      <c r="AQ201" s="1443"/>
      <c r="AR201" s="1443"/>
      <c r="AS201" s="1443"/>
      <c r="AT201" s="1443"/>
      <c r="AU201" s="1443"/>
      <c r="AV201" s="1443"/>
      <c r="AW201" s="1443"/>
      <c r="AX201" s="1443"/>
      <c r="AY201" s="1443"/>
      <c r="AZ201" s="1443"/>
      <c r="BA201" s="1443"/>
      <c r="BB201" s="1443"/>
      <c r="BC201" s="1443"/>
      <c r="BD201" s="1443"/>
      <c r="BE201" s="1443"/>
      <c r="BF201" s="1443"/>
      <c r="BG201" s="1443"/>
      <c r="BH201" s="1443"/>
      <c r="BI201" s="1443"/>
      <c r="BJ201" s="1425"/>
      <c r="BK201" s="1425"/>
      <c r="BL201" s="1425"/>
      <c r="BM201" s="1425"/>
      <c r="BN201" s="1425"/>
      <c r="BO201" s="1425"/>
      <c r="BP201" s="1425"/>
      <c r="BQ201" s="1425"/>
      <c r="BR201" s="1425"/>
      <c r="BS201" s="1425"/>
      <c r="BT201" s="1425"/>
      <c r="BU201" s="1425"/>
      <c r="BV201" s="1425"/>
      <c r="BW201" s="1425"/>
      <c r="BX201" s="1425"/>
      <c r="BY201" s="1425"/>
      <c r="BZ201" s="1339"/>
    </row>
    <row r="202" spans="26:78" s="174" customFormat="1">
      <c r="Z202" s="1339"/>
      <c r="AA202" s="1443"/>
      <c r="AB202" s="1443"/>
      <c r="AC202" s="1443"/>
      <c r="AD202" s="1443"/>
      <c r="AE202" s="1443"/>
      <c r="AF202" s="1443"/>
      <c r="AG202" s="1443"/>
      <c r="AH202" s="1443"/>
      <c r="AI202" s="1444"/>
      <c r="AJ202" s="1443"/>
      <c r="AK202" s="1443"/>
      <c r="AL202" s="1443"/>
      <c r="AM202" s="1443"/>
      <c r="AN202" s="1443"/>
      <c r="AO202" s="1443"/>
      <c r="AP202" s="1443"/>
      <c r="AQ202" s="1443"/>
      <c r="AR202" s="1443"/>
      <c r="AS202" s="1443"/>
      <c r="AT202" s="1443"/>
      <c r="AU202" s="1443"/>
      <c r="AV202" s="1443"/>
      <c r="AW202" s="1443"/>
      <c r="AX202" s="1443"/>
      <c r="AY202" s="1443"/>
      <c r="AZ202" s="1443"/>
      <c r="BA202" s="1443"/>
      <c r="BB202" s="1443"/>
      <c r="BC202" s="1443"/>
      <c r="BD202" s="1443"/>
      <c r="BE202" s="1443"/>
      <c r="BF202" s="1443"/>
      <c r="BG202" s="1443"/>
      <c r="BH202" s="1443"/>
      <c r="BI202" s="1443"/>
      <c r="BJ202" s="1425"/>
      <c r="BK202" s="1425"/>
      <c r="BL202" s="1425"/>
      <c r="BM202" s="1425"/>
      <c r="BN202" s="1425"/>
      <c r="BO202" s="1425"/>
      <c r="BP202" s="1425"/>
      <c r="BQ202" s="1425"/>
      <c r="BR202" s="1425"/>
      <c r="BS202" s="1425"/>
      <c r="BT202" s="1425"/>
      <c r="BU202" s="1425"/>
      <c r="BV202" s="1425"/>
      <c r="BW202" s="1425"/>
      <c r="BX202" s="1425"/>
      <c r="BY202" s="1425"/>
      <c r="BZ202" s="1339"/>
    </row>
    <row r="203" spans="26:78" s="174" customFormat="1">
      <c r="Z203" s="1339"/>
      <c r="AA203" s="1443"/>
      <c r="AB203" s="1443"/>
      <c r="AC203" s="1443"/>
      <c r="AD203" s="1443"/>
      <c r="AE203" s="1443"/>
      <c r="AF203" s="1443"/>
      <c r="AG203" s="1443"/>
      <c r="AH203" s="1443"/>
      <c r="AI203" s="1444"/>
      <c r="AJ203" s="1443"/>
      <c r="AK203" s="1443"/>
      <c r="AL203" s="1443"/>
      <c r="AM203" s="1443"/>
      <c r="AN203" s="1443"/>
      <c r="AO203" s="1443"/>
      <c r="AP203" s="1443"/>
      <c r="AQ203" s="1443"/>
      <c r="AR203" s="1443"/>
      <c r="AS203" s="1443"/>
      <c r="AT203" s="1443"/>
      <c r="AU203" s="1443"/>
      <c r="AV203" s="1443"/>
      <c r="AW203" s="1443"/>
      <c r="AX203" s="1443"/>
      <c r="AY203" s="1443"/>
      <c r="AZ203" s="1443"/>
      <c r="BA203" s="1443"/>
      <c r="BB203" s="1443"/>
      <c r="BC203" s="1443"/>
      <c r="BD203" s="1443"/>
      <c r="BE203" s="1443"/>
      <c r="BF203" s="1443"/>
      <c r="BG203" s="1443"/>
      <c r="BH203" s="1443"/>
      <c r="BI203" s="1443"/>
      <c r="BJ203" s="1425"/>
      <c r="BK203" s="1425"/>
      <c r="BL203" s="1425"/>
      <c r="BM203" s="1425"/>
      <c r="BN203" s="1425"/>
      <c r="BO203" s="1425"/>
      <c r="BP203" s="1425"/>
      <c r="BQ203" s="1425"/>
      <c r="BR203" s="1425"/>
      <c r="BS203" s="1425"/>
      <c r="BT203" s="1425"/>
      <c r="BU203" s="1425"/>
      <c r="BV203" s="1425"/>
      <c r="BW203" s="1425"/>
      <c r="BX203" s="1425"/>
      <c r="BY203" s="1425"/>
      <c r="BZ203" s="1339"/>
    </row>
    <row r="204" spans="26:78" s="174" customFormat="1">
      <c r="Z204" s="1339"/>
      <c r="AA204" s="1443"/>
      <c r="AB204" s="1443"/>
      <c r="AC204" s="1443"/>
      <c r="AD204" s="1443"/>
      <c r="AE204" s="1443"/>
      <c r="AF204" s="1443"/>
      <c r="AG204" s="1443"/>
      <c r="AH204" s="1443"/>
      <c r="AI204" s="1444"/>
      <c r="AJ204" s="1443"/>
      <c r="AK204" s="1443"/>
      <c r="AL204" s="1443"/>
      <c r="AM204" s="1443"/>
      <c r="AN204" s="1443"/>
      <c r="AO204" s="1443"/>
      <c r="AP204" s="1443"/>
      <c r="AQ204" s="1443"/>
      <c r="AR204" s="1443"/>
      <c r="AS204" s="1443"/>
      <c r="AT204" s="1443"/>
      <c r="AU204" s="1443"/>
      <c r="AV204" s="1443"/>
      <c r="AW204" s="1443"/>
      <c r="AX204" s="1443"/>
      <c r="AY204" s="1443"/>
      <c r="AZ204" s="1443"/>
      <c r="BA204" s="1443"/>
      <c r="BB204" s="1443"/>
      <c r="BC204" s="1443"/>
      <c r="BD204" s="1443"/>
      <c r="BE204" s="1443"/>
      <c r="BF204" s="1443"/>
      <c r="BG204" s="1443"/>
      <c r="BH204" s="1443"/>
      <c r="BI204" s="1443"/>
      <c r="BJ204" s="1425"/>
      <c r="BK204" s="1425"/>
      <c r="BL204" s="1425"/>
      <c r="BM204" s="1425"/>
      <c r="BN204" s="1425"/>
      <c r="BO204" s="1425"/>
      <c r="BP204" s="1425"/>
      <c r="BQ204" s="1425"/>
      <c r="BR204" s="1425"/>
      <c r="BS204" s="1425"/>
      <c r="BT204" s="1425"/>
      <c r="BU204" s="1425"/>
      <c r="BV204" s="1425"/>
      <c r="BW204" s="1425"/>
      <c r="BX204" s="1425"/>
      <c r="BY204" s="1425"/>
      <c r="BZ204" s="1339"/>
    </row>
    <row r="205" spans="26:78" s="174" customFormat="1">
      <c r="Z205" s="1339"/>
      <c r="AA205" s="1443"/>
      <c r="AB205" s="1443"/>
      <c r="AC205" s="1443"/>
      <c r="AD205" s="1443"/>
      <c r="AE205" s="1443"/>
      <c r="AF205" s="1443"/>
      <c r="AG205" s="1443"/>
      <c r="AH205" s="1443"/>
      <c r="AI205" s="1444"/>
      <c r="AJ205" s="1443"/>
      <c r="AK205" s="1443"/>
      <c r="AL205" s="1443"/>
      <c r="AM205" s="1443"/>
      <c r="AN205" s="1443"/>
      <c r="AO205" s="1443"/>
      <c r="AP205" s="1443"/>
      <c r="AQ205" s="1443"/>
      <c r="AR205" s="1443"/>
      <c r="AS205" s="1443"/>
      <c r="AT205" s="1443"/>
      <c r="AU205" s="1443"/>
      <c r="AV205" s="1443"/>
      <c r="AW205" s="1443"/>
      <c r="AX205" s="1443"/>
      <c r="AY205" s="1443"/>
      <c r="AZ205" s="1443"/>
      <c r="BA205" s="1443"/>
      <c r="BB205" s="1443"/>
      <c r="BC205" s="1443"/>
      <c r="BD205" s="1443"/>
      <c r="BE205" s="1443"/>
      <c r="BF205" s="1443"/>
      <c r="BG205" s="1443"/>
      <c r="BH205" s="1443"/>
      <c r="BI205" s="1443"/>
      <c r="BJ205" s="1425"/>
      <c r="BK205" s="1425"/>
      <c r="BL205" s="1425"/>
      <c r="BM205" s="1425"/>
      <c r="BN205" s="1425"/>
      <c r="BO205" s="1425"/>
      <c r="BP205" s="1425"/>
      <c r="BQ205" s="1425"/>
      <c r="BR205" s="1425"/>
      <c r="BS205" s="1425"/>
      <c r="BT205" s="1425"/>
      <c r="BU205" s="1425"/>
      <c r="BV205" s="1425"/>
      <c r="BW205" s="1425"/>
      <c r="BX205" s="1425"/>
      <c r="BY205" s="1425"/>
      <c r="BZ205" s="1339"/>
    </row>
    <row r="206" spans="26:78" s="174" customFormat="1">
      <c r="Z206" s="1339"/>
      <c r="AA206" s="1443"/>
      <c r="AB206" s="1443"/>
      <c r="AC206" s="1443"/>
      <c r="AD206" s="1443"/>
      <c r="AE206" s="1443"/>
      <c r="AF206" s="1443"/>
      <c r="AG206" s="1443"/>
      <c r="AH206" s="1443"/>
      <c r="AI206" s="1444"/>
      <c r="AJ206" s="1443"/>
      <c r="AK206" s="1443"/>
      <c r="AL206" s="1443"/>
      <c r="AM206" s="1443"/>
      <c r="AN206" s="1443"/>
      <c r="AO206" s="1443"/>
      <c r="AP206" s="1443"/>
      <c r="AQ206" s="1443"/>
      <c r="AR206" s="1443"/>
      <c r="AS206" s="1443"/>
      <c r="AT206" s="1443"/>
      <c r="AU206" s="1443"/>
      <c r="AV206" s="1443"/>
      <c r="AW206" s="1443"/>
      <c r="AX206" s="1443"/>
      <c r="AY206" s="1443"/>
      <c r="AZ206" s="1443"/>
      <c r="BA206" s="1443"/>
      <c r="BB206" s="1443"/>
      <c r="BC206" s="1443"/>
      <c r="BD206" s="1443"/>
      <c r="BE206" s="1443"/>
      <c r="BF206" s="1443"/>
      <c r="BG206" s="1443"/>
      <c r="BH206" s="1443"/>
      <c r="BI206" s="1443"/>
      <c r="BJ206" s="1425"/>
      <c r="BK206" s="1425"/>
      <c r="BL206" s="1425"/>
      <c r="BM206" s="1425"/>
      <c r="BN206" s="1425"/>
      <c r="BO206" s="1425"/>
      <c r="BP206" s="1425"/>
      <c r="BQ206" s="1425"/>
      <c r="BR206" s="1425"/>
      <c r="BS206" s="1425"/>
      <c r="BT206" s="1425"/>
      <c r="BU206" s="1425"/>
      <c r="BV206" s="1425"/>
      <c r="BW206" s="1425"/>
      <c r="BX206" s="1425"/>
      <c r="BY206" s="1425"/>
      <c r="BZ206" s="1339"/>
    </row>
    <row r="207" spans="26:78" s="174" customFormat="1">
      <c r="Z207" s="1339"/>
      <c r="AA207" s="1443"/>
      <c r="AB207" s="1443"/>
      <c r="AC207" s="1443"/>
      <c r="AD207" s="1443"/>
      <c r="AE207" s="1443"/>
      <c r="AF207" s="1443"/>
      <c r="AG207" s="1443"/>
      <c r="AH207" s="1443"/>
      <c r="AI207" s="1444"/>
      <c r="AJ207" s="1443"/>
      <c r="AK207" s="1443"/>
      <c r="AL207" s="1443"/>
      <c r="AM207" s="1443"/>
      <c r="AN207" s="1443"/>
      <c r="AO207" s="1443"/>
      <c r="AP207" s="1443"/>
      <c r="AQ207" s="1443"/>
      <c r="AR207" s="1443"/>
      <c r="AS207" s="1443"/>
      <c r="AT207" s="1443"/>
      <c r="AU207" s="1443"/>
      <c r="AV207" s="1443"/>
      <c r="AW207" s="1443"/>
      <c r="AX207" s="1443"/>
      <c r="AY207" s="1443"/>
      <c r="AZ207" s="1443"/>
      <c r="BA207" s="1443"/>
      <c r="BB207" s="1443"/>
      <c r="BC207" s="1443"/>
      <c r="BD207" s="1443"/>
      <c r="BE207" s="1443"/>
      <c r="BF207" s="1443"/>
      <c r="BG207" s="1443"/>
      <c r="BH207" s="1443"/>
      <c r="BI207" s="1443"/>
      <c r="BJ207" s="1425"/>
      <c r="BK207" s="1425"/>
      <c r="BL207" s="1425"/>
      <c r="BM207" s="1425"/>
      <c r="BN207" s="1425"/>
      <c r="BO207" s="1425"/>
      <c r="BP207" s="1425"/>
      <c r="BQ207" s="1425"/>
      <c r="BR207" s="1425"/>
      <c r="BS207" s="1425"/>
      <c r="BT207" s="1425"/>
      <c r="BU207" s="1425"/>
      <c r="BV207" s="1425"/>
      <c r="BW207" s="1425"/>
      <c r="BX207" s="1425"/>
      <c r="BY207" s="1425"/>
      <c r="BZ207" s="1339"/>
    </row>
    <row r="208" spans="26:78" s="174" customFormat="1">
      <c r="Z208" s="1339"/>
      <c r="AA208" s="1443"/>
      <c r="AB208" s="1443"/>
      <c r="AC208" s="1443"/>
      <c r="AD208" s="1443"/>
      <c r="AE208" s="1443"/>
      <c r="AF208" s="1443"/>
      <c r="AG208" s="1443"/>
      <c r="AH208" s="1443"/>
      <c r="AI208" s="1444"/>
      <c r="AJ208" s="1443"/>
      <c r="AK208" s="1443"/>
      <c r="AL208" s="1443"/>
      <c r="AM208" s="1443"/>
      <c r="AN208" s="1443"/>
      <c r="AO208" s="1443"/>
      <c r="AP208" s="1443"/>
      <c r="AQ208" s="1443"/>
      <c r="AR208" s="1443"/>
      <c r="AS208" s="1443"/>
      <c r="AT208" s="1443"/>
      <c r="AU208" s="1443"/>
      <c r="AV208" s="1443"/>
      <c r="AW208" s="1443"/>
      <c r="AX208" s="1443"/>
      <c r="AY208" s="1443"/>
      <c r="AZ208" s="1443"/>
      <c r="BA208" s="1443"/>
      <c r="BB208" s="1443"/>
      <c r="BC208" s="1443"/>
      <c r="BD208" s="1443"/>
      <c r="BE208" s="1443"/>
      <c r="BF208" s="1443"/>
      <c r="BG208" s="1443"/>
      <c r="BH208" s="1443"/>
      <c r="BI208" s="1443"/>
      <c r="BJ208" s="1425"/>
      <c r="BK208" s="1425"/>
      <c r="BL208" s="1425"/>
      <c r="BM208" s="1425"/>
      <c r="BN208" s="1425"/>
      <c r="BO208" s="1425"/>
      <c r="BP208" s="1425"/>
      <c r="BQ208" s="1425"/>
      <c r="BR208" s="1425"/>
      <c r="BS208" s="1425"/>
      <c r="BT208" s="1425"/>
      <c r="BU208" s="1425"/>
      <c r="BV208" s="1425"/>
      <c r="BW208" s="1425"/>
      <c r="BX208" s="1425"/>
      <c r="BY208" s="1425"/>
      <c r="BZ208" s="1339"/>
    </row>
    <row r="209" spans="26:78" s="174" customFormat="1">
      <c r="Z209" s="1339"/>
      <c r="AA209" s="1443"/>
      <c r="AB209" s="1443"/>
      <c r="AC209" s="1443"/>
      <c r="AD209" s="1443"/>
      <c r="AE209" s="1443"/>
      <c r="AF209" s="1443"/>
      <c r="AG209" s="1443"/>
      <c r="AH209" s="1443"/>
      <c r="AI209" s="1444"/>
      <c r="AJ209" s="1443"/>
      <c r="AK209" s="1443"/>
      <c r="AL209" s="1443"/>
      <c r="AM209" s="1443"/>
      <c r="AN209" s="1443"/>
      <c r="AO209" s="1443"/>
      <c r="AP209" s="1443"/>
      <c r="AQ209" s="1443"/>
      <c r="AR209" s="1443"/>
      <c r="AS209" s="1443"/>
      <c r="AT209" s="1443"/>
      <c r="AU209" s="1443"/>
      <c r="AV209" s="1443"/>
      <c r="AW209" s="1443"/>
      <c r="AX209" s="1443"/>
      <c r="AY209" s="1443"/>
      <c r="AZ209" s="1443"/>
      <c r="BA209" s="1443"/>
      <c r="BB209" s="1443"/>
      <c r="BC209" s="1443"/>
      <c r="BD209" s="1443"/>
      <c r="BE209" s="1443"/>
      <c r="BF209" s="1443"/>
      <c r="BG209" s="1443"/>
      <c r="BH209" s="1443"/>
      <c r="BI209" s="1443"/>
      <c r="BJ209" s="1425"/>
      <c r="BK209" s="1425"/>
      <c r="BL209" s="1425"/>
      <c r="BM209" s="1425"/>
      <c r="BN209" s="1425"/>
      <c r="BO209" s="1425"/>
      <c r="BP209" s="1425"/>
      <c r="BQ209" s="1425"/>
      <c r="BR209" s="1425"/>
      <c r="BS209" s="1425"/>
      <c r="BT209" s="1425"/>
      <c r="BU209" s="1425"/>
      <c r="BV209" s="1425"/>
      <c r="BW209" s="1425"/>
      <c r="BX209" s="1425"/>
      <c r="BY209" s="1425"/>
      <c r="BZ209" s="1339"/>
    </row>
    <row r="210" spans="26:78" s="174" customFormat="1">
      <c r="Z210" s="1339"/>
      <c r="AA210" s="1443"/>
      <c r="AB210" s="1443"/>
      <c r="AC210" s="1443"/>
      <c r="AD210" s="1443"/>
      <c r="AE210" s="1443"/>
      <c r="AF210" s="1443"/>
      <c r="AG210" s="1443"/>
      <c r="AH210" s="1443"/>
      <c r="AI210" s="1444"/>
      <c r="AJ210" s="1443"/>
      <c r="AK210" s="1443"/>
      <c r="AL210" s="1443"/>
      <c r="AM210" s="1443"/>
      <c r="AN210" s="1443"/>
      <c r="AO210" s="1443"/>
      <c r="AP210" s="1443"/>
      <c r="AQ210" s="1443"/>
      <c r="AR210" s="1443"/>
      <c r="AS210" s="1443"/>
      <c r="AT210" s="1443"/>
      <c r="AU210" s="1443"/>
      <c r="AV210" s="1443"/>
      <c r="AW210" s="1443"/>
      <c r="AX210" s="1443"/>
      <c r="AY210" s="1443"/>
      <c r="AZ210" s="1443"/>
      <c r="BA210" s="1443"/>
      <c r="BB210" s="1443"/>
      <c r="BC210" s="1443"/>
      <c r="BD210" s="1443"/>
      <c r="BE210" s="1443"/>
      <c r="BF210" s="1443"/>
      <c r="BG210" s="1443"/>
      <c r="BH210" s="1443"/>
      <c r="BI210" s="1443"/>
      <c r="BJ210" s="1425"/>
      <c r="BK210" s="1425"/>
      <c r="BL210" s="1425"/>
      <c r="BM210" s="1425"/>
      <c r="BN210" s="1425"/>
      <c r="BO210" s="1425"/>
      <c r="BP210" s="1425"/>
      <c r="BQ210" s="1425"/>
      <c r="BR210" s="1425"/>
      <c r="BS210" s="1425"/>
      <c r="BT210" s="1425"/>
      <c r="BU210" s="1425"/>
      <c r="BV210" s="1425"/>
      <c r="BW210" s="1425"/>
      <c r="BX210" s="1425"/>
      <c r="BY210" s="1425"/>
      <c r="BZ210" s="1339"/>
    </row>
    <row r="211" spans="26:78" s="174" customFormat="1">
      <c r="Z211" s="1339"/>
      <c r="AA211" s="1443"/>
      <c r="AB211" s="1443"/>
      <c r="AC211" s="1443"/>
      <c r="AD211" s="1443"/>
      <c r="AE211" s="1443"/>
      <c r="AF211" s="1443"/>
      <c r="AG211" s="1443"/>
      <c r="AH211" s="1443"/>
      <c r="AI211" s="1444"/>
      <c r="AJ211" s="1443"/>
      <c r="AK211" s="1443"/>
      <c r="AL211" s="1443"/>
      <c r="AM211" s="1443"/>
      <c r="AN211" s="1443"/>
      <c r="AO211" s="1443"/>
      <c r="AP211" s="1443"/>
      <c r="AQ211" s="1443"/>
      <c r="AR211" s="1443"/>
      <c r="AS211" s="1443"/>
      <c r="AT211" s="1443"/>
      <c r="AU211" s="1443"/>
      <c r="AV211" s="1443"/>
      <c r="AW211" s="1443"/>
      <c r="AX211" s="1443"/>
      <c r="AY211" s="1443"/>
      <c r="AZ211" s="1443"/>
      <c r="BA211" s="1443"/>
      <c r="BB211" s="1443"/>
      <c r="BC211" s="1443"/>
      <c r="BD211" s="1443"/>
      <c r="BE211" s="1443"/>
      <c r="BF211" s="1443"/>
      <c r="BG211" s="1443"/>
      <c r="BH211" s="1443"/>
      <c r="BI211" s="1443"/>
      <c r="BJ211" s="1425"/>
      <c r="BK211" s="1425"/>
      <c r="BL211" s="1425"/>
      <c r="BM211" s="1425"/>
      <c r="BN211" s="1425"/>
      <c r="BO211" s="1425"/>
      <c r="BP211" s="1425"/>
      <c r="BQ211" s="1425"/>
      <c r="BR211" s="1425"/>
      <c r="BS211" s="1425"/>
      <c r="BT211" s="1425"/>
      <c r="BU211" s="1425"/>
      <c r="BV211" s="1425"/>
      <c r="BW211" s="1425"/>
      <c r="BX211" s="1425"/>
      <c r="BY211" s="1425"/>
      <c r="BZ211" s="1339"/>
    </row>
    <row r="212" spans="26:78" s="174" customFormat="1">
      <c r="Z212" s="1339"/>
      <c r="AA212" s="1443"/>
      <c r="AB212" s="1443"/>
      <c r="AC212" s="1443"/>
      <c r="AD212" s="1443"/>
      <c r="AE212" s="1443"/>
      <c r="AF212" s="1443"/>
      <c r="AG212" s="1443"/>
      <c r="AH212" s="1443"/>
      <c r="AI212" s="1444"/>
      <c r="AJ212" s="1443"/>
      <c r="AK212" s="1443"/>
      <c r="AL212" s="1443"/>
      <c r="AM212" s="1443"/>
      <c r="AN212" s="1443"/>
      <c r="AO212" s="1443"/>
      <c r="AP212" s="1443"/>
      <c r="AQ212" s="1443"/>
      <c r="AR212" s="1443"/>
      <c r="AS212" s="1443"/>
      <c r="AT212" s="1443"/>
      <c r="AU212" s="1443"/>
      <c r="AV212" s="1443"/>
      <c r="AW212" s="1443"/>
      <c r="AX212" s="1443"/>
      <c r="AY212" s="1443"/>
      <c r="AZ212" s="1443"/>
      <c r="BA212" s="1443"/>
      <c r="BB212" s="1443"/>
      <c r="BC212" s="1443"/>
      <c r="BD212" s="1443"/>
      <c r="BE212" s="1443"/>
      <c r="BF212" s="1443"/>
      <c r="BG212" s="1443"/>
      <c r="BH212" s="1443"/>
      <c r="BI212" s="1443"/>
      <c r="BJ212" s="1425"/>
      <c r="BK212" s="1425"/>
      <c r="BL212" s="1425"/>
      <c r="BM212" s="1425"/>
      <c r="BN212" s="1425"/>
      <c r="BO212" s="1425"/>
      <c r="BP212" s="1425"/>
      <c r="BQ212" s="1425"/>
      <c r="BR212" s="1425"/>
      <c r="BS212" s="1425"/>
      <c r="BT212" s="1425"/>
      <c r="BU212" s="1425"/>
      <c r="BV212" s="1425"/>
      <c r="BW212" s="1425"/>
      <c r="BX212" s="1425"/>
      <c r="BY212" s="1425"/>
      <c r="BZ212" s="1339"/>
    </row>
    <row r="213" spans="26:78" s="174" customFormat="1">
      <c r="Z213" s="1339"/>
      <c r="AA213" s="1443"/>
      <c r="AB213" s="1443"/>
      <c r="AC213" s="1443"/>
      <c r="AD213" s="1443"/>
      <c r="AE213" s="1443"/>
      <c r="AF213" s="1443"/>
      <c r="AG213" s="1443"/>
      <c r="AH213" s="1443"/>
      <c r="AI213" s="1444"/>
      <c r="AJ213" s="1443"/>
      <c r="AK213" s="1443"/>
      <c r="AL213" s="1443"/>
      <c r="AM213" s="1443"/>
      <c r="AN213" s="1443"/>
      <c r="AO213" s="1443"/>
      <c r="AP213" s="1443"/>
      <c r="AQ213" s="1443"/>
      <c r="AR213" s="1443"/>
      <c r="AS213" s="1443"/>
      <c r="AT213" s="1443"/>
      <c r="AU213" s="1443"/>
      <c r="AV213" s="1443"/>
      <c r="AW213" s="1443"/>
      <c r="AX213" s="1443"/>
      <c r="AY213" s="1443"/>
      <c r="AZ213" s="1443"/>
      <c r="BA213" s="1443"/>
      <c r="BB213" s="1443"/>
      <c r="BC213" s="1443"/>
      <c r="BD213" s="1443"/>
      <c r="BE213" s="1443"/>
      <c r="BF213" s="1443"/>
      <c r="BG213" s="1443"/>
      <c r="BH213" s="1443"/>
      <c r="BI213" s="1443"/>
      <c r="BJ213" s="1425"/>
      <c r="BK213" s="1425"/>
      <c r="BL213" s="1425"/>
      <c r="BM213" s="1425"/>
      <c r="BN213" s="1425"/>
      <c r="BO213" s="1425"/>
      <c r="BP213" s="1425"/>
      <c r="BQ213" s="1425"/>
      <c r="BR213" s="1425"/>
      <c r="BS213" s="1425"/>
      <c r="BT213" s="1425"/>
      <c r="BU213" s="1425"/>
      <c r="BV213" s="1425"/>
      <c r="BW213" s="1425"/>
      <c r="BX213" s="1425"/>
      <c r="BY213" s="1425"/>
      <c r="BZ213" s="1339"/>
    </row>
    <row r="214" spans="26:78" s="174" customFormat="1">
      <c r="Z214" s="1339"/>
      <c r="AA214" s="1443"/>
      <c r="AB214" s="1443"/>
      <c r="AC214" s="1443"/>
      <c r="AD214" s="1443"/>
      <c r="AE214" s="1443"/>
      <c r="AF214" s="1443"/>
      <c r="AG214" s="1443"/>
      <c r="AH214" s="1443"/>
      <c r="AI214" s="1444"/>
      <c r="AJ214" s="1443"/>
      <c r="AK214" s="1443"/>
      <c r="AL214" s="1443"/>
      <c r="AM214" s="1443"/>
      <c r="AN214" s="1443"/>
      <c r="AO214" s="1443"/>
      <c r="AP214" s="1443"/>
      <c r="AQ214" s="1443"/>
      <c r="AR214" s="1443"/>
      <c r="AS214" s="1443"/>
      <c r="AT214" s="1443"/>
      <c r="AU214" s="1443"/>
      <c r="AV214" s="1443"/>
      <c r="AW214" s="1443"/>
      <c r="AX214" s="1443"/>
      <c r="AY214" s="1443"/>
      <c r="AZ214" s="1443"/>
      <c r="BA214" s="1443"/>
      <c r="BB214" s="1443"/>
      <c r="BC214" s="1443"/>
      <c r="BD214" s="1443"/>
      <c r="BE214" s="1443"/>
      <c r="BF214" s="1443"/>
      <c r="BG214" s="1443"/>
      <c r="BH214" s="1443"/>
      <c r="BI214" s="1443"/>
      <c r="BJ214" s="1425"/>
      <c r="BK214" s="1425"/>
      <c r="BL214" s="1425"/>
      <c r="BM214" s="1425"/>
      <c r="BN214" s="1425"/>
      <c r="BO214" s="1425"/>
      <c r="BP214" s="1425"/>
      <c r="BQ214" s="1425"/>
      <c r="BR214" s="1425"/>
      <c r="BS214" s="1425"/>
      <c r="BT214" s="1425"/>
      <c r="BU214" s="1425"/>
      <c r="BV214" s="1425"/>
      <c r="BW214" s="1425"/>
      <c r="BX214" s="1425"/>
      <c r="BY214" s="1425"/>
      <c r="BZ214" s="1339"/>
    </row>
    <row r="215" spans="26:78" s="174" customFormat="1">
      <c r="Z215" s="1339"/>
      <c r="AA215" s="1443"/>
      <c r="AB215" s="1443"/>
      <c r="AC215" s="1443"/>
      <c r="AD215" s="1443"/>
      <c r="AE215" s="1443"/>
      <c r="AF215" s="1443"/>
      <c r="AG215" s="1443"/>
      <c r="AH215" s="1443"/>
      <c r="AI215" s="1444"/>
      <c r="AJ215" s="1443"/>
      <c r="AK215" s="1443"/>
      <c r="AL215" s="1443"/>
      <c r="AM215" s="1443"/>
      <c r="AN215" s="1443"/>
      <c r="AO215" s="1443"/>
      <c r="AP215" s="1443"/>
      <c r="AQ215" s="1443"/>
      <c r="AR215" s="1443"/>
      <c r="AS215" s="1443"/>
      <c r="AT215" s="1443"/>
      <c r="AU215" s="1443"/>
      <c r="AV215" s="1443"/>
      <c r="AW215" s="1443"/>
      <c r="AX215" s="1443"/>
      <c r="AY215" s="1443"/>
      <c r="AZ215" s="1443"/>
      <c r="BA215" s="1443"/>
      <c r="BB215" s="1443"/>
      <c r="BC215" s="1443"/>
      <c r="BD215" s="1443"/>
      <c r="BE215" s="1443"/>
      <c r="BF215" s="1443"/>
      <c r="BG215" s="1443"/>
      <c r="BH215" s="1443"/>
      <c r="BI215" s="1443"/>
      <c r="BJ215" s="1425"/>
      <c r="BK215" s="1425"/>
      <c r="BL215" s="1425"/>
      <c r="BM215" s="1425"/>
      <c r="BN215" s="1425"/>
      <c r="BO215" s="1425"/>
      <c r="BP215" s="1425"/>
      <c r="BQ215" s="1425"/>
      <c r="BR215" s="1425"/>
      <c r="BS215" s="1425"/>
      <c r="BT215" s="1425"/>
      <c r="BU215" s="1425"/>
      <c r="BV215" s="1425"/>
      <c r="BW215" s="1425"/>
      <c r="BX215" s="1425"/>
      <c r="BY215" s="1425"/>
      <c r="BZ215" s="1339"/>
    </row>
    <row r="216" spans="26:78" s="174" customFormat="1">
      <c r="Z216" s="1339"/>
      <c r="AA216" s="1443"/>
      <c r="AB216" s="1443"/>
      <c r="AC216" s="1443"/>
      <c r="AD216" s="1443"/>
      <c r="AE216" s="1443"/>
      <c r="AF216" s="1443"/>
      <c r="AG216" s="1443"/>
      <c r="AH216" s="1443"/>
      <c r="AI216" s="1444"/>
      <c r="AJ216" s="1443"/>
      <c r="AK216" s="1443"/>
      <c r="AL216" s="1443"/>
      <c r="AM216" s="1443"/>
      <c r="AN216" s="1443"/>
      <c r="AO216" s="1443"/>
      <c r="AP216" s="1443"/>
      <c r="AQ216" s="1443"/>
      <c r="AR216" s="1443"/>
      <c r="AS216" s="1443"/>
      <c r="AT216" s="1443"/>
      <c r="AU216" s="1443"/>
      <c r="AV216" s="1443"/>
      <c r="AW216" s="1443"/>
      <c r="AX216" s="1443"/>
      <c r="AY216" s="1443"/>
      <c r="AZ216" s="1443"/>
      <c r="BA216" s="1443"/>
      <c r="BB216" s="1443"/>
      <c r="BC216" s="1443"/>
      <c r="BD216" s="1443"/>
      <c r="BE216" s="1443"/>
      <c r="BF216" s="1443"/>
      <c r="BG216" s="1443"/>
      <c r="BH216" s="1443"/>
      <c r="BI216" s="1443"/>
      <c r="BJ216" s="1425"/>
      <c r="BK216" s="1425"/>
      <c r="BL216" s="1425"/>
      <c r="BM216" s="1425"/>
      <c r="BN216" s="1425"/>
      <c r="BO216" s="1425"/>
      <c r="BP216" s="1425"/>
      <c r="BQ216" s="1425"/>
      <c r="BR216" s="1425"/>
      <c r="BS216" s="1425"/>
      <c r="BT216" s="1425"/>
      <c r="BU216" s="1425"/>
      <c r="BV216" s="1425"/>
      <c r="BW216" s="1425"/>
      <c r="BX216" s="1425"/>
      <c r="BY216" s="1425"/>
      <c r="BZ216" s="1339"/>
    </row>
    <row r="217" spans="26:78" s="174" customFormat="1">
      <c r="Z217" s="1339"/>
      <c r="AA217" s="1443"/>
      <c r="AB217" s="1443"/>
      <c r="AC217" s="1443"/>
      <c r="AD217" s="1443"/>
      <c r="AE217" s="1443"/>
      <c r="AF217" s="1443"/>
      <c r="AG217" s="1443"/>
      <c r="AH217" s="1443"/>
      <c r="AI217" s="1444"/>
      <c r="AJ217" s="1443"/>
      <c r="AK217" s="1443"/>
      <c r="AL217" s="1443"/>
      <c r="AM217" s="1443"/>
      <c r="AN217" s="1443"/>
      <c r="AO217" s="1443"/>
      <c r="AP217" s="1443"/>
      <c r="AQ217" s="1443"/>
      <c r="AR217" s="1443"/>
      <c r="AS217" s="1443"/>
      <c r="AT217" s="1443"/>
      <c r="AU217" s="1443"/>
      <c r="AV217" s="1443"/>
      <c r="AW217" s="1443"/>
      <c r="AX217" s="1443"/>
      <c r="AY217" s="1443"/>
      <c r="AZ217" s="1443"/>
      <c r="BA217" s="1443"/>
      <c r="BB217" s="1443"/>
      <c r="BC217" s="1443"/>
      <c r="BD217" s="1443"/>
      <c r="BE217" s="1443"/>
      <c r="BF217" s="1443"/>
      <c r="BG217" s="1443"/>
      <c r="BH217" s="1443"/>
      <c r="BI217" s="1443"/>
      <c r="BJ217" s="1425"/>
      <c r="BK217" s="1425"/>
      <c r="BL217" s="1425"/>
      <c r="BM217" s="1425"/>
      <c r="BN217" s="1425"/>
      <c r="BO217" s="1425"/>
      <c r="BP217" s="1425"/>
      <c r="BQ217" s="1425"/>
      <c r="BR217" s="1425"/>
      <c r="BS217" s="1425"/>
      <c r="BT217" s="1425"/>
      <c r="BU217" s="1425"/>
      <c r="BV217" s="1425"/>
      <c r="BW217" s="1425"/>
      <c r="BX217" s="1425"/>
      <c r="BY217" s="1425"/>
      <c r="BZ217" s="1339"/>
    </row>
    <row r="218" spans="26:78" s="174" customFormat="1">
      <c r="Z218" s="1339"/>
      <c r="AA218" s="1443"/>
      <c r="AB218" s="1443"/>
      <c r="AC218" s="1443"/>
      <c r="AD218" s="1443"/>
      <c r="AE218" s="1443"/>
      <c r="AF218" s="1443"/>
      <c r="AG218" s="1443"/>
      <c r="AH218" s="1443"/>
      <c r="AI218" s="1444"/>
      <c r="AJ218" s="1443"/>
      <c r="AK218" s="1443"/>
      <c r="AL218" s="1443"/>
      <c r="AM218" s="1443"/>
      <c r="AN218" s="1443"/>
      <c r="AO218" s="1443"/>
      <c r="AP218" s="1443"/>
      <c r="AQ218" s="1443"/>
      <c r="AR218" s="1443"/>
      <c r="AS218" s="1443"/>
      <c r="AT218" s="1443"/>
      <c r="AU218" s="1443"/>
      <c r="AV218" s="1443"/>
      <c r="AW218" s="1443"/>
      <c r="AX218" s="1443"/>
      <c r="AY218" s="1443"/>
      <c r="AZ218" s="1443"/>
      <c r="BA218" s="1443"/>
      <c r="BB218" s="1443"/>
      <c r="BC218" s="1443"/>
      <c r="BD218" s="1443"/>
      <c r="BE218" s="1443"/>
      <c r="BF218" s="1443"/>
      <c r="BG218" s="1443"/>
      <c r="BH218" s="1443"/>
      <c r="BI218" s="1443"/>
      <c r="BJ218" s="1425"/>
      <c r="BK218" s="1425"/>
      <c r="BL218" s="1425"/>
      <c r="BM218" s="1425"/>
      <c r="BN218" s="1425"/>
      <c r="BO218" s="1425"/>
      <c r="BP218" s="1425"/>
      <c r="BQ218" s="1425"/>
      <c r="BR218" s="1425"/>
      <c r="BS218" s="1425"/>
      <c r="BT218" s="1425"/>
      <c r="BU218" s="1425"/>
      <c r="BV218" s="1425"/>
      <c r="BW218" s="1425"/>
      <c r="BX218" s="1425"/>
      <c r="BY218" s="1425"/>
      <c r="BZ218" s="1339"/>
    </row>
    <row r="219" spans="26:78" s="174" customFormat="1">
      <c r="Z219" s="1339"/>
      <c r="AA219" s="1443"/>
      <c r="AB219" s="1443"/>
      <c r="AC219" s="1443"/>
      <c r="AD219" s="1443"/>
      <c r="AE219" s="1443"/>
      <c r="AF219" s="1443"/>
      <c r="AG219" s="1443"/>
      <c r="AH219" s="1443"/>
      <c r="AI219" s="1444"/>
      <c r="AJ219" s="1443"/>
      <c r="AK219" s="1443"/>
      <c r="AL219" s="1443"/>
      <c r="AM219" s="1443"/>
      <c r="AN219" s="1443"/>
      <c r="AO219" s="1443"/>
      <c r="AP219" s="1443"/>
      <c r="AQ219" s="1443"/>
      <c r="AR219" s="1443"/>
      <c r="AS219" s="1443"/>
      <c r="AT219" s="1443"/>
      <c r="AU219" s="1443"/>
      <c r="AV219" s="1443"/>
      <c r="AW219" s="1443"/>
      <c r="AX219" s="1443"/>
      <c r="AY219" s="1443"/>
      <c r="AZ219" s="1443"/>
      <c r="BA219" s="1443"/>
      <c r="BB219" s="1443"/>
      <c r="BC219" s="1443"/>
      <c r="BD219" s="1443"/>
      <c r="BE219" s="1443"/>
      <c r="BF219" s="1443"/>
      <c r="BG219" s="1443"/>
      <c r="BH219" s="1443"/>
      <c r="BI219" s="1443"/>
      <c r="BJ219" s="1425"/>
      <c r="BK219" s="1425"/>
      <c r="BL219" s="1425"/>
      <c r="BM219" s="1425"/>
      <c r="BN219" s="1425"/>
      <c r="BO219" s="1425"/>
      <c r="BP219" s="1425"/>
      <c r="BQ219" s="1425"/>
      <c r="BR219" s="1425"/>
      <c r="BS219" s="1425"/>
      <c r="BT219" s="1425"/>
      <c r="BU219" s="1425"/>
      <c r="BV219" s="1425"/>
      <c r="BW219" s="1425"/>
      <c r="BX219" s="1425"/>
      <c r="BY219" s="1425"/>
      <c r="BZ219" s="1339"/>
    </row>
    <row r="220" spans="26:78" s="174" customFormat="1">
      <c r="Z220" s="1339"/>
      <c r="AA220" s="1443"/>
      <c r="AB220" s="1443"/>
      <c r="AC220" s="1443"/>
      <c r="AD220" s="1443"/>
      <c r="AE220" s="1443"/>
      <c r="AF220" s="1443"/>
      <c r="AG220" s="1443"/>
      <c r="AH220" s="1443"/>
      <c r="AI220" s="1444"/>
      <c r="AJ220" s="1443"/>
      <c r="AK220" s="1443"/>
      <c r="AL220" s="1443"/>
      <c r="AM220" s="1443"/>
      <c r="AN220" s="1443"/>
      <c r="AO220" s="1443"/>
      <c r="AP220" s="1443"/>
      <c r="AQ220" s="1443"/>
      <c r="AR220" s="1443"/>
      <c r="AS220" s="1443"/>
      <c r="AT220" s="1443"/>
      <c r="AU220" s="1443"/>
      <c r="AV220" s="1443"/>
      <c r="AW220" s="1443"/>
      <c r="AX220" s="1443"/>
      <c r="AY220" s="1443"/>
      <c r="AZ220" s="1443"/>
      <c r="BA220" s="1443"/>
      <c r="BB220" s="1443"/>
      <c r="BC220" s="1443"/>
      <c r="BD220" s="1443"/>
      <c r="BE220" s="1443"/>
      <c r="BF220" s="1443"/>
      <c r="BG220" s="1443"/>
      <c r="BH220" s="1443"/>
      <c r="BI220" s="1443"/>
      <c r="BJ220" s="1425"/>
      <c r="BK220" s="1425"/>
      <c r="BL220" s="1425"/>
      <c r="BM220" s="1425"/>
      <c r="BN220" s="1425"/>
      <c r="BO220" s="1425"/>
      <c r="BP220" s="1425"/>
      <c r="BQ220" s="1425"/>
      <c r="BR220" s="1425"/>
      <c r="BS220" s="1425"/>
      <c r="BT220" s="1425"/>
      <c r="BU220" s="1425"/>
      <c r="BV220" s="1425"/>
      <c r="BW220" s="1425"/>
      <c r="BX220" s="1425"/>
      <c r="BY220" s="1425"/>
      <c r="BZ220" s="1339"/>
    </row>
    <row r="221" spans="26:78" s="174" customFormat="1">
      <c r="Z221" s="1339"/>
      <c r="AA221" s="1443"/>
      <c r="AB221" s="1443"/>
      <c r="AC221" s="1443"/>
      <c r="AD221" s="1443"/>
      <c r="AE221" s="1443"/>
      <c r="AF221" s="1443"/>
      <c r="AG221" s="1443"/>
      <c r="AH221" s="1443"/>
      <c r="AI221" s="1444"/>
      <c r="AJ221" s="1443"/>
      <c r="AK221" s="1443"/>
      <c r="AL221" s="1443"/>
      <c r="AM221" s="1443"/>
      <c r="AN221" s="1443"/>
      <c r="AO221" s="1443"/>
      <c r="AP221" s="1443"/>
      <c r="AQ221" s="1443"/>
      <c r="AR221" s="1443"/>
      <c r="AS221" s="1443"/>
      <c r="AT221" s="1443"/>
      <c r="AU221" s="1443"/>
      <c r="AV221" s="1443"/>
      <c r="AW221" s="1443"/>
      <c r="AX221" s="1443"/>
      <c r="AY221" s="1443"/>
      <c r="AZ221" s="1443"/>
      <c r="BA221" s="1443"/>
      <c r="BB221" s="1443"/>
      <c r="BC221" s="1443"/>
      <c r="BD221" s="1443"/>
      <c r="BE221" s="1443"/>
      <c r="BF221" s="1443"/>
      <c r="BG221" s="1443"/>
      <c r="BH221" s="1443"/>
      <c r="BI221" s="1443"/>
      <c r="BJ221" s="1425"/>
      <c r="BK221" s="1425"/>
      <c r="BL221" s="1425"/>
      <c r="BM221" s="1425"/>
      <c r="BN221" s="1425"/>
      <c r="BO221" s="1425"/>
      <c r="BP221" s="1425"/>
      <c r="BQ221" s="1425"/>
      <c r="BR221" s="1425"/>
      <c r="BS221" s="1425"/>
      <c r="BT221" s="1425"/>
      <c r="BU221" s="1425"/>
      <c r="BV221" s="1425"/>
      <c r="BW221" s="1425"/>
      <c r="BX221" s="1425"/>
      <c r="BY221" s="1425"/>
      <c r="BZ221" s="1339"/>
    </row>
    <row r="222" spans="26:78" s="174" customFormat="1">
      <c r="Z222" s="1339"/>
      <c r="AA222" s="1443"/>
      <c r="AB222" s="1443"/>
      <c r="AC222" s="1443"/>
      <c r="AD222" s="1443"/>
      <c r="AE222" s="1443"/>
      <c r="AF222" s="1443"/>
      <c r="AG222" s="1443"/>
      <c r="AH222" s="1443"/>
      <c r="AI222" s="1444"/>
      <c r="AJ222" s="1443"/>
      <c r="AK222" s="1443"/>
      <c r="AL222" s="1443"/>
      <c r="AM222" s="1443"/>
      <c r="AN222" s="1443"/>
      <c r="AO222" s="1443"/>
      <c r="AP222" s="1443"/>
      <c r="AQ222" s="1443"/>
      <c r="AR222" s="1443"/>
      <c r="AS222" s="1443"/>
      <c r="AT222" s="1443"/>
      <c r="AU222" s="1443"/>
      <c r="AV222" s="1443"/>
      <c r="AW222" s="1443"/>
      <c r="AX222" s="1443"/>
      <c r="AY222" s="1443"/>
      <c r="AZ222" s="1443"/>
      <c r="BA222" s="1443"/>
      <c r="BB222" s="1443"/>
      <c r="BC222" s="1443"/>
      <c r="BD222" s="1443"/>
      <c r="BE222" s="1443"/>
      <c r="BF222" s="1443"/>
      <c r="BG222" s="1443"/>
      <c r="BH222" s="1443"/>
      <c r="BI222" s="1443"/>
      <c r="BJ222" s="1425"/>
      <c r="BK222" s="1425"/>
      <c r="BL222" s="1425"/>
      <c r="BM222" s="1425"/>
      <c r="BN222" s="1425"/>
      <c r="BO222" s="1425"/>
      <c r="BP222" s="1425"/>
      <c r="BQ222" s="1425"/>
      <c r="BR222" s="1425"/>
      <c r="BS222" s="1425"/>
      <c r="BT222" s="1425"/>
      <c r="BU222" s="1425"/>
      <c r="BV222" s="1425"/>
      <c r="BW222" s="1425"/>
      <c r="BX222" s="1425"/>
      <c r="BY222" s="1425"/>
      <c r="BZ222" s="1339"/>
    </row>
    <row r="223" spans="26:78" s="174" customFormat="1">
      <c r="Z223" s="1339"/>
      <c r="AA223" s="1443"/>
      <c r="AB223" s="1443"/>
      <c r="AC223" s="1443"/>
      <c r="AD223" s="1443"/>
      <c r="AE223" s="1443"/>
      <c r="AF223" s="1443"/>
      <c r="AG223" s="1443"/>
      <c r="AH223" s="1443"/>
      <c r="AI223" s="1444"/>
      <c r="AJ223" s="1443"/>
      <c r="AK223" s="1443"/>
      <c r="AL223" s="1443"/>
      <c r="AM223" s="1443"/>
      <c r="AN223" s="1443"/>
      <c r="AO223" s="1443"/>
      <c r="AP223" s="1443"/>
      <c r="AQ223" s="1443"/>
      <c r="AR223" s="1443"/>
      <c r="AS223" s="1443"/>
      <c r="AT223" s="1443"/>
      <c r="AU223" s="1443"/>
      <c r="AV223" s="1443"/>
      <c r="AW223" s="1443"/>
      <c r="AX223" s="1443"/>
      <c r="AY223" s="1443"/>
      <c r="AZ223" s="1443"/>
      <c r="BA223" s="1443"/>
      <c r="BB223" s="1443"/>
      <c r="BC223" s="1443"/>
      <c r="BD223" s="1443"/>
      <c r="BE223" s="1443"/>
      <c r="BF223" s="1443"/>
      <c r="BG223" s="1443"/>
      <c r="BH223" s="1443"/>
      <c r="BI223" s="1443"/>
      <c r="BJ223" s="1425"/>
      <c r="BK223" s="1425"/>
      <c r="BL223" s="1425"/>
      <c r="BM223" s="1425"/>
      <c r="BN223" s="1425"/>
      <c r="BO223" s="1425"/>
      <c r="BP223" s="1425"/>
      <c r="BQ223" s="1425"/>
      <c r="BR223" s="1425"/>
      <c r="BS223" s="1425"/>
      <c r="BT223" s="1425"/>
      <c r="BU223" s="1425"/>
      <c r="BV223" s="1425"/>
      <c r="BW223" s="1425"/>
      <c r="BX223" s="1425"/>
      <c r="BY223" s="1425"/>
      <c r="BZ223" s="1339"/>
    </row>
    <row r="224" spans="26:78" s="174" customFormat="1">
      <c r="Z224" s="1339"/>
      <c r="AA224" s="1443"/>
      <c r="AB224" s="1443"/>
      <c r="AC224" s="1443"/>
      <c r="AD224" s="1443"/>
      <c r="AE224" s="1443"/>
      <c r="AF224" s="1443"/>
      <c r="AG224" s="1443"/>
      <c r="AH224" s="1443"/>
      <c r="AI224" s="1444"/>
      <c r="AJ224" s="1443"/>
      <c r="AK224" s="1443"/>
      <c r="AL224" s="1443"/>
      <c r="AM224" s="1443"/>
      <c r="AN224" s="1443"/>
      <c r="AO224" s="1443"/>
      <c r="AP224" s="1443"/>
      <c r="AQ224" s="1443"/>
      <c r="AR224" s="1443"/>
      <c r="AS224" s="1443"/>
      <c r="AT224" s="1443"/>
      <c r="AU224" s="1443"/>
      <c r="AV224" s="1443"/>
      <c r="AW224" s="1443"/>
      <c r="AX224" s="1443"/>
      <c r="AY224" s="1443"/>
      <c r="AZ224" s="1443"/>
      <c r="BA224" s="1443"/>
      <c r="BB224" s="1443"/>
      <c r="BC224" s="1443"/>
      <c r="BD224" s="1443"/>
      <c r="BE224" s="1443"/>
      <c r="BF224" s="1443"/>
      <c r="BG224" s="1443"/>
      <c r="BH224" s="1443"/>
      <c r="BI224" s="1443"/>
      <c r="BJ224" s="1425"/>
      <c r="BK224" s="1425"/>
      <c r="BL224" s="1425"/>
      <c r="BM224" s="1425"/>
      <c r="BN224" s="1425"/>
      <c r="BO224" s="1425"/>
      <c r="BP224" s="1425"/>
      <c r="BQ224" s="1425"/>
      <c r="BR224" s="1425"/>
      <c r="BS224" s="1425"/>
      <c r="BT224" s="1425"/>
      <c r="BU224" s="1425"/>
      <c r="BV224" s="1425"/>
      <c r="BW224" s="1425"/>
      <c r="BX224" s="1425"/>
      <c r="BY224" s="1425"/>
      <c r="BZ224" s="1339"/>
    </row>
    <row r="225" spans="26:78" s="174" customFormat="1">
      <c r="Z225" s="1339"/>
      <c r="AA225" s="1443"/>
      <c r="AB225" s="1443"/>
      <c r="AC225" s="1443"/>
      <c r="AD225" s="1443"/>
      <c r="AE225" s="1443"/>
      <c r="AF225" s="1443"/>
      <c r="AG225" s="1443"/>
      <c r="AH225" s="1443"/>
      <c r="AI225" s="1444"/>
      <c r="AJ225" s="1443"/>
      <c r="AK225" s="1443"/>
      <c r="AL225" s="1443"/>
      <c r="AM225" s="1443"/>
      <c r="AN225" s="1443"/>
      <c r="AO225" s="1443"/>
      <c r="AP225" s="1443"/>
      <c r="AQ225" s="1443"/>
      <c r="AR225" s="1443"/>
      <c r="AS225" s="1443"/>
      <c r="AT225" s="1443"/>
      <c r="AU225" s="1443"/>
      <c r="AV225" s="1443"/>
      <c r="AW225" s="1443"/>
      <c r="AX225" s="1443"/>
      <c r="AY225" s="1443"/>
      <c r="AZ225" s="1443"/>
      <c r="BA225" s="1443"/>
      <c r="BB225" s="1443"/>
      <c r="BC225" s="1443"/>
      <c r="BD225" s="1443"/>
      <c r="BE225" s="1443"/>
      <c r="BF225" s="1443"/>
      <c r="BG225" s="1443"/>
      <c r="BH225" s="1443"/>
      <c r="BI225" s="1443"/>
      <c r="BJ225" s="1425"/>
      <c r="BK225" s="1425"/>
      <c r="BL225" s="1425"/>
      <c r="BM225" s="1425"/>
      <c r="BN225" s="1425"/>
      <c r="BO225" s="1425"/>
      <c r="BP225" s="1425"/>
      <c r="BQ225" s="1425"/>
      <c r="BR225" s="1425"/>
      <c r="BS225" s="1425"/>
      <c r="BT225" s="1425"/>
      <c r="BU225" s="1425"/>
      <c r="BV225" s="1425"/>
      <c r="BW225" s="1425"/>
      <c r="BX225" s="1425"/>
      <c r="BY225" s="1425"/>
      <c r="BZ225" s="1339"/>
    </row>
    <row r="226" spans="26:78" s="174" customFormat="1">
      <c r="Z226" s="1339"/>
      <c r="AA226" s="1443"/>
      <c r="AB226" s="1443"/>
      <c r="AC226" s="1443"/>
      <c r="AD226" s="1443"/>
      <c r="AE226" s="1443"/>
      <c r="AF226" s="1443"/>
      <c r="AG226" s="1443"/>
      <c r="AH226" s="1443"/>
      <c r="AI226" s="1444"/>
      <c r="AJ226" s="1443"/>
      <c r="AK226" s="1443"/>
      <c r="AL226" s="1443"/>
      <c r="AM226" s="1443"/>
      <c r="AN226" s="1443"/>
      <c r="AO226" s="1443"/>
      <c r="AP226" s="1443"/>
      <c r="AQ226" s="1443"/>
      <c r="AR226" s="1443"/>
      <c r="AS226" s="1443"/>
      <c r="AT226" s="1443"/>
      <c r="AU226" s="1443"/>
      <c r="AV226" s="1443"/>
      <c r="AW226" s="1443"/>
      <c r="AX226" s="1443"/>
      <c r="AY226" s="1443"/>
      <c r="AZ226" s="1443"/>
      <c r="BA226" s="1443"/>
      <c r="BB226" s="1443"/>
      <c r="BC226" s="1443"/>
      <c r="BD226" s="1443"/>
      <c r="BE226" s="1443"/>
      <c r="BF226" s="1443"/>
      <c r="BG226" s="1443"/>
      <c r="BH226" s="1443"/>
      <c r="BI226" s="1443"/>
      <c r="BJ226" s="1425"/>
      <c r="BK226" s="1425"/>
      <c r="BL226" s="1425"/>
      <c r="BM226" s="1425"/>
      <c r="BN226" s="1425"/>
      <c r="BO226" s="1425"/>
      <c r="BP226" s="1425"/>
      <c r="BQ226" s="1425"/>
      <c r="BR226" s="1425"/>
      <c r="BS226" s="1425"/>
      <c r="BT226" s="1425"/>
      <c r="BU226" s="1425"/>
      <c r="BV226" s="1425"/>
      <c r="BW226" s="1425"/>
      <c r="BX226" s="1425"/>
      <c r="BY226" s="1425"/>
      <c r="BZ226" s="1339"/>
    </row>
    <row r="227" spans="26:78" s="174" customFormat="1">
      <c r="Z227" s="1339"/>
      <c r="AA227" s="1443"/>
      <c r="AB227" s="1443"/>
      <c r="AC227" s="1443"/>
      <c r="AD227" s="1443"/>
      <c r="AE227" s="1443"/>
      <c r="AF227" s="1443"/>
      <c r="AG227" s="1443"/>
      <c r="AH227" s="1443"/>
      <c r="AI227" s="1444"/>
      <c r="AJ227" s="1443"/>
      <c r="AK227" s="1443"/>
      <c r="AL227" s="1443"/>
      <c r="AM227" s="1443"/>
      <c r="AN227" s="1443"/>
      <c r="AO227" s="1443"/>
      <c r="AP227" s="1443"/>
      <c r="AQ227" s="1443"/>
      <c r="AR227" s="1443"/>
      <c r="AS227" s="1443"/>
      <c r="AT227" s="1443"/>
      <c r="AU227" s="1443"/>
      <c r="AV227" s="1443"/>
      <c r="AW227" s="1443"/>
      <c r="AX227" s="1443"/>
      <c r="AY227" s="1443"/>
      <c r="AZ227" s="1443"/>
      <c r="BA227" s="1443"/>
      <c r="BB227" s="1443"/>
      <c r="BC227" s="1443"/>
      <c r="BD227" s="1443"/>
      <c r="BE227" s="1443"/>
      <c r="BF227" s="1443"/>
      <c r="BG227" s="1443"/>
      <c r="BH227" s="1443"/>
      <c r="BI227" s="1443"/>
      <c r="BJ227" s="1425"/>
      <c r="BK227" s="1425"/>
      <c r="BL227" s="1425"/>
      <c r="BM227" s="1425"/>
      <c r="BN227" s="1425"/>
      <c r="BO227" s="1425"/>
      <c r="BP227" s="1425"/>
      <c r="BQ227" s="1425"/>
      <c r="BR227" s="1425"/>
      <c r="BS227" s="1425"/>
      <c r="BT227" s="1425"/>
      <c r="BU227" s="1425"/>
      <c r="BV227" s="1425"/>
      <c r="BW227" s="1425"/>
      <c r="BX227" s="1425"/>
      <c r="BY227" s="1425"/>
      <c r="BZ227" s="1339"/>
    </row>
    <row r="228" spans="26:78" s="174" customFormat="1">
      <c r="Z228" s="1339"/>
      <c r="AA228" s="1443"/>
      <c r="AB228" s="1443"/>
      <c r="AC228" s="1443"/>
      <c r="AD228" s="1443"/>
      <c r="AE228" s="1443"/>
      <c r="AF228" s="1443"/>
      <c r="AG228" s="1443"/>
      <c r="AH228" s="1443"/>
      <c r="AI228" s="1444"/>
      <c r="AJ228" s="1443"/>
      <c r="AK228" s="1443"/>
      <c r="AL228" s="1443"/>
      <c r="AM228" s="1443"/>
      <c r="AN228" s="1443"/>
      <c r="AO228" s="1443"/>
      <c r="AP228" s="1443"/>
      <c r="AQ228" s="1443"/>
      <c r="AR228" s="1443"/>
      <c r="AS228" s="1443"/>
      <c r="AT228" s="1443"/>
      <c r="AU228" s="1443"/>
      <c r="AV228" s="1443"/>
      <c r="AW228" s="1443"/>
      <c r="AX228" s="1443"/>
      <c r="AY228" s="1443"/>
      <c r="AZ228" s="1443"/>
      <c r="BA228" s="1443"/>
      <c r="BB228" s="1443"/>
      <c r="BC228" s="1443"/>
      <c r="BD228" s="1443"/>
      <c r="BE228" s="1443"/>
      <c r="BF228" s="1443"/>
      <c r="BG228" s="1443"/>
      <c r="BH228" s="1443"/>
      <c r="BI228" s="1443"/>
      <c r="BJ228" s="1425"/>
      <c r="BK228" s="1425"/>
      <c r="BL228" s="1425"/>
      <c r="BM228" s="1425"/>
      <c r="BN228" s="1425"/>
      <c r="BO228" s="1425"/>
      <c r="BP228" s="1425"/>
      <c r="BQ228" s="1425"/>
      <c r="BR228" s="1425"/>
      <c r="BS228" s="1425"/>
      <c r="BT228" s="1425"/>
      <c r="BU228" s="1425"/>
      <c r="BV228" s="1425"/>
      <c r="BW228" s="1425"/>
      <c r="BX228" s="1425"/>
      <c r="BY228" s="1425"/>
      <c r="BZ228" s="1339"/>
    </row>
    <row r="229" spans="26:78" s="174" customFormat="1">
      <c r="Z229" s="1339"/>
      <c r="AA229" s="1443"/>
      <c r="AB229" s="1443"/>
      <c r="AC229" s="1443"/>
      <c r="AD229" s="1443"/>
      <c r="AE229" s="1443"/>
      <c r="AF229" s="1443"/>
      <c r="AG229" s="1443"/>
      <c r="AH229" s="1443"/>
      <c r="AI229" s="1444"/>
      <c r="AJ229" s="1443"/>
      <c r="AK229" s="1443"/>
      <c r="AL229" s="1443"/>
      <c r="AM229" s="1443"/>
      <c r="AN229" s="1443"/>
      <c r="AO229" s="1443"/>
      <c r="AP229" s="1443"/>
      <c r="AQ229" s="1443"/>
      <c r="AR229" s="1443"/>
      <c r="AS229" s="1443"/>
      <c r="AT229" s="1443"/>
      <c r="AU229" s="1443"/>
      <c r="AV229" s="1443"/>
      <c r="AW229" s="1443"/>
      <c r="AX229" s="1443"/>
      <c r="AY229" s="1443"/>
      <c r="AZ229" s="1443"/>
      <c r="BA229" s="1443"/>
      <c r="BB229" s="1443"/>
      <c r="BC229" s="1443"/>
      <c r="BD229" s="1443"/>
      <c r="BE229" s="1443"/>
      <c r="BF229" s="1443"/>
      <c r="BG229" s="1443"/>
      <c r="BH229" s="1443"/>
      <c r="BI229" s="1443"/>
      <c r="BJ229" s="1425"/>
      <c r="BK229" s="1425"/>
      <c r="BL229" s="1425"/>
      <c r="BM229" s="1425"/>
      <c r="BN229" s="1425"/>
      <c r="BO229" s="1425"/>
      <c r="BP229" s="1425"/>
      <c r="BQ229" s="1425"/>
      <c r="BR229" s="1425"/>
      <c r="BS229" s="1425"/>
      <c r="BT229" s="1425"/>
      <c r="BU229" s="1425"/>
      <c r="BV229" s="1425"/>
      <c r="BW229" s="1425"/>
      <c r="BX229" s="1425"/>
      <c r="BY229" s="1425"/>
      <c r="BZ229" s="1339"/>
    </row>
    <row r="230" spans="26:78" s="174" customFormat="1">
      <c r="Z230" s="1339"/>
      <c r="AA230" s="1443"/>
      <c r="AB230" s="1443"/>
      <c r="AC230" s="1443"/>
      <c r="AD230" s="1443"/>
      <c r="AE230" s="1443"/>
      <c r="AF230" s="1443"/>
      <c r="AG230" s="1443"/>
      <c r="AH230" s="1443"/>
      <c r="AI230" s="1444"/>
      <c r="AJ230" s="1443"/>
      <c r="AK230" s="1443"/>
      <c r="AL230" s="1443"/>
      <c r="AM230" s="1443"/>
      <c r="AN230" s="1443"/>
      <c r="AO230" s="1443"/>
      <c r="AP230" s="1443"/>
      <c r="AQ230" s="1443"/>
      <c r="AR230" s="1443"/>
      <c r="AS230" s="1443"/>
      <c r="AT230" s="1443"/>
      <c r="AU230" s="1443"/>
      <c r="AV230" s="1443"/>
      <c r="AW230" s="1443"/>
      <c r="AX230" s="1443"/>
      <c r="AY230" s="1443"/>
      <c r="AZ230" s="1443"/>
      <c r="BA230" s="1443"/>
      <c r="BB230" s="1443"/>
      <c r="BC230" s="1443"/>
      <c r="BD230" s="1443"/>
      <c r="BE230" s="1443"/>
      <c r="BF230" s="1443"/>
      <c r="BG230" s="1443"/>
      <c r="BH230" s="1443"/>
      <c r="BI230" s="1443"/>
      <c r="BJ230" s="1425"/>
      <c r="BK230" s="1425"/>
      <c r="BL230" s="1425"/>
      <c r="BM230" s="1425"/>
      <c r="BN230" s="1425"/>
      <c r="BO230" s="1425"/>
      <c r="BP230" s="1425"/>
      <c r="BQ230" s="1425"/>
      <c r="BR230" s="1425"/>
      <c r="BS230" s="1425"/>
      <c r="BT230" s="1425"/>
      <c r="BU230" s="1425"/>
      <c r="BV230" s="1425"/>
      <c r="BW230" s="1425"/>
      <c r="BX230" s="1425"/>
      <c r="BY230" s="1425"/>
      <c r="BZ230" s="1339"/>
    </row>
    <row r="231" spans="26:78" s="174" customFormat="1">
      <c r="Z231" s="1339"/>
      <c r="AA231" s="1443"/>
      <c r="AB231" s="1443"/>
      <c r="AC231" s="1443"/>
      <c r="AD231" s="1443"/>
      <c r="AE231" s="1443"/>
      <c r="AF231" s="1443"/>
      <c r="AG231" s="1443"/>
      <c r="AH231" s="1443"/>
      <c r="AI231" s="1444"/>
      <c r="AJ231" s="1443"/>
      <c r="AK231" s="1443"/>
      <c r="AL231" s="1443"/>
      <c r="AM231" s="1443"/>
      <c r="AN231" s="1443"/>
      <c r="AO231" s="1443"/>
      <c r="AP231" s="1443"/>
      <c r="AQ231" s="1443"/>
      <c r="AR231" s="1443"/>
      <c r="AS231" s="1443"/>
      <c r="AT231" s="1443"/>
      <c r="AU231" s="1443"/>
      <c r="AV231" s="1443"/>
      <c r="AW231" s="1443"/>
      <c r="AX231" s="1443"/>
      <c r="AY231" s="1443"/>
      <c r="AZ231" s="1443"/>
      <c r="BA231" s="1443"/>
      <c r="BB231" s="1443"/>
      <c r="BC231" s="1443"/>
      <c r="BD231" s="1443"/>
      <c r="BE231" s="1443"/>
      <c r="BF231" s="1443"/>
      <c r="BG231" s="1443"/>
      <c r="BH231" s="1443"/>
      <c r="BI231" s="1443"/>
      <c r="BJ231" s="1425"/>
      <c r="BK231" s="1425"/>
      <c r="BL231" s="1425"/>
      <c r="BM231" s="1425"/>
      <c r="BN231" s="1425"/>
      <c r="BO231" s="1425"/>
      <c r="BP231" s="1425"/>
      <c r="BQ231" s="1425"/>
      <c r="BR231" s="1425"/>
      <c r="BS231" s="1425"/>
      <c r="BT231" s="1425"/>
      <c r="BU231" s="1425"/>
      <c r="BV231" s="1425"/>
      <c r="BW231" s="1425"/>
      <c r="BX231" s="1425"/>
      <c r="BY231" s="1425"/>
      <c r="BZ231" s="1339"/>
    </row>
    <row r="232" spans="26:78" s="174" customFormat="1">
      <c r="Z232" s="1339"/>
      <c r="AA232" s="1443"/>
      <c r="AB232" s="1443"/>
      <c r="AC232" s="1443"/>
      <c r="AD232" s="1443"/>
      <c r="AE232" s="1443"/>
      <c r="AF232" s="1443"/>
      <c r="AG232" s="1443"/>
      <c r="AH232" s="1443"/>
      <c r="AI232" s="1444"/>
      <c r="AJ232" s="1443"/>
      <c r="AK232" s="1443"/>
      <c r="AL232" s="1443"/>
      <c r="AM232" s="1443"/>
      <c r="AN232" s="1443"/>
      <c r="AO232" s="1443"/>
      <c r="AP232" s="1443"/>
      <c r="AQ232" s="1443"/>
      <c r="AR232" s="1443"/>
      <c r="AS232" s="1443"/>
      <c r="AT232" s="1443"/>
      <c r="AU232" s="1443"/>
      <c r="AV232" s="1443"/>
      <c r="AW232" s="1443"/>
      <c r="AX232" s="1443"/>
      <c r="AY232" s="1443"/>
      <c r="AZ232" s="1443"/>
      <c r="BA232" s="1443"/>
      <c r="BB232" s="1443"/>
      <c r="BC232" s="1443"/>
      <c r="BD232" s="1443"/>
      <c r="BE232" s="1443"/>
      <c r="BF232" s="1443"/>
      <c r="BG232" s="1443"/>
      <c r="BH232" s="1443"/>
      <c r="BI232" s="1443"/>
      <c r="BJ232" s="1425"/>
      <c r="BK232" s="1425"/>
      <c r="BL232" s="1425"/>
      <c r="BM232" s="1425"/>
      <c r="BN232" s="1425"/>
      <c r="BO232" s="1425"/>
      <c r="BP232" s="1425"/>
      <c r="BQ232" s="1425"/>
      <c r="BR232" s="1425"/>
      <c r="BS232" s="1425"/>
      <c r="BT232" s="1425"/>
      <c r="BU232" s="1425"/>
      <c r="BV232" s="1425"/>
      <c r="BW232" s="1425"/>
      <c r="BX232" s="1425"/>
      <c r="BY232" s="1425"/>
      <c r="BZ232" s="1339"/>
    </row>
    <row r="233" spans="26:78" s="174" customFormat="1">
      <c r="Z233" s="1339"/>
      <c r="AA233" s="1443"/>
      <c r="AB233" s="1443"/>
      <c r="AC233" s="1443"/>
      <c r="AD233" s="1443"/>
      <c r="AE233" s="1443"/>
      <c r="AF233" s="1443"/>
      <c r="AG233" s="1443"/>
      <c r="AH233" s="1443"/>
      <c r="AI233" s="1444"/>
      <c r="AJ233" s="1443"/>
      <c r="AK233" s="1443"/>
      <c r="AL233" s="1443"/>
      <c r="AM233" s="1443"/>
      <c r="AN233" s="1443"/>
      <c r="AO233" s="1443"/>
      <c r="AP233" s="1443"/>
      <c r="AQ233" s="1443"/>
      <c r="AR233" s="1443"/>
      <c r="AS233" s="1443"/>
      <c r="AT233" s="1443"/>
      <c r="AU233" s="1443"/>
      <c r="AV233" s="1443"/>
      <c r="AW233" s="1443"/>
      <c r="AX233" s="1443"/>
      <c r="AY233" s="1443"/>
      <c r="AZ233" s="1443"/>
      <c r="BA233" s="1443"/>
      <c r="BB233" s="1443"/>
      <c r="BC233" s="1443"/>
      <c r="BD233" s="1443"/>
      <c r="BE233" s="1443"/>
      <c r="BF233" s="1443"/>
      <c r="BG233" s="1443"/>
      <c r="BH233" s="1443"/>
      <c r="BI233" s="1443"/>
      <c r="BJ233" s="1425"/>
      <c r="BK233" s="1425"/>
      <c r="BL233" s="1425"/>
      <c r="BM233" s="1425"/>
      <c r="BN233" s="1425"/>
      <c r="BO233" s="1425"/>
      <c r="BP233" s="1425"/>
      <c r="BQ233" s="1425"/>
      <c r="BR233" s="1425"/>
      <c r="BS233" s="1425"/>
      <c r="BT233" s="1425"/>
      <c r="BU233" s="1425"/>
      <c r="BV233" s="1425"/>
      <c r="BW233" s="1425"/>
      <c r="BX233" s="1425"/>
      <c r="BY233" s="1425"/>
      <c r="BZ233" s="1339"/>
    </row>
    <row r="234" spans="26:78" s="174" customFormat="1">
      <c r="Z234" s="1339"/>
      <c r="AA234" s="1443"/>
      <c r="AB234" s="1443"/>
      <c r="AC234" s="1443"/>
      <c r="AD234" s="1443"/>
      <c r="AE234" s="1443"/>
      <c r="AF234" s="1443"/>
      <c r="AG234" s="1443"/>
      <c r="AH234" s="1443"/>
      <c r="AI234" s="1444"/>
      <c r="AJ234" s="1443"/>
      <c r="AK234" s="1443"/>
      <c r="AL234" s="1443"/>
      <c r="AM234" s="1443"/>
      <c r="AN234" s="1443"/>
      <c r="AO234" s="1443"/>
      <c r="AP234" s="1443"/>
      <c r="AQ234" s="1443"/>
      <c r="AR234" s="1443"/>
      <c r="AS234" s="1443"/>
      <c r="AT234" s="1443"/>
      <c r="AU234" s="1443"/>
      <c r="AV234" s="1443"/>
      <c r="AW234" s="1443"/>
      <c r="AX234" s="1443"/>
      <c r="AY234" s="1443"/>
      <c r="AZ234" s="1443"/>
      <c r="BA234" s="1443"/>
      <c r="BB234" s="1443"/>
      <c r="BC234" s="1443"/>
      <c r="BD234" s="1443"/>
      <c r="BE234" s="1443"/>
      <c r="BF234" s="1443"/>
      <c r="BG234" s="1443"/>
      <c r="BH234" s="1443"/>
      <c r="BI234" s="1443"/>
      <c r="BJ234" s="1425"/>
      <c r="BK234" s="1425"/>
      <c r="BL234" s="1425"/>
      <c r="BM234" s="1425"/>
      <c r="BN234" s="1425"/>
      <c r="BO234" s="1425"/>
      <c r="BP234" s="1425"/>
      <c r="BQ234" s="1425"/>
      <c r="BR234" s="1425"/>
      <c r="BS234" s="1425"/>
      <c r="BT234" s="1425"/>
      <c r="BU234" s="1425"/>
      <c r="BV234" s="1425"/>
      <c r="BW234" s="1425"/>
      <c r="BX234" s="1425"/>
      <c r="BY234" s="1425"/>
      <c r="BZ234" s="1339"/>
    </row>
    <row r="235" spans="26:78" s="174" customFormat="1">
      <c r="Z235" s="1339"/>
      <c r="AA235" s="1443"/>
      <c r="AB235" s="1443"/>
      <c r="AC235" s="1443"/>
      <c r="AD235" s="1443"/>
      <c r="AE235" s="1443"/>
      <c r="AF235" s="1443"/>
      <c r="AG235" s="1443"/>
      <c r="AH235" s="1443"/>
      <c r="AI235" s="1444"/>
      <c r="AJ235" s="1443"/>
      <c r="AK235" s="1443"/>
      <c r="AL235" s="1443"/>
      <c r="AM235" s="1443"/>
      <c r="AN235" s="1443"/>
      <c r="AO235" s="1443"/>
      <c r="AP235" s="1443"/>
      <c r="AQ235" s="1443"/>
      <c r="AR235" s="1443"/>
      <c r="AS235" s="1443"/>
      <c r="AT235" s="1443"/>
      <c r="AU235" s="1443"/>
      <c r="AV235" s="1443"/>
      <c r="AW235" s="1443"/>
      <c r="AX235" s="1443"/>
      <c r="AY235" s="1443"/>
      <c r="AZ235" s="1443"/>
      <c r="BA235" s="1443"/>
      <c r="BB235" s="1443"/>
      <c r="BC235" s="1443"/>
      <c r="BD235" s="1443"/>
      <c r="BE235" s="1443"/>
      <c r="BF235" s="1443"/>
      <c r="BG235" s="1443"/>
      <c r="BH235" s="1443"/>
      <c r="BI235" s="1443"/>
      <c r="BJ235" s="1425"/>
      <c r="BK235" s="1425"/>
      <c r="BL235" s="1425"/>
      <c r="BM235" s="1425"/>
      <c r="BN235" s="1425"/>
      <c r="BO235" s="1425"/>
      <c r="BP235" s="1425"/>
      <c r="BQ235" s="1425"/>
      <c r="BR235" s="1425"/>
      <c r="BS235" s="1425"/>
      <c r="BT235" s="1425"/>
      <c r="BU235" s="1425"/>
      <c r="BV235" s="1425"/>
      <c r="BW235" s="1425"/>
      <c r="BX235" s="1425"/>
      <c r="BY235" s="1425"/>
      <c r="BZ235" s="1339"/>
    </row>
    <row r="236" spans="26:78" s="174" customFormat="1">
      <c r="Z236" s="1339"/>
      <c r="AA236" s="1443"/>
      <c r="AB236" s="1443"/>
      <c r="AC236" s="1443"/>
      <c r="AD236" s="1443"/>
      <c r="AE236" s="1443"/>
      <c r="AF236" s="1443"/>
      <c r="AG236" s="1443"/>
      <c r="AH236" s="1443"/>
      <c r="AI236" s="1444"/>
      <c r="AJ236" s="1443"/>
      <c r="AK236" s="1443"/>
      <c r="AL236" s="1443"/>
      <c r="AM236" s="1443"/>
      <c r="AN236" s="1443"/>
      <c r="AO236" s="1443"/>
      <c r="AP236" s="1443"/>
      <c r="AQ236" s="1443"/>
      <c r="AR236" s="1443"/>
      <c r="AS236" s="1443"/>
      <c r="AT236" s="1443"/>
      <c r="AU236" s="1443"/>
      <c r="AV236" s="1443"/>
      <c r="AW236" s="1443"/>
      <c r="AX236" s="1443"/>
      <c r="AY236" s="1443"/>
      <c r="AZ236" s="1443"/>
      <c r="BA236" s="1443"/>
      <c r="BB236" s="1443"/>
      <c r="BC236" s="1443"/>
      <c r="BD236" s="1443"/>
      <c r="BE236" s="1443"/>
      <c r="BF236" s="1443"/>
      <c r="BG236" s="1443"/>
      <c r="BH236" s="1443"/>
      <c r="BI236" s="1443"/>
      <c r="BJ236" s="1425"/>
      <c r="BK236" s="1425"/>
      <c r="BL236" s="1425"/>
      <c r="BM236" s="1425"/>
      <c r="BN236" s="1425"/>
      <c r="BO236" s="1425"/>
      <c r="BP236" s="1425"/>
      <c r="BQ236" s="1425"/>
      <c r="BR236" s="1425"/>
      <c r="BS236" s="1425"/>
      <c r="BT236" s="1425"/>
      <c r="BU236" s="1425"/>
      <c r="BV236" s="1425"/>
      <c r="BW236" s="1425"/>
      <c r="BX236" s="1425"/>
      <c r="BY236" s="1425"/>
      <c r="BZ236" s="1339"/>
    </row>
    <row r="237" spans="26:78" s="174" customFormat="1">
      <c r="Z237" s="1339"/>
      <c r="AA237" s="1443"/>
      <c r="AB237" s="1443"/>
      <c r="AC237" s="1443"/>
      <c r="AD237" s="1443"/>
      <c r="AE237" s="1443"/>
      <c r="AF237" s="1443"/>
      <c r="AG237" s="1443"/>
      <c r="AH237" s="1443"/>
      <c r="AI237" s="1444"/>
      <c r="AJ237" s="1443"/>
      <c r="AK237" s="1443"/>
      <c r="AL237" s="1443"/>
      <c r="AM237" s="1443"/>
      <c r="AN237" s="1443"/>
      <c r="AO237" s="1443"/>
      <c r="AP237" s="1443"/>
      <c r="AQ237" s="1443"/>
      <c r="AR237" s="1443"/>
      <c r="AS237" s="1443"/>
      <c r="AT237" s="1443"/>
      <c r="AU237" s="1443"/>
      <c r="AV237" s="1443"/>
      <c r="AW237" s="1443"/>
      <c r="AX237" s="1443"/>
      <c r="AY237" s="1443"/>
      <c r="AZ237" s="1443"/>
      <c r="BA237" s="1443"/>
      <c r="BB237" s="1443"/>
      <c r="BC237" s="1443"/>
      <c r="BD237" s="1443"/>
      <c r="BE237" s="1443"/>
      <c r="BF237" s="1443"/>
      <c r="BG237" s="1443"/>
      <c r="BH237" s="1443"/>
      <c r="BI237" s="1443"/>
      <c r="BJ237" s="1425"/>
      <c r="BK237" s="1425"/>
      <c r="BL237" s="1425"/>
      <c r="BM237" s="1425"/>
      <c r="BN237" s="1425"/>
      <c r="BO237" s="1425"/>
      <c r="BP237" s="1425"/>
      <c r="BQ237" s="1425"/>
      <c r="BR237" s="1425"/>
      <c r="BS237" s="1425"/>
      <c r="BT237" s="1425"/>
      <c r="BU237" s="1425"/>
      <c r="BV237" s="1425"/>
      <c r="BW237" s="1425"/>
      <c r="BX237" s="1425"/>
      <c r="BY237" s="1425"/>
      <c r="BZ237" s="1339"/>
    </row>
    <row r="238" spans="26:78" s="174" customFormat="1">
      <c r="Z238" s="1339"/>
      <c r="AA238" s="1443"/>
      <c r="AB238" s="1443"/>
      <c r="AC238" s="1443"/>
      <c r="AD238" s="1443"/>
      <c r="AE238" s="1443"/>
      <c r="AF238" s="1443"/>
      <c r="AG238" s="1443"/>
      <c r="AH238" s="1443"/>
      <c r="AI238" s="1444"/>
      <c r="AJ238" s="1443"/>
      <c r="AK238" s="1443"/>
      <c r="AL238" s="1443"/>
      <c r="AM238" s="1443"/>
      <c r="AN238" s="1443"/>
      <c r="AO238" s="1443"/>
      <c r="AP238" s="1443"/>
      <c r="AQ238" s="1443"/>
      <c r="AR238" s="1443"/>
      <c r="AS238" s="1443"/>
      <c r="AT238" s="1443"/>
      <c r="AU238" s="1443"/>
      <c r="AV238" s="1443"/>
      <c r="AW238" s="1443"/>
      <c r="AX238" s="1443"/>
      <c r="AY238" s="1443"/>
      <c r="AZ238" s="1443"/>
      <c r="BA238" s="1443"/>
      <c r="BB238" s="1443"/>
      <c r="BC238" s="1443"/>
      <c r="BD238" s="1443"/>
      <c r="BE238" s="1443"/>
      <c r="BF238" s="1443"/>
      <c r="BG238" s="1443"/>
      <c r="BH238" s="1443"/>
      <c r="BI238" s="1443"/>
      <c r="BJ238" s="1425"/>
      <c r="BK238" s="1425"/>
      <c r="BL238" s="1425"/>
      <c r="BM238" s="1425"/>
      <c r="BN238" s="1425"/>
      <c r="BO238" s="1425"/>
      <c r="BP238" s="1425"/>
      <c r="BQ238" s="1425"/>
      <c r="BR238" s="1425"/>
      <c r="BS238" s="1425"/>
      <c r="BT238" s="1425"/>
      <c r="BU238" s="1425"/>
      <c r="BV238" s="1425"/>
      <c r="BW238" s="1425"/>
      <c r="BX238" s="1425"/>
      <c r="BY238" s="1425"/>
      <c r="BZ238" s="1339"/>
    </row>
    <row r="239" spans="26:78" s="174" customFormat="1">
      <c r="Z239" s="1339"/>
      <c r="AA239" s="1443"/>
      <c r="AB239" s="1443"/>
      <c r="AC239" s="1443"/>
      <c r="AD239" s="1443"/>
      <c r="AE239" s="1443"/>
      <c r="AF239" s="1443"/>
      <c r="AG239" s="1443"/>
      <c r="AH239" s="1443"/>
      <c r="AI239" s="1444"/>
      <c r="AJ239" s="1443"/>
      <c r="AK239" s="1443"/>
      <c r="AL239" s="1443"/>
      <c r="AM239" s="1443"/>
      <c r="AN239" s="1443"/>
      <c r="AO239" s="1443"/>
      <c r="AP239" s="1443"/>
      <c r="AQ239" s="1443"/>
      <c r="AR239" s="1443"/>
      <c r="AS239" s="1443"/>
      <c r="AT239" s="1443"/>
      <c r="AU239" s="1443"/>
      <c r="AV239" s="1443"/>
      <c r="AW239" s="1443"/>
      <c r="AX239" s="1443"/>
      <c r="AY239" s="1443"/>
      <c r="AZ239" s="1443"/>
      <c r="BA239" s="1443"/>
      <c r="BB239" s="1443"/>
      <c r="BC239" s="1443"/>
      <c r="BD239" s="1443"/>
      <c r="BE239" s="1443"/>
      <c r="BF239" s="1443"/>
      <c r="BG239" s="1443"/>
      <c r="BH239" s="1443"/>
      <c r="BI239" s="1443"/>
      <c r="BJ239" s="1425"/>
      <c r="BK239" s="1425"/>
      <c r="BL239" s="1425"/>
      <c r="BM239" s="1425"/>
      <c r="BN239" s="1425"/>
      <c r="BO239" s="1425"/>
      <c r="BP239" s="1425"/>
      <c r="BQ239" s="1425"/>
      <c r="BR239" s="1425"/>
      <c r="BS239" s="1425"/>
      <c r="BT239" s="1425"/>
      <c r="BU239" s="1425"/>
      <c r="BV239" s="1425"/>
      <c r="BW239" s="1425"/>
      <c r="BX239" s="1425"/>
      <c r="BY239" s="1425"/>
      <c r="BZ239" s="1339"/>
    </row>
    <row r="240" spans="26:78" s="174" customFormat="1">
      <c r="Z240" s="1339"/>
      <c r="AA240" s="1443"/>
      <c r="AB240" s="1443"/>
      <c r="AC240" s="1443"/>
      <c r="AD240" s="1443"/>
      <c r="AE240" s="1443"/>
      <c r="AF240" s="1443"/>
      <c r="AG240" s="1443"/>
      <c r="AH240" s="1443"/>
      <c r="AI240" s="1444"/>
      <c r="AJ240" s="1443"/>
      <c r="AK240" s="1443"/>
      <c r="AL240" s="1443"/>
      <c r="AM240" s="1443"/>
      <c r="AN240" s="1443"/>
      <c r="AO240" s="1443"/>
      <c r="AP240" s="1443"/>
      <c r="AQ240" s="1443"/>
      <c r="AR240" s="1443"/>
      <c r="AS240" s="1443"/>
      <c r="AT240" s="1443"/>
      <c r="AU240" s="1443"/>
      <c r="AV240" s="1443"/>
      <c r="AW240" s="1443"/>
      <c r="AX240" s="1443"/>
      <c r="AY240" s="1443"/>
      <c r="AZ240" s="1443"/>
      <c r="BA240" s="1443"/>
      <c r="BB240" s="1443"/>
      <c r="BC240" s="1443"/>
      <c r="BD240" s="1443"/>
      <c r="BE240" s="1443"/>
      <c r="BF240" s="1443"/>
      <c r="BG240" s="1443"/>
      <c r="BH240" s="1443"/>
      <c r="BI240" s="1443"/>
      <c r="BJ240" s="1425"/>
      <c r="BK240" s="1425"/>
      <c r="BL240" s="1425"/>
      <c r="BM240" s="1425"/>
      <c r="BN240" s="1425"/>
      <c r="BO240" s="1425"/>
      <c r="BP240" s="1425"/>
      <c r="BQ240" s="1425"/>
      <c r="BR240" s="1425"/>
      <c r="BS240" s="1425"/>
      <c r="BT240" s="1425"/>
      <c r="BU240" s="1425"/>
      <c r="BV240" s="1425"/>
      <c r="BW240" s="1425"/>
      <c r="BX240" s="1425"/>
      <c r="BY240" s="1425"/>
      <c r="BZ240" s="1339"/>
    </row>
    <row r="241" spans="26:78" s="174" customFormat="1">
      <c r="Z241" s="1339"/>
      <c r="AA241" s="1443"/>
      <c r="AB241" s="1443"/>
      <c r="AC241" s="1443"/>
      <c r="AD241" s="1443"/>
      <c r="AE241" s="1443"/>
      <c r="AF241" s="1443"/>
      <c r="AG241" s="1443"/>
      <c r="AH241" s="1443"/>
      <c r="AI241" s="1444"/>
      <c r="AJ241" s="1443"/>
      <c r="AK241" s="1443"/>
      <c r="AL241" s="1443"/>
      <c r="AM241" s="1443"/>
      <c r="AN241" s="1443"/>
      <c r="AO241" s="1443"/>
      <c r="AP241" s="1443"/>
      <c r="AQ241" s="1443"/>
      <c r="AR241" s="1443"/>
      <c r="AS241" s="1443"/>
      <c r="AT241" s="1443"/>
      <c r="AU241" s="1443"/>
      <c r="AV241" s="1443"/>
      <c r="AW241" s="1443"/>
      <c r="AX241" s="1443"/>
      <c r="AY241" s="1443"/>
      <c r="AZ241" s="1443"/>
      <c r="BA241" s="1443"/>
      <c r="BB241" s="1443"/>
      <c r="BC241" s="1443"/>
      <c r="BD241" s="1443"/>
      <c r="BE241" s="1443"/>
      <c r="BF241" s="1443"/>
      <c r="BG241" s="1443"/>
      <c r="BH241" s="1443"/>
      <c r="BI241" s="1443"/>
      <c r="BJ241" s="1425"/>
      <c r="BK241" s="1425"/>
      <c r="BL241" s="1425"/>
      <c r="BM241" s="1425"/>
      <c r="BN241" s="1425"/>
      <c r="BO241" s="1425"/>
      <c r="BP241" s="1425"/>
      <c r="BQ241" s="1425"/>
      <c r="BR241" s="1425"/>
      <c r="BS241" s="1425"/>
      <c r="BT241" s="1425"/>
      <c r="BU241" s="1425"/>
      <c r="BV241" s="1425"/>
      <c r="BW241" s="1425"/>
      <c r="BX241" s="1425"/>
      <c r="BY241" s="1425"/>
      <c r="BZ241" s="1339"/>
    </row>
    <row r="242" spans="26:78" s="174" customFormat="1">
      <c r="Z242" s="1339"/>
      <c r="AA242" s="1443"/>
      <c r="AB242" s="1443"/>
      <c r="AC242" s="1443"/>
      <c r="AD242" s="1443"/>
      <c r="AE242" s="1443"/>
      <c r="AF242" s="1443"/>
      <c r="AG242" s="1443"/>
      <c r="AH242" s="1443"/>
      <c r="AI242" s="1444"/>
      <c r="AJ242" s="1443"/>
      <c r="AK242" s="1443"/>
      <c r="AL242" s="1443"/>
      <c r="AM242" s="1443"/>
      <c r="AN242" s="1443"/>
      <c r="AO242" s="1443"/>
      <c r="AP242" s="1443"/>
      <c r="AQ242" s="1443"/>
      <c r="AR242" s="1443"/>
      <c r="AS242" s="1443"/>
      <c r="AT242" s="1443"/>
      <c r="AU242" s="1443"/>
      <c r="AV242" s="1443"/>
      <c r="AW242" s="1443"/>
      <c r="AX242" s="1443"/>
      <c r="AY242" s="1443"/>
      <c r="AZ242" s="1443"/>
      <c r="BA242" s="1443"/>
      <c r="BB242" s="1443"/>
      <c r="BC242" s="1443"/>
      <c r="BD242" s="1443"/>
      <c r="BE242" s="1443"/>
      <c r="BF242" s="1443"/>
      <c r="BG242" s="1443"/>
      <c r="BH242" s="1443"/>
      <c r="BI242" s="1443"/>
      <c r="BJ242" s="1425"/>
      <c r="BK242" s="1425"/>
      <c r="BL242" s="1425"/>
      <c r="BM242" s="1425"/>
      <c r="BN242" s="1425"/>
      <c r="BO242" s="1425"/>
      <c r="BP242" s="1425"/>
      <c r="BQ242" s="1425"/>
      <c r="BR242" s="1425"/>
      <c r="BS242" s="1425"/>
      <c r="BT242" s="1425"/>
      <c r="BU242" s="1425"/>
      <c r="BV242" s="1425"/>
      <c r="BW242" s="1425"/>
      <c r="BX242" s="1425"/>
      <c r="BY242" s="1425"/>
      <c r="BZ242" s="1339"/>
    </row>
    <row r="243" spans="26:78" s="174" customFormat="1">
      <c r="Z243" s="1339"/>
      <c r="AA243" s="1443"/>
      <c r="AB243" s="1443"/>
      <c r="AC243" s="1443"/>
      <c r="AD243" s="1443"/>
      <c r="AE243" s="1443"/>
      <c r="AF243" s="1443"/>
      <c r="AG243" s="1443"/>
      <c r="AH243" s="1443"/>
      <c r="AI243" s="1444"/>
      <c r="AJ243" s="1443"/>
      <c r="AK243" s="1443"/>
      <c r="AL243" s="1443"/>
      <c r="AM243" s="1443"/>
      <c r="AN243" s="1443"/>
      <c r="AO243" s="1443"/>
      <c r="AP243" s="1443"/>
      <c r="AQ243" s="1443"/>
      <c r="AR243" s="1443"/>
      <c r="AS243" s="1443"/>
      <c r="AT243" s="1443"/>
      <c r="AU243" s="1443"/>
      <c r="AV243" s="1443"/>
      <c r="AW243" s="1443"/>
      <c r="AX243" s="1443"/>
      <c r="AY243" s="1443"/>
      <c r="AZ243" s="1443"/>
      <c r="BA243" s="1443"/>
      <c r="BB243" s="1443"/>
      <c r="BC243" s="1443"/>
      <c r="BD243" s="1443"/>
      <c r="BE243" s="1443"/>
      <c r="BF243" s="1443"/>
      <c r="BG243" s="1443"/>
      <c r="BH243" s="1443"/>
      <c r="BI243" s="1443"/>
      <c r="BJ243" s="1425"/>
      <c r="BK243" s="1425"/>
      <c r="BL243" s="1425"/>
      <c r="BM243" s="1425"/>
      <c r="BN243" s="1425"/>
      <c r="BO243" s="1425"/>
      <c r="BP243" s="1425"/>
      <c r="BQ243" s="1425"/>
      <c r="BR243" s="1425"/>
      <c r="BS243" s="1425"/>
      <c r="BT243" s="1425"/>
      <c r="BU243" s="1425"/>
      <c r="BV243" s="1425"/>
      <c r="BW243" s="1425"/>
      <c r="BX243" s="1425"/>
      <c r="BY243" s="1425"/>
      <c r="BZ243" s="1339"/>
    </row>
    <row r="244" spans="26:78" s="174" customFormat="1">
      <c r="Z244" s="1339"/>
      <c r="AA244" s="1443"/>
      <c r="AB244" s="1443"/>
      <c r="AC244" s="1443"/>
      <c r="AD244" s="1443"/>
      <c r="AE244" s="1443"/>
      <c r="AF244" s="1443"/>
      <c r="AG244" s="1443"/>
      <c r="AH244" s="1443"/>
      <c r="AI244" s="1444"/>
      <c r="AJ244" s="1443"/>
      <c r="AK244" s="1443"/>
      <c r="AL244" s="1443"/>
      <c r="AM244" s="1443"/>
      <c r="AN244" s="1443"/>
      <c r="AO244" s="1443"/>
      <c r="AP244" s="1443"/>
      <c r="AQ244" s="1443"/>
      <c r="AR244" s="1443"/>
      <c r="AS244" s="1443"/>
      <c r="AT244" s="1443"/>
      <c r="AU244" s="1443"/>
      <c r="AV244" s="1443"/>
      <c r="AW244" s="1443"/>
      <c r="AX244" s="1443"/>
      <c r="AY244" s="1443"/>
      <c r="AZ244" s="1443"/>
      <c r="BA244" s="1443"/>
      <c r="BB244" s="1443"/>
      <c r="BC244" s="1443"/>
      <c r="BD244" s="1443"/>
      <c r="BE244" s="1443"/>
      <c r="BF244" s="1443"/>
      <c r="BG244" s="1443"/>
      <c r="BH244" s="1443"/>
      <c r="BI244" s="1443"/>
      <c r="BJ244" s="1425"/>
      <c r="BK244" s="1425"/>
      <c r="BL244" s="1425"/>
      <c r="BM244" s="1425"/>
      <c r="BN244" s="1425"/>
      <c r="BO244" s="1425"/>
      <c r="BP244" s="1425"/>
      <c r="BQ244" s="1425"/>
      <c r="BR244" s="1425"/>
      <c r="BS244" s="1425"/>
      <c r="BT244" s="1425"/>
      <c r="BU244" s="1425"/>
      <c r="BV244" s="1425"/>
      <c r="BW244" s="1425"/>
      <c r="BX244" s="1425"/>
      <c r="BY244" s="1425"/>
      <c r="BZ244" s="1339"/>
    </row>
    <row r="245" spans="26:78" s="174" customFormat="1">
      <c r="Z245" s="1339"/>
      <c r="AA245" s="1443"/>
      <c r="AB245" s="1443"/>
      <c r="AC245" s="1443"/>
      <c r="AD245" s="1443"/>
      <c r="AE245" s="1443"/>
      <c r="AF245" s="1443"/>
      <c r="AG245" s="1443"/>
      <c r="AH245" s="1443"/>
      <c r="AI245" s="1444"/>
      <c r="AJ245" s="1443"/>
      <c r="AK245" s="1443"/>
      <c r="AL245" s="1443"/>
      <c r="AM245" s="1443"/>
      <c r="AN245" s="1443"/>
      <c r="AO245" s="1443"/>
      <c r="AP245" s="1443"/>
      <c r="AQ245" s="1443"/>
      <c r="AR245" s="1443"/>
      <c r="AS245" s="1443"/>
      <c r="AT245" s="1443"/>
      <c r="AU245" s="1443"/>
      <c r="AV245" s="1443"/>
      <c r="AW245" s="1443"/>
      <c r="AX245" s="1443"/>
      <c r="AY245" s="1443"/>
      <c r="AZ245" s="1443"/>
      <c r="BA245" s="1443"/>
      <c r="BB245" s="1443"/>
      <c r="BC245" s="1443"/>
      <c r="BD245" s="1443"/>
      <c r="BE245" s="1443"/>
      <c r="BF245" s="1443"/>
      <c r="BG245" s="1443"/>
      <c r="BH245" s="1443"/>
      <c r="BI245" s="1443"/>
      <c r="BJ245" s="1425"/>
      <c r="BK245" s="1425"/>
      <c r="BL245" s="1425"/>
      <c r="BM245" s="1425"/>
      <c r="BN245" s="1425"/>
      <c r="BO245" s="1425"/>
      <c r="BP245" s="1425"/>
      <c r="BQ245" s="1425"/>
      <c r="BR245" s="1425"/>
      <c r="BS245" s="1425"/>
      <c r="BT245" s="1425"/>
      <c r="BU245" s="1425"/>
      <c r="BV245" s="1425"/>
      <c r="BW245" s="1425"/>
      <c r="BX245" s="1425"/>
      <c r="BY245" s="1425"/>
      <c r="BZ245" s="1339"/>
    </row>
    <row r="246" spans="26:78" s="174" customFormat="1">
      <c r="Z246" s="1339"/>
      <c r="AA246" s="1443"/>
      <c r="AB246" s="1443"/>
      <c r="AC246" s="1443"/>
      <c r="AD246" s="1443"/>
      <c r="AE246" s="1443"/>
      <c r="AF246" s="1443"/>
      <c r="AG246" s="1443"/>
      <c r="AH246" s="1443"/>
      <c r="AI246" s="1444"/>
      <c r="AJ246" s="1443"/>
      <c r="AK246" s="1443"/>
      <c r="AL246" s="1443"/>
      <c r="AM246" s="1443"/>
      <c r="AN246" s="1443"/>
      <c r="AO246" s="1443"/>
      <c r="AP246" s="1443"/>
      <c r="AQ246" s="1443"/>
      <c r="AR246" s="1443"/>
      <c r="AS246" s="1443"/>
      <c r="AT246" s="1443"/>
      <c r="AU246" s="1443"/>
      <c r="AV246" s="1443"/>
      <c r="AW246" s="1443"/>
      <c r="AX246" s="1443"/>
      <c r="AY246" s="1443"/>
      <c r="AZ246" s="1443"/>
      <c r="BA246" s="1443"/>
      <c r="BB246" s="1443"/>
      <c r="BC246" s="1443"/>
      <c r="BD246" s="1443"/>
      <c r="BE246" s="1443"/>
      <c r="BF246" s="1443"/>
      <c r="BG246" s="1443"/>
      <c r="BH246" s="1443"/>
      <c r="BI246" s="1443"/>
      <c r="BJ246" s="1425"/>
      <c r="BK246" s="1425"/>
      <c r="BL246" s="1425"/>
      <c r="BM246" s="1425"/>
      <c r="BN246" s="1425"/>
      <c r="BO246" s="1425"/>
      <c r="BP246" s="1425"/>
      <c r="BQ246" s="1425"/>
      <c r="BR246" s="1425"/>
      <c r="BS246" s="1425"/>
      <c r="BT246" s="1425"/>
      <c r="BU246" s="1425"/>
      <c r="BV246" s="1425"/>
      <c r="BW246" s="1425"/>
      <c r="BX246" s="1425"/>
      <c r="BY246" s="1425"/>
      <c r="BZ246" s="1339"/>
    </row>
    <row r="247" spans="26:78" s="174" customFormat="1">
      <c r="Z247" s="1339"/>
      <c r="AA247" s="1443"/>
      <c r="AB247" s="1443"/>
      <c r="AC247" s="1443"/>
      <c r="AD247" s="1443"/>
      <c r="AE247" s="1443"/>
      <c r="AF247" s="1443"/>
      <c r="AG247" s="1443"/>
      <c r="AH247" s="1443"/>
      <c r="AI247" s="1444"/>
      <c r="AJ247" s="1443"/>
      <c r="AK247" s="1443"/>
      <c r="AL247" s="1443"/>
      <c r="AM247" s="1443"/>
      <c r="AN247" s="1443"/>
      <c r="AO247" s="1443"/>
      <c r="AP247" s="1443"/>
      <c r="AQ247" s="1443"/>
      <c r="AR247" s="1443"/>
      <c r="AS247" s="1443"/>
      <c r="AT247" s="1443"/>
      <c r="AU247" s="1443"/>
      <c r="AV247" s="1443"/>
      <c r="AW247" s="1443"/>
      <c r="AX247" s="1443"/>
      <c r="AY247" s="1443"/>
      <c r="AZ247" s="1443"/>
      <c r="BA247" s="1443"/>
      <c r="BB247" s="1443"/>
      <c r="BC247" s="1443"/>
      <c r="BD247" s="1443"/>
      <c r="BE247" s="1443"/>
      <c r="BF247" s="1443"/>
      <c r="BG247" s="1443"/>
      <c r="BH247" s="1443"/>
      <c r="BI247" s="1443"/>
      <c r="BJ247" s="1425"/>
      <c r="BK247" s="1425"/>
      <c r="BL247" s="1425"/>
      <c r="BM247" s="1425"/>
      <c r="BN247" s="1425"/>
      <c r="BO247" s="1425"/>
      <c r="BP247" s="1425"/>
      <c r="BQ247" s="1425"/>
      <c r="BR247" s="1425"/>
      <c r="BS247" s="1425"/>
      <c r="BT247" s="1425"/>
      <c r="BU247" s="1425"/>
      <c r="BV247" s="1425"/>
      <c r="BW247" s="1425"/>
      <c r="BX247" s="1425"/>
      <c r="BY247" s="1425"/>
      <c r="BZ247" s="1339"/>
    </row>
    <row r="248" spans="26:78" s="174" customFormat="1">
      <c r="Z248" s="1339"/>
      <c r="AA248" s="1443"/>
      <c r="AB248" s="1443"/>
      <c r="AC248" s="1443"/>
      <c r="AD248" s="1443"/>
      <c r="AE248" s="1443"/>
      <c r="AF248" s="1443"/>
      <c r="AG248" s="1443"/>
      <c r="AH248" s="1443"/>
      <c r="AI248" s="1444"/>
      <c r="AJ248" s="1443"/>
      <c r="AK248" s="1443"/>
      <c r="AL248" s="1443"/>
      <c r="AM248" s="1443"/>
      <c r="AN248" s="1443"/>
      <c r="AO248" s="1443"/>
      <c r="AP248" s="1443"/>
      <c r="AQ248" s="1443"/>
      <c r="AR248" s="1443"/>
      <c r="AS248" s="1443"/>
      <c r="AT248" s="1443"/>
      <c r="AU248" s="1443"/>
      <c r="AV248" s="1443"/>
      <c r="AW248" s="1443"/>
      <c r="AX248" s="1443"/>
      <c r="AY248" s="1443"/>
      <c r="AZ248" s="1443"/>
      <c r="BA248" s="1443"/>
      <c r="BB248" s="1443"/>
      <c r="BC248" s="1443"/>
      <c r="BD248" s="1443"/>
      <c r="BE248" s="1443"/>
      <c r="BF248" s="1443"/>
      <c r="BG248" s="1443"/>
      <c r="BH248" s="1443"/>
      <c r="BI248" s="1443"/>
      <c r="BJ248" s="1425"/>
      <c r="BK248" s="1425"/>
      <c r="BL248" s="1425"/>
      <c r="BM248" s="1425"/>
      <c r="BN248" s="1425"/>
      <c r="BO248" s="1425"/>
      <c r="BP248" s="1425"/>
      <c r="BQ248" s="1425"/>
      <c r="BR248" s="1425"/>
      <c r="BS248" s="1425"/>
      <c r="BT248" s="1425"/>
      <c r="BU248" s="1425"/>
      <c r="BV248" s="1425"/>
      <c r="BW248" s="1425"/>
      <c r="BX248" s="1425"/>
      <c r="BY248" s="1425"/>
      <c r="BZ248" s="1339"/>
    </row>
    <row r="249" spans="26:78" s="174" customFormat="1">
      <c r="Z249" s="1339"/>
      <c r="AA249" s="1443"/>
      <c r="AB249" s="1443"/>
      <c r="AC249" s="1443"/>
      <c r="AD249" s="1443"/>
      <c r="AE249" s="1443"/>
      <c r="AF249" s="1443"/>
      <c r="AG249" s="1443"/>
      <c r="AH249" s="1443"/>
      <c r="AI249" s="1444"/>
      <c r="AJ249" s="1443"/>
      <c r="AK249" s="1443"/>
      <c r="AL249" s="1443"/>
      <c r="AM249" s="1443"/>
      <c r="AN249" s="1443"/>
      <c r="AO249" s="1443"/>
      <c r="AP249" s="1443"/>
      <c r="AQ249" s="1443"/>
      <c r="AR249" s="1443"/>
      <c r="AS249" s="1443"/>
      <c r="AT249" s="1443"/>
      <c r="AU249" s="1443"/>
      <c r="AV249" s="1443"/>
      <c r="AW249" s="1443"/>
      <c r="AX249" s="1443"/>
      <c r="AY249" s="1443"/>
      <c r="AZ249" s="1443"/>
      <c r="BA249" s="1443"/>
      <c r="BB249" s="1443"/>
      <c r="BC249" s="1443"/>
      <c r="BD249" s="1443"/>
      <c r="BE249" s="1443"/>
      <c r="BF249" s="1443"/>
      <c r="BG249" s="1443"/>
      <c r="BH249" s="1443"/>
      <c r="BI249" s="1443"/>
      <c r="BJ249" s="1425"/>
      <c r="BK249" s="1425"/>
      <c r="BL249" s="1425"/>
      <c r="BM249" s="1425"/>
      <c r="BN249" s="1425"/>
      <c r="BO249" s="1425"/>
      <c r="BP249" s="1425"/>
      <c r="BQ249" s="1425"/>
      <c r="BR249" s="1425"/>
      <c r="BS249" s="1425"/>
      <c r="BT249" s="1425"/>
      <c r="BU249" s="1425"/>
      <c r="BV249" s="1425"/>
      <c r="BW249" s="1425"/>
      <c r="BX249" s="1425"/>
      <c r="BY249" s="1425"/>
      <c r="BZ249" s="1339"/>
    </row>
    <row r="250" spans="26:78" s="174" customFormat="1">
      <c r="Z250" s="1339"/>
      <c r="AA250" s="1443"/>
      <c r="AB250" s="1443"/>
      <c r="AC250" s="1443"/>
      <c r="AD250" s="1443"/>
      <c r="AE250" s="1443"/>
      <c r="AF250" s="1443"/>
      <c r="AG250" s="1443"/>
      <c r="AH250" s="1443"/>
      <c r="AI250" s="1444"/>
      <c r="AJ250" s="1443"/>
      <c r="AK250" s="1443"/>
      <c r="AL250" s="1443"/>
      <c r="AM250" s="1443"/>
      <c r="AN250" s="1443"/>
      <c r="AO250" s="1443"/>
      <c r="AP250" s="1443"/>
      <c r="AQ250" s="1443"/>
      <c r="AR250" s="1443"/>
      <c r="AS250" s="1443"/>
      <c r="AT250" s="1443"/>
      <c r="AU250" s="1443"/>
      <c r="AV250" s="1443"/>
      <c r="AW250" s="1443"/>
      <c r="AX250" s="1443"/>
      <c r="AY250" s="1443"/>
      <c r="AZ250" s="1443"/>
      <c r="BA250" s="1443"/>
      <c r="BB250" s="1443"/>
      <c r="BC250" s="1443"/>
      <c r="BD250" s="1443"/>
      <c r="BE250" s="1443"/>
      <c r="BF250" s="1443"/>
      <c r="BG250" s="1443"/>
      <c r="BH250" s="1443"/>
      <c r="BI250" s="1443"/>
      <c r="BJ250" s="1425"/>
      <c r="BK250" s="1425"/>
      <c r="BL250" s="1425"/>
      <c r="BM250" s="1425"/>
      <c r="BN250" s="1425"/>
      <c r="BO250" s="1425"/>
      <c r="BP250" s="1425"/>
      <c r="BQ250" s="1425"/>
      <c r="BR250" s="1425"/>
      <c r="BS250" s="1425"/>
      <c r="BT250" s="1425"/>
      <c r="BU250" s="1425"/>
      <c r="BV250" s="1425"/>
      <c r="BW250" s="1425"/>
      <c r="BX250" s="1425"/>
      <c r="BY250" s="1425"/>
      <c r="BZ250" s="1339"/>
    </row>
    <row r="251" spans="26:78" s="174" customFormat="1">
      <c r="Z251" s="1339"/>
      <c r="AA251" s="1443"/>
      <c r="AB251" s="1443"/>
      <c r="AC251" s="1443"/>
      <c r="AD251" s="1443"/>
      <c r="AE251" s="1443"/>
      <c r="AF251" s="1443"/>
      <c r="AG251" s="1443"/>
      <c r="AH251" s="1443"/>
      <c r="AI251" s="1444"/>
      <c r="AJ251" s="1443"/>
      <c r="AK251" s="1443"/>
      <c r="AL251" s="1443"/>
      <c r="AM251" s="1443"/>
      <c r="AN251" s="1443"/>
      <c r="AO251" s="1443"/>
      <c r="AP251" s="1443"/>
      <c r="AQ251" s="1443"/>
      <c r="AR251" s="1443"/>
      <c r="AS251" s="1443"/>
      <c r="AT251" s="1443"/>
      <c r="AU251" s="1443"/>
      <c r="AV251" s="1443"/>
      <c r="AW251" s="1443"/>
      <c r="AX251" s="1443"/>
      <c r="AY251" s="1443"/>
      <c r="AZ251" s="1443"/>
      <c r="BA251" s="1443"/>
      <c r="BB251" s="1443"/>
      <c r="BC251" s="1443"/>
      <c r="BD251" s="1443"/>
      <c r="BE251" s="1443"/>
      <c r="BF251" s="1443"/>
      <c r="BG251" s="1443"/>
      <c r="BH251" s="1443"/>
      <c r="BI251" s="1443"/>
      <c r="BJ251" s="1425"/>
      <c r="BK251" s="1425"/>
      <c r="BL251" s="1425"/>
      <c r="BM251" s="1425"/>
      <c r="BN251" s="1425"/>
      <c r="BO251" s="1425"/>
      <c r="BP251" s="1425"/>
      <c r="BQ251" s="1425"/>
      <c r="BR251" s="1425"/>
      <c r="BS251" s="1425"/>
      <c r="BT251" s="1425"/>
      <c r="BU251" s="1425"/>
      <c r="BV251" s="1425"/>
      <c r="BW251" s="1425"/>
      <c r="BX251" s="1425"/>
      <c r="BY251" s="1425"/>
      <c r="BZ251" s="1339"/>
    </row>
    <row r="252" spans="26:78" s="174" customFormat="1">
      <c r="Z252" s="1339"/>
      <c r="AA252" s="1443"/>
      <c r="AB252" s="1443"/>
      <c r="AC252" s="1443"/>
      <c r="AD252" s="1443"/>
      <c r="AE252" s="1443"/>
      <c r="AF252" s="1443"/>
      <c r="AG252" s="1443"/>
      <c r="AH252" s="1443"/>
      <c r="AI252" s="1444"/>
      <c r="AJ252" s="1443"/>
      <c r="AK252" s="1443"/>
      <c r="AL252" s="1443"/>
      <c r="AM252" s="1443"/>
      <c r="AN252" s="1443"/>
      <c r="AO252" s="1443"/>
      <c r="AP252" s="1443"/>
      <c r="AQ252" s="1443"/>
      <c r="AR252" s="1443"/>
      <c r="AS252" s="1443"/>
      <c r="AT252" s="1443"/>
      <c r="AU252" s="1443"/>
      <c r="AV252" s="1443"/>
      <c r="AW252" s="1443"/>
      <c r="AX252" s="1443"/>
      <c r="AY252" s="1443"/>
      <c r="AZ252" s="1443"/>
      <c r="BA252" s="1443"/>
      <c r="BB252" s="1443"/>
      <c r="BC252" s="1443"/>
      <c r="BD252" s="1443"/>
      <c r="BE252" s="1443"/>
      <c r="BF252" s="1443"/>
      <c r="BG252" s="1443"/>
      <c r="BH252" s="1443"/>
      <c r="BI252" s="1443"/>
      <c r="BJ252" s="1425"/>
      <c r="BK252" s="1425"/>
      <c r="BL252" s="1425"/>
      <c r="BM252" s="1425"/>
      <c r="BN252" s="1425"/>
      <c r="BO252" s="1425"/>
      <c r="BP252" s="1425"/>
      <c r="BQ252" s="1425"/>
      <c r="BR252" s="1425"/>
      <c r="BS252" s="1425"/>
      <c r="BT252" s="1425"/>
      <c r="BU252" s="1425"/>
      <c r="BV252" s="1425"/>
      <c r="BW252" s="1425"/>
      <c r="BX252" s="1425"/>
      <c r="BY252" s="1425"/>
      <c r="BZ252" s="1339"/>
    </row>
    <row r="253" spans="26:78" s="174" customFormat="1">
      <c r="Z253" s="1339"/>
      <c r="AA253" s="1443"/>
      <c r="AB253" s="1443"/>
      <c r="AC253" s="1443"/>
      <c r="AD253" s="1443"/>
      <c r="AE253" s="1443"/>
      <c r="AF253" s="1443"/>
      <c r="AG253" s="1443"/>
      <c r="AH253" s="1443"/>
      <c r="AI253" s="1444"/>
      <c r="AJ253" s="1443"/>
      <c r="AK253" s="1443"/>
      <c r="AL253" s="1443"/>
      <c r="AM253" s="1443"/>
      <c r="AN253" s="1443"/>
      <c r="AO253" s="1443"/>
      <c r="AP253" s="1443"/>
      <c r="AQ253" s="1443"/>
      <c r="AR253" s="1443"/>
      <c r="AS253" s="1443"/>
      <c r="AT253" s="1443"/>
      <c r="AU253" s="1443"/>
      <c r="AV253" s="1443"/>
      <c r="AW253" s="1443"/>
      <c r="AX253" s="1443"/>
      <c r="AY253" s="1443"/>
      <c r="AZ253" s="1443"/>
      <c r="BA253" s="1443"/>
      <c r="BB253" s="1443"/>
      <c r="BC253" s="1443"/>
      <c r="BD253" s="1443"/>
      <c r="BE253" s="1443"/>
      <c r="BF253" s="1443"/>
      <c r="BG253" s="1443"/>
      <c r="BH253" s="1443"/>
      <c r="BI253" s="1443"/>
      <c r="BJ253" s="1425"/>
      <c r="BK253" s="1425"/>
      <c r="BL253" s="1425"/>
      <c r="BM253" s="1425"/>
      <c r="BN253" s="1425"/>
      <c r="BO253" s="1425"/>
      <c r="BP253" s="1425"/>
      <c r="BQ253" s="1425"/>
      <c r="BR253" s="1425"/>
      <c r="BS253" s="1425"/>
      <c r="BT253" s="1425"/>
      <c r="BU253" s="1425"/>
      <c r="BV253" s="1425"/>
      <c r="BW253" s="1425"/>
      <c r="BX253" s="1425"/>
      <c r="BY253" s="1425"/>
      <c r="BZ253" s="1339"/>
    </row>
    <row r="254" spans="26:78" s="174" customFormat="1">
      <c r="Z254" s="1339"/>
      <c r="AA254" s="1443"/>
      <c r="AB254" s="1443"/>
      <c r="AC254" s="1443"/>
      <c r="AD254" s="1443"/>
      <c r="AE254" s="1443"/>
      <c r="AF254" s="1443"/>
      <c r="AG254" s="1443"/>
      <c r="AH254" s="1443"/>
      <c r="AI254" s="1444"/>
      <c r="AJ254" s="1443"/>
      <c r="AK254" s="1443"/>
      <c r="AL254" s="1443"/>
      <c r="AM254" s="1443"/>
      <c r="AN254" s="1443"/>
      <c r="AO254" s="1443"/>
      <c r="AP254" s="1443"/>
      <c r="AQ254" s="1443"/>
      <c r="AR254" s="1443"/>
      <c r="AS254" s="1443"/>
      <c r="AT254" s="1443"/>
      <c r="AU254" s="1443"/>
      <c r="AV254" s="1443"/>
      <c r="AW254" s="1443"/>
      <c r="AX254" s="1443"/>
      <c r="AY254" s="1443"/>
      <c r="AZ254" s="1443"/>
      <c r="BA254" s="1443"/>
      <c r="BB254" s="1443"/>
      <c r="BC254" s="1443"/>
      <c r="BD254" s="1443"/>
      <c r="BE254" s="1443"/>
      <c r="BF254" s="1443"/>
      <c r="BG254" s="1443"/>
      <c r="BH254" s="1443"/>
      <c r="BI254" s="1443"/>
      <c r="BJ254" s="1425"/>
      <c r="BK254" s="1425"/>
      <c r="BL254" s="1425"/>
      <c r="BM254" s="1425"/>
      <c r="BN254" s="1425"/>
      <c r="BO254" s="1425"/>
      <c r="BP254" s="1425"/>
      <c r="BQ254" s="1425"/>
      <c r="BR254" s="1425"/>
      <c r="BS254" s="1425"/>
      <c r="BT254" s="1425"/>
      <c r="BU254" s="1425"/>
      <c r="BV254" s="1425"/>
      <c r="BW254" s="1425"/>
      <c r="BX254" s="1425"/>
      <c r="BY254" s="1425"/>
      <c r="BZ254" s="1339"/>
    </row>
    <row r="255" spans="26:78" s="174" customFormat="1">
      <c r="Z255" s="1339"/>
      <c r="AA255" s="1443"/>
      <c r="AB255" s="1443"/>
      <c r="AC255" s="1443"/>
      <c r="AD255" s="1443"/>
      <c r="AE255" s="1443"/>
      <c r="AF255" s="1443"/>
      <c r="AG255" s="1443"/>
      <c r="AH255" s="1443"/>
      <c r="AI255" s="1444"/>
      <c r="AJ255" s="1443"/>
      <c r="AK255" s="1443"/>
      <c r="AL255" s="1443"/>
      <c r="AM255" s="1443"/>
      <c r="AN255" s="1443"/>
      <c r="AO255" s="1443"/>
      <c r="AP255" s="1443"/>
      <c r="AQ255" s="1443"/>
      <c r="AR255" s="1443"/>
      <c r="AS255" s="1443"/>
      <c r="AT255" s="1443"/>
      <c r="AU255" s="1443"/>
      <c r="AV255" s="1443"/>
      <c r="AW255" s="1443"/>
      <c r="AX255" s="1443"/>
      <c r="AY255" s="1443"/>
      <c r="AZ255" s="1443"/>
      <c r="BA255" s="1443"/>
      <c r="BB255" s="1443"/>
      <c r="BC255" s="1443"/>
      <c r="BD255" s="1443"/>
      <c r="BE255" s="1443"/>
      <c r="BF255" s="1443"/>
      <c r="BG255" s="1443"/>
      <c r="BH255" s="1443"/>
      <c r="BI255" s="1443"/>
      <c r="BJ255" s="1425"/>
      <c r="BK255" s="1425"/>
      <c r="BL255" s="1425"/>
      <c r="BM255" s="1425"/>
      <c r="BN255" s="1425"/>
      <c r="BO255" s="1425"/>
      <c r="BP255" s="1425"/>
      <c r="BQ255" s="1425"/>
      <c r="BR255" s="1425"/>
      <c r="BS255" s="1425"/>
      <c r="BT255" s="1425"/>
      <c r="BU255" s="1425"/>
      <c r="BV255" s="1425"/>
      <c r="BW255" s="1425"/>
      <c r="BX255" s="1425"/>
      <c r="BY255" s="1425"/>
      <c r="BZ255" s="1339"/>
    </row>
    <row r="256" spans="26:78" s="174" customFormat="1">
      <c r="Z256" s="1339"/>
      <c r="AA256" s="1443"/>
      <c r="AB256" s="1443"/>
      <c r="AC256" s="1443"/>
      <c r="AD256" s="1443"/>
      <c r="AE256" s="1443"/>
      <c r="AF256" s="1443"/>
      <c r="AG256" s="1443"/>
      <c r="AH256" s="1443"/>
      <c r="AI256" s="1444"/>
      <c r="AJ256" s="1443"/>
      <c r="AK256" s="1443"/>
      <c r="AL256" s="1443"/>
      <c r="AM256" s="1443"/>
      <c r="AN256" s="1443"/>
      <c r="AO256" s="1443"/>
      <c r="AP256" s="1443"/>
      <c r="AQ256" s="1443"/>
      <c r="AR256" s="1443"/>
      <c r="AS256" s="1443"/>
      <c r="AT256" s="1443"/>
      <c r="AU256" s="1443"/>
      <c r="AV256" s="1443"/>
      <c r="AW256" s="1443"/>
      <c r="AX256" s="1443"/>
      <c r="AY256" s="1443"/>
      <c r="AZ256" s="1443"/>
      <c r="BA256" s="1443"/>
      <c r="BB256" s="1443"/>
      <c r="BC256" s="1443"/>
      <c r="BD256" s="1443"/>
      <c r="BE256" s="1443"/>
      <c r="BF256" s="1443"/>
      <c r="BG256" s="1443"/>
      <c r="BH256" s="1443"/>
      <c r="BI256" s="1443"/>
      <c r="BJ256" s="1425"/>
      <c r="BK256" s="1425"/>
      <c r="BL256" s="1425"/>
      <c r="BM256" s="1425"/>
      <c r="BN256" s="1425"/>
      <c r="BO256" s="1425"/>
      <c r="BP256" s="1425"/>
      <c r="BQ256" s="1425"/>
      <c r="BR256" s="1425"/>
      <c r="BS256" s="1425"/>
      <c r="BT256" s="1425"/>
      <c r="BU256" s="1425"/>
      <c r="BV256" s="1425"/>
      <c r="BW256" s="1425"/>
      <c r="BX256" s="1425"/>
      <c r="BY256" s="1425"/>
      <c r="BZ256" s="1339"/>
    </row>
    <row r="257" spans="26:78" s="174" customFormat="1">
      <c r="Z257" s="1339"/>
      <c r="AA257" s="1443"/>
      <c r="AB257" s="1443"/>
      <c r="AC257" s="1443"/>
      <c r="AD257" s="1443"/>
      <c r="AE257" s="1443"/>
      <c r="AF257" s="1443"/>
      <c r="AG257" s="1443"/>
      <c r="AH257" s="1443"/>
      <c r="AI257" s="1444"/>
      <c r="AJ257" s="1443"/>
      <c r="AK257" s="1443"/>
      <c r="AL257" s="1443"/>
      <c r="AM257" s="1443"/>
      <c r="AN257" s="1443"/>
      <c r="AO257" s="1443"/>
      <c r="AP257" s="1443"/>
      <c r="AQ257" s="1443"/>
      <c r="AR257" s="1443"/>
      <c r="AS257" s="1443"/>
      <c r="AT257" s="1443"/>
      <c r="AU257" s="1443"/>
      <c r="AV257" s="1443"/>
      <c r="AW257" s="1443"/>
      <c r="AX257" s="1443"/>
      <c r="AY257" s="1443"/>
      <c r="AZ257" s="1443"/>
      <c r="BA257" s="1443"/>
      <c r="BB257" s="1443"/>
      <c r="BC257" s="1443"/>
      <c r="BD257" s="1443"/>
      <c r="BE257" s="1443"/>
      <c r="BF257" s="1443"/>
      <c r="BG257" s="1443"/>
      <c r="BH257" s="1443"/>
      <c r="BI257" s="1443"/>
      <c r="BJ257" s="1425"/>
      <c r="BK257" s="1425"/>
      <c r="BL257" s="1425"/>
      <c r="BM257" s="1425"/>
      <c r="BN257" s="1425"/>
      <c r="BO257" s="1425"/>
      <c r="BP257" s="1425"/>
      <c r="BQ257" s="1425"/>
      <c r="BR257" s="1425"/>
      <c r="BS257" s="1425"/>
      <c r="BT257" s="1425"/>
      <c r="BU257" s="1425"/>
      <c r="BV257" s="1425"/>
      <c r="BW257" s="1425"/>
      <c r="BX257" s="1425"/>
      <c r="BY257" s="1425"/>
      <c r="BZ257" s="1339"/>
    </row>
    <row r="258" spans="26:78" s="174" customFormat="1">
      <c r="Z258" s="1339"/>
      <c r="AA258" s="1443"/>
      <c r="AB258" s="1443"/>
      <c r="AC258" s="1443"/>
      <c r="AD258" s="1443"/>
      <c r="AE258" s="1443"/>
      <c r="AF258" s="1443"/>
      <c r="AG258" s="1443"/>
      <c r="AH258" s="1443"/>
      <c r="AI258" s="1444"/>
      <c r="AJ258" s="1443"/>
      <c r="AK258" s="1443"/>
      <c r="AL258" s="1443"/>
      <c r="AM258" s="1443"/>
      <c r="AN258" s="1443"/>
      <c r="AO258" s="1443"/>
      <c r="AP258" s="1443"/>
      <c r="AQ258" s="1443"/>
      <c r="AR258" s="1443"/>
      <c r="AS258" s="1443"/>
      <c r="AT258" s="1443"/>
      <c r="AU258" s="1443"/>
      <c r="AV258" s="1443"/>
      <c r="AW258" s="1443"/>
      <c r="AX258" s="1443"/>
      <c r="AY258" s="1443"/>
      <c r="AZ258" s="1443"/>
      <c r="BA258" s="1443"/>
      <c r="BB258" s="1443"/>
      <c r="BC258" s="1443"/>
      <c r="BD258" s="1443"/>
      <c r="BE258" s="1443"/>
      <c r="BF258" s="1443"/>
      <c r="BG258" s="1443"/>
      <c r="BH258" s="1443"/>
      <c r="BI258" s="1443"/>
      <c r="BJ258" s="1425"/>
      <c r="BK258" s="1425"/>
      <c r="BL258" s="1425"/>
      <c r="BM258" s="1425"/>
      <c r="BN258" s="1425"/>
      <c r="BO258" s="1425"/>
      <c r="BP258" s="1425"/>
      <c r="BQ258" s="1425"/>
      <c r="BR258" s="1425"/>
      <c r="BS258" s="1425"/>
      <c r="BT258" s="1425"/>
      <c r="BU258" s="1425"/>
      <c r="BV258" s="1425"/>
      <c r="BW258" s="1425"/>
      <c r="BX258" s="1425"/>
      <c r="BY258" s="1425"/>
      <c r="BZ258" s="1339"/>
    </row>
    <row r="259" spans="26:78" s="174" customFormat="1">
      <c r="Z259" s="1339"/>
      <c r="AA259" s="1443"/>
      <c r="AB259" s="1443"/>
      <c r="AC259" s="1443"/>
      <c r="AD259" s="1443"/>
      <c r="AE259" s="1443"/>
      <c r="AF259" s="1443"/>
      <c r="AG259" s="1443"/>
      <c r="AH259" s="1443"/>
      <c r="AI259" s="1444"/>
      <c r="AJ259" s="1443"/>
      <c r="AK259" s="1443"/>
      <c r="AL259" s="1443"/>
      <c r="AM259" s="1443"/>
      <c r="AN259" s="1443"/>
      <c r="AO259" s="1443"/>
      <c r="AP259" s="1443"/>
      <c r="AQ259" s="1443"/>
      <c r="AR259" s="1443"/>
      <c r="AS259" s="1443"/>
      <c r="AT259" s="1443"/>
      <c r="AU259" s="1443"/>
      <c r="AV259" s="1443"/>
      <c r="AW259" s="1443"/>
      <c r="AX259" s="1443"/>
      <c r="AY259" s="1443"/>
      <c r="AZ259" s="1443"/>
      <c r="BA259" s="1443"/>
      <c r="BB259" s="1443"/>
      <c r="BC259" s="1443"/>
      <c r="BD259" s="1443"/>
      <c r="BE259" s="1443"/>
      <c r="BF259" s="1443"/>
      <c r="BG259" s="1443"/>
      <c r="BH259" s="1443"/>
      <c r="BI259" s="1443"/>
      <c r="BJ259" s="1425"/>
      <c r="BK259" s="1425"/>
      <c r="BL259" s="1425"/>
      <c r="BM259" s="1425"/>
      <c r="BN259" s="1425"/>
      <c r="BO259" s="1425"/>
      <c r="BP259" s="1425"/>
      <c r="BQ259" s="1425"/>
      <c r="BR259" s="1425"/>
      <c r="BS259" s="1425"/>
      <c r="BT259" s="1425"/>
      <c r="BU259" s="1425"/>
      <c r="BV259" s="1425"/>
      <c r="BW259" s="1425"/>
      <c r="BX259" s="1425"/>
      <c r="BY259" s="1425"/>
      <c r="BZ259" s="1339"/>
    </row>
    <row r="260" spans="26:78" s="174" customFormat="1">
      <c r="Z260" s="1339"/>
      <c r="AA260" s="1443"/>
      <c r="AB260" s="1443"/>
      <c r="AC260" s="1443"/>
      <c r="AD260" s="1443"/>
      <c r="AE260" s="1443"/>
      <c r="AF260" s="1443"/>
      <c r="AG260" s="1443"/>
      <c r="AH260" s="1443"/>
      <c r="AI260" s="1444"/>
      <c r="AJ260" s="1443"/>
      <c r="AK260" s="1443"/>
      <c r="AL260" s="1443"/>
      <c r="AM260" s="1443"/>
      <c r="AN260" s="1443"/>
      <c r="AO260" s="1443"/>
      <c r="AP260" s="1443"/>
      <c r="AQ260" s="1443"/>
      <c r="AR260" s="1443"/>
      <c r="AS260" s="1443"/>
      <c r="AT260" s="1443"/>
      <c r="AU260" s="1443"/>
      <c r="AV260" s="1443"/>
      <c r="AW260" s="1443"/>
      <c r="AX260" s="1443"/>
      <c r="AY260" s="1443"/>
      <c r="AZ260" s="1443"/>
      <c r="BA260" s="1443"/>
      <c r="BB260" s="1443"/>
      <c r="BC260" s="1443"/>
      <c r="BD260" s="1443"/>
      <c r="BE260" s="1443"/>
      <c r="BF260" s="1443"/>
      <c r="BG260" s="1443"/>
      <c r="BH260" s="1443"/>
      <c r="BI260" s="1443"/>
      <c r="BJ260" s="1425"/>
      <c r="BK260" s="1425"/>
      <c r="BL260" s="1425"/>
      <c r="BM260" s="1425"/>
      <c r="BN260" s="1425"/>
      <c r="BO260" s="1425"/>
      <c r="BP260" s="1425"/>
      <c r="BQ260" s="1425"/>
      <c r="BR260" s="1425"/>
      <c r="BS260" s="1425"/>
      <c r="BT260" s="1425"/>
      <c r="BU260" s="1425"/>
      <c r="BV260" s="1425"/>
      <c r="BW260" s="1425"/>
      <c r="BX260" s="1425"/>
      <c r="BY260" s="1425"/>
      <c r="BZ260" s="1339"/>
    </row>
    <row r="261" spans="26:78" s="174" customFormat="1">
      <c r="Z261" s="1339"/>
      <c r="AA261" s="1443"/>
      <c r="AB261" s="1443"/>
      <c r="AC261" s="1443"/>
      <c r="AD261" s="1443"/>
      <c r="AE261" s="1443"/>
      <c r="AF261" s="1443"/>
      <c r="AG261" s="1443"/>
      <c r="AH261" s="1443"/>
      <c r="AI261" s="1444"/>
      <c r="AJ261" s="1443"/>
      <c r="AK261" s="1443"/>
      <c r="AL261" s="1443"/>
      <c r="AM261" s="1443"/>
      <c r="AN261" s="1443"/>
      <c r="AO261" s="1443"/>
      <c r="AP261" s="1443"/>
      <c r="AQ261" s="1443"/>
      <c r="AR261" s="1443"/>
      <c r="AS261" s="1443"/>
      <c r="AT261" s="1443"/>
      <c r="AU261" s="1443"/>
      <c r="AV261" s="1443"/>
      <c r="AW261" s="1443"/>
      <c r="AX261" s="1443"/>
      <c r="AY261" s="1443"/>
      <c r="AZ261" s="1443"/>
      <c r="BA261" s="1443"/>
      <c r="BB261" s="1443"/>
      <c r="BC261" s="1443"/>
      <c r="BD261" s="1443"/>
      <c r="BE261" s="1443"/>
      <c r="BF261" s="1443"/>
      <c r="BG261" s="1443"/>
      <c r="BH261" s="1443"/>
      <c r="BI261" s="1443"/>
      <c r="BJ261" s="1425"/>
      <c r="BK261" s="1425"/>
      <c r="BL261" s="1425"/>
      <c r="BM261" s="1425"/>
      <c r="BN261" s="1425"/>
      <c r="BO261" s="1425"/>
      <c r="BP261" s="1425"/>
      <c r="BQ261" s="1425"/>
      <c r="BR261" s="1425"/>
      <c r="BS261" s="1425"/>
      <c r="BT261" s="1425"/>
      <c r="BU261" s="1425"/>
      <c r="BV261" s="1425"/>
      <c r="BW261" s="1425"/>
      <c r="BX261" s="1425"/>
      <c r="BY261" s="1425"/>
      <c r="BZ261" s="1339"/>
    </row>
    <row r="262" spans="26:78" s="174" customFormat="1">
      <c r="Z262" s="1339"/>
      <c r="AA262" s="1443"/>
      <c r="AB262" s="1443"/>
      <c r="AC262" s="1443"/>
      <c r="AD262" s="1443"/>
      <c r="AE262" s="1443"/>
      <c r="AF262" s="1443"/>
      <c r="AG262" s="1443"/>
      <c r="AH262" s="1443"/>
      <c r="AI262" s="1444"/>
      <c r="AJ262" s="1443"/>
      <c r="AK262" s="1443"/>
      <c r="AL262" s="1443"/>
      <c r="AM262" s="1443"/>
      <c r="AN262" s="1443"/>
      <c r="AO262" s="1443"/>
      <c r="AP262" s="1443"/>
      <c r="AQ262" s="1443"/>
      <c r="AR262" s="1443"/>
      <c r="AS262" s="1443"/>
      <c r="AT262" s="1443"/>
      <c r="AU262" s="1443"/>
      <c r="AV262" s="1443"/>
      <c r="AW262" s="1443"/>
      <c r="AX262" s="1443"/>
      <c r="AY262" s="1443"/>
      <c r="AZ262" s="1443"/>
      <c r="BA262" s="1443"/>
      <c r="BB262" s="1443"/>
      <c r="BC262" s="1443"/>
      <c r="BD262" s="1443"/>
      <c r="BE262" s="1443"/>
      <c r="BF262" s="1443"/>
      <c r="BG262" s="1443"/>
      <c r="BH262" s="1443"/>
      <c r="BI262" s="1443"/>
      <c r="BJ262" s="1425"/>
      <c r="BK262" s="1425"/>
      <c r="BL262" s="1425"/>
      <c r="BM262" s="1425"/>
      <c r="BN262" s="1425"/>
      <c r="BO262" s="1425"/>
      <c r="BP262" s="1425"/>
      <c r="BQ262" s="1425"/>
      <c r="BR262" s="1425"/>
      <c r="BS262" s="1425"/>
      <c r="BT262" s="1425"/>
      <c r="BU262" s="1425"/>
      <c r="BV262" s="1425"/>
      <c r="BW262" s="1425"/>
      <c r="BX262" s="1425"/>
      <c r="BY262" s="1425"/>
      <c r="BZ262" s="1339"/>
    </row>
    <row r="263" spans="26:78" s="174" customFormat="1">
      <c r="Z263" s="1339"/>
      <c r="AA263" s="1443"/>
      <c r="AB263" s="1443"/>
      <c r="AC263" s="1443"/>
      <c r="AD263" s="1443"/>
      <c r="AE263" s="1443"/>
      <c r="AF263" s="1443"/>
      <c r="AG263" s="1443"/>
      <c r="AH263" s="1443"/>
      <c r="AI263" s="1444"/>
      <c r="AJ263" s="1443"/>
      <c r="AK263" s="1443"/>
      <c r="AL263" s="1443"/>
      <c r="AM263" s="1443"/>
      <c r="AN263" s="1443"/>
      <c r="AO263" s="1443"/>
      <c r="AP263" s="1443"/>
      <c r="AQ263" s="1443"/>
      <c r="AR263" s="1443"/>
      <c r="AS263" s="1443"/>
      <c r="AT263" s="1443"/>
      <c r="AU263" s="1443"/>
      <c r="AV263" s="1443"/>
      <c r="AW263" s="1443"/>
      <c r="AX263" s="1443"/>
      <c r="AY263" s="1443"/>
      <c r="AZ263" s="1443"/>
      <c r="BA263" s="1443"/>
      <c r="BB263" s="1443"/>
      <c r="BC263" s="1443"/>
      <c r="BD263" s="1443"/>
      <c r="BE263" s="1443"/>
      <c r="BF263" s="1443"/>
      <c r="BG263" s="1443"/>
      <c r="BH263" s="1443"/>
      <c r="BI263" s="1443"/>
      <c r="BJ263" s="1425"/>
      <c r="BK263" s="1425"/>
      <c r="BL263" s="1425"/>
      <c r="BM263" s="1425"/>
      <c r="BN263" s="1425"/>
      <c r="BO263" s="1425"/>
      <c r="BP263" s="1425"/>
      <c r="BQ263" s="1425"/>
      <c r="BR263" s="1425"/>
      <c r="BS263" s="1425"/>
      <c r="BT263" s="1425"/>
      <c r="BU263" s="1425"/>
      <c r="BV263" s="1425"/>
      <c r="BW263" s="1425"/>
      <c r="BX263" s="1425"/>
      <c r="BY263" s="1425"/>
      <c r="BZ263" s="1339"/>
    </row>
    <row r="264" spans="26:78" s="174" customFormat="1">
      <c r="Z264" s="1339"/>
      <c r="AA264" s="1443"/>
      <c r="AB264" s="1443"/>
      <c r="AC264" s="1443"/>
      <c r="AD264" s="1443"/>
      <c r="AE264" s="1443"/>
      <c r="AF264" s="1443"/>
      <c r="AG264" s="1443"/>
      <c r="AH264" s="1443"/>
      <c r="AI264" s="1444"/>
      <c r="AJ264" s="1443"/>
      <c r="AK264" s="1443"/>
      <c r="AL264" s="1443"/>
      <c r="AM264" s="1443"/>
      <c r="AN264" s="1443"/>
      <c r="AO264" s="1443"/>
      <c r="AP264" s="1443"/>
      <c r="AQ264" s="1443"/>
      <c r="AR264" s="1443"/>
      <c r="AS264" s="1443"/>
      <c r="AT264" s="1443"/>
      <c r="AU264" s="1443"/>
      <c r="AV264" s="1443"/>
      <c r="AW264" s="1443"/>
      <c r="AX264" s="1443"/>
      <c r="AY264" s="1443"/>
      <c r="AZ264" s="1443"/>
      <c r="BA264" s="1443"/>
      <c r="BB264" s="1443"/>
      <c r="BC264" s="1443"/>
      <c r="BD264" s="1443"/>
      <c r="BE264" s="1443"/>
      <c r="BF264" s="1443"/>
      <c r="BG264" s="1443"/>
      <c r="BH264" s="1443"/>
      <c r="BI264" s="1443"/>
      <c r="BJ264" s="1425"/>
      <c r="BK264" s="1425"/>
      <c r="BL264" s="1425"/>
      <c r="BM264" s="1425"/>
      <c r="BN264" s="1425"/>
      <c r="BO264" s="1425"/>
      <c r="BP264" s="1425"/>
      <c r="BQ264" s="1425"/>
      <c r="BR264" s="1425"/>
      <c r="BS264" s="1425"/>
      <c r="BT264" s="1425"/>
      <c r="BU264" s="1425"/>
      <c r="BV264" s="1425"/>
      <c r="BW264" s="1425"/>
      <c r="BX264" s="1425"/>
      <c r="BY264" s="1425"/>
      <c r="BZ264" s="1339"/>
    </row>
    <row r="265" spans="26:78" s="174" customFormat="1">
      <c r="Z265" s="1339"/>
      <c r="AA265" s="1443"/>
      <c r="AB265" s="1443"/>
      <c r="AC265" s="1443"/>
      <c r="AD265" s="1443"/>
      <c r="AE265" s="1443"/>
      <c r="AF265" s="1443"/>
      <c r="AG265" s="1443"/>
      <c r="AH265" s="1443"/>
      <c r="AI265" s="1444"/>
      <c r="AJ265" s="1443"/>
      <c r="AK265" s="1443"/>
      <c r="AL265" s="1443"/>
      <c r="AM265" s="1443"/>
      <c r="AN265" s="1443"/>
      <c r="AO265" s="1443"/>
      <c r="AP265" s="1443"/>
      <c r="AQ265" s="1443"/>
      <c r="AR265" s="1443"/>
      <c r="AS265" s="1443"/>
      <c r="AT265" s="1443"/>
      <c r="AU265" s="1443"/>
      <c r="AV265" s="1443"/>
      <c r="AW265" s="1443"/>
      <c r="AX265" s="1443"/>
      <c r="AY265" s="1443"/>
      <c r="AZ265" s="1443"/>
      <c r="BA265" s="1443"/>
      <c r="BB265" s="1443"/>
      <c r="BC265" s="1443"/>
      <c r="BD265" s="1443"/>
      <c r="BE265" s="1443"/>
      <c r="BF265" s="1443"/>
      <c r="BG265" s="1443"/>
      <c r="BH265" s="1443"/>
      <c r="BI265" s="1443"/>
      <c r="BJ265" s="1425"/>
      <c r="BK265" s="1425"/>
      <c r="BL265" s="1425"/>
      <c r="BM265" s="1425"/>
      <c r="BN265" s="1425"/>
      <c r="BO265" s="1425"/>
      <c r="BP265" s="1425"/>
      <c r="BQ265" s="1425"/>
      <c r="BR265" s="1425"/>
      <c r="BS265" s="1425"/>
      <c r="BT265" s="1425"/>
      <c r="BU265" s="1425"/>
      <c r="BV265" s="1425"/>
      <c r="BW265" s="1425"/>
      <c r="BX265" s="1425"/>
      <c r="BY265" s="1425"/>
      <c r="BZ265" s="1339"/>
    </row>
    <row r="266" spans="26:78" s="174" customFormat="1">
      <c r="Z266" s="1339"/>
      <c r="AA266" s="1443"/>
      <c r="AB266" s="1443"/>
      <c r="AC266" s="1443"/>
      <c r="AD266" s="1443"/>
      <c r="AE266" s="1443"/>
      <c r="AF266" s="1443"/>
      <c r="AG266" s="1443"/>
      <c r="AH266" s="1443"/>
      <c r="AI266" s="1444"/>
      <c r="AJ266" s="1443"/>
      <c r="AK266" s="1443"/>
      <c r="AL266" s="1443"/>
      <c r="AM266" s="1443"/>
      <c r="AN266" s="1443"/>
      <c r="AO266" s="1443"/>
      <c r="AP266" s="1443"/>
      <c r="AQ266" s="1443"/>
      <c r="AR266" s="1443"/>
      <c r="AS266" s="1443"/>
      <c r="AT266" s="1443"/>
      <c r="AU266" s="1443"/>
      <c r="AV266" s="1443"/>
      <c r="AW266" s="1443"/>
      <c r="AX266" s="1443"/>
      <c r="AY266" s="1443"/>
      <c r="AZ266" s="1443"/>
      <c r="BA266" s="1443"/>
      <c r="BB266" s="1443"/>
      <c r="BC266" s="1443"/>
      <c r="BD266" s="1443"/>
      <c r="BE266" s="1443"/>
      <c r="BF266" s="1443"/>
      <c r="BG266" s="1443"/>
      <c r="BH266" s="1443"/>
      <c r="BI266" s="1443"/>
      <c r="BJ266" s="1425"/>
      <c r="BK266" s="1425"/>
      <c r="BL266" s="1425"/>
      <c r="BM266" s="1425"/>
      <c r="BN266" s="1425"/>
      <c r="BO266" s="1425"/>
      <c r="BP266" s="1425"/>
      <c r="BQ266" s="1425"/>
      <c r="BR266" s="1425"/>
      <c r="BS266" s="1425"/>
      <c r="BT266" s="1425"/>
      <c r="BU266" s="1425"/>
      <c r="BV266" s="1425"/>
      <c r="BW266" s="1425"/>
      <c r="BX266" s="1425"/>
      <c r="BY266" s="1425"/>
      <c r="BZ266" s="1339"/>
    </row>
    <row r="267" spans="26:78" s="174" customFormat="1">
      <c r="Z267" s="1339"/>
      <c r="AA267" s="1443"/>
      <c r="AB267" s="1443"/>
      <c r="AC267" s="1443"/>
      <c r="AD267" s="1443"/>
      <c r="AE267" s="1443"/>
      <c r="AF267" s="1443"/>
      <c r="AG267" s="1443"/>
      <c r="AH267" s="1443"/>
      <c r="AI267" s="1444"/>
      <c r="AJ267" s="1443"/>
      <c r="AK267" s="1443"/>
      <c r="AL267" s="1443"/>
      <c r="AM267" s="1443"/>
      <c r="AN267" s="1443"/>
      <c r="AO267" s="1443"/>
      <c r="AP267" s="1443"/>
      <c r="AQ267" s="1443"/>
      <c r="AR267" s="1443"/>
      <c r="AS267" s="1443"/>
      <c r="AT267" s="1443"/>
      <c r="AU267" s="1443"/>
      <c r="AV267" s="1443"/>
      <c r="AW267" s="1443"/>
      <c r="AX267" s="1443"/>
      <c r="AY267" s="1443"/>
      <c r="AZ267" s="1443"/>
      <c r="BA267" s="1443"/>
      <c r="BB267" s="1443"/>
      <c r="BC267" s="1443"/>
      <c r="BD267" s="1443"/>
      <c r="BE267" s="1443"/>
      <c r="BF267" s="1443"/>
      <c r="BG267" s="1443"/>
      <c r="BH267" s="1443"/>
      <c r="BI267" s="1443"/>
      <c r="BJ267" s="1425"/>
      <c r="BK267" s="1425"/>
      <c r="BL267" s="1425"/>
      <c r="BM267" s="1425"/>
      <c r="BN267" s="1425"/>
      <c r="BO267" s="1425"/>
      <c r="BP267" s="1425"/>
      <c r="BQ267" s="1425"/>
      <c r="BR267" s="1425"/>
      <c r="BS267" s="1425"/>
      <c r="BT267" s="1425"/>
      <c r="BU267" s="1425"/>
      <c r="BV267" s="1425"/>
      <c r="BW267" s="1425"/>
      <c r="BX267" s="1425"/>
      <c r="BY267" s="1425"/>
      <c r="BZ267" s="1339"/>
    </row>
    <row r="268" spans="26:78" s="174" customFormat="1">
      <c r="Z268" s="1339"/>
      <c r="AA268" s="1443"/>
      <c r="AB268" s="1443"/>
      <c r="AC268" s="1443"/>
      <c r="AD268" s="1443"/>
      <c r="AE268" s="1443"/>
      <c r="AF268" s="1443"/>
      <c r="AG268" s="1443"/>
      <c r="AH268" s="1443"/>
      <c r="AI268" s="1444"/>
      <c r="AJ268" s="1443"/>
      <c r="AK268" s="1443"/>
      <c r="AL268" s="1443"/>
      <c r="AM268" s="1443"/>
      <c r="AN268" s="1443"/>
      <c r="AO268" s="1443"/>
      <c r="AP268" s="1443"/>
      <c r="AQ268" s="1443"/>
      <c r="AR268" s="1443"/>
      <c r="AS268" s="1443"/>
      <c r="AT268" s="1443"/>
      <c r="AU268" s="1443"/>
      <c r="AV268" s="1443"/>
      <c r="AW268" s="1443"/>
      <c r="AX268" s="1443"/>
      <c r="AY268" s="1443"/>
      <c r="AZ268" s="1443"/>
      <c r="BA268" s="1443"/>
      <c r="BB268" s="1443"/>
      <c r="BC268" s="1443"/>
      <c r="BD268" s="1443"/>
      <c r="BE268" s="1443"/>
      <c r="BF268" s="1443"/>
      <c r="BG268" s="1443"/>
      <c r="BH268" s="1443"/>
      <c r="BI268" s="1443"/>
      <c r="BJ268" s="1425"/>
      <c r="BK268" s="1425"/>
      <c r="BL268" s="1425"/>
      <c r="BM268" s="1425"/>
      <c r="BN268" s="1425"/>
      <c r="BO268" s="1425"/>
      <c r="BP268" s="1425"/>
      <c r="BQ268" s="1425"/>
      <c r="BR268" s="1425"/>
      <c r="BS268" s="1425"/>
      <c r="BT268" s="1425"/>
      <c r="BU268" s="1425"/>
      <c r="BV268" s="1425"/>
      <c r="BW268" s="1425"/>
      <c r="BX268" s="1425"/>
      <c r="BY268" s="1425"/>
      <c r="BZ268" s="1339"/>
    </row>
    <row r="269" spans="26:78" s="174" customFormat="1">
      <c r="Z269" s="1339"/>
      <c r="AA269" s="1443"/>
      <c r="AB269" s="1443"/>
      <c r="AC269" s="1443"/>
      <c r="AD269" s="1443"/>
      <c r="AE269" s="1443"/>
      <c r="AF269" s="1443"/>
      <c r="AG269" s="1443"/>
      <c r="AH269" s="1443"/>
      <c r="AI269" s="1444"/>
      <c r="AJ269" s="1443"/>
      <c r="AK269" s="1443"/>
      <c r="AL269" s="1443"/>
      <c r="AM269" s="1443"/>
      <c r="AN269" s="1443"/>
      <c r="AO269" s="1443"/>
      <c r="AP269" s="1443"/>
      <c r="AQ269" s="1443"/>
      <c r="AR269" s="1443"/>
      <c r="AS269" s="1443"/>
      <c r="AT269" s="1443"/>
      <c r="AU269" s="1443"/>
      <c r="AV269" s="1443"/>
      <c r="AW269" s="1443"/>
      <c r="AX269" s="1443"/>
      <c r="AY269" s="1443"/>
      <c r="AZ269" s="1443"/>
      <c r="BA269" s="1443"/>
      <c r="BB269" s="1443"/>
      <c r="BC269" s="1443"/>
      <c r="BD269" s="1443"/>
      <c r="BE269" s="1443"/>
      <c r="BF269" s="1443"/>
      <c r="BG269" s="1443"/>
      <c r="BH269" s="1443"/>
      <c r="BI269" s="1443"/>
      <c r="BJ269" s="1425"/>
      <c r="BK269" s="1425"/>
      <c r="BL269" s="1425"/>
      <c r="BM269" s="1425"/>
      <c r="BN269" s="1425"/>
      <c r="BO269" s="1425"/>
      <c r="BP269" s="1425"/>
      <c r="BQ269" s="1425"/>
      <c r="BR269" s="1425"/>
      <c r="BS269" s="1425"/>
      <c r="BT269" s="1425"/>
      <c r="BU269" s="1425"/>
      <c r="BV269" s="1425"/>
      <c r="BW269" s="1425"/>
      <c r="BX269" s="1425"/>
      <c r="BY269" s="1425"/>
      <c r="BZ269" s="1339"/>
    </row>
    <row r="270" spans="26:78" s="174" customFormat="1">
      <c r="Z270" s="1339"/>
      <c r="AA270" s="1443"/>
      <c r="AB270" s="1443"/>
      <c r="AC270" s="1443"/>
      <c r="AD270" s="1443"/>
      <c r="AE270" s="1443"/>
      <c r="AF270" s="1443"/>
      <c r="AG270" s="1443"/>
      <c r="AH270" s="1443"/>
      <c r="AI270" s="1444"/>
      <c r="AJ270" s="1443"/>
      <c r="AK270" s="1443"/>
      <c r="AL270" s="1443"/>
      <c r="AM270" s="1443"/>
      <c r="AN270" s="1443"/>
      <c r="AO270" s="1443"/>
      <c r="AP270" s="1443"/>
      <c r="AQ270" s="1443"/>
      <c r="AR270" s="1443"/>
      <c r="AS270" s="1443"/>
      <c r="AT270" s="1443"/>
      <c r="AU270" s="1443"/>
      <c r="AV270" s="1443"/>
      <c r="AW270" s="1443"/>
      <c r="AX270" s="1443"/>
      <c r="AY270" s="1443"/>
      <c r="AZ270" s="1443"/>
      <c r="BA270" s="1443"/>
      <c r="BB270" s="1443"/>
      <c r="BC270" s="1443"/>
      <c r="BD270" s="1443"/>
      <c r="BE270" s="1443"/>
      <c r="BF270" s="1443"/>
      <c r="BG270" s="1443"/>
      <c r="BH270" s="1443"/>
      <c r="BI270" s="1443"/>
      <c r="BJ270" s="1425"/>
      <c r="BK270" s="1425"/>
      <c r="BL270" s="1425"/>
      <c r="BM270" s="1425"/>
      <c r="BN270" s="1425"/>
      <c r="BO270" s="1425"/>
      <c r="BP270" s="1425"/>
      <c r="BQ270" s="1425"/>
      <c r="BR270" s="1425"/>
      <c r="BS270" s="1425"/>
      <c r="BT270" s="1425"/>
      <c r="BU270" s="1425"/>
      <c r="BV270" s="1425"/>
      <c r="BW270" s="1425"/>
      <c r="BX270" s="1425"/>
      <c r="BY270" s="1425"/>
      <c r="BZ270" s="1339"/>
    </row>
    <row r="271" spans="26:78" s="174" customFormat="1">
      <c r="Z271" s="1339"/>
      <c r="AA271" s="1443"/>
      <c r="AB271" s="1443"/>
      <c r="AC271" s="1443"/>
      <c r="AD271" s="1443"/>
      <c r="AE271" s="1443"/>
      <c r="AF271" s="1443"/>
      <c r="AG271" s="1443"/>
      <c r="AH271" s="1443"/>
      <c r="AI271" s="1444"/>
      <c r="AJ271" s="1443"/>
      <c r="AK271" s="1443"/>
      <c r="AL271" s="1443"/>
      <c r="AM271" s="1443"/>
      <c r="AN271" s="1443"/>
      <c r="AO271" s="1443"/>
      <c r="AP271" s="1443"/>
      <c r="AQ271" s="1443"/>
      <c r="AR271" s="1443"/>
      <c r="AS271" s="1443"/>
      <c r="AT271" s="1443"/>
      <c r="AU271" s="1443"/>
      <c r="AV271" s="1443"/>
      <c r="AW271" s="1443"/>
      <c r="AX271" s="1443"/>
      <c r="AY271" s="1443"/>
      <c r="AZ271" s="1443"/>
      <c r="BA271" s="1443"/>
      <c r="BB271" s="1443"/>
      <c r="BC271" s="1443"/>
      <c r="BD271" s="1443"/>
      <c r="BE271" s="1443"/>
      <c r="BF271" s="1443"/>
      <c r="BG271" s="1443"/>
      <c r="BH271" s="1443"/>
      <c r="BI271" s="1443"/>
      <c r="BJ271" s="1425"/>
      <c r="BK271" s="1425"/>
      <c r="BL271" s="1425"/>
      <c r="BM271" s="1425"/>
      <c r="BN271" s="1425"/>
      <c r="BO271" s="1425"/>
      <c r="BP271" s="1425"/>
      <c r="BQ271" s="1425"/>
      <c r="BR271" s="1425"/>
      <c r="BS271" s="1425"/>
      <c r="BT271" s="1425"/>
      <c r="BU271" s="1425"/>
      <c r="BV271" s="1425"/>
      <c r="BW271" s="1425"/>
      <c r="BX271" s="1425"/>
      <c r="BY271" s="1425"/>
      <c r="BZ271" s="1339"/>
    </row>
    <row r="272" spans="26:78" s="174" customFormat="1">
      <c r="Z272" s="1339"/>
      <c r="AA272" s="1443"/>
      <c r="AB272" s="1443"/>
      <c r="AC272" s="1443"/>
      <c r="AD272" s="1443"/>
      <c r="AE272" s="1443"/>
      <c r="AF272" s="1443"/>
      <c r="AG272" s="1443"/>
      <c r="AH272" s="1443"/>
      <c r="AI272" s="1444"/>
      <c r="AJ272" s="1443"/>
      <c r="AK272" s="1443"/>
      <c r="AL272" s="1443"/>
      <c r="AM272" s="1443"/>
      <c r="AN272" s="1443"/>
      <c r="AO272" s="1443"/>
      <c r="AP272" s="1443"/>
      <c r="AQ272" s="1443"/>
      <c r="AR272" s="1443"/>
      <c r="AS272" s="1443"/>
      <c r="AT272" s="1443"/>
      <c r="AU272" s="1443"/>
      <c r="AV272" s="1443"/>
      <c r="AW272" s="1443"/>
      <c r="AX272" s="1443"/>
      <c r="AY272" s="1443"/>
      <c r="AZ272" s="1443"/>
      <c r="BA272" s="1443"/>
      <c r="BB272" s="1443"/>
      <c r="BC272" s="1443"/>
      <c r="BD272" s="1443"/>
      <c r="BE272" s="1443"/>
      <c r="BF272" s="1443"/>
      <c r="BG272" s="1443"/>
      <c r="BH272" s="1443"/>
      <c r="BI272" s="1443"/>
      <c r="BJ272" s="1425"/>
      <c r="BK272" s="1425"/>
      <c r="BL272" s="1425"/>
      <c r="BM272" s="1425"/>
      <c r="BN272" s="1425"/>
      <c r="BO272" s="1425"/>
      <c r="BP272" s="1425"/>
      <c r="BQ272" s="1425"/>
      <c r="BR272" s="1425"/>
      <c r="BS272" s="1425"/>
      <c r="BT272" s="1425"/>
      <c r="BU272" s="1425"/>
      <c r="BV272" s="1425"/>
      <c r="BW272" s="1425"/>
      <c r="BX272" s="1425"/>
      <c r="BY272" s="1425"/>
      <c r="BZ272" s="1339"/>
    </row>
    <row r="273" spans="26:78" s="174" customFormat="1">
      <c r="Z273" s="1339"/>
      <c r="AA273" s="1443"/>
      <c r="AB273" s="1443"/>
      <c r="AC273" s="1443"/>
      <c r="AD273" s="1443"/>
      <c r="AE273" s="1443"/>
      <c r="AF273" s="1443"/>
      <c r="AG273" s="1443"/>
      <c r="AH273" s="1443"/>
      <c r="AI273" s="1444"/>
      <c r="AJ273" s="1443"/>
      <c r="AK273" s="1443"/>
      <c r="AL273" s="1443"/>
      <c r="AM273" s="1443"/>
      <c r="AN273" s="1443"/>
      <c r="AO273" s="1443"/>
      <c r="AP273" s="1443"/>
      <c r="AQ273" s="1443"/>
      <c r="AR273" s="1443"/>
      <c r="AS273" s="1443"/>
      <c r="AT273" s="1443"/>
      <c r="AU273" s="1443"/>
      <c r="AV273" s="1443"/>
      <c r="AW273" s="1443"/>
      <c r="AX273" s="1443"/>
      <c r="AY273" s="1443"/>
      <c r="AZ273" s="1443"/>
      <c r="BA273" s="1443"/>
      <c r="BB273" s="1443"/>
      <c r="BC273" s="1443"/>
      <c r="BD273" s="1443"/>
      <c r="BE273" s="1443"/>
      <c r="BF273" s="1443"/>
      <c r="BG273" s="1443"/>
      <c r="BH273" s="1443"/>
      <c r="BI273" s="1443"/>
      <c r="BJ273" s="1425"/>
      <c r="BK273" s="1425"/>
      <c r="BL273" s="1425"/>
      <c r="BM273" s="1425"/>
      <c r="BN273" s="1425"/>
      <c r="BO273" s="1425"/>
      <c r="BP273" s="1425"/>
      <c r="BQ273" s="1425"/>
      <c r="BR273" s="1425"/>
      <c r="BS273" s="1425"/>
      <c r="BT273" s="1425"/>
      <c r="BU273" s="1425"/>
      <c r="BV273" s="1425"/>
      <c r="BW273" s="1425"/>
      <c r="BX273" s="1425"/>
      <c r="BY273" s="1425"/>
      <c r="BZ273" s="1339"/>
    </row>
    <row r="274" spans="26:78" s="174" customFormat="1">
      <c r="Z274" s="1339"/>
      <c r="AA274" s="1443"/>
      <c r="AB274" s="1443"/>
      <c r="AC274" s="1443"/>
      <c r="AD274" s="1443"/>
      <c r="AE274" s="1443"/>
      <c r="AF274" s="1443"/>
      <c r="AG274" s="1443"/>
      <c r="AH274" s="1443"/>
      <c r="AI274" s="1444"/>
      <c r="AJ274" s="1443"/>
      <c r="AK274" s="1443"/>
      <c r="AL274" s="1443"/>
      <c r="AM274" s="1443"/>
      <c r="AN274" s="1443"/>
      <c r="AO274" s="1443"/>
      <c r="AP274" s="1443"/>
      <c r="AQ274" s="1443"/>
      <c r="AR274" s="1443"/>
      <c r="AS274" s="1443"/>
      <c r="AT274" s="1443"/>
      <c r="AU274" s="1443"/>
      <c r="AV274" s="1443"/>
      <c r="AW274" s="1443"/>
      <c r="AX274" s="1443"/>
      <c r="AY274" s="1443"/>
      <c r="AZ274" s="1443"/>
      <c r="BA274" s="1443"/>
      <c r="BB274" s="1443"/>
      <c r="BC274" s="1443"/>
      <c r="BD274" s="1443"/>
      <c r="BE274" s="1443"/>
      <c r="BF274" s="1443"/>
      <c r="BG274" s="1443"/>
      <c r="BH274" s="1443"/>
      <c r="BI274" s="1443"/>
      <c r="BJ274" s="1425"/>
      <c r="BK274" s="1425"/>
      <c r="BL274" s="1425"/>
      <c r="BM274" s="1425"/>
      <c r="BN274" s="1425"/>
      <c r="BO274" s="1425"/>
      <c r="BP274" s="1425"/>
      <c r="BQ274" s="1425"/>
      <c r="BR274" s="1425"/>
      <c r="BS274" s="1425"/>
      <c r="BT274" s="1425"/>
      <c r="BU274" s="1425"/>
      <c r="BV274" s="1425"/>
      <c r="BW274" s="1425"/>
      <c r="BX274" s="1425"/>
      <c r="BY274" s="1425"/>
      <c r="BZ274" s="1339"/>
    </row>
    <row r="275" spans="26:78" s="174" customFormat="1">
      <c r="Z275" s="1339"/>
      <c r="AA275" s="1443"/>
      <c r="AB275" s="1443"/>
      <c r="AC275" s="1443"/>
      <c r="AD275" s="1443"/>
      <c r="AE275" s="1443"/>
      <c r="AF275" s="1443"/>
      <c r="AG275" s="1443"/>
      <c r="AH275" s="1443"/>
      <c r="AI275" s="1444"/>
      <c r="AJ275" s="1443"/>
      <c r="AK275" s="1443"/>
      <c r="AL275" s="1443"/>
      <c r="AM275" s="1443"/>
      <c r="AN275" s="1443"/>
      <c r="AO275" s="1443"/>
      <c r="AP275" s="1443"/>
      <c r="AQ275" s="1443"/>
      <c r="AR275" s="1443"/>
      <c r="AS275" s="1443"/>
      <c r="AT275" s="1443"/>
      <c r="AU275" s="1443"/>
      <c r="AV275" s="1443"/>
      <c r="AW275" s="1443"/>
      <c r="AX275" s="1443"/>
      <c r="AY275" s="1443"/>
      <c r="AZ275" s="1443"/>
      <c r="BA275" s="1443"/>
      <c r="BB275" s="1443"/>
      <c r="BC275" s="1443"/>
      <c r="BD275" s="1443"/>
      <c r="BE275" s="1443"/>
      <c r="BF275" s="1443"/>
      <c r="BG275" s="1443"/>
      <c r="BH275" s="1443"/>
      <c r="BI275" s="1443"/>
      <c r="BJ275" s="1425"/>
      <c r="BK275" s="1425"/>
      <c r="BL275" s="1425"/>
      <c r="BM275" s="1425"/>
      <c r="BN275" s="1425"/>
      <c r="BO275" s="1425"/>
      <c r="BP275" s="1425"/>
      <c r="BQ275" s="1425"/>
      <c r="BR275" s="1425"/>
      <c r="BS275" s="1425"/>
      <c r="BT275" s="1425"/>
      <c r="BU275" s="1425"/>
      <c r="BV275" s="1425"/>
      <c r="BW275" s="1425"/>
      <c r="BX275" s="1425"/>
      <c r="BY275" s="1425"/>
      <c r="BZ275" s="1339"/>
    </row>
    <row r="276" spans="26:78" s="174" customFormat="1">
      <c r="Z276" s="1339"/>
      <c r="AA276" s="1443"/>
      <c r="AB276" s="1443"/>
      <c r="AC276" s="1443"/>
      <c r="AD276" s="1443"/>
      <c r="AE276" s="1443"/>
      <c r="AF276" s="1443"/>
      <c r="AG276" s="1443"/>
      <c r="AH276" s="1443"/>
      <c r="AI276" s="1444"/>
      <c r="AJ276" s="1443"/>
      <c r="AK276" s="1443"/>
      <c r="AL276" s="1443"/>
      <c r="AM276" s="1443"/>
      <c r="AN276" s="1443"/>
      <c r="AO276" s="1443"/>
      <c r="AP276" s="1443"/>
      <c r="AQ276" s="1443"/>
      <c r="AR276" s="1443"/>
      <c r="AS276" s="1443"/>
      <c r="AT276" s="1443"/>
      <c r="AU276" s="1443"/>
      <c r="AV276" s="1443"/>
      <c r="AW276" s="1443"/>
      <c r="AX276" s="1443"/>
      <c r="AY276" s="1443"/>
      <c r="AZ276" s="1443"/>
      <c r="BA276" s="1443"/>
      <c r="BB276" s="1443"/>
      <c r="BC276" s="1443"/>
      <c r="BD276" s="1443"/>
      <c r="BE276" s="1443"/>
      <c r="BF276" s="1443"/>
      <c r="BG276" s="1443"/>
      <c r="BH276" s="1443"/>
      <c r="BI276" s="1443"/>
      <c r="BJ276" s="1425"/>
      <c r="BK276" s="1425"/>
      <c r="BL276" s="1425"/>
      <c r="BM276" s="1425"/>
      <c r="BN276" s="1425"/>
      <c r="BO276" s="1425"/>
      <c r="BP276" s="1425"/>
      <c r="BQ276" s="1425"/>
      <c r="BR276" s="1425"/>
      <c r="BS276" s="1425"/>
      <c r="BT276" s="1425"/>
      <c r="BU276" s="1425"/>
      <c r="BV276" s="1425"/>
      <c r="BW276" s="1425"/>
      <c r="BX276" s="1425"/>
      <c r="BY276" s="1425"/>
      <c r="BZ276" s="1339"/>
    </row>
    <row r="277" spans="26:78" s="174" customFormat="1">
      <c r="Z277" s="1339"/>
      <c r="AA277" s="1443"/>
      <c r="AB277" s="1443"/>
      <c r="AC277" s="1443"/>
      <c r="AD277" s="1443"/>
      <c r="AE277" s="1443"/>
      <c r="AF277" s="1443"/>
      <c r="AG277" s="1443"/>
      <c r="AH277" s="1443"/>
      <c r="AI277" s="1444"/>
      <c r="AJ277" s="1443"/>
      <c r="AK277" s="1443"/>
      <c r="AL277" s="1443"/>
      <c r="AM277" s="1443"/>
      <c r="AN277" s="1443"/>
      <c r="AO277" s="1443"/>
      <c r="AP277" s="1443"/>
      <c r="AQ277" s="1443"/>
      <c r="AR277" s="1443"/>
      <c r="AS277" s="1443"/>
      <c r="AT277" s="1443"/>
      <c r="AU277" s="1443"/>
      <c r="AV277" s="1443"/>
      <c r="AW277" s="1443"/>
      <c r="AX277" s="1443"/>
      <c r="AY277" s="1443"/>
      <c r="AZ277" s="1443"/>
      <c r="BA277" s="1443"/>
      <c r="BB277" s="1443"/>
      <c r="BC277" s="1443"/>
      <c r="BD277" s="1443"/>
      <c r="BE277" s="1443"/>
      <c r="BF277" s="1443"/>
      <c r="BG277" s="1443"/>
      <c r="BH277" s="1443"/>
      <c r="BI277" s="1443"/>
      <c r="BJ277" s="1425"/>
      <c r="BK277" s="1425"/>
      <c r="BL277" s="1425"/>
      <c r="BM277" s="1425"/>
      <c r="BN277" s="1425"/>
      <c r="BO277" s="1425"/>
      <c r="BP277" s="1425"/>
      <c r="BQ277" s="1425"/>
      <c r="BR277" s="1425"/>
      <c r="BS277" s="1425"/>
      <c r="BT277" s="1425"/>
      <c r="BU277" s="1425"/>
      <c r="BV277" s="1425"/>
      <c r="BW277" s="1425"/>
      <c r="BX277" s="1425"/>
      <c r="BY277" s="1425"/>
      <c r="BZ277" s="1339"/>
    </row>
    <row r="278" spans="26:78" s="174" customFormat="1">
      <c r="Z278" s="1339"/>
      <c r="AA278" s="1443"/>
      <c r="AB278" s="1443"/>
      <c r="AC278" s="1443"/>
      <c r="AD278" s="1443"/>
      <c r="AE278" s="1443"/>
      <c r="AF278" s="1443"/>
      <c r="AG278" s="1443"/>
      <c r="AH278" s="1443"/>
      <c r="AI278" s="1444"/>
      <c r="AJ278" s="1443"/>
      <c r="AK278" s="1443"/>
      <c r="AL278" s="1443"/>
      <c r="AM278" s="1443"/>
      <c r="AN278" s="1443"/>
      <c r="AO278" s="1443"/>
      <c r="AP278" s="1443"/>
      <c r="AQ278" s="1443"/>
      <c r="AR278" s="1443"/>
      <c r="AS278" s="1443"/>
      <c r="AT278" s="1443"/>
      <c r="AU278" s="1443"/>
      <c r="AV278" s="1443"/>
      <c r="AW278" s="1443"/>
      <c r="AX278" s="1443"/>
      <c r="AY278" s="1443"/>
      <c r="AZ278" s="1443"/>
      <c r="BA278" s="1443"/>
      <c r="BB278" s="1443"/>
      <c r="BC278" s="1443"/>
      <c r="BD278" s="1443"/>
      <c r="BE278" s="1443"/>
      <c r="BF278" s="1443"/>
      <c r="BG278" s="1443"/>
      <c r="BH278" s="1443"/>
      <c r="BI278" s="1443"/>
      <c r="BJ278" s="1425"/>
      <c r="BK278" s="1425"/>
      <c r="BL278" s="1425"/>
      <c r="BM278" s="1425"/>
      <c r="BN278" s="1425"/>
      <c r="BO278" s="1425"/>
      <c r="BP278" s="1425"/>
      <c r="BQ278" s="1425"/>
      <c r="BR278" s="1425"/>
      <c r="BS278" s="1425"/>
      <c r="BT278" s="1425"/>
      <c r="BU278" s="1425"/>
      <c r="BV278" s="1425"/>
      <c r="BW278" s="1425"/>
      <c r="BX278" s="1425"/>
      <c r="BY278" s="1425"/>
      <c r="BZ278" s="1339"/>
    </row>
    <row r="279" spans="26:78" s="174" customFormat="1">
      <c r="Z279" s="1339"/>
      <c r="AA279" s="1443"/>
      <c r="AB279" s="1443"/>
      <c r="AC279" s="1443"/>
      <c r="AD279" s="1443"/>
      <c r="AE279" s="1443"/>
      <c r="AF279" s="1443"/>
      <c r="AG279" s="1443"/>
      <c r="AH279" s="1443"/>
      <c r="AI279" s="1444"/>
      <c r="AJ279" s="1443"/>
      <c r="AK279" s="1443"/>
      <c r="AL279" s="1443"/>
      <c r="AM279" s="1443"/>
      <c r="AN279" s="1443"/>
      <c r="AO279" s="1443"/>
      <c r="AP279" s="1443"/>
      <c r="AQ279" s="1443"/>
      <c r="AR279" s="1443"/>
      <c r="AS279" s="1443"/>
      <c r="AT279" s="1443"/>
      <c r="AU279" s="1443"/>
      <c r="AV279" s="1443"/>
      <c r="AW279" s="1443"/>
      <c r="AX279" s="1443"/>
      <c r="AY279" s="1443"/>
      <c r="AZ279" s="1443"/>
      <c r="BA279" s="1443"/>
      <c r="BB279" s="1443"/>
      <c r="BC279" s="1443"/>
      <c r="BD279" s="1443"/>
      <c r="BE279" s="1443"/>
      <c r="BF279" s="1443"/>
      <c r="BG279" s="1443"/>
      <c r="BH279" s="1443"/>
      <c r="BI279" s="1443"/>
      <c r="BJ279" s="1425"/>
      <c r="BK279" s="1425"/>
      <c r="BL279" s="1425"/>
      <c r="BM279" s="1425"/>
      <c r="BN279" s="1425"/>
      <c r="BO279" s="1425"/>
      <c r="BP279" s="1425"/>
      <c r="BQ279" s="1425"/>
      <c r="BR279" s="1425"/>
      <c r="BS279" s="1425"/>
      <c r="BT279" s="1425"/>
      <c r="BU279" s="1425"/>
      <c r="BV279" s="1425"/>
      <c r="BW279" s="1425"/>
      <c r="BX279" s="1425"/>
      <c r="BY279" s="1425"/>
      <c r="BZ279" s="1339"/>
    </row>
    <row r="280" spans="26:78" s="174" customFormat="1">
      <c r="Z280" s="1339"/>
      <c r="AA280" s="1443"/>
      <c r="AB280" s="1443"/>
      <c r="AC280" s="1443"/>
      <c r="AD280" s="1443"/>
      <c r="AE280" s="1443"/>
      <c r="AF280" s="1443"/>
      <c r="AG280" s="1443"/>
      <c r="AH280" s="1443"/>
      <c r="AI280" s="1444"/>
      <c r="AJ280" s="1443"/>
      <c r="AK280" s="1443"/>
      <c r="AL280" s="1443"/>
      <c r="AM280" s="1443"/>
      <c r="AN280" s="1443"/>
      <c r="AO280" s="1443"/>
      <c r="AP280" s="1443"/>
      <c r="AQ280" s="1443"/>
      <c r="AR280" s="1443"/>
      <c r="AS280" s="1443"/>
      <c r="AT280" s="1443"/>
      <c r="AU280" s="1443"/>
      <c r="AV280" s="1443"/>
      <c r="AW280" s="1443"/>
      <c r="AX280" s="1443"/>
      <c r="AY280" s="1443"/>
      <c r="AZ280" s="1443"/>
      <c r="BA280" s="1443"/>
      <c r="BB280" s="1443"/>
      <c r="BC280" s="1443"/>
      <c r="BD280" s="1443"/>
      <c r="BE280" s="1443"/>
      <c r="BF280" s="1443"/>
      <c r="BG280" s="1443"/>
      <c r="BH280" s="1443"/>
      <c r="BI280" s="1443"/>
      <c r="BJ280" s="1425"/>
      <c r="BK280" s="1425"/>
      <c r="BL280" s="1425"/>
      <c r="BM280" s="1425"/>
      <c r="BN280" s="1425"/>
      <c r="BO280" s="1425"/>
      <c r="BP280" s="1425"/>
      <c r="BQ280" s="1425"/>
      <c r="BR280" s="1425"/>
      <c r="BS280" s="1425"/>
      <c r="BT280" s="1425"/>
      <c r="BU280" s="1425"/>
      <c r="BV280" s="1425"/>
      <c r="BW280" s="1425"/>
      <c r="BX280" s="1425"/>
      <c r="BY280" s="1425"/>
      <c r="BZ280" s="1339"/>
    </row>
    <row r="281" spans="26:78" s="174" customFormat="1">
      <c r="Z281" s="1339"/>
      <c r="AA281" s="1443"/>
      <c r="AB281" s="1443"/>
      <c r="AC281" s="1443"/>
      <c r="AD281" s="1443"/>
      <c r="AE281" s="1443"/>
      <c r="AF281" s="1443"/>
      <c r="AG281" s="1443"/>
      <c r="AH281" s="1443"/>
      <c r="AI281" s="1444"/>
      <c r="AJ281" s="1443"/>
      <c r="AK281" s="1443"/>
      <c r="AL281" s="1443"/>
      <c r="AM281" s="1443"/>
      <c r="AN281" s="1443"/>
      <c r="AO281" s="1443"/>
      <c r="AP281" s="1443"/>
      <c r="AQ281" s="1443"/>
      <c r="AR281" s="1443"/>
      <c r="AS281" s="1443"/>
      <c r="AT281" s="1443"/>
      <c r="AU281" s="1443"/>
      <c r="AV281" s="1443"/>
      <c r="AW281" s="1443"/>
      <c r="AX281" s="1443"/>
      <c r="AY281" s="1443"/>
      <c r="AZ281" s="1443"/>
      <c r="BA281" s="1443"/>
      <c r="BB281" s="1443"/>
      <c r="BC281" s="1443"/>
      <c r="BD281" s="1443"/>
      <c r="BE281" s="1443"/>
      <c r="BF281" s="1443"/>
      <c r="BG281" s="1443"/>
      <c r="BH281" s="1443"/>
      <c r="BI281" s="1443"/>
      <c r="BJ281" s="1425"/>
      <c r="BK281" s="1425"/>
      <c r="BL281" s="1425"/>
      <c r="BM281" s="1425"/>
      <c r="BN281" s="1425"/>
      <c r="BO281" s="1425"/>
      <c r="BP281" s="1425"/>
      <c r="BQ281" s="1425"/>
      <c r="BR281" s="1425"/>
      <c r="BS281" s="1425"/>
      <c r="BT281" s="1425"/>
      <c r="BU281" s="1425"/>
      <c r="BV281" s="1425"/>
      <c r="BW281" s="1425"/>
      <c r="BX281" s="1425"/>
      <c r="BY281" s="1425"/>
      <c r="BZ281" s="1339"/>
    </row>
    <row r="282" spans="26:78" s="174" customFormat="1">
      <c r="Z282" s="1339"/>
      <c r="AA282" s="1443"/>
      <c r="AB282" s="1443"/>
      <c r="AC282" s="1443"/>
      <c r="AD282" s="1443"/>
      <c r="AE282" s="1443"/>
      <c r="AF282" s="1443"/>
      <c r="AG282" s="1443"/>
      <c r="AH282" s="1443"/>
      <c r="AI282" s="1444"/>
      <c r="AJ282" s="1443"/>
      <c r="AK282" s="1443"/>
      <c r="AL282" s="1443"/>
      <c r="AM282" s="1443"/>
      <c r="AN282" s="1443"/>
      <c r="AO282" s="1443"/>
      <c r="AP282" s="1443"/>
      <c r="AQ282" s="1443"/>
      <c r="AR282" s="1443"/>
      <c r="AS282" s="1443"/>
      <c r="AT282" s="1443"/>
      <c r="AU282" s="1443"/>
      <c r="AV282" s="1443"/>
      <c r="AW282" s="1443"/>
      <c r="AX282" s="1443"/>
      <c r="AY282" s="1443"/>
      <c r="AZ282" s="1443"/>
      <c r="BA282" s="1443"/>
      <c r="BB282" s="1443"/>
      <c r="BC282" s="1443"/>
      <c r="BD282" s="1443"/>
      <c r="BE282" s="1443"/>
      <c r="BF282" s="1443"/>
      <c r="BG282" s="1443"/>
      <c r="BH282" s="1443"/>
      <c r="BI282" s="1443"/>
      <c r="BJ282" s="1425"/>
      <c r="BK282" s="1425"/>
      <c r="BL282" s="1425"/>
      <c r="BM282" s="1425"/>
      <c r="BN282" s="1425"/>
      <c r="BO282" s="1425"/>
      <c r="BP282" s="1425"/>
      <c r="BQ282" s="1425"/>
      <c r="BR282" s="1425"/>
      <c r="BS282" s="1425"/>
      <c r="BT282" s="1425"/>
      <c r="BU282" s="1425"/>
      <c r="BV282" s="1425"/>
      <c r="BW282" s="1425"/>
      <c r="BX282" s="1425"/>
      <c r="BY282" s="1425"/>
      <c r="BZ282" s="1339"/>
    </row>
    <row r="283" spans="26:78" s="174" customFormat="1">
      <c r="Z283" s="1339"/>
      <c r="AA283" s="1443"/>
      <c r="AB283" s="1443"/>
      <c r="AC283" s="1443"/>
      <c r="AD283" s="1443"/>
      <c r="AE283" s="1443"/>
      <c r="AF283" s="1443"/>
      <c r="AG283" s="1443"/>
      <c r="AH283" s="1443"/>
      <c r="AI283" s="1444"/>
      <c r="AJ283" s="1443"/>
      <c r="AK283" s="1443"/>
      <c r="AL283" s="1443"/>
      <c r="AM283" s="1443"/>
      <c r="AN283" s="1443"/>
      <c r="AO283" s="1443"/>
      <c r="AP283" s="1443"/>
      <c r="AQ283" s="1443"/>
      <c r="AR283" s="1443"/>
      <c r="AS283" s="1443"/>
      <c r="AT283" s="1443"/>
      <c r="AU283" s="1443"/>
      <c r="AV283" s="1443"/>
      <c r="AW283" s="1443"/>
      <c r="AX283" s="1443"/>
      <c r="AY283" s="1443"/>
      <c r="AZ283" s="1443"/>
      <c r="BA283" s="1443"/>
      <c r="BB283" s="1443"/>
      <c r="BC283" s="1443"/>
      <c r="BD283" s="1443"/>
      <c r="BE283" s="1443"/>
      <c r="BF283" s="1443"/>
      <c r="BG283" s="1443"/>
      <c r="BH283" s="1443"/>
      <c r="BI283" s="1443"/>
      <c r="BJ283" s="1425"/>
      <c r="BK283" s="1425"/>
      <c r="BL283" s="1425"/>
      <c r="BM283" s="1425"/>
      <c r="BN283" s="1425"/>
      <c r="BO283" s="1425"/>
      <c r="BP283" s="1425"/>
      <c r="BQ283" s="1425"/>
      <c r="BR283" s="1425"/>
      <c r="BS283" s="1425"/>
      <c r="BT283" s="1425"/>
      <c r="BU283" s="1425"/>
      <c r="BV283" s="1425"/>
      <c r="BW283" s="1425"/>
      <c r="BX283" s="1425"/>
      <c r="BY283" s="1425"/>
      <c r="BZ283" s="1339"/>
    </row>
    <row r="284" spans="26:78" s="174" customFormat="1">
      <c r="Z284" s="1339"/>
      <c r="AA284" s="1443"/>
      <c r="AB284" s="1443"/>
      <c r="AC284" s="1443"/>
      <c r="AD284" s="1443"/>
      <c r="AE284" s="1443"/>
      <c r="AF284" s="1443"/>
      <c r="AG284" s="1443"/>
      <c r="AH284" s="1443"/>
      <c r="AI284" s="1444"/>
      <c r="AJ284" s="1443"/>
      <c r="AK284" s="1443"/>
      <c r="AL284" s="1443"/>
      <c r="AM284" s="1443"/>
      <c r="AN284" s="1443"/>
      <c r="AO284" s="1443"/>
      <c r="AP284" s="1443"/>
      <c r="AQ284" s="1443"/>
      <c r="AR284" s="1443"/>
      <c r="AS284" s="1443"/>
      <c r="AT284" s="1443"/>
      <c r="AU284" s="1443"/>
      <c r="AV284" s="1443"/>
      <c r="AW284" s="1443"/>
      <c r="AX284" s="1443"/>
      <c r="AY284" s="1443"/>
      <c r="AZ284" s="1443"/>
      <c r="BA284" s="1443"/>
      <c r="BB284" s="1443"/>
      <c r="BC284" s="1443"/>
      <c r="BD284" s="1443"/>
      <c r="BE284" s="1443"/>
      <c r="BF284" s="1443"/>
      <c r="BG284" s="1443"/>
      <c r="BH284" s="1443"/>
      <c r="BI284" s="1443"/>
      <c r="BJ284" s="1425"/>
      <c r="BK284" s="1425"/>
      <c r="BL284" s="1425"/>
      <c r="BM284" s="1425"/>
      <c r="BN284" s="1425"/>
      <c r="BO284" s="1425"/>
      <c r="BP284" s="1425"/>
      <c r="BQ284" s="1425"/>
      <c r="BR284" s="1425"/>
      <c r="BS284" s="1425"/>
      <c r="BT284" s="1425"/>
      <c r="BU284" s="1425"/>
      <c r="BV284" s="1425"/>
      <c r="BW284" s="1425"/>
      <c r="BX284" s="1425"/>
      <c r="BY284" s="1425"/>
      <c r="BZ284" s="1339"/>
    </row>
    <row r="285" spans="26:78" s="174" customFormat="1">
      <c r="Z285" s="1339"/>
      <c r="AA285" s="1443"/>
      <c r="AB285" s="1443"/>
      <c r="AC285" s="1443"/>
      <c r="AD285" s="1443"/>
      <c r="AE285" s="1443"/>
      <c r="AF285" s="1443"/>
      <c r="AG285" s="1443"/>
      <c r="AH285" s="1443"/>
      <c r="AI285" s="1444"/>
      <c r="AJ285" s="1443"/>
      <c r="AK285" s="1443"/>
      <c r="AL285" s="1443"/>
      <c r="AM285" s="1443"/>
      <c r="AN285" s="1443"/>
      <c r="AO285" s="1443"/>
      <c r="AP285" s="1443"/>
      <c r="AQ285" s="1443"/>
      <c r="AR285" s="1443"/>
      <c r="AS285" s="1443"/>
      <c r="AT285" s="1443"/>
      <c r="AU285" s="1443"/>
      <c r="AV285" s="1443"/>
      <c r="AW285" s="1443"/>
      <c r="AX285" s="1443"/>
      <c r="AY285" s="1443"/>
      <c r="AZ285" s="1443"/>
      <c r="BA285" s="1443"/>
      <c r="BB285" s="1443"/>
      <c r="BC285" s="1443"/>
      <c r="BD285" s="1443"/>
      <c r="BE285" s="1443"/>
      <c r="BF285" s="1443"/>
      <c r="BG285" s="1443"/>
      <c r="BH285" s="1443"/>
      <c r="BI285" s="1443"/>
      <c r="BJ285" s="1425"/>
      <c r="BK285" s="1425"/>
      <c r="BL285" s="1425"/>
      <c r="BM285" s="1425"/>
      <c r="BN285" s="1425"/>
      <c r="BO285" s="1425"/>
      <c r="BP285" s="1425"/>
      <c r="BQ285" s="1425"/>
      <c r="BR285" s="1425"/>
      <c r="BS285" s="1425"/>
      <c r="BT285" s="1425"/>
      <c r="BU285" s="1425"/>
      <c r="BV285" s="1425"/>
      <c r="BW285" s="1425"/>
      <c r="BX285" s="1425"/>
      <c r="BY285" s="1425"/>
      <c r="BZ285" s="1339"/>
    </row>
    <row r="286" spans="26:78" s="174" customFormat="1">
      <c r="Z286" s="1339"/>
      <c r="AA286" s="1443"/>
      <c r="AB286" s="1443"/>
      <c r="AC286" s="1443"/>
      <c r="AD286" s="1443"/>
      <c r="AE286" s="1443"/>
      <c r="AF286" s="1443"/>
      <c r="AG286" s="1443"/>
      <c r="AH286" s="1443"/>
      <c r="AI286" s="1444"/>
      <c r="AJ286" s="1443"/>
      <c r="AK286" s="1443"/>
      <c r="AL286" s="1443"/>
      <c r="AM286" s="1443"/>
      <c r="AN286" s="1443"/>
      <c r="AO286" s="1443"/>
      <c r="AP286" s="1443"/>
      <c r="AQ286" s="1443"/>
      <c r="AR286" s="1443"/>
      <c r="AS286" s="1443"/>
      <c r="AT286" s="1443"/>
      <c r="AU286" s="1443"/>
      <c r="AV286" s="1443"/>
      <c r="AW286" s="1443"/>
      <c r="AX286" s="1443"/>
      <c r="AY286" s="1443"/>
      <c r="AZ286" s="1443"/>
      <c r="BA286" s="1443"/>
      <c r="BB286" s="1443"/>
      <c r="BC286" s="1443"/>
      <c r="BD286" s="1443"/>
      <c r="BE286" s="1443"/>
      <c r="BF286" s="1443"/>
      <c r="BG286" s="1443"/>
      <c r="BH286" s="1443"/>
      <c r="BI286" s="1443"/>
      <c r="BJ286" s="1425"/>
      <c r="BK286" s="1425"/>
      <c r="BL286" s="1425"/>
      <c r="BM286" s="1425"/>
      <c r="BN286" s="1425"/>
      <c r="BO286" s="1425"/>
      <c r="BP286" s="1425"/>
      <c r="BQ286" s="1425"/>
      <c r="BR286" s="1425"/>
      <c r="BS286" s="1425"/>
      <c r="BT286" s="1425"/>
      <c r="BU286" s="1425"/>
      <c r="BV286" s="1425"/>
      <c r="BW286" s="1425"/>
      <c r="BX286" s="1425"/>
      <c r="BY286" s="1425"/>
      <c r="BZ286" s="1339"/>
    </row>
    <row r="287" spans="26:78" s="174" customFormat="1">
      <c r="Z287" s="1339"/>
      <c r="AA287" s="1443"/>
      <c r="AB287" s="1443"/>
      <c r="AC287" s="1443"/>
      <c r="AD287" s="1443"/>
      <c r="AE287" s="1443"/>
      <c r="AF287" s="1443"/>
      <c r="AG287" s="1443"/>
      <c r="AH287" s="1443"/>
      <c r="AI287" s="1444"/>
      <c r="AJ287" s="1443"/>
      <c r="AK287" s="1443"/>
      <c r="AL287" s="1443"/>
      <c r="AM287" s="1443"/>
      <c r="AN287" s="1443"/>
      <c r="AO287" s="1443"/>
      <c r="AP287" s="1443"/>
      <c r="AQ287" s="1443"/>
      <c r="AR287" s="1443"/>
      <c r="AS287" s="1443"/>
      <c r="AT287" s="1443"/>
      <c r="AU287" s="1443"/>
      <c r="AV287" s="1443"/>
      <c r="AW287" s="1443"/>
      <c r="AX287" s="1443"/>
      <c r="AY287" s="1443"/>
      <c r="AZ287" s="1443"/>
      <c r="BA287" s="1443"/>
      <c r="BB287" s="1443"/>
      <c r="BC287" s="1443"/>
      <c r="BD287" s="1443"/>
      <c r="BE287" s="1443"/>
      <c r="BF287" s="1443"/>
      <c r="BG287" s="1443"/>
      <c r="BH287" s="1443"/>
      <c r="BI287" s="1443"/>
      <c r="BJ287" s="1425"/>
      <c r="BK287" s="1425"/>
      <c r="BL287" s="1425"/>
      <c r="BM287" s="1425"/>
      <c r="BN287" s="1425"/>
      <c r="BO287" s="1425"/>
      <c r="BP287" s="1425"/>
      <c r="BQ287" s="1425"/>
      <c r="BR287" s="1425"/>
      <c r="BS287" s="1425"/>
      <c r="BT287" s="1425"/>
      <c r="BU287" s="1425"/>
      <c r="BV287" s="1425"/>
      <c r="BW287" s="1425"/>
      <c r="BX287" s="1425"/>
      <c r="BY287" s="1425"/>
      <c r="BZ287" s="1339"/>
    </row>
    <row r="288" spans="26:78" s="174" customFormat="1">
      <c r="Z288" s="1339"/>
      <c r="AA288" s="1443"/>
      <c r="AB288" s="1443"/>
      <c r="AC288" s="1443"/>
      <c r="AD288" s="1443"/>
      <c r="AE288" s="1443"/>
      <c r="AF288" s="1443"/>
      <c r="AG288" s="1443"/>
      <c r="AH288" s="1443"/>
      <c r="AI288" s="1444"/>
      <c r="AJ288" s="1443"/>
      <c r="AK288" s="1443"/>
      <c r="AL288" s="1443"/>
      <c r="AM288" s="1443"/>
      <c r="AN288" s="1443"/>
      <c r="AO288" s="1443"/>
      <c r="AP288" s="1443"/>
      <c r="AQ288" s="1443"/>
      <c r="AR288" s="1443"/>
      <c r="AS288" s="1443"/>
      <c r="AT288" s="1443"/>
      <c r="AU288" s="1443"/>
      <c r="AV288" s="1443"/>
      <c r="AW288" s="1443"/>
      <c r="AX288" s="1443"/>
      <c r="AY288" s="1443"/>
      <c r="AZ288" s="1443"/>
      <c r="BA288" s="1443"/>
      <c r="BB288" s="1443"/>
      <c r="BC288" s="1443"/>
      <c r="BD288" s="1443"/>
      <c r="BE288" s="1443"/>
      <c r="BF288" s="1443"/>
      <c r="BG288" s="1443"/>
      <c r="BH288" s="1443"/>
      <c r="BI288" s="1443"/>
      <c r="BJ288" s="1425"/>
      <c r="BK288" s="1425"/>
      <c r="BL288" s="1425"/>
      <c r="BM288" s="1425"/>
      <c r="BN288" s="1425"/>
      <c r="BO288" s="1425"/>
      <c r="BP288" s="1425"/>
      <c r="BQ288" s="1425"/>
      <c r="BR288" s="1425"/>
      <c r="BS288" s="1425"/>
      <c r="BT288" s="1425"/>
      <c r="BU288" s="1425"/>
      <c r="BV288" s="1425"/>
      <c r="BW288" s="1425"/>
      <c r="BX288" s="1425"/>
      <c r="BY288" s="1425"/>
      <c r="BZ288" s="1339"/>
    </row>
    <row r="289" spans="26:78" s="174" customFormat="1">
      <c r="Z289" s="1339"/>
      <c r="AA289" s="1443"/>
      <c r="AB289" s="1443"/>
      <c r="AC289" s="1443"/>
      <c r="AD289" s="1443"/>
      <c r="AE289" s="1443"/>
      <c r="AF289" s="1443"/>
      <c r="AG289" s="1443"/>
      <c r="AH289" s="1443"/>
      <c r="AI289" s="1444"/>
      <c r="AJ289" s="1443"/>
      <c r="AK289" s="1443"/>
      <c r="AL289" s="1443"/>
      <c r="AM289" s="1443"/>
      <c r="AN289" s="1443"/>
      <c r="AO289" s="1443"/>
      <c r="AP289" s="1443"/>
      <c r="AQ289" s="1443"/>
      <c r="AR289" s="1443"/>
      <c r="AS289" s="1443"/>
      <c r="AT289" s="1443"/>
      <c r="AU289" s="1443"/>
      <c r="AV289" s="1443"/>
      <c r="AW289" s="1443"/>
      <c r="AX289" s="1443"/>
      <c r="AY289" s="1443"/>
      <c r="AZ289" s="1443"/>
      <c r="BA289" s="1443"/>
      <c r="BB289" s="1443"/>
      <c r="BC289" s="1443"/>
      <c r="BD289" s="1443"/>
      <c r="BE289" s="1443"/>
      <c r="BF289" s="1443"/>
      <c r="BG289" s="1443"/>
      <c r="BH289" s="1443"/>
      <c r="BI289" s="1443"/>
      <c r="BJ289" s="1425"/>
      <c r="BK289" s="1425"/>
      <c r="BL289" s="1425"/>
      <c r="BM289" s="1425"/>
      <c r="BN289" s="1425"/>
      <c r="BO289" s="1425"/>
      <c r="BP289" s="1425"/>
      <c r="BQ289" s="1425"/>
      <c r="BR289" s="1425"/>
      <c r="BS289" s="1425"/>
      <c r="BT289" s="1425"/>
      <c r="BU289" s="1425"/>
      <c r="BV289" s="1425"/>
      <c r="BW289" s="1425"/>
      <c r="BX289" s="1425"/>
      <c r="BY289" s="1425"/>
      <c r="BZ289" s="1339"/>
    </row>
    <row r="290" spans="26:78" s="174" customFormat="1">
      <c r="Z290" s="1339"/>
      <c r="AA290" s="1443"/>
      <c r="AB290" s="1443"/>
      <c r="AC290" s="1443"/>
      <c r="AD290" s="1443"/>
      <c r="AE290" s="1443"/>
      <c r="AF290" s="1443"/>
      <c r="AG290" s="1443"/>
      <c r="AH290" s="1443"/>
      <c r="AI290" s="1444"/>
      <c r="AJ290" s="1443"/>
      <c r="AK290" s="1443"/>
      <c r="AL290" s="1443"/>
      <c r="AM290" s="1443"/>
      <c r="AN290" s="1443"/>
      <c r="AO290" s="1443"/>
      <c r="AP290" s="1443"/>
      <c r="AQ290" s="1443"/>
      <c r="AR290" s="1443"/>
      <c r="AS290" s="1443"/>
      <c r="AT290" s="1443"/>
      <c r="AU290" s="1443"/>
      <c r="AV290" s="1443"/>
      <c r="AW290" s="1443"/>
      <c r="AX290" s="1443"/>
      <c r="AY290" s="1443"/>
      <c r="AZ290" s="1443"/>
      <c r="BA290" s="1443"/>
      <c r="BB290" s="1443"/>
      <c r="BC290" s="1443"/>
      <c r="BD290" s="1443"/>
      <c r="BE290" s="1443"/>
      <c r="BF290" s="1443"/>
      <c r="BG290" s="1443"/>
      <c r="BH290" s="1443"/>
      <c r="BI290" s="1443"/>
      <c r="BJ290" s="1425"/>
      <c r="BK290" s="1425"/>
      <c r="BL290" s="1425"/>
      <c r="BM290" s="1425"/>
      <c r="BN290" s="1425"/>
      <c r="BO290" s="1425"/>
      <c r="BP290" s="1425"/>
      <c r="BQ290" s="1425"/>
      <c r="BR290" s="1425"/>
      <c r="BS290" s="1425"/>
      <c r="BT290" s="1425"/>
      <c r="BU290" s="1425"/>
      <c r="BV290" s="1425"/>
      <c r="BW290" s="1425"/>
      <c r="BX290" s="1425"/>
      <c r="BY290" s="1425"/>
      <c r="BZ290" s="1339"/>
    </row>
    <row r="291" spans="26:78" s="174" customFormat="1">
      <c r="Z291" s="1339"/>
      <c r="AA291" s="1443"/>
      <c r="AB291" s="1443"/>
      <c r="AC291" s="1443"/>
      <c r="AD291" s="1443"/>
      <c r="AE291" s="1443"/>
      <c r="AF291" s="1443"/>
      <c r="AG291" s="1443"/>
      <c r="AH291" s="1443"/>
      <c r="AI291" s="1444"/>
      <c r="AJ291" s="1443"/>
      <c r="AK291" s="1443"/>
      <c r="AL291" s="1443"/>
      <c r="AM291" s="1443"/>
      <c r="AN291" s="1443"/>
      <c r="AO291" s="1443"/>
      <c r="AP291" s="1443"/>
      <c r="AQ291" s="1443"/>
      <c r="AR291" s="1443"/>
      <c r="AS291" s="1443"/>
      <c r="AT291" s="1443"/>
      <c r="AU291" s="1443"/>
      <c r="AV291" s="1443"/>
      <c r="AW291" s="1443"/>
      <c r="AX291" s="1443"/>
      <c r="AY291" s="1443"/>
      <c r="AZ291" s="1443"/>
      <c r="BA291" s="1443"/>
      <c r="BB291" s="1443"/>
      <c r="BC291" s="1443"/>
      <c r="BD291" s="1443"/>
      <c r="BE291" s="1443"/>
      <c r="BF291" s="1443"/>
      <c r="BG291" s="1443"/>
      <c r="BH291" s="1443"/>
      <c r="BI291" s="1443"/>
      <c r="BJ291" s="1425"/>
      <c r="BK291" s="1425"/>
      <c r="BL291" s="1425"/>
      <c r="BM291" s="1425"/>
      <c r="BN291" s="1425"/>
      <c r="BO291" s="1425"/>
      <c r="BP291" s="1425"/>
      <c r="BQ291" s="1425"/>
      <c r="BR291" s="1425"/>
      <c r="BS291" s="1425"/>
      <c r="BT291" s="1425"/>
      <c r="BU291" s="1425"/>
      <c r="BV291" s="1425"/>
      <c r="BW291" s="1425"/>
      <c r="BX291" s="1425"/>
      <c r="BY291" s="1425"/>
      <c r="BZ291" s="1339"/>
    </row>
    <row r="292" spans="26:78" s="174" customFormat="1">
      <c r="Z292" s="1339"/>
      <c r="AA292" s="1443"/>
      <c r="AB292" s="1443"/>
      <c r="AC292" s="1443"/>
      <c r="AD292" s="1443"/>
      <c r="AE292" s="1443"/>
      <c r="AF292" s="1443"/>
      <c r="AG292" s="1443"/>
      <c r="AH292" s="1443"/>
      <c r="AI292" s="1444"/>
      <c r="AJ292" s="1443"/>
      <c r="AK292" s="1443"/>
      <c r="AL292" s="1443"/>
      <c r="AM292" s="1443"/>
      <c r="AN292" s="1443"/>
      <c r="AO292" s="1443"/>
      <c r="AP292" s="1443"/>
      <c r="AQ292" s="1443"/>
      <c r="AR292" s="1443"/>
      <c r="AS292" s="1443"/>
      <c r="AT292" s="1443"/>
      <c r="AU292" s="1443"/>
      <c r="AV292" s="1443"/>
      <c r="AW292" s="1443"/>
      <c r="AX292" s="1443"/>
      <c r="AY292" s="1443"/>
      <c r="AZ292" s="1443"/>
      <c r="BA292" s="1443"/>
      <c r="BB292" s="1443"/>
      <c r="BC292" s="1443"/>
      <c r="BD292" s="1443"/>
      <c r="BE292" s="1443"/>
      <c r="BF292" s="1443"/>
      <c r="BG292" s="1443"/>
      <c r="BH292" s="1443"/>
      <c r="BI292" s="1443"/>
      <c r="BJ292" s="1425"/>
      <c r="BK292" s="1425"/>
      <c r="BL292" s="1425"/>
      <c r="BM292" s="1425"/>
      <c r="BN292" s="1425"/>
      <c r="BO292" s="1425"/>
      <c r="BP292" s="1425"/>
      <c r="BQ292" s="1425"/>
      <c r="BR292" s="1425"/>
      <c r="BS292" s="1425"/>
      <c r="BT292" s="1425"/>
      <c r="BU292" s="1425"/>
      <c r="BV292" s="1425"/>
      <c r="BW292" s="1425"/>
      <c r="BX292" s="1425"/>
      <c r="BY292" s="1425"/>
      <c r="BZ292" s="1339"/>
    </row>
    <row r="293" spans="26:78" s="174" customFormat="1">
      <c r="Z293" s="1339"/>
      <c r="AA293" s="1443"/>
      <c r="AB293" s="1443"/>
      <c r="AC293" s="1443"/>
      <c r="AD293" s="1443"/>
      <c r="AE293" s="1443"/>
      <c r="AF293" s="1443"/>
      <c r="AG293" s="1443"/>
      <c r="AH293" s="1443"/>
      <c r="AI293" s="1444"/>
      <c r="AJ293" s="1443"/>
      <c r="AK293" s="1443"/>
      <c r="AL293" s="1443"/>
      <c r="AM293" s="1443"/>
      <c r="AN293" s="1443"/>
      <c r="AO293" s="1443"/>
      <c r="AP293" s="1443"/>
      <c r="AQ293" s="1443"/>
      <c r="AR293" s="1443"/>
      <c r="AS293" s="1443"/>
      <c r="AT293" s="1443"/>
      <c r="AU293" s="1443"/>
      <c r="AV293" s="1443"/>
      <c r="AW293" s="1443"/>
      <c r="AX293" s="1443"/>
      <c r="AY293" s="1443"/>
      <c r="AZ293" s="1443"/>
      <c r="BA293" s="1443"/>
      <c r="BB293" s="1443"/>
      <c r="BC293" s="1443"/>
      <c r="BD293" s="1443"/>
      <c r="BE293" s="1443"/>
      <c r="BF293" s="1443"/>
      <c r="BG293" s="1443"/>
      <c r="BH293" s="1443"/>
      <c r="BI293" s="1443"/>
      <c r="BJ293" s="1425"/>
      <c r="BK293" s="1425"/>
      <c r="BL293" s="1425"/>
      <c r="BM293" s="1425"/>
      <c r="BN293" s="1425"/>
      <c r="BO293" s="1425"/>
      <c r="BP293" s="1425"/>
      <c r="BQ293" s="1425"/>
      <c r="BR293" s="1425"/>
      <c r="BS293" s="1425"/>
      <c r="BT293" s="1425"/>
      <c r="BU293" s="1425"/>
      <c r="BV293" s="1425"/>
      <c r="BW293" s="1425"/>
      <c r="BX293" s="1425"/>
      <c r="BY293" s="1425"/>
      <c r="BZ293" s="1339"/>
    </row>
    <row r="294" spans="26:78" s="174" customFormat="1">
      <c r="Z294" s="1339"/>
      <c r="AA294" s="1443"/>
      <c r="AB294" s="1443"/>
      <c r="AC294" s="1443"/>
      <c r="AD294" s="1443"/>
      <c r="AE294" s="1443"/>
      <c r="AF294" s="1443"/>
      <c r="AG294" s="1443"/>
      <c r="AH294" s="1443"/>
      <c r="AI294" s="1444"/>
      <c r="AJ294" s="1443"/>
      <c r="AK294" s="1443"/>
      <c r="AL294" s="1443"/>
      <c r="AM294" s="1443"/>
      <c r="AN294" s="1443"/>
      <c r="AO294" s="1443"/>
      <c r="AP294" s="1443"/>
      <c r="AQ294" s="1443"/>
      <c r="AR294" s="1443"/>
      <c r="AS294" s="1443"/>
      <c r="AT294" s="1443"/>
      <c r="AU294" s="1443"/>
      <c r="AV294" s="1443"/>
      <c r="AW294" s="1443"/>
      <c r="AX294" s="1443"/>
      <c r="AY294" s="1443"/>
      <c r="AZ294" s="1443"/>
      <c r="BA294" s="1443"/>
      <c r="BB294" s="1443"/>
      <c r="BC294" s="1443"/>
      <c r="BD294" s="1443"/>
      <c r="BE294" s="1443"/>
      <c r="BF294" s="1443"/>
      <c r="BG294" s="1443"/>
      <c r="BH294" s="1443"/>
      <c r="BI294" s="1443"/>
      <c r="BJ294" s="1425"/>
      <c r="BK294" s="1425"/>
      <c r="BL294" s="1425"/>
      <c r="BM294" s="1425"/>
      <c r="BN294" s="1425"/>
      <c r="BO294" s="1425"/>
      <c r="BP294" s="1425"/>
      <c r="BQ294" s="1425"/>
      <c r="BR294" s="1425"/>
      <c r="BS294" s="1425"/>
      <c r="BT294" s="1425"/>
      <c r="BU294" s="1425"/>
      <c r="BV294" s="1425"/>
      <c r="BW294" s="1425"/>
      <c r="BX294" s="1425"/>
      <c r="BY294" s="1425"/>
      <c r="BZ294" s="1339"/>
    </row>
    <row r="295" spans="26:78" s="174" customFormat="1">
      <c r="Z295" s="1339"/>
      <c r="AA295" s="1443"/>
      <c r="AB295" s="1443"/>
      <c r="AC295" s="1443"/>
      <c r="AD295" s="1443"/>
      <c r="AE295" s="1443"/>
      <c r="AF295" s="1443"/>
      <c r="AG295" s="1443"/>
      <c r="AH295" s="1443"/>
      <c r="AI295" s="1444"/>
      <c r="AJ295" s="1443"/>
      <c r="AK295" s="1443"/>
      <c r="AL295" s="1443"/>
      <c r="AM295" s="1443"/>
      <c r="AN295" s="1443"/>
      <c r="AO295" s="1443"/>
      <c r="AP295" s="1443"/>
      <c r="AQ295" s="1443"/>
      <c r="AR295" s="1443"/>
      <c r="AS295" s="1443"/>
      <c r="AT295" s="1443"/>
      <c r="AU295" s="1443"/>
      <c r="AV295" s="1443"/>
      <c r="AW295" s="1443"/>
      <c r="AX295" s="1443"/>
      <c r="AY295" s="1443"/>
      <c r="AZ295" s="1443"/>
      <c r="BA295" s="1443"/>
      <c r="BB295" s="1443"/>
      <c r="BC295" s="1443"/>
      <c r="BD295" s="1443"/>
      <c r="BE295" s="1443"/>
      <c r="BF295" s="1443"/>
      <c r="BG295" s="1443"/>
      <c r="BH295" s="1443"/>
      <c r="BI295" s="1443"/>
      <c r="BJ295" s="1425"/>
      <c r="BK295" s="1425"/>
      <c r="BL295" s="1425"/>
      <c r="BM295" s="1425"/>
      <c r="BN295" s="1425"/>
      <c r="BO295" s="1425"/>
      <c r="BP295" s="1425"/>
      <c r="BQ295" s="1425"/>
      <c r="BR295" s="1425"/>
      <c r="BS295" s="1425"/>
      <c r="BT295" s="1425"/>
      <c r="BU295" s="1425"/>
      <c r="BV295" s="1425"/>
      <c r="BW295" s="1425"/>
      <c r="BX295" s="1425"/>
      <c r="BY295" s="1425"/>
      <c r="BZ295" s="1339"/>
    </row>
    <row r="296" spans="26:78" s="174" customFormat="1">
      <c r="Z296" s="1339"/>
      <c r="AA296" s="1443"/>
      <c r="AB296" s="1443"/>
      <c r="AC296" s="1443"/>
      <c r="AD296" s="1443"/>
      <c r="AE296" s="1443"/>
      <c r="AF296" s="1443"/>
      <c r="AG296" s="1443"/>
      <c r="AH296" s="1443"/>
      <c r="AI296" s="1444"/>
      <c r="AJ296" s="1443"/>
      <c r="AK296" s="1443"/>
      <c r="AL296" s="1443"/>
      <c r="AM296" s="1443"/>
      <c r="AN296" s="1443"/>
      <c r="AO296" s="1443"/>
      <c r="AP296" s="1443"/>
      <c r="AQ296" s="1443"/>
      <c r="AR296" s="1443"/>
      <c r="AS296" s="1443"/>
      <c r="AT296" s="1443"/>
      <c r="AU296" s="1443"/>
      <c r="AV296" s="1443"/>
      <c r="AW296" s="1443"/>
      <c r="AX296" s="1443"/>
      <c r="AY296" s="1443"/>
      <c r="AZ296" s="1443"/>
      <c r="BA296" s="1443"/>
      <c r="BB296" s="1443"/>
      <c r="BC296" s="1443"/>
      <c r="BD296" s="1443"/>
      <c r="BE296" s="1443"/>
      <c r="BF296" s="1443"/>
      <c r="BG296" s="1443"/>
      <c r="BH296" s="1443"/>
      <c r="BI296" s="1443"/>
      <c r="BJ296" s="1425"/>
      <c r="BK296" s="1425"/>
      <c r="BL296" s="1425"/>
      <c r="BM296" s="1425"/>
      <c r="BN296" s="1425"/>
      <c r="BO296" s="1425"/>
      <c r="BP296" s="1425"/>
      <c r="BQ296" s="1425"/>
      <c r="BR296" s="1425"/>
      <c r="BS296" s="1425"/>
      <c r="BT296" s="1425"/>
      <c r="BU296" s="1425"/>
      <c r="BV296" s="1425"/>
      <c r="BW296" s="1425"/>
      <c r="BX296" s="1425"/>
      <c r="BY296" s="1425"/>
      <c r="BZ296" s="1339"/>
    </row>
    <row r="297" spans="26:78" s="174" customFormat="1">
      <c r="Z297" s="1339"/>
      <c r="AA297" s="1443"/>
      <c r="AB297" s="1443"/>
      <c r="AC297" s="1443"/>
      <c r="AD297" s="1443"/>
      <c r="AE297" s="1443"/>
      <c r="AF297" s="1443"/>
      <c r="AG297" s="1443"/>
      <c r="AH297" s="1443"/>
      <c r="AI297" s="1444"/>
      <c r="AJ297" s="1443"/>
      <c r="AK297" s="1443"/>
      <c r="AL297" s="1443"/>
      <c r="AM297" s="1443"/>
      <c r="AN297" s="1443"/>
      <c r="AO297" s="1443"/>
      <c r="AP297" s="1443"/>
      <c r="AQ297" s="1443"/>
      <c r="AR297" s="1443"/>
      <c r="AS297" s="1443"/>
      <c r="AT297" s="1443"/>
      <c r="AU297" s="1443"/>
      <c r="AV297" s="1443"/>
      <c r="AW297" s="1443"/>
      <c r="AX297" s="1443"/>
      <c r="AY297" s="1443"/>
      <c r="AZ297" s="1443"/>
      <c r="BA297" s="1443"/>
      <c r="BB297" s="1443"/>
      <c r="BC297" s="1443"/>
      <c r="BD297" s="1443"/>
      <c r="BE297" s="1443"/>
      <c r="BF297" s="1443"/>
      <c r="BG297" s="1443"/>
      <c r="BH297" s="1443"/>
      <c r="BI297" s="1443"/>
      <c r="BJ297" s="1425"/>
      <c r="BK297" s="1425"/>
      <c r="BL297" s="1425"/>
      <c r="BM297" s="1425"/>
      <c r="BN297" s="1425"/>
      <c r="BO297" s="1425"/>
      <c r="BP297" s="1425"/>
      <c r="BQ297" s="1425"/>
      <c r="BR297" s="1425"/>
      <c r="BS297" s="1425"/>
      <c r="BT297" s="1425"/>
      <c r="BU297" s="1425"/>
      <c r="BV297" s="1425"/>
      <c r="BW297" s="1425"/>
      <c r="BX297" s="1425"/>
      <c r="BY297" s="1425"/>
      <c r="BZ297" s="1339"/>
    </row>
    <row r="298" spans="26:78" s="174" customFormat="1">
      <c r="Z298" s="1339"/>
      <c r="AA298" s="1443"/>
      <c r="AB298" s="1443"/>
      <c r="AC298" s="1443"/>
      <c r="AD298" s="1443"/>
      <c r="AE298" s="1443"/>
      <c r="AF298" s="1443"/>
      <c r="AG298" s="1443"/>
      <c r="AH298" s="1443"/>
      <c r="AI298" s="1444"/>
      <c r="AJ298" s="1443"/>
      <c r="AK298" s="1443"/>
      <c r="AL298" s="1443"/>
      <c r="AM298" s="1443"/>
      <c r="AN298" s="1443"/>
      <c r="AO298" s="1443"/>
      <c r="AP298" s="1443"/>
      <c r="AQ298" s="1443"/>
      <c r="AR298" s="1443"/>
      <c r="AS298" s="1443"/>
      <c r="AT298" s="1443"/>
      <c r="AU298" s="1443"/>
      <c r="AV298" s="1443"/>
      <c r="AW298" s="1443"/>
      <c r="AX298" s="1443"/>
      <c r="AY298" s="1443"/>
      <c r="AZ298" s="1443"/>
      <c r="BA298" s="1443"/>
      <c r="BB298" s="1443"/>
      <c r="BC298" s="1443"/>
      <c r="BD298" s="1443"/>
      <c r="BE298" s="1443"/>
      <c r="BF298" s="1443"/>
      <c r="BG298" s="1443"/>
      <c r="BH298" s="1443"/>
      <c r="BI298" s="1443"/>
      <c r="BJ298" s="1425"/>
      <c r="BK298" s="1425"/>
      <c r="BL298" s="1425"/>
      <c r="BM298" s="1425"/>
      <c r="BN298" s="1425"/>
      <c r="BO298" s="1425"/>
      <c r="BP298" s="1425"/>
      <c r="BQ298" s="1425"/>
      <c r="BR298" s="1425"/>
      <c r="BS298" s="1425"/>
      <c r="BT298" s="1425"/>
      <c r="BU298" s="1425"/>
      <c r="BV298" s="1425"/>
      <c r="BW298" s="1425"/>
      <c r="BX298" s="1425"/>
      <c r="BY298" s="1425"/>
      <c r="BZ298" s="1339"/>
    </row>
    <row r="299" spans="26:78" s="174" customFormat="1">
      <c r="Z299" s="1339"/>
      <c r="AA299" s="1443"/>
      <c r="AB299" s="1443"/>
      <c r="AC299" s="1443"/>
      <c r="AD299" s="1443"/>
      <c r="AE299" s="1443"/>
      <c r="AF299" s="1443"/>
      <c r="AG299" s="1443"/>
      <c r="AH299" s="1443"/>
      <c r="AI299" s="1444"/>
      <c r="AJ299" s="1443"/>
      <c r="AK299" s="1443"/>
      <c r="AL299" s="1443"/>
      <c r="AM299" s="1443"/>
      <c r="AN299" s="1443"/>
      <c r="AO299" s="1443"/>
      <c r="AP299" s="1443"/>
      <c r="AQ299" s="1443"/>
      <c r="AR299" s="1443"/>
      <c r="AS299" s="1443"/>
      <c r="AT299" s="1443"/>
      <c r="AU299" s="1443"/>
      <c r="AV299" s="1443"/>
      <c r="AW299" s="1443"/>
      <c r="AX299" s="1443"/>
      <c r="AY299" s="1443"/>
      <c r="AZ299" s="1443"/>
      <c r="BA299" s="1443"/>
      <c r="BB299" s="1443"/>
      <c r="BC299" s="1443"/>
      <c r="BD299" s="1443"/>
      <c r="BE299" s="1443"/>
      <c r="BF299" s="1443"/>
      <c r="BG299" s="1443"/>
      <c r="BH299" s="1443"/>
      <c r="BI299" s="1443"/>
      <c r="BJ299" s="1425"/>
      <c r="BK299" s="1425"/>
      <c r="BL299" s="1425"/>
      <c r="BM299" s="1425"/>
      <c r="BN299" s="1425"/>
      <c r="BO299" s="1425"/>
      <c r="BP299" s="1425"/>
      <c r="BQ299" s="1425"/>
      <c r="BR299" s="1425"/>
      <c r="BS299" s="1425"/>
      <c r="BT299" s="1425"/>
      <c r="BU299" s="1425"/>
      <c r="BV299" s="1425"/>
      <c r="BW299" s="1425"/>
      <c r="BX299" s="1425"/>
      <c r="BY299" s="1425"/>
      <c r="BZ299" s="1339"/>
    </row>
    <row r="300" spans="26:78" s="174" customFormat="1">
      <c r="Z300" s="1339"/>
      <c r="AA300" s="1443"/>
      <c r="AB300" s="1443"/>
      <c r="AC300" s="1443"/>
      <c r="AD300" s="1443"/>
      <c r="AE300" s="1443"/>
      <c r="AF300" s="1443"/>
      <c r="AG300" s="1443"/>
      <c r="AH300" s="1443"/>
      <c r="AI300" s="1444"/>
      <c r="AJ300" s="1443"/>
      <c r="AK300" s="1443"/>
      <c r="AL300" s="1443"/>
      <c r="AM300" s="1443"/>
      <c r="AN300" s="1443"/>
      <c r="AO300" s="1443"/>
      <c r="AP300" s="1443"/>
      <c r="AQ300" s="1443"/>
      <c r="AR300" s="1443"/>
      <c r="AS300" s="1443"/>
      <c r="AT300" s="1443"/>
      <c r="AU300" s="1443"/>
      <c r="AV300" s="1443"/>
      <c r="AW300" s="1443"/>
      <c r="AX300" s="1443"/>
      <c r="AY300" s="1443"/>
      <c r="AZ300" s="1443"/>
      <c r="BA300" s="1443"/>
      <c r="BB300" s="1443"/>
      <c r="BC300" s="1443"/>
      <c r="BD300" s="1443"/>
      <c r="BE300" s="1443"/>
      <c r="BF300" s="1443"/>
      <c r="BG300" s="1443"/>
      <c r="BH300" s="1443"/>
      <c r="BI300" s="1443"/>
      <c r="BJ300" s="1425"/>
      <c r="BK300" s="1425"/>
      <c r="BL300" s="1425"/>
      <c r="BM300" s="1425"/>
      <c r="BN300" s="1425"/>
      <c r="BO300" s="1425"/>
      <c r="BP300" s="1425"/>
      <c r="BQ300" s="1425"/>
      <c r="BR300" s="1425"/>
      <c r="BS300" s="1425"/>
      <c r="BT300" s="1425"/>
      <c r="BU300" s="1425"/>
      <c r="BV300" s="1425"/>
      <c r="BW300" s="1425"/>
      <c r="BX300" s="1425"/>
      <c r="BY300" s="1425"/>
      <c r="BZ300" s="1339"/>
    </row>
    <row r="301" spans="26:78" s="174" customFormat="1">
      <c r="Z301" s="1339"/>
      <c r="AA301" s="1443"/>
      <c r="AB301" s="1443"/>
      <c r="AC301" s="1443"/>
      <c r="AD301" s="1443"/>
      <c r="AE301" s="1443"/>
      <c r="AF301" s="1443"/>
      <c r="AG301" s="1443"/>
      <c r="AH301" s="1443"/>
      <c r="AI301" s="1444"/>
      <c r="AJ301" s="1443"/>
      <c r="AK301" s="1443"/>
      <c r="AL301" s="1443"/>
      <c r="AM301" s="1443"/>
      <c r="AN301" s="1443"/>
      <c r="AO301" s="1443"/>
      <c r="AP301" s="1443"/>
      <c r="AQ301" s="1443"/>
      <c r="AR301" s="1443"/>
      <c r="AS301" s="1443"/>
      <c r="AT301" s="1443"/>
      <c r="AU301" s="1443"/>
      <c r="AV301" s="1443"/>
      <c r="AW301" s="1443"/>
      <c r="AX301" s="1443"/>
      <c r="AY301" s="1443"/>
      <c r="AZ301" s="1443"/>
      <c r="BA301" s="1443"/>
      <c r="BB301" s="1443"/>
      <c r="BC301" s="1443"/>
      <c r="BD301" s="1443"/>
      <c r="BE301" s="1443"/>
      <c r="BF301" s="1443"/>
      <c r="BG301" s="1443"/>
      <c r="BH301" s="1443"/>
      <c r="BI301" s="1443"/>
      <c r="BJ301" s="1425"/>
      <c r="BK301" s="1425"/>
      <c r="BL301" s="1425"/>
      <c r="BM301" s="1425"/>
      <c r="BN301" s="1425"/>
      <c r="BO301" s="1425"/>
      <c r="BP301" s="1425"/>
      <c r="BQ301" s="1425"/>
      <c r="BR301" s="1425"/>
      <c r="BS301" s="1425"/>
      <c r="BT301" s="1425"/>
      <c r="BU301" s="1425"/>
      <c r="BV301" s="1425"/>
      <c r="BW301" s="1425"/>
      <c r="BX301" s="1425"/>
      <c r="BY301" s="1425"/>
      <c r="BZ301" s="1339"/>
    </row>
    <row r="302" spans="26:78" s="174" customFormat="1">
      <c r="Z302" s="1339"/>
      <c r="AA302" s="1443"/>
      <c r="AB302" s="1443"/>
      <c r="AC302" s="1443"/>
      <c r="AD302" s="1443"/>
      <c r="AE302" s="1443"/>
      <c r="AF302" s="1443"/>
      <c r="AG302" s="1443"/>
      <c r="AH302" s="1443"/>
      <c r="AI302" s="1444"/>
      <c r="AJ302" s="1443"/>
      <c r="AK302" s="1443"/>
      <c r="AL302" s="1443"/>
      <c r="AM302" s="1443"/>
      <c r="AN302" s="1443"/>
      <c r="AO302" s="1443"/>
      <c r="AP302" s="1443"/>
      <c r="AQ302" s="1443"/>
      <c r="AR302" s="1443"/>
      <c r="AS302" s="1443"/>
      <c r="AT302" s="1443"/>
      <c r="AU302" s="1443"/>
      <c r="AV302" s="1443"/>
      <c r="AW302" s="1443"/>
      <c r="AX302" s="1443"/>
      <c r="AY302" s="1443"/>
      <c r="AZ302" s="1443"/>
      <c r="BA302" s="1443"/>
      <c r="BB302" s="1443"/>
      <c r="BC302" s="1443"/>
      <c r="BD302" s="1443"/>
      <c r="BE302" s="1443"/>
      <c r="BF302" s="1443"/>
      <c r="BG302" s="1443"/>
      <c r="BH302" s="1443"/>
      <c r="BI302" s="1443"/>
      <c r="BJ302" s="1425"/>
      <c r="BK302" s="1425"/>
      <c r="BL302" s="1425"/>
      <c r="BM302" s="1425"/>
      <c r="BN302" s="1425"/>
      <c r="BO302" s="1425"/>
      <c r="BP302" s="1425"/>
      <c r="BQ302" s="1425"/>
      <c r="BR302" s="1425"/>
      <c r="BS302" s="1425"/>
      <c r="BT302" s="1425"/>
      <c r="BU302" s="1425"/>
      <c r="BV302" s="1425"/>
      <c r="BW302" s="1425"/>
      <c r="BX302" s="1425"/>
      <c r="BY302" s="1425"/>
      <c r="BZ302" s="1339"/>
    </row>
    <row r="303" spans="26:78" s="174" customFormat="1">
      <c r="Z303" s="1339"/>
      <c r="AA303" s="1443"/>
      <c r="AB303" s="1443"/>
      <c r="AC303" s="1443"/>
      <c r="AD303" s="1443"/>
      <c r="AE303" s="1443"/>
      <c r="AF303" s="1443"/>
      <c r="AG303" s="1443"/>
      <c r="AH303" s="1443"/>
      <c r="AI303" s="1444"/>
      <c r="AJ303" s="1443"/>
      <c r="AK303" s="1443"/>
      <c r="AL303" s="1443"/>
      <c r="AM303" s="1443"/>
      <c r="AN303" s="1443"/>
      <c r="AO303" s="1443"/>
      <c r="AP303" s="1443"/>
      <c r="AQ303" s="1443"/>
      <c r="AR303" s="1443"/>
      <c r="AS303" s="1443"/>
      <c r="AT303" s="1443"/>
      <c r="AU303" s="1443"/>
      <c r="AV303" s="1443"/>
      <c r="AW303" s="1443"/>
      <c r="AX303" s="1443"/>
      <c r="AY303" s="1443"/>
      <c r="AZ303" s="1443"/>
      <c r="BA303" s="1443"/>
      <c r="BB303" s="1443"/>
      <c r="BC303" s="1443"/>
      <c r="BD303" s="1443"/>
      <c r="BE303" s="1443"/>
      <c r="BF303" s="1443"/>
      <c r="BG303" s="1443"/>
      <c r="BH303" s="1443"/>
      <c r="BI303" s="1443"/>
      <c r="BJ303" s="1425"/>
      <c r="BK303" s="1425"/>
      <c r="BL303" s="1425"/>
      <c r="BM303" s="1425"/>
      <c r="BN303" s="1425"/>
      <c r="BO303" s="1425"/>
      <c r="BP303" s="1425"/>
      <c r="BQ303" s="1425"/>
      <c r="BR303" s="1425"/>
      <c r="BS303" s="1425"/>
      <c r="BT303" s="1425"/>
      <c r="BU303" s="1425"/>
      <c r="BV303" s="1425"/>
      <c r="BW303" s="1425"/>
      <c r="BX303" s="1425"/>
      <c r="BY303" s="1425"/>
      <c r="BZ303" s="1339"/>
    </row>
    <row r="304" spans="26:78" s="174" customFormat="1">
      <c r="Z304" s="1339"/>
      <c r="AA304" s="1443"/>
      <c r="AB304" s="1443"/>
      <c r="AC304" s="1443"/>
      <c r="AD304" s="1443"/>
      <c r="AE304" s="1443"/>
      <c r="AF304" s="1443"/>
      <c r="AG304" s="1443"/>
      <c r="AH304" s="1443"/>
      <c r="AI304" s="1444"/>
      <c r="AJ304" s="1443"/>
      <c r="AK304" s="1443"/>
      <c r="AL304" s="1443"/>
      <c r="AM304" s="1443"/>
      <c r="AN304" s="1443"/>
      <c r="AO304" s="1443"/>
      <c r="AP304" s="1443"/>
      <c r="AQ304" s="1443"/>
      <c r="AR304" s="1443"/>
      <c r="AS304" s="1443"/>
      <c r="AT304" s="1443"/>
      <c r="AU304" s="1443"/>
      <c r="AV304" s="1443"/>
      <c r="AW304" s="1443"/>
      <c r="AX304" s="1443"/>
      <c r="AY304" s="1443"/>
      <c r="AZ304" s="1443"/>
      <c r="BA304" s="1443"/>
      <c r="BB304" s="1443"/>
      <c r="BC304" s="1443"/>
      <c r="BD304" s="1443"/>
      <c r="BE304" s="1443"/>
      <c r="BF304" s="1443"/>
      <c r="BG304" s="1443"/>
      <c r="BH304" s="1443"/>
      <c r="BI304" s="1443"/>
      <c r="BJ304" s="1425"/>
      <c r="BK304" s="1425"/>
      <c r="BL304" s="1425"/>
      <c r="BM304" s="1425"/>
      <c r="BN304" s="1425"/>
      <c r="BO304" s="1425"/>
      <c r="BP304" s="1425"/>
      <c r="BQ304" s="1425"/>
      <c r="BR304" s="1425"/>
      <c r="BS304" s="1425"/>
      <c r="BT304" s="1425"/>
      <c r="BU304" s="1425"/>
      <c r="BV304" s="1425"/>
      <c r="BW304" s="1425"/>
      <c r="BX304" s="1425"/>
      <c r="BY304" s="1425"/>
      <c r="BZ304" s="1339"/>
    </row>
    <row r="305" spans="26:78" s="174" customFormat="1">
      <c r="Z305" s="1339"/>
      <c r="AA305" s="1443"/>
      <c r="AB305" s="1443"/>
      <c r="AC305" s="1443"/>
      <c r="AD305" s="1443"/>
      <c r="AE305" s="1443"/>
      <c r="AF305" s="1443"/>
      <c r="AG305" s="1443"/>
      <c r="AH305" s="1443"/>
      <c r="AI305" s="1444"/>
      <c r="AJ305" s="1443"/>
      <c r="AK305" s="1443"/>
      <c r="AL305" s="1443"/>
      <c r="AM305" s="1443"/>
      <c r="AN305" s="1443"/>
      <c r="AO305" s="1443"/>
      <c r="AP305" s="1443"/>
      <c r="AQ305" s="1443"/>
      <c r="AR305" s="1443"/>
      <c r="AS305" s="1443"/>
      <c r="AT305" s="1443"/>
      <c r="AU305" s="1443"/>
      <c r="AV305" s="1443"/>
      <c r="AW305" s="1443"/>
      <c r="AX305" s="1443"/>
      <c r="AY305" s="1443"/>
      <c r="AZ305" s="1443"/>
      <c r="BA305" s="1443"/>
      <c r="BB305" s="1443"/>
      <c r="BC305" s="1443"/>
      <c r="BD305" s="1443"/>
      <c r="BE305" s="1443"/>
      <c r="BF305" s="1443"/>
      <c r="BG305" s="1443"/>
      <c r="BH305" s="1443"/>
      <c r="BI305" s="1443"/>
      <c r="BJ305" s="1425"/>
      <c r="BK305" s="1425"/>
      <c r="BL305" s="1425"/>
      <c r="BM305" s="1425"/>
      <c r="BN305" s="1425"/>
      <c r="BO305" s="1425"/>
      <c r="BP305" s="1425"/>
      <c r="BQ305" s="1425"/>
      <c r="BR305" s="1425"/>
      <c r="BS305" s="1425"/>
      <c r="BT305" s="1425"/>
      <c r="BU305" s="1425"/>
      <c r="BV305" s="1425"/>
      <c r="BW305" s="1425"/>
      <c r="BX305" s="1425"/>
      <c r="BY305" s="1425"/>
      <c r="BZ305" s="1339"/>
    </row>
    <row r="306" spans="26:78" s="174" customFormat="1">
      <c r="Z306" s="1339"/>
      <c r="AA306" s="1443"/>
      <c r="AB306" s="1443"/>
      <c r="AC306" s="1443"/>
      <c r="AD306" s="1443"/>
      <c r="AE306" s="1443"/>
      <c r="AF306" s="1443"/>
      <c r="AG306" s="1443"/>
      <c r="AH306" s="1443"/>
      <c r="AI306" s="1444"/>
      <c r="AJ306" s="1443"/>
      <c r="AK306" s="1443"/>
      <c r="AL306" s="1443"/>
      <c r="AM306" s="1443"/>
      <c r="AN306" s="1443"/>
      <c r="AO306" s="1443"/>
      <c r="AP306" s="1443"/>
      <c r="AQ306" s="1443"/>
      <c r="AR306" s="1443"/>
      <c r="AS306" s="1443"/>
      <c r="AT306" s="1443"/>
      <c r="AU306" s="1443"/>
      <c r="AV306" s="1443"/>
      <c r="AW306" s="1443"/>
      <c r="AX306" s="1443"/>
      <c r="AY306" s="1443"/>
      <c r="AZ306" s="1443"/>
      <c r="BA306" s="1443"/>
      <c r="BB306" s="1443"/>
      <c r="BC306" s="1443"/>
      <c r="BD306" s="1443"/>
      <c r="BE306" s="1443"/>
      <c r="BF306" s="1443"/>
      <c r="BG306" s="1443"/>
      <c r="BH306" s="1443"/>
      <c r="BI306" s="1443"/>
      <c r="BJ306" s="1425"/>
      <c r="BK306" s="1425"/>
      <c r="BL306" s="1425"/>
      <c r="BM306" s="1425"/>
      <c r="BN306" s="1425"/>
      <c r="BO306" s="1425"/>
      <c r="BP306" s="1425"/>
      <c r="BQ306" s="1425"/>
      <c r="BR306" s="1425"/>
      <c r="BS306" s="1425"/>
      <c r="BT306" s="1425"/>
      <c r="BU306" s="1425"/>
      <c r="BV306" s="1425"/>
      <c r="BW306" s="1425"/>
      <c r="BX306" s="1425"/>
      <c r="BY306" s="1425"/>
      <c r="BZ306" s="1339"/>
    </row>
    <row r="307" spans="26:78" s="174" customFormat="1">
      <c r="Z307" s="1339"/>
      <c r="AA307" s="1443"/>
      <c r="AB307" s="1443"/>
      <c r="AC307" s="1443"/>
      <c r="AD307" s="1443"/>
      <c r="AE307" s="1443"/>
      <c r="AF307" s="1443"/>
      <c r="AG307" s="1443"/>
      <c r="AH307" s="1443"/>
      <c r="AI307" s="1444"/>
      <c r="AJ307" s="1443"/>
      <c r="AK307" s="1443"/>
      <c r="AL307" s="1443"/>
      <c r="AM307" s="1443"/>
      <c r="AN307" s="1443"/>
      <c r="AO307" s="1443"/>
      <c r="AP307" s="1443"/>
      <c r="AQ307" s="1443"/>
      <c r="AR307" s="1443"/>
      <c r="AS307" s="1443"/>
      <c r="AT307" s="1443"/>
      <c r="AU307" s="1443"/>
      <c r="AV307" s="1443"/>
      <c r="AW307" s="1443"/>
      <c r="AX307" s="1443"/>
      <c r="AY307" s="1443"/>
      <c r="AZ307" s="1443"/>
      <c r="BA307" s="1443"/>
      <c r="BB307" s="1443"/>
      <c r="BC307" s="1443"/>
      <c r="BD307" s="1443"/>
      <c r="BE307" s="1443"/>
      <c r="BF307" s="1443"/>
      <c r="BG307" s="1443"/>
      <c r="BH307" s="1443"/>
      <c r="BI307" s="1443"/>
      <c r="BJ307" s="1425"/>
      <c r="BK307" s="1425"/>
      <c r="BL307" s="1425"/>
      <c r="BM307" s="1425"/>
      <c r="BN307" s="1425"/>
      <c r="BO307" s="1425"/>
      <c r="BP307" s="1425"/>
      <c r="BQ307" s="1425"/>
      <c r="BR307" s="1425"/>
      <c r="BS307" s="1425"/>
      <c r="BT307" s="1425"/>
      <c r="BU307" s="1425"/>
      <c r="BV307" s="1425"/>
      <c r="BW307" s="1425"/>
      <c r="BX307" s="1425"/>
      <c r="BY307" s="1425"/>
      <c r="BZ307" s="1339"/>
    </row>
    <row r="308" spans="26:78" s="174" customFormat="1">
      <c r="Z308" s="1339"/>
      <c r="AA308" s="1443"/>
      <c r="AB308" s="1443"/>
      <c r="AC308" s="1443"/>
      <c r="AD308" s="1443"/>
      <c r="AE308" s="1443"/>
      <c r="AF308" s="1443"/>
      <c r="AG308" s="1443"/>
      <c r="AH308" s="1443"/>
      <c r="AI308" s="1444"/>
      <c r="AJ308" s="1443"/>
      <c r="AK308" s="1443"/>
      <c r="AL308" s="1443"/>
      <c r="AM308" s="1443"/>
      <c r="AN308" s="1443"/>
      <c r="AO308" s="1443"/>
      <c r="AP308" s="1443"/>
      <c r="AQ308" s="1443"/>
      <c r="AR308" s="1443"/>
      <c r="AS308" s="1443"/>
      <c r="AT308" s="1443"/>
      <c r="AU308" s="1443"/>
      <c r="AV308" s="1443"/>
      <c r="AW308" s="1443"/>
      <c r="AX308" s="1443"/>
      <c r="AY308" s="1443"/>
      <c r="AZ308" s="1443"/>
      <c r="BA308" s="1443"/>
      <c r="BB308" s="1443"/>
      <c r="BC308" s="1443"/>
      <c r="BD308" s="1443"/>
      <c r="BE308" s="1443"/>
      <c r="BF308" s="1443"/>
      <c r="BG308" s="1443"/>
      <c r="BH308" s="1443"/>
      <c r="BI308" s="1443"/>
      <c r="BJ308" s="1425"/>
      <c r="BK308" s="1425"/>
      <c r="BL308" s="1425"/>
      <c r="BM308" s="1425"/>
      <c r="BN308" s="1425"/>
      <c r="BO308" s="1425"/>
      <c r="BP308" s="1425"/>
      <c r="BQ308" s="1425"/>
      <c r="BR308" s="1425"/>
      <c r="BS308" s="1425"/>
      <c r="BT308" s="1425"/>
      <c r="BU308" s="1425"/>
      <c r="BV308" s="1425"/>
      <c r="BW308" s="1425"/>
      <c r="BX308" s="1425"/>
      <c r="BY308" s="1425"/>
      <c r="BZ308" s="1339"/>
    </row>
    <row r="309" spans="26:78" s="174" customFormat="1">
      <c r="Z309" s="1339"/>
      <c r="AA309" s="1443"/>
      <c r="AB309" s="1443"/>
      <c r="AC309" s="1443"/>
      <c r="AD309" s="1443"/>
      <c r="AE309" s="1443"/>
      <c r="AF309" s="1443"/>
      <c r="AG309" s="1443"/>
      <c r="AH309" s="1443"/>
      <c r="AI309" s="1444"/>
      <c r="AJ309" s="1443"/>
      <c r="AK309" s="1443"/>
      <c r="AL309" s="1443"/>
      <c r="AM309" s="1443"/>
      <c r="AN309" s="1443"/>
      <c r="AO309" s="1443"/>
      <c r="AP309" s="1443"/>
      <c r="AQ309" s="1443"/>
      <c r="AR309" s="1443"/>
      <c r="AS309" s="1443"/>
      <c r="AT309" s="1443"/>
      <c r="AU309" s="1443"/>
      <c r="AV309" s="1443"/>
      <c r="AW309" s="1443"/>
      <c r="AX309" s="1443"/>
      <c r="AY309" s="1443"/>
      <c r="AZ309" s="1443"/>
      <c r="BA309" s="1443"/>
      <c r="BB309" s="1443"/>
      <c r="BC309" s="1443"/>
      <c r="BD309" s="1443"/>
      <c r="BE309" s="1443"/>
      <c r="BF309" s="1443"/>
      <c r="BG309" s="1443"/>
      <c r="BH309" s="1443"/>
      <c r="BI309" s="1443"/>
      <c r="BJ309" s="1425"/>
      <c r="BK309" s="1425"/>
      <c r="BL309" s="1425"/>
      <c r="BM309" s="1425"/>
      <c r="BN309" s="1425"/>
      <c r="BO309" s="1425"/>
      <c r="BP309" s="1425"/>
      <c r="BQ309" s="1425"/>
      <c r="BR309" s="1425"/>
      <c r="BS309" s="1425"/>
      <c r="BT309" s="1425"/>
      <c r="BU309" s="1425"/>
      <c r="BV309" s="1425"/>
      <c r="BW309" s="1425"/>
      <c r="BX309" s="1425"/>
      <c r="BY309" s="1425"/>
      <c r="BZ309" s="1339"/>
    </row>
    <row r="310" spans="26:78" s="174" customFormat="1">
      <c r="Z310" s="1339"/>
      <c r="AA310" s="1443"/>
      <c r="AB310" s="1443"/>
      <c r="AC310" s="1443"/>
      <c r="AD310" s="1443"/>
      <c r="AE310" s="1443"/>
      <c r="AF310" s="1443"/>
      <c r="AG310" s="1443"/>
      <c r="AH310" s="1443"/>
      <c r="AI310" s="1444"/>
      <c r="AJ310" s="1443"/>
      <c r="AK310" s="1443"/>
      <c r="AL310" s="1443"/>
      <c r="AM310" s="1443"/>
      <c r="AN310" s="1443"/>
      <c r="AO310" s="1443"/>
      <c r="AP310" s="1443"/>
      <c r="AQ310" s="1443"/>
      <c r="AR310" s="1443"/>
      <c r="AS310" s="1443"/>
      <c r="AT310" s="1443"/>
      <c r="AU310" s="1443"/>
      <c r="AV310" s="1443"/>
      <c r="AW310" s="1443"/>
      <c r="AX310" s="1443"/>
      <c r="AY310" s="1443"/>
      <c r="AZ310" s="1443"/>
      <c r="BA310" s="1443"/>
      <c r="BB310" s="1443"/>
      <c r="BC310" s="1443"/>
      <c r="BD310" s="1443"/>
      <c r="BE310" s="1443"/>
      <c r="BF310" s="1443"/>
      <c r="BG310" s="1443"/>
      <c r="BH310" s="1443"/>
      <c r="BI310" s="1443"/>
      <c r="BJ310" s="1425"/>
      <c r="BK310" s="1425"/>
      <c r="BL310" s="1425"/>
      <c r="BM310" s="1425"/>
      <c r="BN310" s="1425"/>
      <c r="BO310" s="1425"/>
      <c r="BP310" s="1425"/>
      <c r="BQ310" s="1425"/>
      <c r="BR310" s="1425"/>
      <c r="BS310" s="1425"/>
      <c r="BT310" s="1425"/>
      <c r="BU310" s="1425"/>
      <c r="BV310" s="1425"/>
      <c r="BW310" s="1425"/>
      <c r="BX310" s="1425"/>
      <c r="BY310" s="1425"/>
      <c r="BZ310" s="1339"/>
    </row>
    <row r="311" spans="26:78" s="174" customFormat="1">
      <c r="Z311" s="1339"/>
      <c r="AA311" s="1443"/>
      <c r="AB311" s="1443"/>
      <c r="AC311" s="1443"/>
      <c r="AD311" s="1443"/>
      <c r="AE311" s="1443"/>
      <c r="AF311" s="1443"/>
      <c r="AG311" s="1443"/>
      <c r="AH311" s="1443"/>
      <c r="AI311" s="1444"/>
      <c r="AJ311" s="1443"/>
      <c r="AK311" s="1443"/>
      <c r="AL311" s="1443"/>
      <c r="AM311" s="1443"/>
      <c r="AN311" s="1443"/>
      <c r="AO311" s="1443"/>
      <c r="AP311" s="1443"/>
      <c r="AQ311" s="1443"/>
      <c r="AR311" s="1443"/>
      <c r="AS311" s="1443"/>
      <c r="AT311" s="1443"/>
      <c r="AU311" s="1443"/>
      <c r="AV311" s="1443"/>
      <c r="AW311" s="1443"/>
      <c r="AX311" s="1443"/>
      <c r="AY311" s="1443"/>
      <c r="AZ311" s="1443"/>
      <c r="BA311" s="1443"/>
      <c r="BB311" s="1443"/>
      <c r="BC311" s="1443"/>
      <c r="BD311" s="1443"/>
      <c r="BE311" s="1443"/>
      <c r="BF311" s="1443"/>
      <c r="BG311" s="1443"/>
      <c r="BH311" s="1443"/>
      <c r="BI311" s="1443"/>
      <c r="BJ311" s="1425"/>
      <c r="BK311" s="1425"/>
      <c r="BL311" s="1425"/>
      <c r="BM311" s="1425"/>
      <c r="BN311" s="1425"/>
      <c r="BO311" s="1425"/>
      <c r="BP311" s="1425"/>
      <c r="BQ311" s="1425"/>
      <c r="BR311" s="1425"/>
      <c r="BS311" s="1425"/>
      <c r="BT311" s="1425"/>
      <c r="BU311" s="1425"/>
      <c r="BV311" s="1425"/>
      <c r="BW311" s="1425"/>
      <c r="BX311" s="1425"/>
      <c r="BY311" s="1425"/>
      <c r="BZ311" s="1339"/>
    </row>
    <row r="312" spans="26:78" s="174" customFormat="1">
      <c r="Z312" s="1339"/>
      <c r="AA312" s="1443"/>
      <c r="AB312" s="1443"/>
      <c r="AC312" s="1443"/>
      <c r="AD312" s="1443"/>
      <c r="AE312" s="1443"/>
      <c r="AF312" s="1443"/>
      <c r="AG312" s="1443"/>
      <c r="AH312" s="1443"/>
      <c r="AI312" s="1444"/>
      <c r="AJ312" s="1443"/>
      <c r="AK312" s="1443"/>
      <c r="AL312" s="1443"/>
      <c r="AM312" s="1443"/>
      <c r="AN312" s="1443"/>
      <c r="AO312" s="1443"/>
      <c r="AP312" s="1443"/>
      <c r="AQ312" s="1443"/>
      <c r="AR312" s="1443"/>
      <c r="AS312" s="1443"/>
      <c r="AT312" s="1443"/>
      <c r="AU312" s="1443"/>
      <c r="AV312" s="1443"/>
      <c r="AW312" s="1443"/>
      <c r="AX312" s="1443"/>
      <c r="AY312" s="1443"/>
      <c r="AZ312" s="1443"/>
      <c r="BA312" s="1443"/>
      <c r="BB312" s="1443"/>
      <c r="BC312" s="1443"/>
      <c r="BD312" s="1443"/>
      <c r="BE312" s="1443"/>
      <c r="BF312" s="1443"/>
      <c r="BG312" s="1443"/>
      <c r="BH312" s="1443"/>
      <c r="BI312" s="1443"/>
      <c r="BJ312" s="1425"/>
      <c r="BK312" s="1425"/>
      <c r="BL312" s="1425"/>
      <c r="BM312" s="1425"/>
      <c r="BN312" s="1425"/>
      <c r="BO312" s="1425"/>
      <c r="BP312" s="1425"/>
      <c r="BQ312" s="1425"/>
      <c r="BR312" s="1425"/>
      <c r="BS312" s="1425"/>
      <c r="BT312" s="1425"/>
      <c r="BU312" s="1425"/>
      <c r="BV312" s="1425"/>
      <c r="BW312" s="1425"/>
      <c r="BX312" s="1425"/>
      <c r="BY312" s="1425"/>
      <c r="BZ312" s="1339"/>
    </row>
    <row r="313" spans="26:78" s="174" customFormat="1">
      <c r="Z313" s="1339"/>
      <c r="AA313" s="1443"/>
      <c r="AB313" s="1443"/>
      <c r="AC313" s="1443"/>
      <c r="AD313" s="1443"/>
      <c r="AE313" s="1443"/>
      <c r="AF313" s="1443"/>
      <c r="AG313" s="1443"/>
      <c r="AH313" s="1443"/>
      <c r="AI313" s="1444"/>
      <c r="AJ313" s="1443"/>
      <c r="AK313" s="1443"/>
      <c r="AL313" s="1443"/>
      <c r="AM313" s="1443"/>
      <c r="AN313" s="1443"/>
      <c r="AO313" s="1443"/>
      <c r="AP313" s="1443"/>
      <c r="AQ313" s="1443"/>
      <c r="AR313" s="1443"/>
      <c r="AS313" s="1443"/>
      <c r="AT313" s="1443"/>
      <c r="AU313" s="1443"/>
      <c r="AV313" s="1443"/>
      <c r="AW313" s="1443"/>
      <c r="AX313" s="1443"/>
      <c r="AY313" s="1443"/>
      <c r="AZ313" s="1443"/>
      <c r="BA313" s="1443"/>
      <c r="BB313" s="1443"/>
      <c r="BC313" s="1443"/>
      <c r="BD313" s="1443"/>
      <c r="BE313" s="1443"/>
      <c r="BF313" s="1443"/>
      <c r="BG313" s="1443"/>
      <c r="BH313" s="1443"/>
      <c r="BI313" s="1443"/>
      <c r="BJ313" s="1425"/>
      <c r="BK313" s="1425"/>
      <c r="BL313" s="1425"/>
      <c r="BM313" s="1425"/>
      <c r="BN313" s="1425"/>
      <c r="BO313" s="1425"/>
      <c r="BP313" s="1425"/>
      <c r="BQ313" s="1425"/>
      <c r="BR313" s="1425"/>
      <c r="BS313" s="1425"/>
      <c r="BT313" s="1425"/>
      <c r="BU313" s="1425"/>
      <c r="BV313" s="1425"/>
      <c r="BW313" s="1425"/>
      <c r="BX313" s="1425"/>
      <c r="BY313" s="1425"/>
      <c r="BZ313" s="1339"/>
    </row>
    <row r="314" spans="26:78" s="174" customFormat="1">
      <c r="Z314" s="1339"/>
      <c r="AA314" s="1443"/>
      <c r="AB314" s="1443"/>
      <c r="AC314" s="1443"/>
      <c r="AD314" s="1443"/>
      <c r="AE314" s="1443"/>
      <c r="AF314" s="1443"/>
      <c r="AG314" s="1443"/>
      <c r="AH314" s="1443"/>
      <c r="AI314" s="1444"/>
      <c r="AJ314" s="1443"/>
      <c r="AK314" s="1443"/>
      <c r="AL314" s="1443"/>
      <c r="AM314" s="1443"/>
      <c r="AN314" s="1443"/>
      <c r="AO314" s="1443"/>
      <c r="AP314" s="1443"/>
      <c r="AQ314" s="1443"/>
      <c r="AR314" s="1443"/>
      <c r="AS314" s="1443"/>
      <c r="AT314" s="1443"/>
      <c r="AU314" s="1443"/>
      <c r="AV314" s="1443"/>
      <c r="AW314" s="1443"/>
      <c r="AX314" s="1443"/>
      <c r="AY314" s="1443"/>
      <c r="AZ314" s="1443"/>
      <c r="BA314" s="1443"/>
      <c r="BB314" s="1443"/>
      <c r="BC314" s="1443"/>
      <c r="BD314" s="1443"/>
      <c r="BE314" s="1443"/>
      <c r="BF314" s="1443"/>
      <c r="BG314" s="1443"/>
      <c r="BH314" s="1443"/>
      <c r="BI314" s="1443"/>
      <c r="BJ314" s="1425"/>
      <c r="BK314" s="1425"/>
      <c r="BL314" s="1425"/>
      <c r="BM314" s="1425"/>
      <c r="BN314" s="1425"/>
      <c r="BO314" s="1425"/>
      <c r="BP314" s="1425"/>
      <c r="BQ314" s="1425"/>
      <c r="BR314" s="1425"/>
      <c r="BS314" s="1425"/>
      <c r="BT314" s="1425"/>
      <c r="BU314" s="1425"/>
      <c r="BV314" s="1425"/>
      <c r="BW314" s="1425"/>
      <c r="BX314" s="1425"/>
      <c r="BY314" s="1425"/>
      <c r="BZ314" s="1339"/>
    </row>
    <row r="315" spans="26:78" s="174" customFormat="1">
      <c r="Z315" s="1339"/>
      <c r="AA315" s="1443"/>
      <c r="AB315" s="1443"/>
      <c r="AC315" s="1443"/>
      <c r="AD315" s="1443"/>
      <c r="AE315" s="1443"/>
      <c r="AF315" s="1443"/>
      <c r="AG315" s="1443"/>
      <c r="AH315" s="1443"/>
      <c r="AI315" s="1444"/>
      <c r="AJ315" s="1443"/>
      <c r="AK315" s="1443"/>
      <c r="AL315" s="1443"/>
      <c r="AM315" s="1443"/>
      <c r="AN315" s="1443"/>
      <c r="AO315" s="1443"/>
      <c r="AP315" s="1443"/>
      <c r="AQ315" s="1443"/>
      <c r="AR315" s="1443"/>
      <c r="AS315" s="1443"/>
      <c r="AT315" s="1443"/>
      <c r="AU315" s="1443"/>
      <c r="AV315" s="1443"/>
      <c r="AW315" s="1443"/>
      <c r="AX315" s="1443"/>
      <c r="AY315" s="1443"/>
      <c r="AZ315" s="1443"/>
      <c r="BA315" s="1443"/>
      <c r="BB315" s="1443"/>
      <c r="BC315" s="1443"/>
      <c r="BD315" s="1443"/>
      <c r="BE315" s="1443"/>
      <c r="BF315" s="1443"/>
      <c r="BG315" s="1443"/>
      <c r="BH315" s="1443"/>
      <c r="BI315" s="1443"/>
      <c r="BJ315" s="1425"/>
      <c r="BK315" s="1425"/>
      <c r="BL315" s="1425"/>
      <c r="BM315" s="1425"/>
      <c r="BN315" s="1425"/>
      <c r="BO315" s="1425"/>
      <c r="BP315" s="1425"/>
      <c r="BQ315" s="1425"/>
      <c r="BR315" s="1425"/>
      <c r="BS315" s="1425"/>
      <c r="BT315" s="1425"/>
      <c r="BU315" s="1425"/>
      <c r="BV315" s="1425"/>
      <c r="BW315" s="1425"/>
      <c r="BX315" s="1425"/>
      <c r="BY315" s="1425"/>
      <c r="BZ315" s="1339"/>
    </row>
    <row r="316" spans="26:78" s="174" customFormat="1">
      <c r="Z316" s="1339"/>
      <c r="AA316" s="1443"/>
      <c r="AB316" s="1443"/>
      <c r="AC316" s="1443"/>
      <c r="AD316" s="1443"/>
      <c r="AE316" s="1443"/>
      <c r="AF316" s="1443"/>
      <c r="AG316" s="1443"/>
      <c r="AH316" s="1443"/>
      <c r="AI316" s="1444"/>
      <c r="AJ316" s="1443"/>
      <c r="AK316" s="1443"/>
      <c r="AL316" s="1443"/>
      <c r="AM316" s="1443"/>
      <c r="AN316" s="1443"/>
      <c r="AO316" s="1443"/>
      <c r="AP316" s="1443"/>
      <c r="AQ316" s="1443"/>
      <c r="AR316" s="1443"/>
      <c r="AS316" s="1443"/>
      <c r="AT316" s="1443"/>
      <c r="AU316" s="1443"/>
      <c r="AV316" s="1443"/>
      <c r="AW316" s="1443"/>
      <c r="AX316" s="1443"/>
      <c r="AY316" s="1443"/>
      <c r="AZ316" s="1443"/>
      <c r="BA316" s="1443"/>
      <c r="BB316" s="1443"/>
      <c r="BC316" s="1443"/>
      <c r="BD316" s="1443"/>
      <c r="BE316" s="1443"/>
      <c r="BF316" s="1443"/>
      <c r="BG316" s="1443"/>
      <c r="BH316" s="1443"/>
      <c r="BI316" s="1443"/>
      <c r="BJ316" s="1425"/>
      <c r="BK316" s="1425"/>
      <c r="BL316" s="1425"/>
      <c r="BM316" s="1425"/>
      <c r="BN316" s="1425"/>
      <c r="BO316" s="1425"/>
      <c r="BP316" s="1425"/>
      <c r="BQ316" s="1425"/>
      <c r="BR316" s="1425"/>
      <c r="BS316" s="1425"/>
      <c r="BT316" s="1425"/>
      <c r="BU316" s="1425"/>
      <c r="BV316" s="1425"/>
      <c r="BW316" s="1425"/>
      <c r="BX316" s="1425"/>
      <c r="BY316" s="1425"/>
      <c r="BZ316" s="1339"/>
    </row>
    <row r="317" spans="26:78" s="174" customFormat="1">
      <c r="Z317" s="1339"/>
      <c r="AA317" s="1443"/>
      <c r="AB317" s="1443"/>
      <c r="AC317" s="1443"/>
      <c r="AD317" s="1443"/>
      <c r="AE317" s="1443"/>
      <c r="AF317" s="1443"/>
      <c r="AG317" s="1443"/>
      <c r="AH317" s="1443"/>
      <c r="AI317" s="1444"/>
      <c r="AJ317" s="1443"/>
      <c r="AK317" s="1443"/>
      <c r="AL317" s="1443"/>
      <c r="AM317" s="1443"/>
      <c r="AN317" s="1443"/>
      <c r="AO317" s="1443"/>
      <c r="AP317" s="1443"/>
      <c r="AQ317" s="1443"/>
      <c r="AR317" s="1443"/>
      <c r="AS317" s="1443"/>
      <c r="AT317" s="1443"/>
      <c r="AU317" s="1443"/>
      <c r="AV317" s="1443"/>
      <c r="AW317" s="1443"/>
      <c r="AX317" s="1443"/>
      <c r="AY317" s="1443"/>
      <c r="AZ317" s="1443"/>
      <c r="BA317" s="1443"/>
      <c r="BB317" s="1443"/>
      <c r="BC317" s="1443"/>
      <c r="BD317" s="1443"/>
      <c r="BE317" s="1443"/>
      <c r="BF317" s="1443"/>
      <c r="BG317" s="1443"/>
      <c r="BH317" s="1443"/>
      <c r="BI317" s="1443"/>
      <c r="BJ317" s="1425"/>
      <c r="BK317" s="1425"/>
      <c r="BL317" s="1425"/>
      <c r="BM317" s="1425"/>
      <c r="BN317" s="1425"/>
      <c r="BO317" s="1425"/>
      <c r="BP317" s="1425"/>
      <c r="BQ317" s="1425"/>
      <c r="BR317" s="1425"/>
      <c r="BS317" s="1425"/>
      <c r="BT317" s="1425"/>
      <c r="BU317" s="1425"/>
      <c r="BV317" s="1425"/>
      <c r="BW317" s="1425"/>
      <c r="BX317" s="1425"/>
      <c r="BY317" s="1425"/>
      <c r="BZ317" s="1339"/>
    </row>
    <row r="318" spans="26:78" s="174" customFormat="1">
      <c r="Z318" s="1339"/>
      <c r="AA318" s="1443"/>
      <c r="AB318" s="1443"/>
      <c r="AC318" s="1443"/>
      <c r="AD318" s="1443"/>
      <c r="AE318" s="1443"/>
      <c r="AF318" s="1443"/>
      <c r="AG318" s="1443"/>
      <c r="AH318" s="1443"/>
      <c r="AI318" s="1444"/>
      <c r="AJ318" s="1443"/>
      <c r="AK318" s="1443"/>
      <c r="AL318" s="1443"/>
      <c r="AM318" s="1443"/>
      <c r="AN318" s="1443"/>
      <c r="AO318" s="1443"/>
      <c r="AP318" s="1443"/>
      <c r="AQ318" s="1443"/>
      <c r="AR318" s="1443"/>
      <c r="AS318" s="1443"/>
      <c r="AT318" s="1443"/>
      <c r="AU318" s="1443"/>
      <c r="AV318" s="1443"/>
      <c r="AW318" s="1443"/>
      <c r="AX318" s="1443"/>
      <c r="AY318" s="1443"/>
      <c r="AZ318" s="1443"/>
      <c r="BA318" s="1443"/>
      <c r="BB318" s="1443"/>
      <c r="BC318" s="1443"/>
      <c r="BD318" s="1443"/>
      <c r="BE318" s="1443"/>
      <c r="BF318" s="1443"/>
      <c r="BG318" s="1443"/>
      <c r="BH318" s="1443"/>
      <c r="BI318" s="1443"/>
      <c r="BJ318" s="1425"/>
      <c r="BK318" s="1425"/>
      <c r="BL318" s="1425"/>
      <c r="BM318" s="1425"/>
      <c r="BN318" s="1425"/>
      <c r="BO318" s="1425"/>
      <c r="BP318" s="1425"/>
      <c r="BQ318" s="1425"/>
      <c r="BR318" s="1425"/>
      <c r="BS318" s="1425"/>
      <c r="BT318" s="1425"/>
      <c r="BU318" s="1425"/>
      <c r="BV318" s="1425"/>
      <c r="BW318" s="1425"/>
      <c r="BX318" s="1425"/>
      <c r="BY318" s="1425"/>
      <c r="BZ318" s="1339"/>
    </row>
    <row r="319" spans="26:78" s="174" customFormat="1">
      <c r="Z319" s="1339"/>
      <c r="AA319" s="1443"/>
      <c r="AB319" s="1443"/>
      <c r="AC319" s="1443"/>
      <c r="AD319" s="1443"/>
      <c r="AE319" s="1443"/>
      <c r="AF319" s="1443"/>
      <c r="AG319" s="1443"/>
      <c r="AH319" s="1443"/>
      <c r="AI319" s="1444"/>
      <c r="AJ319" s="1443"/>
      <c r="AK319" s="1443"/>
      <c r="AL319" s="1443"/>
      <c r="AM319" s="1443"/>
      <c r="AN319" s="1443"/>
      <c r="AO319" s="1443"/>
      <c r="AP319" s="1443"/>
      <c r="AQ319" s="1443"/>
      <c r="AR319" s="1443"/>
      <c r="AS319" s="1443"/>
      <c r="AT319" s="1443"/>
      <c r="AU319" s="1443"/>
      <c r="AV319" s="1443"/>
      <c r="AW319" s="1443"/>
      <c r="AX319" s="1443"/>
      <c r="AY319" s="1443"/>
      <c r="AZ319" s="1443"/>
      <c r="BA319" s="1443"/>
      <c r="BB319" s="1443"/>
      <c r="BC319" s="1443"/>
      <c r="BD319" s="1443"/>
      <c r="BE319" s="1443"/>
      <c r="BF319" s="1443"/>
      <c r="BG319" s="1443"/>
      <c r="BH319" s="1443"/>
      <c r="BI319" s="1443"/>
      <c r="BJ319" s="1425"/>
      <c r="BK319" s="1425"/>
      <c r="BL319" s="1425"/>
      <c r="BM319" s="1425"/>
      <c r="BN319" s="1425"/>
      <c r="BO319" s="1425"/>
      <c r="BP319" s="1425"/>
      <c r="BQ319" s="1425"/>
      <c r="BR319" s="1425"/>
      <c r="BS319" s="1425"/>
      <c r="BT319" s="1425"/>
      <c r="BU319" s="1425"/>
      <c r="BV319" s="1425"/>
      <c r="BW319" s="1425"/>
      <c r="BX319" s="1425"/>
      <c r="BY319" s="1425"/>
      <c r="BZ319" s="1339"/>
    </row>
    <row r="320" spans="26:78" s="174" customFormat="1">
      <c r="Z320" s="1339"/>
      <c r="AA320" s="1443"/>
      <c r="AB320" s="1443"/>
      <c r="AC320" s="1443"/>
      <c r="AD320" s="1443"/>
      <c r="AE320" s="1443"/>
      <c r="AF320" s="1443"/>
      <c r="AG320" s="1443"/>
      <c r="AH320" s="1443"/>
      <c r="AI320" s="1444"/>
      <c r="AJ320" s="1443"/>
      <c r="AK320" s="1443"/>
      <c r="AL320" s="1443"/>
      <c r="AM320" s="1443"/>
      <c r="AN320" s="1443"/>
      <c r="AO320" s="1443"/>
      <c r="AP320" s="1443"/>
      <c r="AQ320" s="1443"/>
      <c r="AR320" s="1443"/>
      <c r="AS320" s="1443"/>
      <c r="AT320" s="1443"/>
      <c r="AU320" s="1443"/>
      <c r="AV320" s="1443"/>
      <c r="AW320" s="1443"/>
      <c r="AX320" s="1443"/>
      <c r="AY320" s="1443"/>
      <c r="AZ320" s="1443"/>
      <c r="BA320" s="1443"/>
      <c r="BB320" s="1443"/>
      <c r="BC320" s="1443"/>
      <c r="BD320" s="1443"/>
      <c r="BE320" s="1443"/>
      <c r="BF320" s="1443"/>
      <c r="BG320" s="1443"/>
      <c r="BH320" s="1443"/>
      <c r="BI320" s="1443"/>
      <c r="BJ320" s="1425"/>
      <c r="BK320" s="1425"/>
      <c r="BL320" s="1425"/>
      <c r="BM320" s="1425"/>
      <c r="BN320" s="1425"/>
      <c r="BO320" s="1425"/>
      <c r="BP320" s="1425"/>
      <c r="BQ320" s="1425"/>
      <c r="BR320" s="1425"/>
      <c r="BS320" s="1425"/>
      <c r="BT320" s="1425"/>
      <c r="BU320" s="1425"/>
      <c r="BV320" s="1425"/>
      <c r="BW320" s="1425"/>
      <c r="BX320" s="1425"/>
      <c r="BY320" s="1425"/>
      <c r="BZ320" s="1339"/>
    </row>
    <row r="321" spans="26:78" s="174" customFormat="1">
      <c r="Z321" s="1339"/>
      <c r="AA321" s="1443"/>
      <c r="AB321" s="1443"/>
      <c r="AC321" s="1443"/>
      <c r="AD321" s="1443"/>
      <c r="AE321" s="1443"/>
      <c r="AF321" s="1443"/>
      <c r="AG321" s="1443"/>
      <c r="AH321" s="1443"/>
      <c r="AI321" s="1444"/>
      <c r="AJ321" s="1443"/>
      <c r="AK321" s="1443"/>
      <c r="AL321" s="1443"/>
      <c r="AM321" s="1443"/>
      <c r="AN321" s="1443"/>
      <c r="AO321" s="1443"/>
      <c r="AP321" s="1443"/>
      <c r="AQ321" s="1443"/>
      <c r="AR321" s="1443"/>
      <c r="AS321" s="1443"/>
      <c r="AT321" s="1443"/>
      <c r="AU321" s="1443"/>
      <c r="AV321" s="1443"/>
      <c r="AW321" s="1443"/>
      <c r="AX321" s="1443"/>
      <c r="AY321" s="1443"/>
      <c r="AZ321" s="1443"/>
      <c r="BA321" s="1443"/>
      <c r="BB321" s="1443"/>
      <c r="BC321" s="1443"/>
      <c r="BD321" s="1443"/>
      <c r="BE321" s="1443"/>
      <c r="BF321" s="1443"/>
      <c r="BG321" s="1443"/>
      <c r="BH321" s="1443"/>
      <c r="BI321" s="1443"/>
      <c r="BJ321" s="1425"/>
      <c r="BK321" s="1425"/>
      <c r="BL321" s="1425"/>
      <c r="BM321" s="1425"/>
      <c r="BN321" s="1425"/>
      <c r="BO321" s="1425"/>
      <c r="BP321" s="1425"/>
      <c r="BQ321" s="1425"/>
      <c r="BR321" s="1425"/>
      <c r="BS321" s="1425"/>
      <c r="BT321" s="1425"/>
      <c r="BU321" s="1425"/>
      <c r="BV321" s="1425"/>
      <c r="BW321" s="1425"/>
      <c r="BX321" s="1425"/>
      <c r="BY321" s="1425"/>
      <c r="BZ321" s="1339"/>
    </row>
    <row r="322" spans="26:78" s="174" customFormat="1">
      <c r="Z322" s="1339"/>
      <c r="AA322" s="1443"/>
      <c r="AB322" s="1443"/>
      <c r="AC322" s="1443"/>
      <c r="AD322" s="1443"/>
      <c r="AE322" s="1443"/>
      <c r="AF322" s="1443"/>
      <c r="AG322" s="1443"/>
      <c r="AH322" s="1443"/>
      <c r="AI322" s="1444"/>
      <c r="AJ322" s="1443"/>
      <c r="AK322" s="1443"/>
      <c r="AL322" s="1443"/>
      <c r="AM322" s="1443"/>
      <c r="AN322" s="1443"/>
      <c r="AO322" s="1443"/>
      <c r="AP322" s="1443"/>
      <c r="AQ322" s="1443"/>
      <c r="AR322" s="1443"/>
      <c r="AS322" s="1443"/>
      <c r="AT322" s="1443"/>
      <c r="AU322" s="1443"/>
      <c r="AV322" s="1443"/>
      <c r="AW322" s="1443"/>
      <c r="AX322" s="1443"/>
      <c r="AY322" s="1443"/>
      <c r="AZ322" s="1443"/>
      <c r="BA322" s="1443"/>
      <c r="BB322" s="1443"/>
      <c r="BC322" s="1443"/>
      <c r="BD322" s="1443"/>
      <c r="BE322" s="1443"/>
      <c r="BF322" s="1443"/>
      <c r="BG322" s="1443"/>
      <c r="BH322" s="1443"/>
      <c r="BI322" s="1443"/>
      <c r="BJ322" s="1425"/>
      <c r="BK322" s="1425"/>
      <c r="BL322" s="1425"/>
      <c r="BM322" s="1425"/>
      <c r="BN322" s="1425"/>
      <c r="BO322" s="1425"/>
      <c r="BP322" s="1425"/>
      <c r="BQ322" s="1425"/>
      <c r="BR322" s="1425"/>
      <c r="BS322" s="1425"/>
      <c r="BT322" s="1425"/>
      <c r="BU322" s="1425"/>
      <c r="BV322" s="1425"/>
      <c r="BW322" s="1425"/>
      <c r="BX322" s="1425"/>
      <c r="BY322" s="1425"/>
      <c r="BZ322" s="1339"/>
    </row>
    <row r="323" spans="26:78" s="174" customFormat="1">
      <c r="Z323" s="1339"/>
      <c r="AA323" s="1443"/>
      <c r="AB323" s="1443"/>
      <c r="AC323" s="1443"/>
      <c r="AD323" s="1443"/>
      <c r="AE323" s="1443"/>
      <c r="AF323" s="1443"/>
      <c r="AG323" s="1443"/>
      <c r="AH323" s="1443"/>
      <c r="AI323" s="1444"/>
      <c r="AJ323" s="1443"/>
      <c r="AK323" s="1443"/>
      <c r="AL323" s="1443"/>
      <c r="AM323" s="1443"/>
      <c r="AN323" s="1443"/>
      <c r="AO323" s="1443"/>
      <c r="AP323" s="1443"/>
      <c r="AQ323" s="1443"/>
      <c r="AR323" s="1443"/>
      <c r="AS323" s="1443"/>
      <c r="AT323" s="1443"/>
      <c r="AU323" s="1443"/>
      <c r="AV323" s="1443"/>
      <c r="AW323" s="1443"/>
      <c r="AX323" s="1443"/>
      <c r="AY323" s="1443"/>
      <c r="AZ323" s="1443"/>
      <c r="BA323" s="1443"/>
      <c r="BB323" s="1443"/>
      <c r="BC323" s="1443"/>
      <c r="BD323" s="1443"/>
      <c r="BE323" s="1443"/>
      <c r="BF323" s="1443"/>
      <c r="BG323" s="1443"/>
      <c r="BH323" s="1443"/>
      <c r="BI323" s="1443"/>
      <c r="BJ323" s="1425"/>
      <c r="BK323" s="1425"/>
      <c r="BL323" s="1425"/>
      <c r="BM323" s="1425"/>
      <c r="BN323" s="1425"/>
      <c r="BO323" s="1425"/>
      <c r="BP323" s="1425"/>
      <c r="BQ323" s="1425"/>
      <c r="BR323" s="1425"/>
      <c r="BS323" s="1425"/>
      <c r="BT323" s="1425"/>
      <c r="BU323" s="1425"/>
      <c r="BV323" s="1425"/>
      <c r="BW323" s="1425"/>
      <c r="BX323" s="1425"/>
      <c r="BY323" s="1425"/>
      <c r="BZ323" s="1339"/>
    </row>
    <row r="324" spans="26:78" s="174" customFormat="1">
      <c r="Z324" s="1339"/>
      <c r="AA324" s="1443"/>
      <c r="AB324" s="1443"/>
      <c r="AC324" s="1443"/>
      <c r="AD324" s="1443"/>
      <c r="AE324" s="1443"/>
      <c r="AF324" s="1443"/>
      <c r="AG324" s="1443"/>
      <c r="AH324" s="1443"/>
      <c r="AI324" s="1444"/>
      <c r="AJ324" s="1443"/>
      <c r="AK324" s="1443"/>
      <c r="AL324" s="1443"/>
      <c r="AM324" s="1443"/>
      <c r="AN324" s="1443"/>
      <c r="AO324" s="1443"/>
      <c r="AP324" s="1443"/>
      <c r="AQ324" s="1443"/>
      <c r="AR324" s="1443"/>
      <c r="AS324" s="1443"/>
      <c r="AT324" s="1443"/>
      <c r="AU324" s="1443"/>
      <c r="AV324" s="1443"/>
      <c r="AW324" s="1443"/>
      <c r="AX324" s="1443"/>
      <c r="AY324" s="1443"/>
      <c r="AZ324" s="1443"/>
      <c r="BA324" s="1443"/>
      <c r="BB324" s="1443"/>
      <c r="BC324" s="1443"/>
      <c r="BD324" s="1443"/>
      <c r="BE324" s="1443"/>
      <c r="BF324" s="1443"/>
      <c r="BG324" s="1443"/>
      <c r="BH324" s="1443"/>
      <c r="BI324" s="1443"/>
      <c r="BJ324" s="1425"/>
      <c r="BK324" s="1425"/>
      <c r="BL324" s="1425"/>
      <c r="BM324" s="1425"/>
      <c r="BN324" s="1425"/>
      <c r="BO324" s="1425"/>
      <c r="BP324" s="1425"/>
      <c r="BQ324" s="1425"/>
      <c r="BR324" s="1425"/>
      <c r="BS324" s="1425"/>
      <c r="BT324" s="1425"/>
      <c r="BU324" s="1425"/>
      <c r="BV324" s="1425"/>
      <c r="BW324" s="1425"/>
      <c r="BX324" s="1425"/>
      <c r="BY324" s="1425"/>
      <c r="BZ324" s="1339"/>
    </row>
    <row r="325" spans="26:78" s="174" customFormat="1">
      <c r="Z325" s="1339"/>
      <c r="AA325" s="1443"/>
      <c r="AB325" s="1443"/>
      <c r="AC325" s="1443"/>
      <c r="AD325" s="1443"/>
      <c r="AE325" s="1443"/>
      <c r="AF325" s="1443"/>
      <c r="AG325" s="1443"/>
      <c r="AH325" s="1443"/>
      <c r="AI325" s="1444"/>
      <c r="AJ325" s="1443"/>
      <c r="AK325" s="1443"/>
      <c r="AL325" s="1443"/>
      <c r="AM325" s="1443"/>
      <c r="AN325" s="1443"/>
      <c r="AO325" s="1443"/>
      <c r="AP325" s="1443"/>
      <c r="AQ325" s="1443"/>
      <c r="AR325" s="1443"/>
      <c r="AS325" s="1443"/>
      <c r="AT325" s="1443"/>
      <c r="AU325" s="1443"/>
      <c r="AV325" s="1443"/>
      <c r="AW325" s="1443"/>
      <c r="AX325" s="1443"/>
      <c r="AY325" s="1443"/>
      <c r="AZ325" s="1443"/>
      <c r="BA325" s="1443"/>
      <c r="BB325" s="1443"/>
      <c r="BC325" s="1443"/>
      <c r="BD325" s="1443"/>
      <c r="BE325" s="1443"/>
      <c r="BF325" s="1443"/>
      <c r="BG325" s="1443"/>
      <c r="BH325" s="1443"/>
      <c r="BI325" s="1443"/>
      <c r="BJ325" s="1425"/>
      <c r="BK325" s="1425"/>
      <c r="BL325" s="1425"/>
      <c r="BM325" s="1425"/>
      <c r="BN325" s="1425"/>
      <c r="BO325" s="1425"/>
      <c r="BP325" s="1425"/>
      <c r="BQ325" s="1425"/>
      <c r="BR325" s="1425"/>
      <c r="BS325" s="1425"/>
      <c r="BT325" s="1425"/>
      <c r="BU325" s="1425"/>
      <c r="BV325" s="1425"/>
      <c r="BW325" s="1425"/>
      <c r="BX325" s="1425"/>
      <c r="BY325" s="1425"/>
      <c r="BZ325" s="1339"/>
    </row>
    <row r="326" spans="26:78" s="174" customFormat="1">
      <c r="Z326" s="1339"/>
      <c r="AA326" s="1443"/>
      <c r="AB326" s="1443"/>
      <c r="AC326" s="1443"/>
      <c r="AD326" s="1443"/>
      <c r="AE326" s="1443"/>
      <c r="AF326" s="1443"/>
      <c r="AG326" s="1443"/>
      <c r="AH326" s="1443"/>
      <c r="AI326" s="1444"/>
      <c r="AJ326" s="1443"/>
      <c r="AK326" s="1443"/>
      <c r="AL326" s="1443"/>
      <c r="AM326" s="1443"/>
      <c r="AN326" s="1443"/>
      <c r="AO326" s="1443"/>
      <c r="AP326" s="1443"/>
      <c r="AQ326" s="1443"/>
      <c r="AR326" s="1443"/>
      <c r="AS326" s="1443"/>
      <c r="AT326" s="1443"/>
      <c r="AU326" s="1443"/>
      <c r="AV326" s="1443"/>
      <c r="AW326" s="1443"/>
      <c r="AX326" s="1443"/>
      <c r="AY326" s="1443"/>
      <c r="AZ326" s="1443"/>
      <c r="BA326" s="1443"/>
      <c r="BB326" s="1443"/>
      <c r="BC326" s="1443"/>
      <c r="BD326" s="1443"/>
      <c r="BE326" s="1443"/>
      <c r="BF326" s="1443"/>
      <c r="BG326" s="1443"/>
      <c r="BH326" s="1443"/>
      <c r="BI326" s="1443"/>
      <c r="BJ326" s="1425"/>
      <c r="BK326" s="1425"/>
      <c r="BL326" s="1425"/>
      <c r="BM326" s="1425"/>
      <c r="BN326" s="1425"/>
      <c r="BO326" s="1425"/>
      <c r="BP326" s="1425"/>
      <c r="BQ326" s="1425"/>
      <c r="BR326" s="1425"/>
      <c r="BS326" s="1425"/>
      <c r="BT326" s="1425"/>
      <c r="BU326" s="1425"/>
      <c r="BV326" s="1425"/>
      <c r="BW326" s="1425"/>
      <c r="BX326" s="1425"/>
      <c r="BY326" s="1425"/>
      <c r="BZ326" s="1339"/>
    </row>
    <row r="327" spans="26:78" s="174" customFormat="1">
      <c r="Z327" s="1339"/>
      <c r="AA327" s="1443"/>
      <c r="AB327" s="1443"/>
      <c r="AC327" s="1443"/>
      <c r="AD327" s="1443"/>
      <c r="AE327" s="1443"/>
      <c r="AF327" s="1443"/>
      <c r="AG327" s="1443"/>
      <c r="AH327" s="1443"/>
      <c r="AI327" s="1444"/>
      <c r="AJ327" s="1443"/>
      <c r="AK327" s="1443"/>
      <c r="AL327" s="1443"/>
      <c r="AM327" s="1443"/>
      <c r="AN327" s="1443"/>
      <c r="AO327" s="1443"/>
      <c r="AP327" s="1443"/>
      <c r="AQ327" s="1443"/>
      <c r="AR327" s="1443"/>
      <c r="AS327" s="1443"/>
      <c r="AT327" s="1443"/>
      <c r="AU327" s="1443"/>
      <c r="AV327" s="1443"/>
      <c r="AW327" s="1443"/>
      <c r="AX327" s="1443"/>
      <c r="AY327" s="1443"/>
      <c r="AZ327" s="1443"/>
      <c r="BA327" s="1443"/>
      <c r="BB327" s="1443"/>
      <c r="BC327" s="1443"/>
      <c r="BD327" s="1443"/>
      <c r="BE327" s="1443"/>
      <c r="BF327" s="1443"/>
      <c r="BG327" s="1443"/>
      <c r="BH327" s="1443"/>
      <c r="BI327" s="1443"/>
      <c r="BJ327" s="1425"/>
      <c r="BK327" s="1425"/>
      <c r="BL327" s="1425"/>
      <c r="BM327" s="1425"/>
      <c r="BN327" s="1425"/>
      <c r="BO327" s="1425"/>
      <c r="BP327" s="1425"/>
      <c r="BQ327" s="1425"/>
      <c r="BR327" s="1425"/>
      <c r="BS327" s="1425"/>
      <c r="BT327" s="1425"/>
      <c r="BU327" s="1425"/>
      <c r="BV327" s="1425"/>
      <c r="BW327" s="1425"/>
      <c r="BX327" s="1425"/>
      <c r="BY327" s="1425"/>
      <c r="BZ327" s="1339"/>
    </row>
    <row r="328" spans="26:78" s="174" customFormat="1">
      <c r="Z328" s="1339"/>
      <c r="AA328" s="1443"/>
      <c r="AB328" s="1443"/>
      <c r="AC328" s="1443"/>
      <c r="AD328" s="1443"/>
      <c r="AE328" s="1443"/>
      <c r="AF328" s="1443"/>
      <c r="AG328" s="1443"/>
      <c r="AH328" s="1443"/>
      <c r="AI328" s="1444"/>
      <c r="AJ328" s="1443"/>
      <c r="AK328" s="1443"/>
      <c r="AL328" s="1443"/>
      <c r="AM328" s="1443"/>
      <c r="AN328" s="1443"/>
      <c r="AO328" s="1443"/>
      <c r="AP328" s="1443"/>
      <c r="AQ328" s="1443"/>
      <c r="AR328" s="1443"/>
      <c r="AS328" s="1443"/>
      <c r="AT328" s="1443"/>
      <c r="AU328" s="1443"/>
      <c r="AV328" s="1443"/>
      <c r="AW328" s="1443"/>
      <c r="AX328" s="1443"/>
      <c r="AY328" s="1443"/>
      <c r="AZ328" s="1443"/>
      <c r="BA328" s="1443"/>
      <c r="BB328" s="1443"/>
      <c r="BC328" s="1443"/>
      <c r="BD328" s="1443"/>
      <c r="BE328" s="1443"/>
      <c r="BF328" s="1443"/>
      <c r="BG328" s="1443"/>
      <c r="BH328" s="1443"/>
      <c r="BI328" s="1443"/>
      <c r="BJ328" s="1425"/>
      <c r="BK328" s="1425"/>
      <c r="BL328" s="1425"/>
      <c r="BM328" s="1425"/>
      <c r="BN328" s="1425"/>
      <c r="BO328" s="1425"/>
      <c r="BP328" s="1425"/>
      <c r="BQ328" s="1425"/>
      <c r="BR328" s="1425"/>
      <c r="BS328" s="1425"/>
      <c r="BT328" s="1425"/>
      <c r="BU328" s="1425"/>
      <c r="BV328" s="1425"/>
      <c r="BW328" s="1425"/>
      <c r="BX328" s="1425"/>
      <c r="BY328" s="1425"/>
      <c r="BZ328" s="1339"/>
    </row>
    <row r="329" spans="26:78" s="174" customFormat="1">
      <c r="Z329" s="1339"/>
      <c r="AA329" s="1443"/>
      <c r="AB329" s="1443"/>
      <c r="AC329" s="1443"/>
      <c r="AD329" s="1443"/>
      <c r="AE329" s="1443"/>
      <c r="AF329" s="1443"/>
      <c r="AG329" s="1443"/>
      <c r="AH329" s="1443"/>
      <c r="AI329" s="1444"/>
      <c r="AJ329" s="1443"/>
      <c r="AK329" s="1443"/>
      <c r="AL329" s="1443"/>
      <c r="AM329" s="1443"/>
      <c r="AN329" s="1443"/>
      <c r="AO329" s="1443"/>
      <c r="AP329" s="1443"/>
      <c r="AQ329" s="1443"/>
      <c r="AR329" s="1443"/>
      <c r="AS329" s="1443"/>
      <c r="AT329" s="1443"/>
      <c r="AU329" s="1443"/>
      <c r="AV329" s="1443"/>
      <c r="AW329" s="1443"/>
      <c r="AX329" s="1443"/>
      <c r="AY329" s="1443"/>
      <c r="AZ329" s="1443"/>
      <c r="BA329" s="1443"/>
      <c r="BB329" s="1443"/>
      <c r="BC329" s="1443"/>
      <c r="BD329" s="1443"/>
      <c r="BE329" s="1443"/>
      <c r="BF329" s="1443"/>
      <c r="BG329" s="1443"/>
      <c r="BH329" s="1443"/>
      <c r="BI329" s="1443"/>
      <c r="BJ329" s="1425"/>
      <c r="BK329" s="1425"/>
      <c r="BL329" s="1425"/>
      <c r="BM329" s="1425"/>
      <c r="BN329" s="1425"/>
      <c r="BO329" s="1425"/>
      <c r="BP329" s="1425"/>
      <c r="BQ329" s="1425"/>
      <c r="BR329" s="1425"/>
      <c r="BS329" s="1425"/>
      <c r="BT329" s="1425"/>
      <c r="BU329" s="1425"/>
      <c r="BV329" s="1425"/>
      <c r="BW329" s="1425"/>
      <c r="BX329" s="1425"/>
      <c r="BY329" s="1425"/>
      <c r="BZ329" s="1339"/>
    </row>
    <row r="330" spans="26:78" s="174" customFormat="1">
      <c r="Z330" s="1339"/>
      <c r="AA330" s="1443"/>
      <c r="AB330" s="1443"/>
      <c r="AC330" s="1443"/>
      <c r="AD330" s="1443"/>
      <c r="AE330" s="1443"/>
      <c r="AF330" s="1443"/>
      <c r="AG330" s="1443"/>
      <c r="AH330" s="1443"/>
      <c r="AI330" s="1444"/>
      <c r="AJ330" s="1443"/>
      <c r="AK330" s="1443"/>
      <c r="AL330" s="1443"/>
      <c r="AM330" s="1443"/>
      <c r="AN330" s="1443"/>
      <c r="AO330" s="1443"/>
      <c r="AP330" s="1443"/>
      <c r="AQ330" s="1443"/>
      <c r="AR330" s="1443"/>
      <c r="AS330" s="1443"/>
      <c r="AT330" s="1443"/>
      <c r="AU330" s="1443"/>
      <c r="AV330" s="1443"/>
      <c r="AW330" s="1443"/>
      <c r="AX330" s="1443"/>
      <c r="AY330" s="1443"/>
      <c r="AZ330" s="1443"/>
      <c r="BA330" s="1443"/>
      <c r="BB330" s="1443"/>
      <c r="BC330" s="1443"/>
      <c r="BD330" s="1443"/>
      <c r="BE330" s="1443"/>
      <c r="BF330" s="1443"/>
      <c r="BG330" s="1443"/>
      <c r="BH330" s="1443"/>
      <c r="BI330" s="1443"/>
      <c r="BJ330" s="1425"/>
      <c r="BK330" s="1425"/>
      <c r="BL330" s="1425"/>
      <c r="BM330" s="1425"/>
      <c r="BN330" s="1425"/>
      <c r="BO330" s="1425"/>
      <c r="BP330" s="1425"/>
      <c r="BQ330" s="1425"/>
      <c r="BR330" s="1425"/>
      <c r="BS330" s="1425"/>
      <c r="BT330" s="1425"/>
      <c r="BU330" s="1425"/>
      <c r="BV330" s="1425"/>
      <c r="BW330" s="1425"/>
      <c r="BX330" s="1425"/>
      <c r="BY330" s="1425"/>
      <c r="BZ330" s="1339"/>
    </row>
    <row r="331" spans="26:78" s="174" customFormat="1">
      <c r="Z331" s="1339"/>
      <c r="AA331" s="1443"/>
      <c r="AB331" s="1443"/>
      <c r="AC331" s="1443"/>
      <c r="AD331" s="1443"/>
      <c r="AE331" s="1443"/>
      <c r="AF331" s="1443"/>
      <c r="AG331" s="1443"/>
      <c r="AH331" s="1443"/>
      <c r="AI331" s="1444"/>
      <c r="AJ331" s="1443"/>
      <c r="AK331" s="1443"/>
      <c r="AL331" s="1443"/>
      <c r="AM331" s="1443"/>
      <c r="AN331" s="1443"/>
      <c r="AO331" s="1443"/>
      <c r="AP331" s="1443"/>
      <c r="AQ331" s="1443"/>
      <c r="AR331" s="1443"/>
      <c r="AS331" s="1443"/>
      <c r="AT331" s="1443"/>
      <c r="AU331" s="1443"/>
      <c r="AV331" s="1443"/>
      <c r="AW331" s="1443"/>
      <c r="AX331" s="1443"/>
      <c r="AY331" s="1443"/>
      <c r="AZ331" s="1443"/>
      <c r="BA331" s="1443"/>
      <c r="BB331" s="1443"/>
      <c r="BC331" s="1443"/>
      <c r="BD331" s="1443"/>
      <c r="BE331" s="1443"/>
      <c r="BF331" s="1443"/>
      <c r="BG331" s="1443"/>
      <c r="BH331" s="1443"/>
      <c r="BI331" s="1443"/>
      <c r="BJ331" s="1425"/>
      <c r="BK331" s="1425"/>
      <c r="BL331" s="1425"/>
      <c r="BM331" s="1425"/>
      <c r="BN331" s="1425"/>
      <c r="BO331" s="1425"/>
      <c r="BP331" s="1425"/>
      <c r="BQ331" s="1425"/>
      <c r="BR331" s="1425"/>
      <c r="BS331" s="1425"/>
      <c r="BT331" s="1425"/>
      <c r="BU331" s="1425"/>
      <c r="BV331" s="1425"/>
      <c r="BW331" s="1425"/>
      <c r="BX331" s="1425"/>
      <c r="BY331" s="1425"/>
      <c r="BZ331" s="1339"/>
    </row>
    <row r="332" spans="26:78" s="174" customFormat="1">
      <c r="Z332" s="1339"/>
      <c r="AA332" s="1443"/>
      <c r="AB332" s="1443"/>
      <c r="AC332" s="1443"/>
      <c r="AD332" s="1443"/>
      <c r="AE332" s="1443"/>
      <c r="AF332" s="1443"/>
      <c r="AG332" s="1443"/>
      <c r="AH332" s="1443"/>
      <c r="AI332" s="1444"/>
      <c r="AJ332" s="1443"/>
      <c r="AK332" s="1443"/>
      <c r="AL332" s="1443"/>
      <c r="AM332" s="1443"/>
      <c r="AN332" s="1443"/>
      <c r="AO332" s="1443"/>
      <c r="AP332" s="1443"/>
      <c r="AQ332" s="1443"/>
      <c r="AR332" s="1443"/>
      <c r="AS332" s="1443"/>
      <c r="AT332" s="1443"/>
      <c r="AU332" s="1443"/>
      <c r="AV332" s="1443"/>
      <c r="AW332" s="1443"/>
      <c r="AX332" s="1443"/>
      <c r="AY332" s="1443"/>
      <c r="AZ332" s="1443"/>
      <c r="BA332" s="1443"/>
      <c r="BB332" s="1443"/>
      <c r="BC332" s="1443"/>
      <c r="BD332" s="1443"/>
      <c r="BE332" s="1443"/>
      <c r="BF332" s="1443"/>
      <c r="BG332" s="1443"/>
      <c r="BH332" s="1443"/>
      <c r="BI332" s="1443"/>
      <c r="BJ332" s="1425"/>
      <c r="BK332" s="1425"/>
      <c r="BL332" s="1425"/>
      <c r="BM332" s="1425"/>
      <c r="BN332" s="1425"/>
      <c r="BO332" s="1425"/>
      <c r="BP332" s="1425"/>
      <c r="BQ332" s="1425"/>
      <c r="BR332" s="1425"/>
      <c r="BS332" s="1425"/>
      <c r="BT332" s="1425"/>
      <c r="BU332" s="1425"/>
      <c r="BV332" s="1425"/>
      <c r="BW332" s="1425"/>
      <c r="BX332" s="1425"/>
      <c r="BY332" s="1425"/>
      <c r="BZ332" s="1339"/>
    </row>
    <row r="333" spans="26:78" s="174" customFormat="1">
      <c r="Z333" s="1339"/>
      <c r="AA333" s="1443"/>
      <c r="AB333" s="1443"/>
      <c r="AC333" s="1443"/>
      <c r="AD333" s="1443"/>
      <c r="AE333" s="1443"/>
      <c r="AF333" s="1443"/>
      <c r="AG333" s="1443"/>
      <c r="AH333" s="1443"/>
      <c r="AI333" s="1444"/>
      <c r="AJ333" s="1443"/>
      <c r="AK333" s="1443"/>
      <c r="AL333" s="1443"/>
      <c r="AM333" s="1443"/>
      <c r="AN333" s="1443"/>
      <c r="AO333" s="1443"/>
      <c r="AP333" s="1443"/>
      <c r="AQ333" s="1443"/>
      <c r="AR333" s="1443"/>
      <c r="AS333" s="1443"/>
      <c r="AT333" s="1443"/>
      <c r="AU333" s="1443"/>
      <c r="AV333" s="1443"/>
      <c r="AW333" s="1443"/>
      <c r="AX333" s="1443"/>
      <c r="AY333" s="1443"/>
      <c r="AZ333" s="1443"/>
      <c r="BA333" s="1443"/>
      <c r="BB333" s="1443"/>
      <c r="BC333" s="1443"/>
      <c r="BD333" s="1443"/>
      <c r="BE333" s="1443"/>
      <c r="BF333" s="1443"/>
      <c r="BG333" s="1443"/>
      <c r="BH333" s="1443"/>
      <c r="BI333" s="1443"/>
      <c r="BJ333" s="1425"/>
      <c r="BK333" s="1425"/>
      <c r="BL333" s="1425"/>
      <c r="BM333" s="1425"/>
      <c r="BN333" s="1425"/>
      <c r="BO333" s="1425"/>
      <c r="BP333" s="1425"/>
      <c r="BQ333" s="1425"/>
      <c r="BR333" s="1425"/>
      <c r="BS333" s="1425"/>
      <c r="BT333" s="1425"/>
      <c r="BU333" s="1425"/>
      <c r="BV333" s="1425"/>
      <c r="BW333" s="1425"/>
      <c r="BX333" s="1425"/>
      <c r="BY333" s="1425"/>
      <c r="BZ333" s="1339"/>
    </row>
    <row r="334" spans="26:78" s="174" customFormat="1">
      <c r="Z334" s="1339"/>
      <c r="AA334" s="1443"/>
      <c r="AB334" s="1443"/>
      <c r="AC334" s="1443"/>
      <c r="AD334" s="1443"/>
      <c r="AE334" s="1443"/>
      <c r="AF334" s="1443"/>
      <c r="AG334" s="1443"/>
      <c r="AH334" s="1443"/>
      <c r="AI334" s="1444"/>
      <c r="AJ334" s="1443"/>
      <c r="AK334" s="1443"/>
      <c r="AL334" s="1443"/>
      <c r="AM334" s="1443"/>
      <c r="AN334" s="1443"/>
      <c r="AO334" s="1443"/>
      <c r="AP334" s="1443"/>
      <c r="AQ334" s="1443"/>
      <c r="AR334" s="1443"/>
      <c r="AS334" s="1443"/>
      <c r="AT334" s="1443"/>
      <c r="AU334" s="1443"/>
      <c r="AV334" s="1443"/>
      <c r="AW334" s="1443"/>
      <c r="AX334" s="1443"/>
      <c r="AY334" s="1443"/>
      <c r="AZ334" s="1443"/>
      <c r="BA334" s="1443"/>
      <c r="BB334" s="1443"/>
      <c r="BC334" s="1443"/>
      <c r="BD334" s="1443"/>
      <c r="BE334" s="1443"/>
      <c r="BF334" s="1443"/>
      <c r="BG334" s="1443"/>
      <c r="BH334" s="1443"/>
      <c r="BI334" s="1443"/>
      <c r="BJ334" s="1425"/>
      <c r="BK334" s="1425"/>
      <c r="BL334" s="1425"/>
      <c r="BM334" s="1425"/>
      <c r="BN334" s="1425"/>
      <c r="BO334" s="1425"/>
      <c r="BP334" s="1425"/>
      <c r="BQ334" s="1425"/>
      <c r="BR334" s="1425"/>
      <c r="BS334" s="1425"/>
      <c r="BT334" s="1425"/>
      <c r="BU334" s="1425"/>
      <c r="BV334" s="1425"/>
      <c r="BW334" s="1425"/>
      <c r="BX334" s="1425"/>
      <c r="BY334" s="1425"/>
      <c r="BZ334" s="1339"/>
    </row>
    <row r="335" spans="26:78" s="174" customFormat="1">
      <c r="Z335" s="1339"/>
      <c r="AA335" s="1443"/>
      <c r="AB335" s="1443"/>
      <c r="AC335" s="1443"/>
      <c r="AD335" s="1443"/>
      <c r="AE335" s="1443"/>
      <c r="AF335" s="1443"/>
      <c r="AG335" s="1443"/>
      <c r="AH335" s="1443"/>
      <c r="AI335" s="1444"/>
      <c r="AJ335" s="1443"/>
      <c r="AK335" s="1443"/>
      <c r="AL335" s="1443"/>
      <c r="AM335" s="1443"/>
      <c r="AN335" s="1443"/>
      <c r="AO335" s="1443"/>
      <c r="AP335" s="1443"/>
      <c r="AQ335" s="1443"/>
      <c r="AR335" s="1443"/>
      <c r="AS335" s="1443"/>
      <c r="AT335" s="1443"/>
      <c r="AU335" s="1443"/>
      <c r="AV335" s="1443"/>
      <c r="AW335" s="1443"/>
      <c r="AX335" s="1443"/>
      <c r="AY335" s="1443"/>
      <c r="AZ335" s="1443"/>
      <c r="BA335" s="1443"/>
      <c r="BB335" s="1443"/>
      <c r="BC335" s="1443"/>
      <c r="BD335" s="1443"/>
      <c r="BE335" s="1443"/>
      <c r="BF335" s="1443"/>
      <c r="BG335" s="1443"/>
      <c r="BH335" s="1443"/>
      <c r="BI335" s="1443"/>
      <c r="BJ335" s="1425"/>
      <c r="BK335" s="1425"/>
      <c r="BL335" s="1425"/>
      <c r="BM335" s="1425"/>
      <c r="BN335" s="1425"/>
      <c r="BO335" s="1425"/>
      <c r="BP335" s="1425"/>
      <c r="BQ335" s="1425"/>
      <c r="BR335" s="1425"/>
      <c r="BS335" s="1425"/>
      <c r="BT335" s="1425"/>
      <c r="BU335" s="1425"/>
      <c r="BV335" s="1425"/>
      <c r="BW335" s="1425"/>
      <c r="BX335" s="1425"/>
      <c r="BY335" s="1425"/>
      <c r="BZ335" s="1339"/>
    </row>
    <row r="336" spans="26:78" s="174" customFormat="1">
      <c r="Z336" s="1339"/>
      <c r="AA336" s="1443"/>
      <c r="AB336" s="1443"/>
      <c r="AC336" s="1443"/>
      <c r="AD336" s="1443"/>
      <c r="AE336" s="1443"/>
      <c r="AF336" s="1443"/>
      <c r="AG336" s="1443"/>
      <c r="AH336" s="1443"/>
      <c r="AI336" s="1444"/>
      <c r="AJ336" s="1443"/>
      <c r="AK336" s="1443"/>
      <c r="AL336" s="1443"/>
      <c r="AM336" s="1443"/>
      <c r="AN336" s="1443"/>
      <c r="AO336" s="1443"/>
      <c r="AP336" s="1443"/>
      <c r="AQ336" s="1443"/>
      <c r="AR336" s="1443"/>
      <c r="AS336" s="1443"/>
      <c r="AT336" s="1443"/>
      <c r="AU336" s="1443"/>
      <c r="AV336" s="1443"/>
      <c r="AW336" s="1443"/>
      <c r="AX336" s="1443"/>
      <c r="AY336" s="1443"/>
      <c r="AZ336" s="1443"/>
      <c r="BA336" s="1443"/>
      <c r="BB336" s="1443"/>
      <c r="BC336" s="1443"/>
      <c r="BD336" s="1443"/>
      <c r="BE336" s="1443"/>
      <c r="BF336" s="1443"/>
      <c r="BG336" s="1443"/>
      <c r="BH336" s="1443"/>
      <c r="BI336" s="1443"/>
      <c r="BJ336" s="1425"/>
      <c r="BK336" s="1425"/>
      <c r="BL336" s="1425"/>
      <c r="BM336" s="1425"/>
      <c r="BN336" s="1425"/>
      <c r="BO336" s="1425"/>
      <c r="BP336" s="1425"/>
      <c r="BQ336" s="1425"/>
      <c r="BR336" s="1425"/>
      <c r="BS336" s="1425"/>
      <c r="BT336" s="1425"/>
      <c r="BU336" s="1425"/>
      <c r="BV336" s="1425"/>
      <c r="BW336" s="1425"/>
      <c r="BX336" s="1425"/>
      <c r="BY336" s="1425"/>
      <c r="BZ336" s="1339"/>
    </row>
    <row r="337" spans="26:78" s="174" customFormat="1">
      <c r="Z337" s="1339"/>
      <c r="AA337" s="1443"/>
      <c r="AB337" s="1443"/>
      <c r="AC337" s="1443"/>
      <c r="AD337" s="1443"/>
      <c r="AE337" s="1443"/>
      <c r="AF337" s="1443"/>
      <c r="AG337" s="1443"/>
      <c r="AH337" s="1443"/>
      <c r="AI337" s="1444"/>
      <c r="AJ337" s="1443"/>
      <c r="AK337" s="1443"/>
      <c r="AL337" s="1443"/>
      <c r="AM337" s="1443"/>
      <c r="AN337" s="1443"/>
      <c r="AO337" s="1443"/>
      <c r="AP337" s="1443"/>
      <c r="AQ337" s="1443"/>
      <c r="AR337" s="1443"/>
      <c r="AS337" s="1443"/>
      <c r="AT337" s="1443"/>
      <c r="AU337" s="1443"/>
      <c r="AV337" s="1443"/>
      <c r="AW337" s="1443"/>
      <c r="AX337" s="1443"/>
      <c r="AY337" s="1443"/>
      <c r="AZ337" s="1443"/>
      <c r="BA337" s="1443"/>
      <c r="BB337" s="1443"/>
      <c r="BC337" s="1443"/>
      <c r="BD337" s="1443"/>
      <c r="BE337" s="1443"/>
      <c r="BF337" s="1443"/>
      <c r="BG337" s="1443"/>
      <c r="BH337" s="1443"/>
      <c r="BI337" s="1443"/>
      <c r="BJ337" s="1425"/>
      <c r="BK337" s="1425"/>
      <c r="BL337" s="1425"/>
      <c r="BM337" s="1425"/>
      <c r="BN337" s="1425"/>
      <c r="BO337" s="1425"/>
      <c r="BP337" s="1425"/>
      <c r="BQ337" s="1425"/>
      <c r="BR337" s="1425"/>
      <c r="BS337" s="1425"/>
      <c r="BT337" s="1425"/>
      <c r="BU337" s="1425"/>
      <c r="BV337" s="1425"/>
      <c r="BW337" s="1425"/>
      <c r="BX337" s="1425"/>
      <c r="BY337" s="1425"/>
      <c r="BZ337" s="1339"/>
    </row>
    <row r="338" spans="26:78" s="174" customFormat="1">
      <c r="Z338" s="1339"/>
      <c r="AA338" s="1443"/>
      <c r="AB338" s="1443"/>
      <c r="AC338" s="1443"/>
      <c r="AD338" s="1443"/>
      <c r="AE338" s="1443"/>
      <c r="AF338" s="1443"/>
      <c r="AG338" s="1443"/>
      <c r="AH338" s="1443"/>
      <c r="AI338" s="1444"/>
      <c r="AJ338" s="1443"/>
      <c r="AK338" s="1443"/>
      <c r="AL338" s="1443"/>
      <c r="AM338" s="1443"/>
      <c r="AN338" s="1443"/>
      <c r="AO338" s="1443"/>
      <c r="AP338" s="1443"/>
      <c r="AQ338" s="1443"/>
      <c r="AR338" s="1443"/>
      <c r="AS338" s="1443"/>
      <c r="AT338" s="1443"/>
      <c r="AU338" s="1443"/>
      <c r="AV338" s="1443"/>
      <c r="AW338" s="1443"/>
      <c r="AX338" s="1443"/>
      <c r="AY338" s="1443"/>
      <c r="AZ338" s="1443"/>
      <c r="BA338" s="1443"/>
      <c r="BB338" s="1443"/>
      <c r="BC338" s="1443"/>
      <c r="BD338" s="1443"/>
      <c r="BE338" s="1443"/>
      <c r="BF338" s="1443"/>
      <c r="BG338" s="1443"/>
      <c r="BH338" s="1443"/>
      <c r="BI338" s="1443"/>
      <c r="BJ338" s="1425"/>
      <c r="BK338" s="1425"/>
      <c r="BL338" s="1425"/>
      <c r="BM338" s="1425"/>
      <c r="BN338" s="1425"/>
      <c r="BO338" s="1425"/>
      <c r="BP338" s="1425"/>
      <c r="BQ338" s="1425"/>
      <c r="BR338" s="1425"/>
      <c r="BS338" s="1425"/>
      <c r="BT338" s="1425"/>
      <c r="BU338" s="1425"/>
      <c r="BV338" s="1425"/>
      <c r="BW338" s="1425"/>
      <c r="BX338" s="1425"/>
      <c r="BY338" s="1425"/>
      <c r="BZ338" s="1339"/>
    </row>
    <row r="339" spans="26:78" s="174" customFormat="1">
      <c r="Z339" s="1339"/>
      <c r="AA339" s="1443"/>
      <c r="AB339" s="1443"/>
      <c r="AC339" s="1443"/>
      <c r="AD339" s="1443"/>
      <c r="AE339" s="1443"/>
      <c r="AF339" s="1443"/>
      <c r="AG339" s="1443"/>
      <c r="AH339" s="1443"/>
      <c r="AI339" s="1444"/>
      <c r="AJ339" s="1443"/>
      <c r="AK339" s="1443"/>
      <c r="AL339" s="1443"/>
      <c r="AM339" s="1443"/>
      <c r="AN339" s="1443"/>
      <c r="AO339" s="1443"/>
      <c r="AP339" s="1443"/>
      <c r="AQ339" s="1443"/>
      <c r="AR339" s="1443"/>
      <c r="AS339" s="1443"/>
      <c r="AT339" s="1443"/>
      <c r="AU339" s="1443"/>
      <c r="AV339" s="1443"/>
      <c r="AW339" s="1443"/>
      <c r="AX339" s="1443"/>
      <c r="AY339" s="1443"/>
      <c r="AZ339" s="1443"/>
      <c r="BA339" s="1443"/>
      <c r="BB339" s="1443"/>
      <c r="BC339" s="1443"/>
      <c r="BD339" s="1443"/>
      <c r="BE339" s="1443"/>
      <c r="BF339" s="1443"/>
      <c r="BG339" s="1443"/>
      <c r="BH339" s="1443"/>
      <c r="BI339" s="1443"/>
      <c r="BJ339" s="1425"/>
      <c r="BK339" s="1425"/>
      <c r="BL339" s="1425"/>
      <c r="BM339" s="1425"/>
      <c r="BN339" s="1425"/>
      <c r="BO339" s="1425"/>
      <c r="BP339" s="1425"/>
      <c r="BQ339" s="1425"/>
      <c r="BR339" s="1425"/>
      <c r="BS339" s="1425"/>
      <c r="BT339" s="1425"/>
      <c r="BU339" s="1425"/>
      <c r="BV339" s="1425"/>
      <c r="BW339" s="1425"/>
      <c r="BX339" s="1425"/>
      <c r="BY339" s="1425"/>
      <c r="BZ339" s="1339"/>
    </row>
    <row r="340" spans="26:78" s="174" customFormat="1">
      <c r="Z340" s="1339"/>
      <c r="AA340" s="1443"/>
      <c r="AB340" s="1443"/>
      <c r="AC340" s="1443"/>
      <c r="AD340" s="1443"/>
      <c r="AE340" s="1443"/>
      <c r="AF340" s="1443"/>
      <c r="AG340" s="1443"/>
      <c r="AH340" s="1443"/>
      <c r="AI340" s="1444"/>
      <c r="AJ340" s="1443"/>
      <c r="AK340" s="1443"/>
      <c r="AL340" s="1443"/>
      <c r="AM340" s="1443"/>
      <c r="AN340" s="1443"/>
      <c r="AO340" s="1443"/>
      <c r="AP340" s="1443"/>
      <c r="AQ340" s="1443"/>
      <c r="AR340" s="1443"/>
      <c r="AS340" s="1443"/>
      <c r="AT340" s="1443"/>
      <c r="AU340" s="1443"/>
      <c r="AV340" s="1443"/>
      <c r="AW340" s="1443"/>
      <c r="AX340" s="1443"/>
      <c r="AY340" s="1443"/>
      <c r="AZ340" s="1443"/>
      <c r="BA340" s="1443"/>
      <c r="BB340" s="1443"/>
      <c r="BC340" s="1443"/>
      <c r="BD340" s="1443"/>
      <c r="BE340" s="1443"/>
      <c r="BF340" s="1443"/>
      <c r="BG340" s="1443"/>
      <c r="BH340" s="1443"/>
      <c r="BI340" s="1443"/>
      <c r="BJ340" s="1425"/>
      <c r="BK340" s="1425"/>
      <c r="BL340" s="1425"/>
      <c r="BM340" s="1425"/>
      <c r="BN340" s="1425"/>
      <c r="BO340" s="1425"/>
      <c r="BP340" s="1425"/>
      <c r="BQ340" s="1425"/>
      <c r="BR340" s="1425"/>
      <c r="BS340" s="1425"/>
      <c r="BT340" s="1425"/>
      <c r="BU340" s="1425"/>
      <c r="BV340" s="1425"/>
      <c r="BW340" s="1425"/>
      <c r="BX340" s="1425"/>
      <c r="BY340" s="1425"/>
      <c r="BZ340" s="1339"/>
    </row>
    <row r="341" spans="26:78" s="174" customFormat="1">
      <c r="Z341" s="1339"/>
      <c r="AA341" s="1443"/>
      <c r="AB341" s="1443"/>
      <c r="AC341" s="1443"/>
      <c r="AD341" s="1443"/>
      <c r="AE341" s="1443"/>
      <c r="AF341" s="1443"/>
      <c r="AG341" s="1443"/>
      <c r="AH341" s="1443"/>
      <c r="AI341" s="1444"/>
      <c r="AJ341" s="1443"/>
      <c r="AK341" s="1443"/>
      <c r="AL341" s="1443"/>
      <c r="AM341" s="1443"/>
      <c r="AN341" s="1443"/>
      <c r="AO341" s="1443"/>
      <c r="AP341" s="1443"/>
      <c r="AQ341" s="1443"/>
      <c r="AR341" s="1443"/>
      <c r="AS341" s="1443"/>
      <c r="AT341" s="1443"/>
      <c r="AU341" s="1443"/>
      <c r="AV341" s="1443"/>
      <c r="AW341" s="1443"/>
      <c r="AX341" s="1443"/>
      <c r="AY341" s="1443"/>
      <c r="AZ341" s="1443"/>
      <c r="BA341" s="1443"/>
      <c r="BB341" s="1443"/>
      <c r="BC341" s="1443"/>
      <c r="BD341" s="1443"/>
      <c r="BE341" s="1443"/>
      <c r="BF341" s="1443"/>
      <c r="BG341" s="1443"/>
      <c r="BH341" s="1443"/>
      <c r="BI341" s="1443"/>
      <c r="BJ341" s="1425"/>
      <c r="BK341" s="1425"/>
      <c r="BL341" s="1425"/>
      <c r="BM341" s="1425"/>
      <c r="BN341" s="1425"/>
      <c r="BO341" s="1425"/>
      <c r="BP341" s="1425"/>
      <c r="BQ341" s="1425"/>
      <c r="BR341" s="1425"/>
      <c r="BS341" s="1425"/>
      <c r="BT341" s="1425"/>
      <c r="BU341" s="1425"/>
      <c r="BV341" s="1425"/>
      <c r="BW341" s="1425"/>
      <c r="BX341" s="1425"/>
      <c r="BY341" s="1425"/>
      <c r="BZ341" s="1339"/>
    </row>
    <row r="342" spans="26:78" s="174" customFormat="1">
      <c r="Z342" s="1339"/>
      <c r="AA342" s="1443"/>
      <c r="AB342" s="1443"/>
      <c r="AC342" s="1443"/>
      <c r="AD342" s="1443"/>
      <c r="AE342" s="1443"/>
      <c r="AF342" s="1443"/>
      <c r="AG342" s="1443"/>
      <c r="AH342" s="1443"/>
      <c r="AI342" s="1444"/>
      <c r="AJ342" s="1443"/>
      <c r="AK342" s="1443"/>
      <c r="AL342" s="1443"/>
      <c r="AM342" s="1443"/>
      <c r="AN342" s="1443"/>
      <c r="AO342" s="1443"/>
      <c r="AP342" s="1443"/>
      <c r="AQ342" s="1443"/>
      <c r="AR342" s="1443"/>
      <c r="AS342" s="1443"/>
      <c r="AT342" s="1443"/>
      <c r="AU342" s="1443"/>
      <c r="AV342" s="1443"/>
      <c r="AW342" s="1443"/>
      <c r="AX342" s="1443"/>
      <c r="AY342" s="1443"/>
      <c r="AZ342" s="1443"/>
      <c r="BA342" s="1443"/>
      <c r="BB342" s="1443"/>
      <c r="BC342" s="1443"/>
      <c r="BD342" s="1443"/>
      <c r="BE342" s="1443"/>
      <c r="BF342" s="1443"/>
      <c r="BG342" s="1443"/>
      <c r="BH342" s="1443"/>
      <c r="BI342" s="1443"/>
      <c r="BJ342" s="1425"/>
      <c r="BK342" s="1425"/>
      <c r="BL342" s="1425"/>
      <c r="BM342" s="1425"/>
      <c r="BN342" s="1425"/>
      <c r="BO342" s="1425"/>
      <c r="BP342" s="1425"/>
      <c r="BQ342" s="1425"/>
      <c r="BR342" s="1425"/>
      <c r="BS342" s="1425"/>
      <c r="BT342" s="1425"/>
      <c r="BU342" s="1425"/>
      <c r="BV342" s="1425"/>
      <c r="BW342" s="1425"/>
      <c r="BX342" s="1425"/>
      <c r="BY342" s="1425"/>
      <c r="BZ342" s="1339"/>
    </row>
    <row r="343" spans="26:78" s="174" customFormat="1">
      <c r="Z343" s="1339"/>
      <c r="AA343" s="1443"/>
      <c r="AB343" s="1443"/>
      <c r="AC343" s="1443"/>
      <c r="AD343" s="1443"/>
      <c r="AE343" s="1443"/>
      <c r="AF343" s="1443"/>
      <c r="AG343" s="1443"/>
      <c r="AH343" s="1443"/>
      <c r="AI343" s="1444"/>
      <c r="AJ343" s="1443"/>
      <c r="AK343" s="1443"/>
      <c r="AL343" s="1443"/>
      <c r="AM343" s="1443"/>
      <c r="AN343" s="1443"/>
      <c r="AO343" s="1443"/>
      <c r="AP343" s="1443"/>
      <c r="AQ343" s="1443"/>
      <c r="AR343" s="1443"/>
      <c r="AS343" s="1443"/>
      <c r="AT343" s="1443"/>
      <c r="AU343" s="1443"/>
      <c r="AV343" s="1443"/>
      <c r="AW343" s="1443"/>
      <c r="AX343" s="1443"/>
      <c r="AY343" s="1443"/>
      <c r="AZ343" s="1443"/>
      <c r="BA343" s="1443"/>
      <c r="BB343" s="1443"/>
      <c r="BC343" s="1443"/>
      <c r="BD343" s="1443"/>
      <c r="BE343" s="1443"/>
      <c r="BF343" s="1443"/>
      <c r="BG343" s="1443"/>
      <c r="BH343" s="1443"/>
      <c r="BI343" s="1443"/>
      <c r="BJ343" s="1425"/>
      <c r="BK343" s="1425"/>
      <c r="BL343" s="1425"/>
      <c r="BM343" s="1425"/>
      <c r="BN343" s="1425"/>
      <c r="BO343" s="1425"/>
      <c r="BP343" s="1425"/>
      <c r="BQ343" s="1425"/>
      <c r="BR343" s="1425"/>
      <c r="BS343" s="1425"/>
      <c r="BT343" s="1425"/>
      <c r="BU343" s="1425"/>
      <c r="BV343" s="1425"/>
      <c r="BW343" s="1425"/>
      <c r="BX343" s="1425"/>
      <c r="BY343" s="1425"/>
      <c r="BZ343" s="1339"/>
    </row>
    <row r="344" spans="26:78" s="174" customFormat="1">
      <c r="Z344" s="1339"/>
      <c r="AA344" s="1443"/>
      <c r="AB344" s="1443"/>
      <c r="AC344" s="1443"/>
      <c r="AD344" s="1443"/>
      <c r="AE344" s="1443"/>
      <c r="AF344" s="1443"/>
      <c r="AG344" s="1443"/>
      <c r="AH344" s="1443"/>
      <c r="AI344" s="1444"/>
      <c r="AJ344" s="1443"/>
      <c r="AK344" s="1443"/>
      <c r="AL344" s="1443"/>
      <c r="AM344" s="1443"/>
      <c r="AN344" s="1443"/>
      <c r="AO344" s="1443"/>
      <c r="AP344" s="1443"/>
      <c r="AQ344" s="1443"/>
      <c r="AR344" s="1443"/>
      <c r="AS344" s="1443"/>
      <c r="AT344" s="1443"/>
      <c r="AU344" s="1443"/>
      <c r="AV344" s="1443"/>
      <c r="AW344" s="1443"/>
      <c r="AX344" s="1443"/>
      <c r="AY344" s="1443"/>
      <c r="AZ344" s="1443"/>
      <c r="BA344" s="1443"/>
      <c r="BB344" s="1443"/>
      <c r="BC344" s="1443"/>
      <c r="BD344" s="1443"/>
      <c r="BE344" s="1443"/>
      <c r="BF344" s="1443"/>
      <c r="BG344" s="1443"/>
      <c r="BH344" s="1443"/>
      <c r="BI344" s="1443"/>
      <c r="BJ344" s="1425"/>
      <c r="BK344" s="1425"/>
      <c r="BL344" s="1425"/>
      <c r="BM344" s="1425"/>
      <c r="BN344" s="1425"/>
      <c r="BO344" s="1425"/>
      <c r="BP344" s="1425"/>
      <c r="BQ344" s="1425"/>
      <c r="BR344" s="1425"/>
      <c r="BS344" s="1425"/>
      <c r="BT344" s="1425"/>
      <c r="BU344" s="1425"/>
      <c r="BV344" s="1425"/>
      <c r="BW344" s="1425"/>
      <c r="BX344" s="1425"/>
      <c r="BY344" s="1425"/>
      <c r="BZ344" s="1339"/>
    </row>
    <row r="345" spans="26:78" s="174" customFormat="1">
      <c r="Z345" s="1339"/>
      <c r="AA345" s="1443"/>
      <c r="AB345" s="1443"/>
      <c r="AC345" s="1443"/>
      <c r="AD345" s="1443"/>
      <c r="AE345" s="1443"/>
      <c r="AF345" s="1443"/>
      <c r="AG345" s="1443"/>
      <c r="AH345" s="1443"/>
      <c r="AI345" s="1444"/>
      <c r="AJ345" s="1443"/>
      <c r="AK345" s="1443"/>
      <c r="AL345" s="1443"/>
      <c r="AM345" s="1443"/>
      <c r="AN345" s="1443"/>
      <c r="AO345" s="1443"/>
      <c r="AP345" s="1443"/>
      <c r="AQ345" s="1443"/>
      <c r="AR345" s="1443"/>
      <c r="AS345" s="1443"/>
      <c r="AT345" s="1443"/>
      <c r="AU345" s="1443"/>
      <c r="AV345" s="1443"/>
      <c r="AW345" s="1443"/>
      <c r="AX345" s="1443"/>
      <c r="AY345" s="1443"/>
      <c r="AZ345" s="1443"/>
      <c r="BA345" s="1443"/>
      <c r="BB345" s="1443"/>
      <c r="BC345" s="1443"/>
      <c r="BD345" s="1443"/>
      <c r="BE345" s="1443"/>
      <c r="BF345" s="1443"/>
      <c r="BG345" s="1443"/>
      <c r="BH345" s="1443"/>
      <c r="BI345" s="1443"/>
      <c r="BJ345" s="1425"/>
      <c r="BK345" s="1425"/>
      <c r="BL345" s="1425"/>
      <c r="BM345" s="1425"/>
      <c r="BN345" s="1425"/>
      <c r="BO345" s="1425"/>
      <c r="BP345" s="1425"/>
      <c r="BQ345" s="1425"/>
      <c r="BR345" s="1425"/>
      <c r="BS345" s="1425"/>
      <c r="BT345" s="1425"/>
      <c r="BU345" s="1425"/>
      <c r="BV345" s="1425"/>
      <c r="BW345" s="1425"/>
      <c r="BX345" s="1425"/>
      <c r="BY345" s="1425"/>
      <c r="BZ345" s="1339"/>
    </row>
    <row r="346" spans="26:78" s="174" customFormat="1">
      <c r="Z346" s="1339"/>
      <c r="AA346" s="1443"/>
      <c r="AB346" s="1443"/>
      <c r="AC346" s="1443"/>
      <c r="AD346" s="1443"/>
      <c r="AE346" s="1443"/>
      <c r="AF346" s="1443"/>
      <c r="AG346" s="1443"/>
      <c r="AH346" s="1443"/>
      <c r="AI346" s="1444"/>
      <c r="AJ346" s="1443"/>
      <c r="AK346" s="1443"/>
      <c r="AL346" s="1443"/>
      <c r="AM346" s="1443"/>
      <c r="AN346" s="1443"/>
      <c r="AO346" s="1443"/>
      <c r="AP346" s="1443"/>
      <c r="AQ346" s="1443"/>
      <c r="AR346" s="1443"/>
      <c r="AS346" s="1443"/>
      <c r="AT346" s="1443"/>
      <c r="AU346" s="1443"/>
      <c r="AV346" s="1443"/>
      <c r="AW346" s="1443"/>
      <c r="AX346" s="1443"/>
      <c r="AY346" s="1443"/>
      <c r="AZ346" s="1443"/>
      <c r="BA346" s="1443"/>
      <c r="BB346" s="1443"/>
      <c r="BC346" s="1443"/>
      <c r="BD346" s="1443"/>
      <c r="BE346" s="1443"/>
      <c r="BF346" s="1443"/>
      <c r="BG346" s="1443"/>
      <c r="BH346" s="1443"/>
      <c r="BI346" s="1443"/>
      <c r="BJ346" s="1425"/>
      <c r="BK346" s="1425"/>
      <c r="BL346" s="1425"/>
      <c r="BM346" s="1425"/>
      <c r="BN346" s="1425"/>
      <c r="BO346" s="1425"/>
      <c r="BP346" s="1425"/>
      <c r="BQ346" s="1425"/>
      <c r="BR346" s="1425"/>
      <c r="BS346" s="1425"/>
      <c r="BT346" s="1425"/>
      <c r="BU346" s="1425"/>
      <c r="BV346" s="1425"/>
      <c r="BW346" s="1425"/>
      <c r="BX346" s="1425"/>
      <c r="BY346" s="1425"/>
      <c r="BZ346" s="1339"/>
    </row>
    <row r="347" spans="26:78" s="174" customFormat="1">
      <c r="Z347" s="1339"/>
      <c r="AA347" s="1443"/>
      <c r="AB347" s="1443"/>
      <c r="AC347" s="1443"/>
      <c r="AD347" s="1443"/>
      <c r="AE347" s="1443"/>
      <c r="AF347" s="1443"/>
      <c r="AG347" s="1443"/>
      <c r="AH347" s="1443"/>
      <c r="AI347" s="1444"/>
      <c r="AJ347" s="1443"/>
      <c r="AK347" s="1443"/>
      <c r="AL347" s="1443"/>
      <c r="AM347" s="1443"/>
      <c r="AN347" s="1443"/>
      <c r="AO347" s="1443"/>
      <c r="AP347" s="1443"/>
      <c r="AQ347" s="1443"/>
      <c r="AR347" s="1443"/>
      <c r="AS347" s="1443"/>
      <c r="AT347" s="1443"/>
      <c r="AU347" s="1443"/>
      <c r="AV347" s="1443"/>
      <c r="AW347" s="1443"/>
      <c r="AX347" s="1443"/>
      <c r="AY347" s="1443"/>
      <c r="AZ347" s="1443"/>
      <c r="BA347" s="1443"/>
      <c r="BB347" s="1443"/>
      <c r="BC347" s="1443"/>
      <c r="BD347" s="1443"/>
      <c r="BE347" s="1443"/>
      <c r="BF347" s="1443"/>
      <c r="BG347" s="1443"/>
      <c r="BH347" s="1443"/>
      <c r="BI347" s="1443"/>
      <c r="BJ347" s="1425"/>
      <c r="BK347" s="1425"/>
      <c r="BL347" s="1425"/>
      <c r="BM347" s="1425"/>
      <c r="BN347" s="1425"/>
      <c r="BO347" s="1425"/>
      <c r="BP347" s="1425"/>
      <c r="BQ347" s="1425"/>
      <c r="BR347" s="1425"/>
      <c r="BS347" s="1425"/>
      <c r="BT347" s="1425"/>
      <c r="BU347" s="1425"/>
      <c r="BV347" s="1425"/>
      <c r="BW347" s="1425"/>
      <c r="BX347" s="1425"/>
      <c r="BY347" s="1425"/>
      <c r="BZ347" s="1339"/>
    </row>
    <row r="348" spans="26:78" s="174" customFormat="1">
      <c r="Z348" s="1339"/>
      <c r="AA348" s="1443"/>
      <c r="AB348" s="1443"/>
      <c r="AC348" s="1443"/>
      <c r="AD348" s="1443"/>
      <c r="AE348" s="1443"/>
      <c r="AF348" s="1443"/>
      <c r="AG348" s="1443"/>
      <c r="AH348" s="1443"/>
      <c r="AI348" s="1444"/>
      <c r="AJ348" s="1443"/>
      <c r="AK348" s="1443"/>
      <c r="AL348" s="1443"/>
      <c r="AM348" s="1443"/>
      <c r="AN348" s="1443"/>
      <c r="AO348" s="1443"/>
      <c r="AP348" s="1443"/>
      <c r="AQ348" s="1443"/>
      <c r="AR348" s="1443"/>
      <c r="AS348" s="1443"/>
      <c r="AT348" s="1443"/>
      <c r="AU348" s="1443"/>
      <c r="AV348" s="1443"/>
      <c r="AW348" s="1443"/>
      <c r="AX348" s="1443"/>
      <c r="AY348" s="1443"/>
      <c r="AZ348" s="1443"/>
      <c r="BA348" s="1443"/>
      <c r="BB348" s="1443"/>
      <c r="BC348" s="1443"/>
      <c r="BD348" s="1443"/>
      <c r="BE348" s="1443"/>
      <c r="BF348" s="1443"/>
      <c r="BG348" s="1443"/>
      <c r="BH348" s="1443"/>
      <c r="BI348" s="1443"/>
      <c r="BJ348" s="1425"/>
      <c r="BK348" s="1425"/>
      <c r="BL348" s="1425"/>
      <c r="BM348" s="1425"/>
      <c r="BN348" s="1425"/>
      <c r="BO348" s="1425"/>
      <c r="BP348" s="1425"/>
      <c r="BQ348" s="1425"/>
      <c r="BR348" s="1425"/>
      <c r="BS348" s="1425"/>
      <c r="BT348" s="1425"/>
      <c r="BU348" s="1425"/>
      <c r="BV348" s="1425"/>
      <c r="BW348" s="1425"/>
      <c r="BX348" s="1425"/>
      <c r="BY348" s="1425"/>
      <c r="BZ348" s="1339"/>
    </row>
    <row r="349" spans="26:78" s="174" customFormat="1">
      <c r="Z349" s="1339"/>
      <c r="AA349" s="1443"/>
      <c r="AB349" s="1443"/>
      <c r="AC349" s="1443"/>
      <c r="AD349" s="1443"/>
      <c r="AE349" s="1443"/>
      <c r="AF349" s="1443"/>
      <c r="AG349" s="1443"/>
      <c r="AH349" s="1443"/>
      <c r="AI349" s="1444"/>
      <c r="AJ349" s="1443"/>
      <c r="AK349" s="1443"/>
      <c r="AL349" s="1443"/>
      <c r="AM349" s="1443"/>
      <c r="AN349" s="1443"/>
      <c r="AO349" s="1443"/>
      <c r="AP349" s="1443"/>
      <c r="AQ349" s="1443"/>
      <c r="AR349" s="1443"/>
      <c r="AS349" s="1443"/>
      <c r="AT349" s="1443"/>
      <c r="AU349" s="1443"/>
      <c r="AV349" s="1443"/>
      <c r="AW349" s="1443"/>
      <c r="AX349" s="1443"/>
      <c r="AY349" s="1443"/>
      <c r="AZ349" s="1443"/>
      <c r="BA349" s="1443"/>
      <c r="BB349" s="1443"/>
      <c r="BC349" s="1443"/>
      <c r="BD349" s="1443"/>
      <c r="BE349" s="1443"/>
      <c r="BF349" s="1443"/>
      <c r="BG349" s="1443"/>
      <c r="BH349" s="1443"/>
      <c r="BI349" s="1443"/>
      <c r="BJ349" s="1425"/>
      <c r="BK349" s="1425"/>
      <c r="BL349" s="1425"/>
      <c r="BM349" s="1425"/>
      <c r="BN349" s="1425"/>
      <c r="BO349" s="1425"/>
      <c r="BP349" s="1425"/>
      <c r="BQ349" s="1425"/>
      <c r="BR349" s="1425"/>
      <c r="BS349" s="1425"/>
      <c r="BT349" s="1425"/>
      <c r="BU349" s="1425"/>
      <c r="BV349" s="1425"/>
      <c r="BW349" s="1425"/>
      <c r="BX349" s="1425"/>
      <c r="BY349" s="1425"/>
      <c r="BZ349" s="1339"/>
    </row>
    <row r="350" spans="26:78" s="174" customFormat="1">
      <c r="Z350" s="1339"/>
      <c r="AA350" s="1443"/>
      <c r="AB350" s="1443"/>
      <c r="AC350" s="1443"/>
      <c r="AD350" s="1443"/>
      <c r="AE350" s="1443"/>
      <c r="AF350" s="1443"/>
      <c r="AG350" s="1443"/>
      <c r="AH350" s="1443"/>
      <c r="AI350" s="1444"/>
      <c r="AJ350" s="1443"/>
      <c r="AK350" s="1443"/>
      <c r="AL350" s="1443"/>
      <c r="AM350" s="1443"/>
      <c r="AN350" s="1443"/>
      <c r="AO350" s="1443"/>
      <c r="AP350" s="1443"/>
      <c r="AQ350" s="1443"/>
      <c r="AR350" s="1443"/>
      <c r="AS350" s="1443"/>
      <c r="AT350" s="1443"/>
      <c r="AU350" s="1443"/>
      <c r="AV350" s="1443"/>
      <c r="AW350" s="1443"/>
      <c r="AX350" s="1443"/>
      <c r="AY350" s="1443"/>
      <c r="AZ350" s="1443"/>
      <c r="BA350" s="1443"/>
      <c r="BB350" s="1443"/>
      <c r="BC350" s="1443"/>
      <c r="BD350" s="1443"/>
      <c r="BE350" s="1443"/>
      <c r="BF350" s="1443"/>
      <c r="BG350" s="1443"/>
      <c r="BH350" s="1443"/>
      <c r="BI350" s="1443"/>
      <c r="BJ350" s="1425"/>
      <c r="BK350" s="1425"/>
      <c r="BL350" s="1425"/>
      <c r="BM350" s="1425"/>
      <c r="BN350" s="1425"/>
      <c r="BO350" s="1425"/>
      <c r="BP350" s="1425"/>
      <c r="BQ350" s="1425"/>
      <c r="BR350" s="1425"/>
      <c r="BS350" s="1425"/>
      <c r="BT350" s="1425"/>
      <c r="BU350" s="1425"/>
      <c r="BV350" s="1425"/>
      <c r="BW350" s="1425"/>
      <c r="BX350" s="1425"/>
      <c r="BY350" s="1425"/>
      <c r="BZ350" s="1339"/>
    </row>
    <row r="351" spans="26:78" s="174" customFormat="1">
      <c r="Z351" s="1339"/>
      <c r="AA351" s="1443"/>
      <c r="AB351" s="1443"/>
      <c r="AC351" s="1443"/>
      <c r="AD351" s="1443"/>
      <c r="AE351" s="1443"/>
      <c r="AF351" s="1443"/>
      <c r="AG351" s="1443"/>
      <c r="AH351" s="1443"/>
      <c r="AI351" s="1444"/>
      <c r="AJ351" s="1443"/>
      <c r="AK351" s="1443"/>
      <c r="AL351" s="1443"/>
      <c r="AM351" s="1443"/>
      <c r="AN351" s="1443"/>
      <c r="AO351" s="1443"/>
      <c r="AP351" s="1443"/>
      <c r="AQ351" s="1443"/>
      <c r="AR351" s="1443"/>
      <c r="AS351" s="1443"/>
      <c r="AT351" s="1443"/>
      <c r="AU351" s="1443"/>
      <c r="AV351" s="1443"/>
      <c r="AW351" s="1443"/>
      <c r="AX351" s="1443"/>
      <c r="AY351" s="1443"/>
      <c r="AZ351" s="1443"/>
      <c r="BA351" s="1443"/>
      <c r="BB351" s="1443"/>
      <c r="BC351" s="1443"/>
      <c r="BD351" s="1443"/>
      <c r="BE351" s="1443"/>
      <c r="BF351" s="1443"/>
      <c r="BG351" s="1443"/>
      <c r="BH351" s="1443"/>
      <c r="BI351" s="1443"/>
      <c r="BJ351" s="1425"/>
      <c r="BK351" s="1425"/>
      <c r="BL351" s="1425"/>
      <c r="BM351" s="1425"/>
      <c r="BN351" s="1425"/>
      <c r="BO351" s="1425"/>
      <c r="BP351" s="1425"/>
      <c r="BQ351" s="1425"/>
      <c r="BR351" s="1425"/>
      <c r="BS351" s="1425"/>
      <c r="BT351" s="1425"/>
      <c r="BU351" s="1425"/>
      <c r="BV351" s="1425"/>
      <c r="BW351" s="1425"/>
      <c r="BX351" s="1425"/>
      <c r="BY351" s="1425"/>
      <c r="BZ351" s="1339"/>
    </row>
    <row r="352" spans="26:78" s="174" customFormat="1">
      <c r="Z352" s="1339"/>
      <c r="AA352" s="1443"/>
      <c r="AB352" s="1443"/>
      <c r="AC352" s="1443"/>
      <c r="AD352" s="1443"/>
      <c r="AE352" s="1443"/>
      <c r="AF352" s="1443"/>
      <c r="AG352" s="1443"/>
      <c r="AH352" s="1443"/>
      <c r="AI352" s="1444"/>
      <c r="AJ352" s="1443"/>
      <c r="AK352" s="1443"/>
      <c r="AL352" s="1443"/>
      <c r="AM352" s="1443"/>
      <c r="AN352" s="1443"/>
      <c r="AO352" s="1443"/>
      <c r="AP352" s="1443"/>
      <c r="AQ352" s="1443"/>
      <c r="AR352" s="1443"/>
      <c r="AS352" s="1443"/>
      <c r="AT352" s="1443"/>
      <c r="AU352" s="1443"/>
      <c r="AV352" s="1443"/>
      <c r="AW352" s="1443"/>
      <c r="AX352" s="1443"/>
      <c r="AY352" s="1443"/>
      <c r="AZ352" s="1443"/>
      <c r="BA352" s="1443"/>
      <c r="BB352" s="1443"/>
      <c r="BC352" s="1443"/>
      <c r="BD352" s="1443"/>
      <c r="BE352" s="1443"/>
      <c r="BF352" s="1443"/>
      <c r="BG352" s="1443"/>
      <c r="BH352" s="1443"/>
      <c r="BI352" s="1443"/>
      <c r="BJ352" s="1425"/>
      <c r="BK352" s="1425"/>
      <c r="BL352" s="1425"/>
      <c r="BM352" s="1425"/>
      <c r="BN352" s="1425"/>
      <c r="BO352" s="1425"/>
      <c r="BP352" s="1425"/>
      <c r="BQ352" s="1425"/>
      <c r="BR352" s="1425"/>
      <c r="BS352" s="1425"/>
      <c r="BT352" s="1425"/>
      <c r="BU352" s="1425"/>
      <c r="BV352" s="1425"/>
      <c r="BW352" s="1425"/>
      <c r="BX352" s="1425"/>
      <c r="BY352" s="1425"/>
      <c r="BZ352" s="1339"/>
    </row>
    <row r="353" spans="3:78" s="174" customFormat="1">
      <c r="Z353" s="1339"/>
      <c r="AA353" s="1443"/>
      <c r="AB353" s="1443"/>
      <c r="AC353" s="1443"/>
      <c r="AD353" s="1443"/>
      <c r="AE353" s="1443"/>
      <c r="AF353" s="1443"/>
      <c r="AG353" s="1443"/>
      <c r="AH353" s="1443"/>
      <c r="AI353" s="1444"/>
      <c r="AJ353" s="1443"/>
      <c r="AK353" s="1443"/>
      <c r="AL353" s="1443"/>
      <c r="AM353" s="1443"/>
      <c r="AN353" s="1443"/>
      <c r="AO353" s="1443"/>
      <c r="AP353" s="1443"/>
      <c r="AQ353" s="1443"/>
      <c r="AR353" s="1443"/>
      <c r="AS353" s="1443"/>
      <c r="AT353" s="1443"/>
      <c r="AU353" s="1443"/>
      <c r="AV353" s="1443"/>
      <c r="AW353" s="1443"/>
      <c r="AX353" s="1443"/>
      <c r="AY353" s="1443"/>
      <c r="AZ353" s="1443"/>
      <c r="BA353" s="1443"/>
      <c r="BB353" s="1443"/>
      <c r="BC353" s="1443"/>
      <c r="BD353" s="1443"/>
      <c r="BE353" s="1443"/>
      <c r="BF353" s="1443"/>
      <c r="BG353" s="1443"/>
      <c r="BH353" s="1443"/>
      <c r="BI353" s="1443"/>
      <c r="BJ353" s="1425"/>
      <c r="BK353" s="1425"/>
      <c r="BL353" s="1425"/>
      <c r="BM353" s="1425"/>
      <c r="BN353" s="1425"/>
      <c r="BO353" s="1425"/>
      <c r="BP353" s="1425"/>
      <c r="BQ353" s="1425"/>
      <c r="BR353" s="1425"/>
      <c r="BS353" s="1425"/>
      <c r="BT353" s="1425"/>
      <c r="BU353" s="1425"/>
      <c r="BV353" s="1425"/>
      <c r="BW353" s="1425"/>
      <c r="BX353" s="1425"/>
      <c r="BY353" s="1425"/>
      <c r="BZ353" s="1339"/>
    </row>
    <row r="354" spans="3:78" s="174" customFormat="1">
      <c r="Z354" s="1339"/>
      <c r="AA354" s="1443"/>
      <c r="AB354" s="1443"/>
      <c r="AC354" s="1443"/>
      <c r="AD354" s="1443"/>
      <c r="AE354" s="1443"/>
      <c r="AF354" s="1443"/>
      <c r="AG354" s="1443"/>
      <c r="AH354" s="1443"/>
      <c r="AI354" s="1444"/>
      <c r="AJ354" s="1443"/>
      <c r="AK354" s="1443"/>
      <c r="AL354" s="1443"/>
      <c r="AM354" s="1443"/>
      <c r="AN354" s="1443"/>
      <c r="AO354" s="1443"/>
      <c r="AP354" s="1443"/>
      <c r="AQ354" s="1443"/>
      <c r="AR354" s="1443"/>
      <c r="AS354" s="1443"/>
      <c r="AT354" s="1443"/>
      <c r="AU354" s="1443"/>
      <c r="AV354" s="1443"/>
      <c r="AW354" s="1443"/>
      <c r="AX354" s="1443"/>
      <c r="AY354" s="1443"/>
      <c r="AZ354" s="1443"/>
      <c r="BA354" s="1443"/>
      <c r="BB354" s="1443"/>
      <c r="BC354" s="1443"/>
      <c r="BD354" s="1443"/>
      <c r="BE354" s="1443"/>
      <c r="BF354" s="1443"/>
      <c r="BG354" s="1443"/>
      <c r="BH354" s="1443"/>
      <c r="BI354" s="1443"/>
      <c r="BJ354" s="1425"/>
      <c r="BK354" s="1425"/>
      <c r="BL354" s="1425"/>
      <c r="BM354" s="1425"/>
      <c r="BN354" s="1425"/>
      <c r="BO354" s="1425"/>
      <c r="BP354" s="1425"/>
      <c r="BQ354" s="1425"/>
      <c r="BR354" s="1425"/>
      <c r="BS354" s="1425"/>
      <c r="BT354" s="1425"/>
      <c r="BU354" s="1425"/>
      <c r="BV354" s="1425"/>
      <c r="BW354" s="1425"/>
      <c r="BX354" s="1425"/>
      <c r="BY354" s="1425"/>
      <c r="BZ354" s="1339"/>
    </row>
    <row r="355" spans="3:78" s="174" customFormat="1">
      <c r="Z355" s="1339"/>
      <c r="AA355" s="1443"/>
      <c r="AB355" s="1443"/>
      <c r="AC355" s="1443"/>
      <c r="AD355" s="1443"/>
      <c r="AE355" s="1443"/>
      <c r="AF355" s="1443"/>
      <c r="AG355" s="1443"/>
      <c r="AH355" s="1443"/>
      <c r="AI355" s="1444"/>
      <c r="AJ355" s="1443"/>
      <c r="AK355" s="1443"/>
      <c r="AL355" s="1443"/>
      <c r="AM355" s="1443"/>
      <c r="AN355" s="1443"/>
      <c r="AO355" s="1443"/>
      <c r="AP355" s="1443"/>
      <c r="AQ355" s="1443"/>
      <c r="AR355" s="1443"/>
      <c r="AS355" s="1443"/>
      <c r="AT355" s="1443"/>
      <c r="AU355" s="1443"/>
      <c r="AV355" s="1443"/>
      <c r="AW355" s="1443"/>
      <c r="AX355" s="1443"/>
      <c r="AY355" s="1443"/>
      <c r="AZ355" s="1443"/>
      <c r="BA355" s="1443"/>
      <c r="BB355" s="1443"/>
      <c r="BC355" s="1443"/>
      <c r="BD355" s="1443"/>
      <c r="BE355" s="1443"/>
      <c r="BF355" s="1443"/>
      <c r="BG355" s="1443"/>
      <c r="BH355" s="1443"/>
      <c r="BI355" s="1443"/>
      <c r="BJ355" s="1425"/>
      <c r="BK355" s="1425"/>
      <c r="BL355" s="1425"/>
      <c r="BM355" s="1425"/>
      <c r="BN355" s="1425"/>
      <c r="BO355" s="1425"/>
      <c r="BP355" s="1425"/>
      <c r="BQ355" s="1425"/>
      <c r="BR355" s="1425"/>
      <c r="BS355" s="1425"/>
      <c r="BT355" s="1425"/>
      <c r="BU355" s="1425"/>
      <c r="BV355" s="1425"/>
      <c r="BW355" s="1425"/>
      <c r="BX355" s="1425"/>
      <c r="BY355" s="1425"/>
      <c r="BZ355" s="1339"/>
    </row>
    <row r="356" spans="3:78" s="174" customFormat="1">
      <c r="C356"/>
      <c r="D356"/>
      <c r="E356"/>
      <c r="F356"/>
      <c r="G356"/>
      <c r="H356"/>
      <c r="I356"/>
      <c r="J356"/>
      <c r="K356"/>
      <c r="L356"/>
      <c r="M356"/>
      <c r="N356"/>
      <c r="O356"/>
      <c r="P356"/>
      <c r="Q356"/>
      <c r="Z356" s="1339"/>
      <c r="AA356" s="1443"/>
      <c r="AB356" s="1443"/>
      <c r="AC356" s="1443"/>
      <c r="AD356" s="1443"/>
      <c r="AE356" s="1443"/>
      <c r="AF356" s="1443"/>
      <c r="AG356" s="1443"/>
      <c r="AH356" s="1443"/>
      <c r="AI356" s="1444"/>
      <c r="AJ356" s="1443"/>
      <c r="AK356" s="1443"/>
      <c r="AL356" s="1443"/>
      <c r="AM356" s="1443"/>
      <c r="AN356" s="1443"/>
      <c r="AO356" s="1443"/>
      <c r="AP356" s="1443"/>
      <c r="AQ356" s="1443"/>
      <c r="AR356" s="1443"/>
      <c r="AS356" s="1443"/>
      <c r="AT356" s="1443"/>
      <c r="AU356" s="1443"/>
      <c r="AV356" s="1443"/>
      <c r="AW356" s="1443"/>
      <c r="AX356" s="1443"/>
      <c r="AY356" s="1443"/>
      <c r="AZ356" s="1443"/>
      <c r="BA356" s="1443"/>
      <c r="BB356" s="1443"/>
      <c r="BC356" s="1443"/>
      <c r="BD356" s="1443"/>
      <c r="BE356" s="1443"/>
      <c r="BF356" s="1443"/>
      <c r="BG356" s="1443"/>
      <c r="BH356" s="1443"/>
      <c r="BI356" s="1443"/>
      <c r="BJ356" s="1425"/>
      <c r="BK356" s="1425"/>
      <c r="BL356" s="1425"/>
      <c r="BM356" s="1425"/>
      <c r="BN356" s="1425"/>
      <c r="BO356" s="1425"/>
      <c r="BP356" s="1425"/>
      <c r="BQ356" s="1425"/>
      <c r="BR356" s="1425"/>
      <c r="BS356" s="1425"/>
      <c r="BT356" s="1425"/>
      <c r="BU356" s="1425"/>
      <c r="BV356" s="1425"/>
      <c r="BW356" s="1425"/>
      <c r="BX356" s="1425"/>
      <c r="BY356" s="1425"/>
      <c r="BZ356" s="1339"/>
    </row>
    <row r="357" spans="3:78" s="174" customFormat="1">
      <c r="C357"/>
      <c r="D357"/>
      <c r="E357"/>
      <c r="F357"/>
      <c r="G357"/>
      <c r="H357"/>
      <c r="I357"/>
      <c r="J357"/>
      <c r="K357"/>
      <c r="L357"/>
      <c r="M357"/>
      <c r="N357"/>
      <c r="O357"/>
      <c r="P357"/>
      <c r="Q357"/>
      <c r="Z357" s="1339"/>
      <c r="AA357" s="1443"/>
      <c r="AB357" s="1443"/>
      <c r="AC357" s="1443"/>
      <c r="AD357" s="1443"/>
      <c r="AE357" s="1443"/>
      <c r="AF357" s="1443"/>
      <c r="AG357" s="1443"/>
      <c r="AH357" s="1443"/>
      <c r="AI357" s="1444"/>
      <c r="AJ357" s="1443"/>
      <c r="AK357" s="1443"/>
      <c r="AL357" s="1443"/>
      <c r="AM357" s="1443"/>
      <c r="AN357" s="1443"/>
      <c r="AO357" s="1443"/>
      <c r="AP357" s="1443"/>
      <c r="AQ357" s="1443"/>
      <c r="AR357" s="1443"/>
      <c r="AS357" s="1443"/>
      <c r="AT357" s="1443"/>
      <c r="AU357" s="1443"/>
      <c r="AV357" s="1443"/>
      <c r="AW357" s="1443"/>
      <c r="AX357" s="1443"/>
      <c r="AY357" s="1443"/>
      <c r="AZ357" s="1443"/>
      <c r="BA357" s="1443"/>
      <c r="BB357" s="1443"/>
      <c r="BC357" s="1443"/>
      <c r="BD357" s="1443"/>
      <c r="BE357" s="1443"/>
      <c r="BF357" s="1443"/>
      <c r="BG357" s="1443"/>
      <c r="BH357" s="1443"/>
      <c r="BI357" s="1443"/>
      <c r="BJ357" s="1425"/>
      <c r="BK357" s="1425"/>
      <c r="BL357" s="1425"/>
      <c r="BM357" s="1425"/>
      <c r="BN357" s="1425"/>
      <c r="BO357" s="1425"/>
      <c r="BP357" s="1425"/>
      <c r="BQ357" s="1425"/>
      <c r="BR357" s="1425"/>
      <c r="BS357" s="1425"/>
      <c r="BT357" s="1425"/>
      <c r="BU357" s="1425"/>
      <c r="BV357" s="1425"/>
      <c r="BW357" s="1425"/>
      <c r="BX357" s="1425"/>
      <c r="BY357" s="1425"/>
      <c r="BZ357" s="1339"/>
    </row>
    <row r="358" spans="3:78" s="174" customFormat="1">
      <c r="C358"/>
      <c r="D358"/>
      <c r="E358"/>
      <c r="F358"/>
      <c r="G358"/>
      <c r="H358"/>
      <c r="I358"/>
      <c r="J358"/>
      <c r="K358"/>
      <c r="L358"/>
      <c r="M358"/>
      <c r="N358"/>
      <c r="O358"/>
      <c r="P358"/>
      <c r="Q358"/>
      <c r="Z358" s="1339"/>
      <c r="AA358" s="1443"/>
      <c r="AB358" s="1443"/>
      <c r="AC358" s="1443"/>
      <c r="AD358" s="1443"/>
      <c r="AE358" s="1443"/>
      <c r="AF358" s="1443"/>
      <c r="AG358" s="1443"/>
      <c r="AH358" s="1443"/>
      <c r="AI358" s="1444"/>
      <c r="AJ358" s="1443"/>
      <c r="AK358" s="1443"/>
      <c r="AL358" s="1443"/>
      <c r="AM358" s="1443"/>
      <c r="AN358" s="1443"/>
      <c r="AO358" s="1443"/>
      <c r="AP358" s="1443"/>
      <c r="AQ358" s="1443"/>
      <c r="AR358" s="1443"/>
      <c r="AS358" s="1443"/>
      <c r="AT358" s="1443"/>
      <c r="AU358" s="1443"/>
      <c r="AV358" s="1443"/>
      <c r="AW358" s="1443"/>
      <c r="AX358" s="1443"/>
      <c r="AY358" s="1443"/>
      <c r="AZ358" s="1443"/>
      <c r="BA358" s="1443"/>
      <c r="BB358" s="1443"/>
      <c r="BC358" s="1443"/>
      <c r="BD358" s="1443"/>
      <c r="BE358" s="1443"/>
      <c r="BF358" s="1443"/>
      <c r="BG358" s="1443"/>
      <c r="BH358" s="1443"/>
      <c r="BI358" s="1443"/>
      <c r="BJ358" s="1425"/>
      <c r="BK358" s="1425"/>
      <c r="BL358" s="1425"/>
      <c r="BM358" s="1425"/>
      <c r="BN358" s="1425"/>
      <c r="BO358" s="1425"/>
      <c r="BP358" s="1425"/>
      <c r="BQ358" s="1425"/>
      <c r="BR358" s="1425"/>
      <c r="BS358" s="1425"/>
      <c r="BT358" s="1425"/>
      <c r="BU358" s="1425"/>
      <c r="BV358" s="1425"/>
      <c r="BW358" s="1425"/>
      <c r="BX358" s="1425"/>
      <c r="BY358" s="1425"/>
      <c r="BZ358" s="1339"/>
    </row>
    <row r="359" spans="3:78" s="174" customFormat="1">
      <c r="C359"/>
      <c r="D359"/>
      <c r="E359"/>
      <c r="F359"/>
      <c r="G359"/>
      <c r="H359"/>
      <c r="I359"/>
      <c r="J359"/>
      <c r="K359"/>
      <c r="L359"/>
      <c r="M359"/>
      <c r="N359"/>
      <c r="O359"/>
      <c r="P359"/>
      <c r="Q359"/>
      <c r="Z359" s="1339"/>
      <c r="AA359" s="1443"/>
      <c r="AB359" s="1443"/>
      <c r="AC359" s="1443"/>
      <c r="AD359" s="1443"/>
      <c r="AE359" s="1443"/>
      <c r="AF359" s="1443"/>
      <c r="AG359" s="1443"/>
      <c r="AH359" s="1443"/>
      <c r="AI359" s="1444"/>
      <c r="AJ359" s="1443"/>
      <c r="AK359" s="1443"/>
      <c r="AL359" s="1443"/>
      <c r="AM359" s="1443"/>
      <c r="AN359" s="1443"/>
      <c r="AO359" s="1443"/>
      <c r="AP359" s="1443"/>
      <c r="AQ359" s="1443"/>
      <c r="AR359" s="1443"/>
      <c r="AS359" s="1443"/>
      <c r="AT359" s="1443"/>
      <c r="AU359" s="1443"/>
      <c r="AV359" s="1443"/>
      <c r="AW359" s="1443"/>
      <c r="AX359" s="1443"/>
      <c r="AY359" s="1443"/>
      <c r="AZ359" s="1443"/>
      <c r="BA359" s="1443"/>
      <c r="BB359" s="1443"/>
      <c r="BC359" s="1443"/>
      <c r="BD359" s="1443"/>
      <c r="BE359" s="1443"/>
      <c r="BF359" s="1443"/>
      <c r="BG359" s="1443"/>
      <c r="BH359" s="1443"/>
      <c r="BI359" s="1443"/>
      <c r="BJ359" s="1425"/>
      <c r="BK359" s="1425"/>
      <c r="BL359" s="1425"/>
      <c r="BM359" s="1425"/>
      <c r="BN359" s="1425"/>
      <c r="BO359" s="1425"/>
      <c r="BP359" s="1425"/>
      <c r="BQ359" s="1425"/>
      <c r="BR359" s="1425"/>
      <c r="BS359" s="1425"/>
      <c r="BT359" s="1425"/>
      <c r="BU359" s="1425"/>
      <c r="BV359" s="1425"/>
      <c r="BW359" s="1425"/>
      <c r="BX359" s="1425"/>
      <c r="BY359" s="1425"/>
      <c r="BZ359" s="1339"/>
    </row>
    <row r="360" spans="3:78" s="174" customFormat="1">
      <c r="C360"/>
      <c r="D360"/>
      <c r="E360"/>
      <c r="F360"/>
      <c r="G360"/>
      <c r="H360"/>
      <c r="I360"/>
      <c r="J360"/>
      <c r="K360"/>
      <c r="L360"/>
      <c r="M360"/>
      <c r="N360"/>
      <c r="O360"/>
      <c r="P360"/>
      <c r="Q360"/>
      <c r="Z360" s="1339"/>
      <c r="AA360" s="1443"/>
      <c r="AB360" s="1443"/>
      <c r="AC360" s="1443"/>
      <c r="AD360" s="1443"/>
      <c r="AE360" s="1443"/>
      <c r="AF360" s="1443"/>
      <c r="AG360" s="1443"/>
      <c r="AH360" s="1443"/>
      <c r="AI360" s="1444"/>
      <c r="AJ360" s="1443"/>
      <c r="AK360" s="1443"/>
      <c r="AL360" s="1443"/>
      <c r="AM360" s="1443"/>
      <c r="AN360" s="1443"/>
      <c r="AO360" s="1443"/>
      <c r="AP360" s="1443"/>
      <c r="AQ360" s="1443"/>
      <c r="AR360" s="1443"/>
      <c r="AS360" s="1443"/>
      <c r="AT360" s="1443"/>
      <c r="AU360" s="1443"/>
      <c r="AV360" s="1443"/>
      <c r="AW360" s="1443"/>
      <c r="AX360" s="1443"/>
      <c r="AY360" s="1443"/>
      <c r="AZ360" s="1443"/>
      <c r="BA360" s="1443"/>
      <c r="BB360" s="1443"/>
      <c r="BC360" s="1443"/>
      <c r="BD360" s="1443"/>
      <c r="BE360" s="1443"/>
      <c r="BF360" s="1443"/>
      <c r="BG360" s="1443"/>
      <c r="BH360" s="1443"/>
      <c r="BI360" s="1443"/>
      <c r="BJ360" s="1425"/>
      <c r="BK360" s="1425"/>
      <c r="BL360" s="1425"/>
      <c r="BM360" s="1425"/>
      <c r="BN360" s="1425"/>
      <c r="BO360" s="1425"/>
      <c r="BP360" s="1425"/>
      <c r="BQ360" s="1425"/>
      <c r="BR360" s="1425"/>
      <c r="BS360" s="1425"/>
      <c r="BT360" s="1425"/>
      <c r="BU360" s="1425"/>
      <c r="BV360" s="1425"/>
      <c r="BW360" s="1425"/>
      <c r="BX360" s="1425"/>
      <c r="BY360" s="1425"/>
      <c r="BZ360" s="1339"/>
    </row>
    <row r="361" spans="3:78" s="174" customFormat="1">
      <c r="C361"/>
      <c r="D361"/>
      <c r="E361"/>
      <c r="F361"/>
      <c r="G361"/>
      <c r="H361"/>
      <c r="I361"/>
      <c r="J361"/>
      <c r="K361"/>
      <c r="L361"/>
      <c r="M361"/>
      <c r="N361"/>
      <c r="O361"/>
      <c r="P361"/>
      <c r="Q361"/>
      <c r="Z361" s="1339"/>
      <c r="AA361" s="1443"/>
      <c r="AB361" s="1443"/>
      <c r="AC361" s="1443"/>
      <c r="AD361" s="1443"/>
      <c r="AE361" s="1443"/>
      <c r="AF361" s="1443"/>
      <c r="AG361" s="1443"/>
      <c r="AH361" s="1443"/>
      <c r="AI361" s="1444"/>
      <c r="AJ361" s="1443"/>
      <c r="AK361" s="1443"/>
      <c r="AL361" s="1443"/>
      <c r="AM361" s="1443"/>
      <c r="AN361" s="1443"/>
      <c r="AO361" s="1443"/>
      <c r="AP361" s="1443"/>
      <c r="AQ361" s="1443"/>
      <c r="AR361" s="1443"/>
      <c r="AS361" s="1443"/>
      <c r="AT361" s="1443"/>
      <c r="AU361" s="1443"/>
      <c r="AV361" s="1443"/>
      <c r="AW361" s="1443"/>
      <c r="AX361" s="1443"/>
      <c r="AY361" s="1443"/>
      <c r="AZ361" s="1443"/>
      <c r="BA361" s="1443"/>
      <c r="BB361" s="1443"/>
      <c r="BC361" s="1443"/>
      <c r="BD361" s="1443"/>
      <c r="BE361" s="1443"/>
      <c r="BF361" s="1443"/>
      <c r="BG361" s="1443"/>
      <c r="BH361" s="1443"/>
      <c r="BI361" s="1443"/>
      <c r="BJ361" s="1425"/>
      <c r="BK361" s="1425"/>
      <c r="BL361" s="1425"/>
      <c r="BM361" s="1425"/>
      <c r="BN361" s="1425"/>
      <c r="BO361" s="1425"/>
      <c r="BP361" s="1425"/>
      <c r="BQ361" s="1425"/>
      <c r="BR361" s="1425"/>
      <c r="BS361" s="1425"/>
      <c r="BT361" s="1425"/>
      <c r="BU361" s="1425"/>
      <c r="BV361" s="1425"/>
      <c r="BW361" s="1425"/>
      <c r="BX361" s="1425"/>
      <c r="BY361" s="1425"/>
      <c r="BZ361" s="1339"/>
    </row>
    <row r="362" spans="3:78" s="174" customFormat="1">
      <c r="C362"/>
      <c r="D362"/>
      <c r="E362"/>
      <c r="F362"/>
      <c r="G362"/>
      <c r="H362"/>
      <c r="I362"/>
      <c r="J362"/>
      <c r="K362"/>
      <c r="L362"/>
      <c r="M362"/>
      <c r="N362"/>
      <c r="O362"/>
      <c r="P362"/>
      <c r="Q362"/>
      <c r="Z362" s="1339"/>
      <c r="AA362" s="1443"/>
      <c r="AB362" s="1443"/>
      <c r="AC362" s="1443"/>
      <c r="AD362" s="1443"/>
      <c r="AE362" s="1443"/>
      <c r="AF362" s="1443"/>
      <c r="AG362" s="1443"/>
      <c r="AH362" s="1443"/>
      <c r="AI362" s="1444"/>
      <c r="AJ362" s="1443"/>
      <c r="AK362" s="1443"/>
      <c r="AL362" s="1443"/>
      <c r="AM362" s="1443"/>
      <c r="AN362" s="1443"/>
      <c r="AO362" s="1443"/>
      <c r="AP362" s="1443"/>
      <c r="AQ362" s="1443"/>
      <c r="AR362" s="1443"/>
      <c r="AS362" s="1443"/>
      <c r="AT362" s="1443"/>
      <c r="AU362" s="1443"/>
      <c r="AV362" s="1443"/>
      <c r="AW362" s="1443"/>
      <c r="AX362" s="1443"/>
      <c r="AY362" s="1443"/>
      <c r="AZ362" s="1443"/>
      <c r="BA362" s="1443"/>
      <c r="BB362" s="1443"/>
      <c r="BC362" s="1443"/>
      <c r="BD362" s="1443"/>
      <c r="BE362" s="1443"/>
      <c r="BF362" s="1443"/>
      <c r="BG362" s="1443"/>
      <c r="BH362" s="1443"/>
      <c r="BI362" s="1443"/>
      <c r="BJ362" s="1425"/>
      <c r="BK362" s="1425"/>
      <c r="BL362" s="1425"/>
      <c r="BM362" s="1425"/>
      <c r="BN362" s="1425"/>
      <c r="BO362" s="1425"/>
      <c r="BP362" s="1425"/>
      <c r="BQ362" s="1425"/>
      <c r="BR362" s="1425"/>
      <c r="BS362" s="1425"/>
      <c r="BT362" s="1425"/>
      <c r="BU362" s="1425"/>
      <c r="BV362" s="1425"/>
      <c r="BW362" s="1425"/>
      <c r="BX362" s="1425"/>
      <c r="BY362" s="1425"/>
      <c r="BZ362" s="1339"/>
    </row>
  </sheetData>
  <sheetProtection password="C9AE" sheet="1" objects="1" scenarios="1"/>
  <mergeCells count="317">
    <mergeCell ref="T189:U189"/>
    <mergeCell ref="W189:X189"/>
    <mergeCell ref="T181:U181"/>
    <mergeCell ref="V181:W181"/>
    <mergeCell ref="X181:Y181"/>
    <mergeCell ref="T186:U186"/>
    <mergeCell ref="V186:W186"/>
    <mergeCell ref="X186:Y186"/>
    <mergeCell ref="T187:U187"/>
    <mergeCell ref="V187:W187"/>
    <mergeCell ref="V188:W188"/>
    <mergeCell ref="X188:Y188"/>
    <mergeCell ref="X185:Y185"/>
    <mergeCell ref="V180:W180"/>
    <mergeCell ref="X180:Y180"/>
    <mergeCell ref="T180:U180"/>
    <mergeCell ref="V182:W182"/>
    <mergeCell ref="X187:Y187"/>
    <mergeCell ref="T184:U184"/>
    <mergeCell ref="V184:W184"/>
    <mergeCell ref="X184:Y184"/>
    <mergeCell ref="T185:U185"/>
    <mergeCell ref="V185:W185"/>
    <mergeCell ref="X182:Y182"/>
    <mergeCell ref="T178:U178"/>
    <mergeCell ref="V178:W178"/>
    <mergeCell ref="X178:Y178"/>
    <mergeCell ref="V171:W171"/>
    <mergeCell ref="X171:Y171"/>
    <mergeCell ref="T172:U172"/>
    <mergeCell ref="T179:U179"/>
    <mergeCell ref="V179:W179"/>
    <mergeCell ref="X179:Y179"/>
    <mergeCell ref="V165:W165"/>
    <mergeCell ref="X165:Y165"/>
    <mergeCell ref="W172:X172"/>
    <mergeCell ref="T167:U167"/>
    <mergeCell ref="V167:W167"/>
    <mergeCell ref="X167:Y167"/>
    <mergeCell ref="T168:U168"/>
    <mergeCell ref="V168:W168"/>
    <mergeCell ref="X168:Y168"/>
    <mergeCell ref="T169:U169"/>
    <mergeCell ref="V169:W169"/>
    <mergeCell ref="X169:Y169"/>
    <mergeCell ref="V170:W170"/>
    <mergeCell ref="X170:Y170"/>
    <mergeCell ref="T170:U170"/>
    <mergeCell ref="T162:U162"/>
    <mergeCell ref="V162:W162"/>
    <mergeCell ref="X162:Y162"/>
    <mergeCell ref="T163:U163"/>
    <mergeCell ref="V163:W163"/>
    <mergeCell ref="X163:Y163"/>
    <mergeCell ref="V164:W164"/>
    <mergeCell ref="X164:Y164"/>
    <mergeCell ref="T164:U164"/>
    <mergeCell ref="S3:Z4"/>
    <mergeCell ref="T161:U161"/>
    <mergeCell ref="V161:W161"/>
    <mergeCell ref="X161:Y161"/>
    <mergeCell ref="T23:U23"/>
    <mergeCell ref="V23:W23"/>
    <mergeCell ref="V24:W24"/>
    <mergeCell ref="T155:U155"/>
    <mergeCell ref="W155:X155"/>
    <mergeCell ref="V154:W154"/>
    <mergeCell ref="X154:Y154"/>
    <mergeCell ref="X148:Y148"/>
    <mergeCell ref="T146:U146"/>
    <mergeCell ref="V146:W146"/>
    <mergeCell ref="V147:W147"/>
    <mergeCell ref="X145:Y145"/>
    <mergeCell ref="X147:Y147"/>
    <mergeCell ref="X146:Y146"/>
    <mergeCell ref="T147:U147"/>
    <mergeCell ref="X153:Y153"/>
    <mergeCell ref="T153:U153"/>
    <mergeCell ref="T150:U150"/>
    <mergeCell ref="T151:U151"/>
    <mergeCell ref="V150:W150"/>
    <mergeCell ref="T13:U13"/>
    <mergeCell ref="T21:U21"/>
    <mergeCell ref="V21:W21"/>
    <mergeCell ref="X21:Y21"/>
    <mergeCell ref="U6:X6"/>
    <mergeCell ref="U7:X7"/>
    <mergeCell ref="U8:Y8"/>
    <mergeCell ref="U9:X9"/>
    <mergeCell ref="X13:Y13"/>
    <mergeCell ref="V13:W13"/>
    <mergeCell ref="V151:W151"/>
    <mergeCell ref="X151:Y151"/>
    <mergeCell ref="T152:U152"/>
    <mergeCell ref="V153:W153"/>
    <mergeCell ref="T145:U145"/>
    <mergeCell ref="V145:W145"/>
    <mergeCell ref="V148:W148"/>
    <mergeCell ref="V152:W152"/>
    <mergeCell ref="X152:Y152"/>
    <mergeCell ref="X150:Y150"/>
    <mergeCell ref="X144:Y144"/>
    <mergeCell ref="T113:U113"/>
    <mergeCell ref="V112:W112"/>
    <mergeCell ref="X112:Y112"/>
    <mergeCell ref="V113:W113"/>
    <mergeCell ref="X113:Y113"/>
    <mergeCell ref="X115:Y115"/>
    <mergeCell ref="X114:Y114"/>
    <mergeCell ref="T116:U116"/>
    <mergeCell ref="W116:X116"/>
    <mergeCell ref="T114:U114"/>
    <mergeCell ref="V114:W114"/>
    <mergeCell ref="V115:W115"/>
    <mergeCell ref="T144:U144"/>
    <mergeCell ref="V144:W144"/>
    <mergeCell ref="V111:W111"/>
    <mergeCell ref="X111:Y111"/>
    <mergeCell ref="T112:U112"/>
    <mergeCell ref="T109:U109"/>
    <mergeCell ref="T104:U104"/>
    <mergeCell ref="T105:U105"/>
    <mergeCell ref="V104:W104"/>
    <mergeCell ref="X104:Y104"/>
    <mergeCell ref="V105:W105"/>
    <mergeCell ref="X105:Y105"/>
    <mergeCell ref="T111:U111"/>
    <mergeCell ref="W109:X109"/>
    <mergeCell ref="V108:W108"/>
    <mergeCell ref="X108:Y108"/>
    <mergeCell ref="T106:U106"/>
    <mergeCell ref="V106:W106"/>
    <mergeCell ref="X106:Y106"/>
    <mergeCell ref="V107:W107"/>
    <mergeCell ref="X107:Y107"/>
    <mergeCell ref="T107:U107"/>
    <mergeCell ref="T98:U98"/>
    <mergeCell ref="V98:W98"/>
    <mergeCell ref="X98:Y98"/>
    <mergeCell ref="V99:W99"/>
    <mergeCell ref="X99:Y99"/>
    <mergeCell ref="T99:U99"/>
    <mergeCell ref="T101:U101"/>
    <mergeCell ref="W101:X101"/>
    <mergeCell ref="V100:W100"/>
    <mergeCell ref="X100:Y100"/>
    <mergeCell ref="V84:W84"/>
    <mergeCell ref="T96:U96"/>
    <mergeCell ref="T97:U97"/>
    <mergeCell ref="V96:W96"/>
    <mergeCell ref="X96:Y96"/>
    <mergeCell ref="V97:W97"/>
    <mergeCell ref="X97:Y97"/>
    <mergeCell ref="X93:Y93"/>
    <mergeCell ref="X92:Y92"/>
    <mergeCell ref="T94:U94"/>
    <mergeCell ref="W94:X94"/>
    <mergeCell ref="T92:U92"/>
    <mergeCell ref="V92:W92"/>
    <mergeCell ref="V93:W93"/>
    <mergeCell ref="T89:U89"/>
    <mergeCell ref="V89:W89"/>
    <mergeCell ref="X89:Y89"/>
    <mergeCell ref="T90:U90"/>
    <mergeCell ref="T91:U91"/>
    <mergeCell ref="V90:W90"/>
    <mergeCell ref="X90:Y90"/>
    <mergeCell ref="V91:W91"/>
    <mergeCell ref="X91:Y91"/>
    <mergeCell ref="X84:Y84"/>
    <mergeCell ref="T78:U78"/>
    <mergeCell ref="T81:U81"/>
    <mergeCell ref="T82:U82"/>
    <mergeCell ref="V81:W81"/>
    <mergeCell ref="X81:Y81"/>
    <mergeCell ref="V82:W82"/>
    <mergeCell ref="X82:Y82"/>
    <mergeCell ref="W78:X78"/>
    <mergeCell ref="V77:W77"/>
    <mergeCell ref="X77:Y77"/>
    <mergeCell ref="X83:Y83"/>
    <mergeCell ref="T85:U85"/>
    <mergeCell ref="W85:X85"/>
    <mergeCell ref="T83:U83"/>
    <mergeCell ref="V83:W83"/>
    <mergeCell ref="T70:U70"/>
    <mergeCell ref="W70:X70"/>
    <mergeCell ref="V69:W69"/>
    <mergeCell ref="X69:Y69"/>
    <mergeCell ref="T75:U75"/>
    <mergeCell ref="V75:W75"/>
    <mergeCell ref="X75:Y75"/>
    <mergeCell ref="X73:Y73"/>
    <mergeCell ref="V74:W74"/>
    <mergeCell ref="X74:Y74"/>
    <mergeCell ref="T73:U73"/>
    <mergeCell ref="T74:U74"/>
    <mergeCell ref="V73:W73"/>
    <mergeCell ref="T80:U80"/>
    <mergeCell ref="V80:W80"/>
    <mergeCell ref="X80:Y80"/>
    <mergeCell ref="V76:W76"/>
    <mergeCell ref="X76:Y76"/>
    <mergeCell ref="T76:U76"/>
    <mergeCell ref="T67:U67"/>
    <mergeCell ref="V67:W67"/>
    <mergeCell ref="X67:Y67"/>
    <mergeCell ref="V68:W68"/>
    <mergeCell ref="X68:Y68"/>
    <mergeCell ref="T68:U68"/>
    <mergeCell ref="X54:Y54"/>
    <mergeCell ref="X53:Y53"/>
    <mergeCell ref="T55:U55"/>
    <mergeCell ref="W55:X55"/>
    <mergeCell ref="T53:U53"/>
    <mergeCell ref="V53:W53"/>
    <mergeCell ref="V54:W54"/>
    <mergeCell ref="T65:U65"/>
    <mergeCell ref="T66:U66"/>
    <mergeCell ref="V65:W65"/>
    <mergeCell ref="X65:Y65"/>
    <mergeCell ref="V66:W66"/>
    <mergeCell ref="X66:Y66"/>
    <mergeCell ref="X62:Y62"/>
    <mergeCell ref="X61:Y61"/>
    <mergeCell ref="T63:U63"/>
    <mergeCell ref="W63:X63"/>
    <mergeCell ref="T61:U61"/>
    <mergeCell ref="V61:W61"/>
    <mergeCell ref="V62:W62"/>
    <mergeCell ref="T58:U58"/>
    <mergeCell ref="V58:W58"/>
    <mergeCell ref="X58:Y58"/>
    <mergeCell ref="T59:U59"/>
    <mergeCell ref="T60:U60"/>
    <mergeCell ref="V59:W59"/>
    <mergeCell ref="X59:Y59"/>
    <mergeCell ref="V60:W60"/>
    <mergeCell ref="X60:Y60"/>
    <mergeCell ref="T50:U50"/>
    <mergeCell ref="V50:W50"/>
    <mergeCell ref="X50:Y50"/>
    <mergeCell ref="T51:U51"/>
    <mergeCell ref="T52:U52"/>
    <mergeCell ref="V51:W51"/>
    <mergeCell ref="X51:Y51"/>
    <mergeCell ref="V52:W52"/>
    <mergeCell ref="X52:Y52"/>
    <mergeCell ref="V46:W46"/>
    <mergeCell ref="X46:Y46"/>
    <mergeCell ref="T46:U46"/>
    <mergeCell ref="T48:U48"/>
    <mergeCell ref="W48:X48"/>
    <mergeCell ref="V47:W47"/>
    <mergeCell ref="X47:Y47"/>
    <mergeCell ref="T43:U43"/>
    <mergeCell ref="T44:U44"/>
    <mergeCell ref="V43:W43"/>
    <mergeCell ref="X43:Y43"/>
    <mergeCell ref="V44:W44"/>
    <mergeCell ref="X44:Y44"/>
    <mergeCell ref="T35:U35"/>
    <mergeCell ref="T36:U36"/>
    <mergeCell ref="V35:W35"/>
    <mergeCell ref="X35:Y35"/>
    <mergeCell ref="V36:W36"/>
    <mergeCell ref="X36:Y36"/>
    <mergeCell ref="T45:U45"/>
    <mergeCell ref="V45:W45"/>
    <mergeCell ref="X45:Y45"/>
    <mergeCell ref="T37:U37"/>
    <mergeCell ref="V37:W37"/>
    <mergeCell ref="X37:Y37"/>
    <mergeCell ref="V38:W38"/>
    <mergeCell ref="X38:Y38"/>
    <mergeCell ref="T38:U38"/>
    <mergeCell ref="T40:U40"/>
    <mergeCell ref="W40:X40"/>
    <mergeCell ref="V39:W39"/>
    <mergeCell ref="X39:Y39"/>
    <mergeCell ref="T33:U33"/>
    <mergeCell ref="W33:X33"/>
    <mergeCell ref="T31:U31"/>
    <mergeCell ref="V31:W31"/>
    <mergeCell ref="V32:W32"/>
    <mergeCell ref="X32:Y32"/>
    <mergeCell ref="X31:Y31"/>
    <mergeCell ref="T29:U29"/>
    <mergeCell ref="T30:U30"/>
    <mergeCell ref="V29:W29"/>
    <mergeCell ref="X29:Y29"/>
    <mergeCell ref="V30:W30"/>
    <mergeCell ref="X30:Y30"/>
    <mergeCell ref="W25:X25"/>
    <mergeCell ref="T28:U28"/>
    <mergeCell ref="X24:Y24"/>
    <mergeCell ref="V28:W28"/>
    <mergeCell ref="X28:Y28"/>
    <mergeCell ref="T14:U14"/>
    <mergeCell ref="T16:U16"/>
    <mergeCell ref="V17:W17"/>
    <mergeCell ref="T22:U22"/>
    <mergeCell ref="V22:W22"/>
    <mergeCell ref="X22:Y22"/>
    <mergeCell ref="T15:U15"/>
    <mergeCell ref="X23:Y23"/>
    <mergeCell ref="X16:Y16"/>
    <mergeCell ref="X15:Y15"/>
    <mergeCell ref="X14:Y14"/>
    <mergeCell ref="V16:W16"/>
    <mergeCell ref="V15:W15"/>
    <mergeCell ref="V14:W14"/>
    <mergeCell ref="T20:U20"/>
    <mergeCell ref="V20:W20"/>
    <mergeCell ref="X20:Y20"/>
    <mergeCell ref="W18:X18"/>
    <mergeCell ref="X17:Y17"/>
  </mergeCells>
  <phoneticPr fontId="0" type="noConversion"/>
  <pageMargins left="0.78740157480314965" right="0.27559055118110237" top="0.59055118110236227" bottom="0.39370078740157483" header="0.70866141732283472" footer="0.19685039370078741"/>
  <pageSetup paperSize="9" scale="74" fitToHeight="2" orientation="portrait" r:id="rId1"/>
  <headerFooter alignWithMargins="0">
    <oddFooter>&amp;L&amp;"Times New Roman,Kursiv"&amp;6Huber Energietechnik, AG Zürich  &amp;C&amp;6&amp;F  &amp;R&amp;"Times New Roman,Kursiv"&amp;6ENTECH 380/1, Ver. 5.4</oddFooter>
  </headerFooter>
  <rowBreaks count="1" manualBreakCount="1">
    <brk id="86"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W78"/>
  <sheetViews>
    <sheetView topLeftCell="A11" zoomScale="75" workbookViewId="0">
      <selection activeCell="D39" sqref="D39"/>
    </sheetView>
  </sheetViews>
  <sheetFormatPr baseColWidth="10" defaultColWidth="11.5703125" defaultRowHeight="12.75"/>
  <cols>
    <col min="1" max="1" width="1" style="75" customWidth="1"/>
    <col min="2" max="2" width="19.85546875" style="75" customWidth="1"/>
    <col min="3" max="3" width="11.5703125" style="75"/>
    <col min="4" max="4" width="9.140625" style="75" customWidth="1"/>
    <col min="5" max="5" width="8" style="75" customWidth="1"/>
    <col min="6" max="6" width="7.5703125" style="75" customWidth="1"/>
    <col min="7" max="7" width="6.28515625" style="75" customWidth="1"/>
    <col min="8" max="8" width="1.5703125" style="75" customWidth="1"/>
    <col min="9" max="9" width="20.42578125" style="75" customWidth="1"/>
    <col min="10" max="10" width="11.5703125" style="75"/>
    <col min="11" max="11" width="9.140625" style="75" customWidth="1"/>
    <col min="12" max="12" width="8" style="75" customWidth="1"/>
    <col min="13" max="13" width="7.5703125" style="75" customWidth="1"/>
    <col min="14" max="14" width="4.7109375" style="75" customWidth="1"/>
    <col min="15" max="15" width="1.28515625" style="75" customWidth="1"/>
    <col min="16" max="16" width="12.42578125" style="75" bestFit="1" customWidth="1"/>
    <col min="17" max="16384" width="11.5703125" style="75"/>
  </cols>
  <sheetData>
    <row r="1" spans="1:23" s="27" customFormat="1">
      <c r="B1" s="69" t="str">
        <f>Projekt!B1</f>
        <v>Programme Entech 380/1, Ver. 6.1, BFE/EnFK-Zert.-Nr. 1639, SIA 380/1 (Edition 2016)</v>
      </c>
      <c r="I1" s="1416" t="str">
        <f>IF(Projekt!E5&gt;0,Projekt!E5,"")</f>
        <v/>
      </c>
      <c r="M1" s="2548">
        <f ca="1">NOW()</f>
        <v>43566.628989236109</v>
      </c>
      <c r="N1" s="2548"/>
      <c r="O1" s="2548"/>
      <c r="P1" s="43" t="b">
        <f>IF(Projekt!AV33=5,TRUE,FALSE)</f>
        <v>0</v>
      </c>
      <c r="W1" s="45"/>
    </row>
    <row r="2" spans="1:23" ht="48.6" customHeight="1">
      <c r="B2" s="142" t="s">
        <v>1625</v>
      </c>
      <c r="M2" s="185" t="str">
        <f>"Qh= "&amp;ROUND(Qh,0)&amp;" MJ/m2"</f>
        <v>Qh= 0 MJ/m2</v>
      </c>
    </row>
    <row r="3" spans="1:23" ht="9.6" customHeight="1"/>
    <row r="4" spans="1:23" ht="15.75">
      <c r="B4" s="76" t="s">
        <v>1807</v>
      </c>
      <c r="E4" s="41" t="str">
        <f>"Klimastation:"</f>
        <v>Klimastation:</v>
      </c>
      <c r="F4" s="1533" t="str">
        <f>"   "&amp;UWert!K5</f>
        <v xml:space="preserve">   </v>
      </c>
      <c r="J4" s="75" t="s">
        <v>954</v>
      </c>
      <c r="L4" s="75">
        <f>IF(UWert!$K$5="",1,VLOOKUP(UWert!$K$5,UWert!$BN$54:$BO$137,2,FALSE))</f>
        <v>1</v>
      </c>
    </row>
    <row r="5" spans="1:23">
      <c r="B5" s="55"/>
      <c r="E5" s="41" t="s">
        <v>1626</v>
      </c>
      <c r="F5" s="75">
        <f>Projekt!L37</f>
        <v>0</v>
      </c>
      <c r="G5" s="75" t="s">
        <v>1627</v>
      </c>
    </row>
    <row r="6" spans="1:23">
      <c r="A6" s="55"/>
      <c r="E6" s="41" t="s">
        <v>1628</v>
      </c>
      <c r="F6" s="75">
        <f>IF(L4&gt;1,INDEX(Tab!E109:J192,L4,1),h)</f>
        <v>0</v>
      </c>
      <c r="G6" s="75" t="s">
        <v>1627</v>
      </c>
    </row>
    <row r="7" spans="1:23">
      <c r="B7" s="55"/>
    </row>
    <row r="8" spans="1:23">
      <c r="E8" s="41">
        <f>IF(L4&gt;1,INDEX(Tab!C109:J192,L4,1),Projekt!BC35)</f>
        <v>0</v>
      </c>
      <c r="F8" s="75">
        <f ca="1">IF(L4&gt;1,INDEX(Tab!I109:I192,L4,1),IF(Klimastation=0,-8,INDEX(Klima!1:1048576,1+25*Klimastation,17)))</f>
        <v>0</v>
      </c>
      <c r="G8" s="75" t="s">
        <v>2324</v>
      </c>
    </row>
    <row r="9" spans="1:23">
      <c r="E9" s="41" t="s">
        <v>1629</v>
      </c>
      <c r="F9" s="75">
        <f>IF(F5&gt;F6,-INT((F5-F6)/100*0.5+0.5),0)</f>
        <v>0</v>
      </c>
      <c r="G9" s="75" t="s">
        <v>2324</v>
      </c>
    </row>
    <row r="10" spans="1:23">
      <c r="E10" s="41" t="s">
        <v>1630</v>
      </c>
      <c r="F10" s="85">
        <f>IF(Projekt!AV36=5,-3,IF(Projekt!AV36=4,-2,IF(Projekt!AV36=3,-1,0)))</f>
        <v>0</v>
      </c>
      <c r="G10" s="85" t="s">
        <v>2324</v>
      </c>
    </row>
    <row r="11" spans="1:23" ht="13.5" thickBot="1">
      <c r="E11" s="88" t="s">
        <v>1631</v>
      </c>
      <c r="F11" s="89">
        <f ca="1">IF(SUM(F8:F10)=0,-8,IF(F8&lt;&gt;"",F8+F9+F10,0))</f>
        <v>-8</v>
      </c>
      <c r="G11" s="89" t="s">
        <v>2324</v>
      </c>
    </row>
    <row r="13" spans="1:23" ht="10.15" customHeight="1">
      <c r="B13" s="85"/>
      <c r="C13" s="85"/>
      <c r="D13" s="85"/>
      <c r="E13" s="85"/>
      <c r="F13" s="85"/>
      <c r="G13" s="85"/>
      <c r="H13" s="85"/>
      <c r="I13" s="85"/>
      <c r="J13" s="85"/>
      <c r="K13" s="85"/>
      <c r="L13" s="85"/>
      <c r="M13" s="85"/>
      <c r="N13" s="85"/>
    </row>
    <row r="14" spans="1:23" ht="10.15" customHeight="1">
      <c r="H14" s="83"/>
    </row>
    <row r="15" spans="1:23" ht="13.15" customHeight="1">
      <c r="B15" s="76" t="s">
        <v>965</v>
      </c>
      <c r="D15" s="42" t="s">
        <v>1632</v>
      </c>
      <c r="F15" s="42" t="s">
        <v>966</v>
      </c>
      <c r="J15" s="42" t="s">
        <v>1633</v>
      </c>
      <c r="K15" s="75" t="s">
        <v>1634</v>
      </c>
    </row>
    <row r="16" spans="1:23" ht="13.15" customHeight="1">
      <c r="D16" s="42" t="s">
        <v>2138</v>
      </c>
      <c r="F16" s="42" t="s">
        <v>967</v>
      </c>
      <c r="J16" s="42" t="s">
        <v>1635</v>
      </c>
    </row>
    <row r="17" spans="2:14" ht="13.15" customHeight="1">
      <c r="C17" s="1378" t="s">
        <v>1636</v>
      </c>
      <c r="D17" s="80"/>
      <c r="F17" s="1376"/>
      <c r="G17" s="1377">
        <f>IF(F17="",0,MAX(MIN(1,F17),0))</f>
        <v>0</v>
      </c>
      <c r="J17" s="80"/>
      <c r="K17" s="94">
        <v>5</v>
      </c>
      <c r="L17" s="75" t="s">
        <v>2138</v>
      </c>
    </row>
    <row r="18" spans="2:14" ht="13.15" customHeight="1">
      <c r="C18" s="1378" t="s">
        <v>1637</v>
      </c>
      <c r="D18" s="80"/>
      <c r="F18" s="1376"/>
      <c r="G18" s="1377">
        <f>IF(F18="",0,MAX(MIN(1,F18),0))</f>
        <v>0</v>
      </c>
      <c r="J18" s="80"/>
      <c r="K18" s="94">
        <v>5</v>
      </c>
      <c r="L18" s="75" t="s">
        <v>2138</v>
      </c>
    </row>
    <row r="19" spans="2:14" ht="13.15" customHeight="1">
      <c r="C19" s="1378" t="s">
        <v>1638</v>
      </c>
      <c r="D19" s="80"/>
      <c r="F19" s="1376"/>
      <c r="G19" s="1377">
        <f>IF(F19="",0,MAX(MIN(1,F19),0))</f>
        <v>0</v>
      </c>
      <c r="J19" s="1967"/>
      <c r="K19" s="94">
        <v>20</v>
      </c>
      <c r="L19" s="75" t="s">
        <v>2138</v>
      </c>
    </row>
    <row r="20" spans="2:14" ht="13.15" customHeight="1">
      <c r="C20" s="1378" t="s">
        <v>1639</v>
      </c>
      <c r="D20" s="80"/>
      <c r="F20" s="1376"/>
      <c r="G20" s="1377">
        <f>IF(F20="",0,MAX(MIN(1,F20),0))</f>
        <v>0</v>
      </c>
      <c r="J20" s="1964"/>
      <c r="K20" s="94">
        <v>10</v>
      </c>
      <c r="L20" s="75" t="s">
        <v>2138</v>
      </c>
    </row>
    <row r="21" spans="2:14" ht="13.15" customHeight="1">
      <c r="C21" s="1379"/>
      <c r="D21" s="80"/>
      <c r="F21" s="1376"/>
      <c r="G21" s="1377">
        <f>IF(F21="",0,MAX(MIN(1,F21),0))</f>
        <v>0</v>
      </c>
      <c r="J21" s="1967"/>
      <c r="K21" s="55"/>
      <c r="L21" s="75" t="s">
        <v>2138</v>
      </c>
    </row>
    <row r="22" spans="2:14" ht="10.15" customHeight="1">
      <c r="B22" s="85"/>
      <c r="C22" s="85"/>
      <c r="D22" s="85"/>
      <c r="E22" s="85"/>
      <c r="F22" s="85"/>
      <c r="G22" s="85"/>
      <c r="H22" s="85"/>
      <c r="I22" s="85"/>
      <c r="J22" s="85"/>
      <c r="K22" s="85"/>
      <c r="L22" s="85"/>
      <c r="M22" s="85"/>
      <c r="N22" s="85"/>
    </row>
    <row r="23" spans="2:14" ht="20.45" customHeight="1">
      <c r="G23" s="83"/>
      <c r="H23" s="83"/>
    </row>
    <row r="24" spans="2:14" ht="13.15" customHeight="1">
      <c r="B24" s="76" t="s">
        <v>1640</v>
      </c>
      <c r="G24" s="83"/>
      <c r="H24" s="83"/>
      <c r="I24" s="83"/>
      <c r="J24" s="41" t="s">
        <v>676</v>
      </c>
      <c r="K24" s="100">
        <f>IF(Projekt!L45="",VEBF0,Projekt!L45)*EBF0</f>
        <v>0</v>
      </c>
      <c r="L24" s="75" t="s">
        <v>2138</v>
      </c>
    </row>
    <row r="25" spans="2:14" ht="13.15" customHeight="1">
      <c r="G25" s="83"/>
      <c r="H25" s="83"/>
      <c r="I25" s="83"/>
      <c r="J25" s="41" t="s">
        <v>675</v>
      </c>
      <c r="K25" s="230">
        <f>Vbrutto*0.8*0.3</f>
        <v>0</v>
      </c>
      <c r="L25" s="75" t="s">
        <v>2138</v>
      </c>
    </row>
    <row r="26" spans="2:14" s="79" customFormat="1" ht="13.15" customHeight="1">
      <c r="B26" s="75"/>
      <c r="C26" s="41"/>
      <c r="D26" s="83"/>
      <c r="E26" s="75"/>
      <c r="G26" s="143"/>
      <c r="H26" s="143"/>
      <c r="I26" s="83"/>
      <c r="J26" s="41" t="s">
        <v>1982</v>
      </c>
      <c r="K26" s="231">
        <f>J17*(1-G17)+J18*(1-G18)+J19*(1-G19)+J20*(1-G20)+J21*(1-G21)+0.1*EBF</f>
        <v>0</v>
      </c>
      <c r="L26" s="85" t="s">
        <v>2138</v>
      </c>
    </row>
    <row r="27" spans="2:14" ht="13.15" customHeight="1">
      <c r="C27" s="41"/>
      <c r="D27" s="83"/>
      <c r="G27" s="83"/>
      <c r="H27" s="83"/>
      <c r="I27" s="83"/>
      <c r="J27" s="88" t="s">
        <v>1641</v>
      </c>
      <c r="K27" s="560">
        <f>IF(Projekt!L45&gt;0,K24,MAX(K24,K25,K26))</f>
        <v>0</v>
      </c>
      <c r="L27" s="79" t="s">
        <v>677</v>
      </c>
    </row>
    <row r="28" spans="2:14" ht="10.15" customHeight="1">
      <c r="B28" s="85"/>
      <c r="C28" s="85"/>
      <c r="D28" s="85"/>
      <c r="E28" s="85"/>
      <c r="F28" s="85"/>
      <c r="G28" s="85"/>
      <c r="H28" s="85"/>
      <c r="I28" s="85"/>
      <c r="J28" s="85"/>
      <c r="K28" s="85"/>
      <c r="L28" s="85"/>
      <c r="M28" s="85"/>
      <c r="N28" s="85"/>
    </row>
    <row r="29" spans="2:14" ht="20.45" customHeight="1">
      <c r="B29" s="76" t="s">
        <v>1625</v>
      </c>
      <c r="J29" s="77" t="s">
        <v>1642</v>
      </c>
    </row>
    <row r="30" spans="2:14">
      <c r="C30" s="41" t="s">
        <v>1658</v>
      </c>
      <c r="D30" s="216">
        <f ca="1">Thetaea</f>
        <v>0</v>
      </c>
      <c r="E30" s="79" t="s">
        <v>2324</v>
      </c>
      <c r="J30" s="41" t="s">
        <v>328</v>
      </c>
      <c r="K30" s="1965">
        <f>'M1'!R41</f>
        <v>0</v>
      </c>
      <c r="L30" s="75" t="s">
        <v>1659</v>
      </c>
    </row>
    <row r="31" spans="2:14">
      <c r="C31" s="41" t="s">
        <v>1660</v>
      </c>
      <c r="D31" s="41">
        <f ca="1">MIN(F11,-1)</f>
        <v>-8</v>
      </c>
      <c r="E31" s="75" t="s">
        <v>2324</v>
      </c>
      <c r="J31" s="41" t="s">
        <v>1648</v>
      </c>
      <c r="K31" s="1965">
        <f>'M1'!R24+'M1'!R25</f>
        <v>0</v>
      </c>
      <c r="L31" s="75" t="s">
        <v>1659</v>
      </c>
    </row>
    <row r="32" spans="2:14">
      <c r="C32" s="41" t="s">
        <v>1661</v>
      </c>
      <c r="D32" s="41">
        <f>IF(Thetai=0,20,Thetai)</f>
        <v>21</v>
      </c>
      <c r="E32" s="75" t="s">
        <v>2324</v>
      </c>
      <c r="G32" s="83"/>
      <c r="H32" s="83"/>
      <c r="J32" s="41" t="s">
        <v>238</v>
      </c>
      <c r="K32" s="1965">
        <f>'M1'!R26</f>
        <v>0</v>
      </c>
      <c r="L32" s="75" t="s">
        <v>1659</v>
      </c>
    </row>
    <row r="33" spans="2:16">
      <c r="C33" s="41" t="s">
        <v>1654</v>
      </c>
      <c r="D33" s="217">
        <f>IF(Thetain=0,Thetai,Thetain)</f>
        <v>1</v>
      </c>
      <c r="E33" s="75" t="s">
        <v>2324</v>
      </c>
      <c r="G33" s="83"/>
      <c r="H33" s="83"/>
      <c r="J33" s="41" t="s">
        <v>1649</v>
      </c>
      <c r="K33" s="1965">
        <f>'M1'!R27+'M1'!R28</f>
        <v>0</v>
      </c>
      <c r="L33" s="75" t="s">
        <v>1659</v>
      </c>
      <c r="P33" s="1"/>
    </row>
    <row r="34" spans="2:16">
      <c r="C34" s="41" t="s">
        <v>1655</v>
      </c>
      <c r="D34" s="217">
        <f>IF(Thetain=0,Thetai,Thetain)</f>
        <v>1</v>
      </c>
      <c r="E34" s="75" t="s">
        <v>2324</v>
      </c>
      <c r="G34" s="83"/>
      <c r="H34" s="83"/>
      <c r="I34" s="83"/>
      <c r="J34" s="41" t="s">
        <v>1650</v>
      </c>
      <c r="K34" s="1965">
        <f>'M1'!R30</f>
        <v>0</v>
      </c>
      <c r="L34" s="75" t="s">
        <v>1659</v>
      </c>
      <c r="P34" s="217"/>
    </row>
    <row r="35" spans="2:16">
      <c r="C35" s="41" t="s">
        <v>1656</v>
      </c>
      <c r="D35" s="83">
        <f>IF(Thetain=0,Thetai,Thetain)</f>
        <v>1</v>
      </c>
      <c r="E35" s="75" t="s">
        <v>2324</v>
      </c>
      <c r="G35" s="83"/>
      <c r="H35" s="83"/>
      <c r="I35" s="83"/>
      <c r="J35" s="41" t="s">
        <v>809</v>
      </c>
      <c r="K35" s="1965">
        <f>'M1'!R29</f>
        <v>0</v>
      </c>
      <c r="L35" s="75" t="s">
        <v>1659</v>
      </c>
    </row>
    <row r="36" spans="2:16">
      <c r="B36" s="83"/>
      <c r="C36" s="104" t="s">
        <v>1652</v>
      </c>
      <c r="D36" s="793"/>
      <c r="E36" s="75" t="s">
        <v>1653</v>
      </c>
      <c r="G36" s="83"/>
      <c r="H36" s="83"/>
      <c r="I36" s="83"/>
      <c r="J36" s="41" t="s">
        <v>1651</v>
      </c>
      <c r="K36" s="1965">
        <f>'M1'!R31+'M1'!R32</f>
        <v>0</v>
      </c>
      <c r="L36" s="75" t="s">
        <v>1659</v>
      </c>
    </row>
    <row r="37" spans="2:16">
      <c r="C37" s="88" t="s">
        <v>1662</v>
      </c>
      <c r="D37" s="90">
        <f>SUM(K30:K44)</f>
        <v>0</v>
      </c>
      <c r="E37" s="79" t="s">
        <v>1659</v>
      </c>
      <c r="G37" s="83"/>
      <c r="H37" s="83"/>
      <c r="I37" s="83"/>
      <c r="J37" s="41" t="s">
        <v>239</v>
      </c>
      <c r="K37" s="1965">
        <f>'M1'!R34</f>
        <v>0</v>
      </c>
      <c r="L37" s="75" t="s">
        <v>1659</v>
      </c>
    </row>
    <row r="38" spans="2:16">
      <c r="C38" s="88" t="s">
        <v>1663</v>
      </c>
      <c r="D38" s="1927">
        <f ca="1">IF(_Ver09,K27/3000*(D32-D31),MAX(K27/3000*(D32-D31)*0.9,'M1'!R44))</f>
        <v>0</v>
      </c>
      <c r="E38" s="143" t="s">
        <v>1659</v>
      </c>
      <c r="G38" s="83"/>
      <c r="H38" s="83"/>
      <c r="I38" s="83"/>
      <c r="J38" s="41" t="s">
        <v>1389</v>
      </c>
      <c r="K38" s="1965">
        <f>'M1'!R33</f>
        <v>0</v>
      </c>
      <c r="L38" s="75" t="s">
        <v>1659</v>
      </c>
    </row>
    <row r="39" spans="2:16">
      <c r="C39" s="88" t="str">
        <f>IF(_Ver09,"","interne Wärmegewinne SIA 384/3  ")</f>
        <v xml:space="preserve">interne Wärmegewinne SIA 384/3  </v>
      </c>
      <c r="D39" s="1930">
        <f>IF(_Ver09,0,-IF(Kategorie&gt;1,INDEX(Tab!H16:S16,1,Kategorie-1),0)*EBF/1000)</f>
        <v>0</v>
      </c>
      <c r="E39" s="86" t="s">
        <v>1659</v>
      </c>
      <c r="G39" s="83"/>
      <c r="H39" s="83"/>
      <c r="I39" s="83"/>
      <c r="J39" s="41" t="s">
        <v>3</v>
      </c>
      <c r="K39" s="1965">
        <f>'M1'!R35</f>
        <v>0</v>
      </c>
      <c r="L39" s="75" t="s">
        <v>1659</v>
      </c>
    </row>
    <row r="40" spans="2:16">
      <c r="B40" s="83"/>
      <c r="C40" s="144" t="s">
        <v>1664</v>
      </c>
      <c r="D40" s="91">
        <f ca="1">D37+D38+D39</f>
        <v>0</v>
      </c>
      <c r="E40" s="86" t="s">
        <v>1659</v>
      </c>
      <c r="G40" s="83"/>
      <c r="H40" s="83"/>
      <c r="I40" s="83"/>
      <c r="J40" s="41" t="s">
        <v>1665</v>
      </c>
      <c r="K40" s="1965">
        <f>'M1'!R36</f>
        <v>0</v>
      </c>
      <c r="L40" s="75" t="s">
        <v>1659</v>
      </c>
    </row>
    <row r="41" spans="2:16">
      <c r="C41" s="88" t="s">
        <v>655</v>
      </c>
      <c r="D41" s="432"/>
      <c r="E41" s="86" t="s">
        <v>1659</v>
      </c>
      <c r="F41" s="75" t="s">
        <v>2272</v>
      </c>
      <c r="G41" s="83"/>
      <c r="H41" s="83"/>
      <c r="I41" s="83"/>
      <c r="J41" s="41" t="s">
        <v>2273</v>
      </c>
      <c r="K41" s="1965">
        <f>'M1'!R37</f>
        <v>0</v>
      </c>
      <c r="L41" s="75" t="s">
        <v>1659</v>
      </c>
    </row>
    <row r="42" spans="2:16">
      <c r="C42" s="88" t="s">
        <v>1657</v>
      </c>
      <c r="D42" s="91">
        <f>IF(D36&gt;23,0,IF(D36&gt;0,(D40+D41)/(24-Sperrzeit)*24-(D40+D41),0))</f>
        <v>0</v>
      </c>
      <c r="E42" s="86" t="s">
        <v>1659</v>
      </c>
      <c r="F42" s="75" t="s">
        <v>2272</v>
      </c>
      <c r="G42" s="83"/>
      <c r="H42" s="83"/>
      <c r="I42" s="83"/>
      <c r="J42" s="41" t="s">
        <v>2274</v>
      </c>
      <c r="K42" s="1965">
        <f>'M1'!R38</f>
        <v>0</v>
      </c>
      <c r="L42" s="75" t="s">
        <v>1659</v>
      </c>
    </row>
    <row r="43" spans="2:16">
      <c r="C43" s="88" t="s">
        <v>1779</v>
      </c>
      <c r="D43" s="92"/>
      <c r="E43" s="86" t="s">
        <v>1659</v>
      </c>
      <c r="F43" s="75" t="s">
        <v>2272</v>
      </c>
      <c r="G43" s="83"/>
      <c r="H43" s="83"/>
      <c r="I43" s="83"/>
      <c r="J43" s="41" t="s">
        <v>2275</v>
      </c>
      <c r="K43" s="1965">
        <f>'M1'!R39</f>
        <v>0</v>
      </c>
      <c r="L43" s="75" t="s">
        <v>1659</v>
      </c>
    </row>
    <row r="44" spans="2:16" s="93" customFormat="1" ht="15.75" thickBot="1">
      <c r="C44" s="88" t="s">
        <v>2276</v>
      </c>
      <c r="D44" s="792">
        <f ca="1">D43+D42+D41+D40</f>
        <v>0</v>
      </c>
      <c r="E44" s="89" t="s">
        <v>1659</v>
      </c>
      <c r="F44" s="149" t="str">
        <f>IF(OR(A_TWD_S&gt;0,A_TWD_O&gt;0,A_TWD_W&gt;0,A_TWD_N&gt;0),"Leistung TWD/Lucido überprüfen!","")</f>
        <v/>
      </c>
      <c r="I44" s="145"/>
      <c r="J44" s="41" t="s">
        <v>2277</v>
      </c>
      <c r="K44" s="1965">
        <f>'M1'!R40</f>
        <v>0</v>
      </c>
      <c r="L44" s="75" t="s">
        <v>1659</v>
      </c>
    </row>
    <row r="45" spans="2:16" ht="7.9" customHeight="1">
      <c r="B45" s="85"/>
      <c r="C45" s="85"/>
      <c r="D45" s="85"/>
      <c r="E45" s="85"/>
      <c r="F45" s="85"/>
      <c r="G45" s="85"/>
      <c r="H45" s="85"/>
      <c r="I45" s="85"/>
      <c r="J45" s="85"/>
      <c r="K45" s="85"/>
      <c r="L45" s="85"/>
      <c r="M45" s="85"/>
      <c r="N45" s="85"/>
    </row>
    <row r="46" spans="2:16" ht="12.6" customHeight="1">
      <c r="B46" s="83"/>
      <c r="C46" s="83"/>
      <c r="D46" s="83"/>
      <c r="E46" s="83"/>
      <c r="F46" s="83"/>
      <c r="G46" s="83"/>
      <c r="H46" s="83"/>
      <c r="I46" s="83"/>
      <c r="J46" s="83"/>
      <c r="K46" s="83"/>
      <c r="L46" s="83"/>
      <c r="M46" s="83"/>
      <c r="N46" s="83"/>
    </row>
    <row r="47" spans="2:16" ht="12.6" customHeight="1">
      <c r="B47" s="83"/>
      <c r="C47" s="83"/>
      <c r="D47" s="83"/>
      <c r="E47" s="83"/>
      <c r="F47" s="83"/>
      <c r="G47" s="83"/>
      <c r="H47" s="83"/>
      <c r="I47" s="83"/>
      <c r="J47" s="83"/>
      <c r="K47" s="83"/>
      <c r="L47" s="83"/>
      <c r="M47" s="83"/>
      <c r="N47" s="83"/>
    </row>
    <row r="48" spans="2:16">
      <c r="G48" s="83"/>
      <c r="H48" s="83"/>
      <c r="M48" s="29"/>
    </row>
    <row r="50" spans="2:15" ht="18">
      <c r="B50" s="596" t="s">
        <v>1046</v>
      </c>
      <c r="G50" s="83"/>
      <c r="H50" s="83"/>
      <c r="M50" s="32"/>
    </row>
    <row r="51" spans="2:15">
      <c r="G51" s="83"/>
      <c r="H51" s="83"/>
    </row>
    <row r="52" spans="2:15">
      <c r="B52" s="75" t="s">
        <v>395</v>
      </c>
      <c r="C52" s="75" t="s">
        <v>394</v>
      </c>
    </row>
    <row r="53" spans="2:15">
      <c r="B53" s="580" t="s">
        <v>396</v>
      </c>
      <c r="C53" s="581"/>
      <c r="D53" s="581"/>
      <c r="E53" s="581"/>
      <c r="F53" s="581"/>
      <c r="G53" s="581"/>
      <c r="H53" s="581"/>
      <c r="I53" s="581"/>
      <c r="J53" s="581"/>
      <c r="K53" s="581"/>
      <c r="L53" s="581"/>
      <c r="M53" s="581"/>
      <c r="N53" s="581"/>
      <c r="O53" s="582"/>
    </row>
    <row r="54" spans="2:15">
      <c r="B54" s="82">
        <f>IF(L4&gt;1,INDEX(Tab!C109:J192,L4,1),Projekt!BC35)</f>
        <v>0</v>
      </c>
      <c r="C54" s="576" t="s">
        <v>903</v>
      </c>
      <c r="D54" s="83"/>
      <c r="E54" s="576" t="s">
        <v>904</v>
      </c>
      <c r="F54" s="83"/>
      <c r="G54" s="83"/>
      <c r="H54" s="83"/>
      <c r="I54" s="583">
        <f>IF(L4&gt;1,INDEX(Tab!C109:J192,L4,1),Projekt!BC35)</f>
        <v>0</v>
      </c>
      <c r="J54" s="579" t="s">
        <v>903</v>
      </c>
      <c r="K54" s="84" t="s">
        <v>904</v>
      </c>
      <c r="L54" s="83"/>
      <c r="M54" s="83"/>
      <c r="N54" s="83"/>
      <c r="O54" s="78"/>
    </row>
    <row r="55" spans="2:15" ht="18.75">
      <c r="B55" s="590" t="s">
        <v>401</v>
      </c>
      <c r="C55" s="577"/>
      <c r="D55" s="83" t="s">
        <v>2324</v>
      </c>
      <c r="E55" s="577"/>
      <c r="F55" s="83" t="s">
        <v>2324</v>
      </c>
      <c r="G55" s="83"/>
      <c r="H55" s="83"/>
      <c r="I55" s="600" t="s">
        <v>400</v>
      </c>
      <c r="J55" s="586">
        <f ca="1">IF(C55&lt;&gt;"",C55,INDEX(Tab!$E$274:$E$313,Station,1))+Takorr</f>
        <v>-8</v>
      </c>
      <c r="K55" s="576">
        <f ca="1">IF(E55&lt;&gt;"",E55,INDEX(Tab!$M$274:$M$313,Station,1))+Takorr</f>
        <v>-4</v>
      </c>
      <c r="L55" s="83" t="s">
        <v>2324</v>
      </c>
      <c r="M55" s="83"/>
      <c r="N55" s="83"/>
      <c r="O55" s="78"/>
    </row>
    <row r="56" spans="2:15" ht="18.75">
      <c r="B56" s="590" t="s">
        <v>1894</v>
      </c>
      <c r="C56" s="578"/>
      <c r="D56" s="83" t="s">
        <v>2075</v>
      </c>
      <c r="E56" s="578"/>
      <c r="F56" s="83" t="s">
        <v>2075</v>
      </c>
      <c r="G56" s="83"/>
      <c r="H56" s="83"/>
      <c r="I56" s="600" t="s">
        <v>2199</v>
      </c>
      <c r="J56" s="585" t="b">
        <f>IF(C56="",IF(_Ver09,INDEX(Tab!$F$274:$F$313,Station,1)),C56)</f>
        <v>0</v>
      </c>
      <c r="K56" s="576" t="b">
        <f>IF(E56="",IF(_Ver09,INDEX(Tab!$N$274:$N$313,Station,1)),E56)</f>
        <v>0</v>
      </c>
      <c r="L56" s="83" t="s">
        <v>397</v>
      </c>
      <c r="M56" s="83"/>
      <c r="N56" s="83"/>
      <c r="O56" s="78"/>
    </row>
    <row r="57" spans="2:15" ht="18.75">
      <c r="B57" s="590" t="str">
        <f>IF(Drehung=1,"IsSW","IsS")</f>
        <v>IsS</v>
      </c>
      <c r="C57" s="578"/>
      <c r="D57" s="83" t="s">
        <v>2075</v>
      </c>
      <c r="E57" s="578"/>
      <c r="F57" s="83" t="s">
        <v>2075</v>
      </c>
      <c r="G57" s="83"/>
      <c r="H57" s="83"/>
      <c r="I57" s="600" t="s">
        <v>2200</v>
      </c>
      <c r="J57" s="585" t="b">
        <f>IF(C57="",IF(_Ver09,INDEX(Tab!$H$274:$H$313,Station,1)),C57)</f>
        <v>0</v>
      </c>
      <c r="K57" s="576" t="b">
        <f>IF(E57="",IF(_Ver09,INDEX(Tab!$P$274:$P$313,Station,1)),E57)</f>
        <v>0</v>
      </c>
      <c r="L57" s="83" t="s">
        <v>397</v>
      </c>
      <c r="M57" s="83"/>
      <c r="N57" s="83"/>
      <c r="O57" s="78"/>
    </row>
    <row r="58" spans="2:15" ht="18.75">
      <c r="B58" s="590" t="str">
        <f>IF(Drehung=1,"IsSE","IsE")</f>
        <v>IsE</v>
      </c>
      <c r="C58" s="578"/>
      <c r="D58" s="83" t="s">
        <v>2076</v>
      </c>
      <c r="E58" s="578"/>
      <c r="F58" s="83" t="s">
        <v>2076</v>
      </c>
      <c r="G58" s="83"/>
      <c r="H58" s="83"/>
      <c r="I58" s="600" t="s">
        <v>388</v>
      </c>
      <c r="J58" s="585" t="b">
        <f>IF(C58="",IF(_Ver09,INDEX(Tab!$G$274:$G$313,Station,1)),C58)</f>
        <v>0</v>
      </c>
      <c r="K58" s="576" t="b">
        <f>IF(E58="",IF(_Ver09,INDEX(Tab!$O$274:$O$313,Station,1)),E58)</f>
        <v>0</v>
      </c>
      <c r="L58" s="83" t="s">
        <v>397</v>
      </c>
      <c r="M58" s="83"/>
      <c r="N58" s="83"/>
      <c r="O58" s="78"/>
    </row>
    <row r="59" spans="2:15" ht="18.75">
      <c r="B59" s="590" t="str">
        <f>IF(Drehung=1,"IsNW","IsW")</f>
        <v>IsW</v>
      </c>
      <c r="C59" s="578"/>
      <c r="D59" s="83" t="s">
        <v>2076</v>
      </c>
      <c r="E59" s="578"/>
      <c r="F59" s="83" t="s">
        <v>2076</v>
      </c>
      <c r="G59" s="83"/>
      <c r="H59" s="83"/>
      <c r="I59" s="600" t="s">
        <v>389</v>
      </c>
      <c r="J59" s="585" t="b">
        <f>IF(C59="",IF(_Ver09,INDEX(Tab!$I$274:$I$313,Station,1)),C59)</f>
        <v>0</v>
      </c>
      <c r="K59" s="576" t="b">
        <f>IF(E59="",IF(_Ver09,INDEX(Tab!$Q$274:$Q$313,Station,1)),E59)</f>
        <v>0</v>
      </c>
      <c r="L59" s="83" t="s">
        <v>397</v>
      </c>
      <c r="M59" s="83"/>
      <c r="N59" s="83"/>
      <c r="O59" s="78"/>
    </row>
    <row r="60" spans="2:15" ht="18.75">
      <c r="B60" s="590" t="str">
        <f>IF(Drehung=1,"IsNE","IsN")</f>
        <v>IsN</v>
      </c>
      <c r="C60" s="578"/>
      <c r="D60" s="83" t="s">
        <v>2076</v>
      </c>
      <c r="E60" s="578"/>
      <c r="F60" s="83" t="s">
        <v>2076</v>
      </c>
      <c r="G60" s="83"/>
      <c r="H60" s="83"/>
      <c r="I60" s="600" t="s">
        <v>390</v>
      </c>
      <c r="J60" s="585" t="b">
        <f>IF(C60="",IF(_Ver09,INDEX(Tab!$J$274:$J$313,Station,1)),C60)</f>
        <v>0</v>
      </c>
      <c r="K60" s="576" t="b">
        <f>IF(E60="",IF(_Ver09,INDEX(Tab!$R$274:$R$313,Station,1)),E60)</f>
        <v>0</v>
      </c>
      <c r="L60" s="83" t="s">
        <v>397</v>
      </c>
      <c r="M60" s="83"/>
      <c r="N60" s="83"/>
      <c r="O60" s="78"/>
    </row>
    <row r="61" spans="2:15">
      <c r="B61" s="575"/>
      <c r="C61" s="85"/>
      <c r="D61" s="85"/>
      <c r="E61" s="85"/>
      <c r="F61" s="85"/>
      <c r="G61" s="85"/>
      <c r="H61" s="85"/>
      <c r="I61" s="85"/>
      <c r="J61" s="85"/>
      <c r="K61" s="85"/>
      <c r="L61" s="85"/>
      <c r="M61" s="85"/>
      <c r="N61" s="85"/>
      <c r="O61" s="87"/>
    </row>
    <row r="62" spans="2:15" ht="6" customHeight="1"/>
    <row r="63" spans="2:15">
      <c r="B63" s="580" t="s">
        <v>2197</v>
      </c>
      <c r="C63" s="581"/>
      <c r="D63" s="581"/>
      <c r="E63" s="581"/>
      <c r="F63" s="581"/>
      <c r="G63" s="581"/>
      <c r="H63" s="581"/>
      <c r="I63" s="588" t="s">
        <v>2198</v>
      </c>
      <c r="J63" s="581"/>
      <c r="K63" s="581"/>
      <c r="L63" s="581"/>
      <c r="M63" s="581"/>
      <c r="N63" s="581"/>
      <c r="O63" s="582"/>
    </row>
    <row r="64" spans="2:15">
      <c r="B64" s="587"/>
      <c r="C64" s="579" t="s">
        <v>903</v>
      </c>
      <c r="D64" s="84" t="s">
        <v>904</v>
      </c>
      <c r="E64" s="83"/>
      <c r="F64" s="83"/>
      <c r="I64" s="87"/>
      <c r="J64" s="583" t="s">
        <v>903</v>
      </c>
      <c r="K64" s="584" t="s">
        <v>904</v>
      </c>
      <c r="L64" s="83"/>
      <c r="M64" s="83"/>
      <c r="N64" s="83"/>
      <c r="O64" s="78"/>
    </row>
    <row r="65" spans="2:15" ht="18.75">
      <c r="B65" s="590" t="s">
        <v>403</v>
      </c>
      <c r="C65" s="594">
        <f>IF(EBF&gt;0,IsHA*AwH*gh*0.9*FFh*FSh/EBF,0)</f>
        <v>0</v>
      </c>
      <c r="D65" s="595">
        <f>IF(EBF&gt;0,IsHB*AwH*gh*0.9*FFh*FSh/EBF,0)</f>
        <v>0</v>
      </c>
      <c r="E65" s="83" t="s">
        <v>397</v>
      </c>
      <c r="F65" s="83"/>
      <c r="I65" s="600" t="s">
        <v>2306</v>
      </c>
      <c r="J65" s="592">
        <f>SUM(qsHA:qsNA)</f>
        <v>0</v>
      </c>
      <c r="K65" s="595">
        <f>SUM(qsHB:qsNB)</f>
        <v>0</v>
      </c>
      <c r="L65" s="83" t="s">
        <v>397</v>
      </c>
      <c r="M65" s="83"/>
      <c r="N65" s="83"/>
      <c r="O65" s="78"/>
    </row>
    <row r="66" spans="2:15" ht="18.75">
      <c r="B66" s="590" t="s">
        <v>404</v>
      </c>
      <c r="C66" s="594">
        <f>IF(EBF&gt;0,IsSA*AwS*gS*0.9*FFS*FSS/EBF,0)</f>
        <v>0</v>
      </c>
      <c r="D66" s="595">
        <f>IF(EBF&gt;0,IsSB*AwS*gS*0.9*FFS*FSS/EBF,0)</f>
        <v>0</v>
      </c>
      <c r="E66" s="83" t="s">
        <v>397</v>
      </c>
      <c r="F66" s="83"/>
      <c r="G66" s="83"/>
      <c r="H66" s="83"/>
      <c r="K66" s="83"/>
      <c r="L66" s="83"/>
      <c r="M66" s="83"/>
      <c r="N66" s="83"/>
      <c r="O66" s="78"/>
    </row>
    <row r="67" spans="2:15" ht="18.75">
      <c r="B67" s="590" t="s">
        <v>2303</v>
      </c>
      <c r="C67" s="594">
        <f>IF(EBF&gt;0,IsEA*AwE*gE*0.9*FFE*FSE/EBF,0)</f>
        <v>0</v>
      </c>
      <c r="D67" s="595">
        <f>IF(EBF&gt;0,IsEB*AwE*gE*0.9*FFE*FSE/EBF,0)</f>
        <v>0</v>
      </c>
      <c r="E67" s="83" t="s">
        <v>397</v>
      </c>
      <c r="F67" s="83"/>
      <c r="G67" s="83"/>
      <c r="H67" s="83"/>
      <c r="I67" s="589" t="s">
        <v>391</v>
      </c>
      <c r="K67" s="83"/>
      <c r="L67" s="83"/>
      <c r="M67" s="83"/>
      <c r="N67" s="83"/>
      <c r="O67" s="78"/>
    </row>
    <row r="68" spans="2:15" ht="18.75">
      <c r="B68" s="590" t="s">
        <v>2304</v>
      </c>
      <c r="C68" s="594">
        <f>IF(EBF&gt;0,IsWA*AwW*gW*0.9*FFW*FSW/EBF,0)</f>
        <v>0</v>
      </c>
      <c r="D68" s="595">
        <f>IF(EBF&gt;0,IsWB*AwW*gW*0.9*FFW*FSW/EBF,0)</f>
        <v>0</v>
      </c>
      <c r="E68" s="83" t="s">
        <v>397</v>
      </c>
      <c r="F68" s="83"/>
      <c r="G68" s="83"/>
      <c r="H68" s="83"/>
      <c r="I68" s="591"/>
      <c r="J68" s="585" t="s">
        <v>903</v>
      </c>
      <c r="K68" s="82" t="s">
        <v>904</v>
      </c>
      <c r="L68" s="83"/>
      <c r="M68" s="83"/>
      <c r="N68" s="83"/>
      <c r="O68" s="78"/>
    </row>
    <row r="69" spans="2:15" ht="18.75">
      <c r="B69" s="590" t="s">
        <v>2305</v>
      </c>
      <c r="C69" s="594">
        <f>IF(EBF&gt;0,IsNA*AwN*gN*0.9*FFN*FSN/EBF,0)</f>
        <v>0</v>
      </c>
      <c r="D69" s="595">
        <f>IF(EBF&gt;0,IsNB*AwN*gN*0.9*FFN*FSN/EBF,0)</f>
        <v>0</v>
      </c>
      <c r="E69" s="83" t="s">
        <v>397</v>
      </c>
      <c r="F69" s="83"/>
      <c r="G69" s="83"/>
      <c r="H69" s="83"/>
      <c r="I69" s="601" t="s">
        <v>2307</v>
      </c>
      <c r="J69" s="592">
        <f>qsA*Eta_jan</f>
        <v>0</v>
      </c>
      <c r="K69" s="593">
        <f>qsB*Eta_jan</f>
        <v>0</v>
      </c>
      <c r="L69" s="83" t="s">
        <v>397</v>
      </c>
      <c r="M69" s="83"/>
      <c r="N69" s="83"/>
      <c r="O69" s="78"/>
    </row>
    <row r="70" spans="2:15">
      <c r="B70" s="575"/>
      <c r="C70" s="85"/>
      <c r="D70" s="85"/>
      <c r="E70" s="85"/>
      <c r="F70" s="85"/>
      <c r="G70" s="85"/>
      <c r="H70" s="85"/>
      <c r="I70" s="85"/>
      <c r="J70" s="85"/>
      <c r="K70" s="85"/>
      <c r="L70" s="85"/>
      <c r="M70" s="85"/>
      <c r="N70" s="85"/>
      <c r="O70" s="87"/>
    </row>
    <row r="71" spans="2:15" ht="6" customHeight="1"/>
    <row r="72" spans="2:15">
      <c r="B72" s="580" t="s">
        <v>392</v>
      </c>
      <c r="C72" s="581"/>
      <c r="D72" s="581"/>
      <c r="E72" s="581"/>
      <c r="F72" s="581"/>
      <c r="G72" s="581"/>
      <c r="H72" s="581"/>
      <c r="I72" s="588" t="s">
        <v>393</v>
      </c>
      <c r="J72" s="581"/>
      <c r="K72" s="581"/>
      <c r="L72" s="581"/>
      <c r="M72" s="581"/>
      <c r="N72" s="581"/>
      <c r="O72" s="582"/>
    </row>
    <row r="73" spans="2:15">
      <c r="B73" s="81"/>
      <c r="C73" s="83"/>
      <c r="D73" s="83"/>
      <c r="E73" s="83"/>
      <c r="F73" s="83"/>
      <c r="G73" s="83"/>
      <c r="H73" s="83"/>
      <c r="I73" s="83"/>
      <c r="J73" s="83"/>
      <c r="K73" s="83"/>
      <c r="L73" s="83"/>
      <c r="M73" s="83"/>
      <c r="N73" s="83"/>
      <c r="O73" s="78"/>
    </row>
    <row r="74" spans="2:15" ht="21.75" thickBot="1">
      <c r="B74" s="579"/>
      <c r="C74" s="579" t="s">
        <v>903</v>
      </c>
      <c r="D74" s="584" t="s">
        <v>904</v>
      </c>
      <c r="E74" s="83"/>
      <c r="F74" s="83"/>
      <c r="G74" s="83"/>
      <c r="H74" s="83"/>
      <c r="I74" s="597" t="s">
        <v>398</v>
      </c>
      <c r="J74" s="598">
        <f>MAX(qhMPA:qhMPB)</f>
        <v>0</v>
      </c>
      <c r="K74" s="599" t="s">
        <v>399</v>
      </c>
      <c r="L74" s="83"/>
      <c r="M74" s="83"/>
      <c r="N74" s="83"/>
      <c r="O74" s="78"/>
    </row>
    <row r="75" spans="2:15" ht="19.5" thickTop="1">
      <c r="B75" s="602" t="s">
        <v>2308</v>
      </c>
      <c r="C75" s="592">
        <f>IF(EBF&gt;0,((D37)/EBF*1000*(Thetai-Projekt!Q49-TaMinPA)/(Thetai-TaMin))-qugA-0.5*QE*fE/0.0864/365,0)</f>
        <v>0</v>
      </c>
      <c r="D75" s="593">
        <f>IF(EBF&gt;0,((D37)/EBF*1000*(Thetai-Projekt!Q49-TaMinPB)/(Thetai-TaMin))-qugB-0.5*QE*fE/0.0864/365,0)</f>
        <v>0</v>
      </c>
      <c r="E75" s="83" t="s">
        <v>397</v>
      </c>
      <c r="F75" s="83"/>
      <c r="G75" s="83"/>
      <c r="H75" s="83"/>
      <c r="I75" s="83" t="s">
        <v>402</v>
      </c>
      <c r="J75" s="83"/>
      <c r="K75" s="83"/>
      <c r="L75" s="83"/>
      <c r="M75" s="83"/>
      <c r="N75" s="83"/>
      <c r="O75" s="78"/>
    </row>
    <row r="76" spans="2:15">
      <c r="B76" s="81"/>
      <c r="C76" s="83"/>
      <c r="D76" s="83"/>
      <c r="E76" s="83"/>
      <c r="F76" s="83"/>
      <c r="G76" s="83"/>
      <c r="H76" s="83"/>
      <c r="I76" s="143"/>
      <c r="J76" s="83"/>
      <c r="K76" s="83"/>
      <c r="L76" s="83"/>
      <c r="M76" s="83"/>
      <c r="N76" s="83"/>
      <c r="O76" s="78"/>
    </row>
    <row r="77" spans="2:15">
      <c r="B77" s="581"/>
      <c r="C77" s="581"/>
      <c r="D77" s="581"/>
      <c r="E77" s="581"/>
      <c r="F77" s="581"/>
      <c r="G77" s="581"/>
      <c r="H77" s="581"/>
      <c r="I77" s="559"/>
      <c r="J77" s="581"/>
      <c r="K77" s="581"/>
      <c r="L77" s="581"/>
      <c r="M77" s="581"/>
      <c r="N77" s="581"/>
      <c r="O77" s="581"/>
    </row>
    <row r="78" spans="2:15">
      <c r="B78" s="83"/>
      <c r="C78" s="83"/>
      <c r="D78" s="83"/>
      <c r="E78" s="83"/>
      <c r="F78" s="83"/>
      <c r="G78" s="83"/>
      <c r="H78" s="83"/>
      <c r="I78" s="83"/>
      <c r="J78" s="83"/>
      <c r="K78" s="83"/>
      <c r="L78" s="83"/>
      <c r="M78" s="83"/>
      <c r="N78" s="83"/>
      <c r="O78" s="83"/>
    </row>
  </sheetData>
  <sheetProtection password="C9AE" sheet="1" objects="1" scenarios="1"/>
  <mergeCells count="1">
    <mergeCell ref="M1:O1"/>
  </mergeCells>
  <phoneticPr fontId="0" type="noConversion"/>
  <conditionalFormatting sqref="D17:D21 C55:C60 J17:J21 E55:E60 D36 D41 D43 F17:F21">
    <cfRule type="cellIs" dxfId="1" priority="1" stopIfTrue="1" operator="notEqual">
      <formula>""</formula>
    </cfRule>
  </conditionalFormatting>
  <conditionalFormatting sqref="J74">
    <cfRule type="cellIs" dxfId="0" priority="2" stopIfTrue="1" operator="greaterThan">
      <formula>0</formula>
    </cfRule>
  </conditionalFormatting>
  <pageMargins left="0.63" right="0.39370078740157483" top="0.39370078740157483" bottom="0.39370078740157483" header="0.19685039370078741" footer="0.19685039370078741"/>
  <pageSetup paperSize="9" scale="72" orientation="portrait" horizontalDpi="4294967292" r:id="rId1"/>
  <headerFooter alignWithMargins="0">
    <oddFooter>&amp;L&amp;"Times New Roman,Kursiv"&amp;6Huber Energietechnik, AG Zürich  &amp;C&amp;6&amp;F  &amp;R&amp;"Times New Roman,Kursiv"&amp;6ENTECH 380/1, Ver. 5.4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2:E190"/>
  <sheetViews>
    <sheetView topLeftCell="A146" workbookViewId="0">
      <selection activeCell="B192" sqref="B192"/>
    </sheetView>
  </sheetViews>
  <sheetFormatPr baseColWidth="10" defaultColWidth="11.5703125" defaultRowHeight="12.75"/>
  <cols>
    <col min="1" max="1" width="4.7109375" style="456" customWidth="1"/>
    <col min="2" max="2" width="74.7109375" style="456" customWidth="1"/>
    <col min="3" max="16384" width="11.5703125" style="456"/>
  </cols>
  <sheetData>
    <row r="2" spans="1:5">
      <c r="A2" s="455" t="s">
        <v>1952</v>
      </c>
    </row>
    <row r="4" spans="1:5" s="455" customFormat="1">
      <c r="A4" s="457" t="s">
        <v>1191</v>
      </c>
      <c r="B4" s="457" t="s">
        <v>1953</v>
      </c>
      <c r="C4" s="457" t="s">
        <v>1954</v>
      </c>
      <c r="D4" s="457" t="s">
        <v>1955</v>
      </c>
      <c r="E4" s="457" t="s">
        <v>736</v>
      </c>
    </row>
    <row r="5" spans="1:5">
      <c r="A5" s="460">
        <v>1</v>
      </c>
      <c r="B5" s="458" t="s">
        <v>737</v>
      </c>
      <c r="C5" s="459">
        <v>37456</v>
      </c>
      <c r="D5" s="460">
        <v>3.9</v>
      </c>
      <c r="E5" s="460" t="s">
        <v>738</v>
      </c>
    </row>
    <row r="6" spans="1:5">
      <c r="A6" s="460">
        <v>2</v>
      </c>
      <c r="B6" s="458" t="s">
        <v>1666</v>
      </c>
      <c r="C6" s="459">
        <v>37547</v>
      </c>
      <c r="D6" s="460">
        <v>3.11</v>
      </c>
      <c r="E6" s="460" t="s">
        <v>1667</v>
      </c>
    </row>
    <row r="7" spans="1:5">
      <c r="A7" s="460">
        <v>3</v>
      </c>
      <c r="B7" s="458" t="s">
        <v>1378</v>
      </c>
      <c r="C7" s="459">
        <v>37553</v>
      </c>
      <c r="D7" s="460">
        <v>3.11</v>
      </c>
      <c r="E7" s="460" t="s">
        <v>738</v>
      </c>
    </row>
    <row r="8" spans="1:5">
      <c r="A8" s="460">
        <v>4</v>
      </c>
      <c r="B8" s="458" t="s">
        <v>1623</v>
      </c>
      <c r="C8" s="459">
        <v>37567</v>
      </c>
      <c r="D8" s="460">
        <v>3.12</v>
      </c>
      <c r="E8" s="460" t="s">
        <v>1667</v>
      </c>
    </row>
    <row r="9" spans="1:5">
      <c r="A9" s="460">
        <v>5</v>
      </c>
      <c r="B9" s="458" t="s">
        <v>1624</v>
      </c>
      <c r="C9" s="459">
        <v>37567</v>
      </c>
      <c r="D9" s="460">
        <v>3.12</v>
      </c>
      <c r="E9" s="460" t="s">
        <v>1667</v>
      </c>
    </row>
    <row r="10" spans="1:5">
      <c r="A10" s="460">
        <v>6</v>
      </c>
      <c r="B10" s="458" t="s">
        <v>1902</v>
      </c>
      <c r="C10" s="459">
        <v>37585</v>
      </c>
      <c r="D10" s="460">
        <v>3.12</v>
      </c>
      <c r="E10" s="460" t="s">
        <v>738</v>
      </c>
    </row>
    <row r="11" spans="1:5">
      <c r="A11" s="460">
        <v>7</v>
      </c>
      <c r="B11" s="458" t="s">
        <v>1903</v>
      </c>
      <c r="C11" s="459">
        <v>37585</v>
      </c>
      <c r="D11" s="460">
        <v>3.12</v>
      </c>
      <c r="E11" s="460" t="s">
        <v>738</v>
      </c>
    </row>
    <row r="12" spans="1:5">
      <c r="A12" s="460">
        <v>8</v>
      </c>
      <c r="B12" s="458" t="s">
        <v>1904</v>
      </c>
      <c r="C12" s="459">
        <v>37585</v>
      </c>
      <c r="D12" s="460">
        <v>3.12</v>
      </c>
      <c r="E12" s="460" t="s">
        <v>738</v>
      </c>
    </row>
    <row r="13" spans="1:5">
      <c r="A13" s="460">
        <v>9</v>
      </c>
      <c r="B13" s="458" t="s">
        <v>1021</v>
      </c>
      <c r="C13" s="459">
        <v>37585</v>
      </c>
      <c r="D13" s="460">
        <v>3.12</v>
      </c>
      <c r="E13" s="460" t="s">
        <v>738</v>
      </c>
    </row>
    <row r="14" spans="1:5">
      <c r="A14" s="460">
        <v>10</v>
      </c>
      <c r="B14" s="458" t="s">
        <v>678</v>
      </c>
      <c r="C14" s="459">
        <v>37642</v>
      </c>
      <c r="D14" s="460">
        <v>3.12</v>
      </c>
      <c r="E14" s="460" t="s">
        <v>738</v>
      </c>
    </row>
    <row r="15" spans="1:5">
      <c r="A15" s="460">
        <v>11</v>
      </c>
      <c r="B15" s="458" t="s">
        <v>2069</v>
      </c>
      <c r="C15" s="459">
        <v>37644</v>
      </c>
      <c r="D15" s="460">
        <v>3.13</v>
      </c>
      <c r="E15" s="460" t="s">
        <v>1667</v>
      </c>
    </row>
    <row r="16" spans="1:5">
      <c r="A16" s="460">
        <v>12</v>
      </c>
      <c r="B16" s="458" t="s">
        <v>277</v>
      </c>
      <c r="C16" s="459">
        <v>37662</v>
      </c>
      <c r="D16" s="460">
        <v>3.13</v>
      </c>
      <c r="E16" s="460" t="s">
        <v>1667</v>
      </c>
    </row>
    <row r="17" spans="1:5">
      <c r="A17" s="460">
        <v>13</v>
      </c>
      <c r="B17" s="458" t="s">
        <v>515</v>
      </c>
      <c r="C17" s="459">
        <v>37665</v>
      </c>
      <c r="D17" s="460">
        <v>3.13</v>
      </c>
      <c r="E17" s="460" t="s">
        <v>1667</v>
      </c>
    </row>
    <row r="18" spans="1:5">
      <c r="A18" s="460">
        <v>14</v>
      </c>
      <c r="B18" s="458" t="s">
        <v>1444</v>
      </c>
      <c r="C18" s="459">
        <v>37677</v>
      </c>
      <c r="D18" s="460">
        <v>3.13</v>
      </c>
      <c r="E18" s="460" t="s">
        <v>1667</v>
      </c>
    </row>
    <row r="19" spans="1:5">
      <c r="A19" s="460">
        <v>15</v>
      </c>
      <c r="B19" s="458" t="s">
        <v>1322</v>
      </c>
      <c r="C19" s="459">
        <v>37705</v>
      </c>
      <c r="D19" s="460">
        <v>3.13</v>
      </c>
      <c r="E19" s="460" t="s">
        <v>1667</v>
      </c>
    </row>
    <row r="20" spans="1:5">
      <c r="A20" s="460">
        <v>16</v>
      </c>
      <c r="B20" s="458" t="s">
        <v>1791</v>
      </c>
      <c r="C20" s="459">
        <v>37692</v>
      </c>
      <c r="D20" s="460">
        <v>3.13</v>
      </c>
      <c r="E20" s="460" t="s">
        <v>1667</v>
      </c>
    </row>
    <row r="21" spans="1:5">
      <c r="A21" s="460">
        <v>17</v>
      </c>
      <c r="B21" s="458" t="s">
        <v>1230</v>
      </c>
      <c r="C21" s="459">
        <v>37693</v>
      </c>
      <c r="D21" s="460">
        <v>3.13</v>
      </c>
      <c r="E21" s="460" t="s">
        <v>1667</v>
      </c>
    </row>
    <row r="22" spans="1:5">
      <c r="A22" s="460">
        <v>18</v>
      </c>
      <c r="B22" s="458" t="s">
        <v>990</v>
      </c>
      <c r="C22" s="459">
        <v>37700</v>
      </c>
      <c r="D22" s="460">
        <v>3.13</v>
      </c>
      <c r="E22" s="460" t="s">
        <v>1667</v>
      </c>
    </row>
    <row r="23" spans="1:5">
      <c r="A23" s="460">
        <v>19</v>
      </c>
      <c r="B23" s="458" t="s">
        <v>16</v>
      </c>
      <c r="C23" s="459">
        <v>37708</v>
      </c>
      <c r="D23" s="460">
        <v>3.13</v>
      </c>
      <c r="E23" s="460" t="s">
        <v>738</v>
      </c>
    </row>
    <row r="24" spans="1:5">
      <c r="A24" s="460">
        <v>20</v>
      </c>
      <c r="B24" s="458" t="s">
        <v>1379</v>
      </c>
      <c r="C24" s="459">
        <v>37714</v>
      </c>
      <c r="D24" s="460">
        <v>3.13</v>
      </c>
      <c r="E24" s="460" t="s">
        <v>738</v>
      </c>
    </row>
    <row r="25" spans="1:5">
      <c r="A25" s="460">
        <v>21</v>
      </c>
      <c r="B25" s="458" t="s">
        <v>135</v>
      </c>
      <c r="C25" s="459">
        <v>37733</v>
      </c>
      <c r="D25" s="460">
        <v>3.13</v>
      </c>
      <c r="E25" s="460" t="s">
        <v>738</v>
      </c>
    </row>
    <row r="26" spans="1:5">
      <c r="A26" s="460">
        <v>22</v>
      </c>
      <c r="B26" s="458" t="s">
        <v>329</v>
      </c>
      <c r="C26" s="459">
        <v>37735</v>
      </c>
      <c r="D26" s="460">
        <v>3.13</v>
      </c>
      <c r="E26" s="460" t="s">
        <v>738</v>
      </c>
    </row>
    <row r="27" spans="1:5">
      <c r="A27" s="460">
        <v>23</v>
      </c>
      <c r="B27" s="458" t="s">
        <v>695</v>
      </c>
      <c r="C27" s="459">
        <v>37749</v>
      </c>
      <c r="D27" s="460">
        <v>3.13</v>
      </c>
      <c r="E27" s="460" t="s">
        <v>738</v>
      </c>
    </row>
    <row r="28" spans="1:5">
      <c r="A28" s="460">
        <v>24</v>
      </c>
      <c r="B28" s="458" t="s">
        <v>218</v>
      </c>
      <c r="C28" s="459">
        <v>37756</v>
      </c>
      <c r="D28" s="460">
        <v>3.13</v>
      </c>
      <c r="E28" s="460" t="s">
        <v>738</v>
      </c>
    </row>
    <row r="29" spans="1:5">
      <c r="A29" s="460">
        <v>25</v>
      </c>
      <c r="B29" s="458" t="s">
        <v>265</v>
      </c>
      <c r="C29" s="459">
        <v>37763</v>
      </c>
      <c r="D29" s="460">
        <v>3.13</v>
      </c>
      <c r="E29" s="460" t="s">
        <v>738</v>
      </c>
    </row>
    <row r="30" spans="1:5">
      <c r="A30" s="460">
        <v>26</v>
      </c>
      <c r="B30" s="458" t="s">
        <v>167</v>
      </c>
      <c r="C30" s="459">
        <v>37890</v>
      </c>
      <c r="D30" s="460">
        <v>3.14</v>
      </c>
      <c r="E30" s="460" t="s">
        <v>738</v>
      </c>
    </row>
    <row r="31" spans="1:5">
      <c r="A31" s="460">
        <v>27</v>
      </c>
      <c r="B31" s="458" t="s">
        <v>1703</v>
      </c>
      <c r="C31" s="459">
        <v>37924</v>
      </c>
      <c r="D31" s="460">
        <v>3.15</v>
      </c>
      <c r="E31" s="460" t="s">
        <v>738</v>
      </c>
    </row>
    <row r="32" spans="1:5">
      <c r="A32" s="460">
        <v>28</v>
      </c>
      <c r="B32" s="458" t="s">
        <v>1511</v>
      </c>
      <c r="C32" s="459">
        <v>37924</v>
      </c>
      <c r="D32" s="460">
        <v>3.15</v>
      </c>
      <c r="E32" s="460" t="s">
        <v>738</v>
      </c>
    </row>
    <row r="33" spans="1:5">
      <c r="A33" s="460">
        <v>28</v>
      </c>
      <c r="B33" s="458" t="s">
        <v>1710</v>
      </c>
      <c r="C33" s="459">
        <v>37924</v>
      </c>
      <c r="D33" s="460">
        <v>3.15</v>
      </c>
      <c r="E33" s="460" t="s">
        <v>738</v>
      </c>
    </row>
    <row r="34" spans="1:5">
      <c r="A34" s="460">
        <v>29</v>
      </c>
      <c r="B34" s="458" t="s">
        <v>1173</v>
      </c>
      <c r="C34" s="459">
        <v>37939</v>
      </c>
      <c r="D34" s="460">
        <v>3.15</v>
      </c>
      <c r="E34" s="460" t="s">
        <v>738</v>
      </c>
    </row>
    <row r="35" spans="1:5">
      <c r="A35" s="460">
        <v>30</v>
      </c>
      <c r="B35" s="458" t="s">
        <v>1924</v>
      </c>
      <c r="C35" s="459">
        <v>37972</v>
      </c>
      <c r="D35" s="460">
        <v>3.15</v>
      </c>
      <c r="E35" s="460" t="s">
        <v>738</v>
      </c>
    </row>
    <row r="36" spans="1:5">
      <c r="A36" s="460">
        <v>31</v>
      </c>
      <c r="B36" s="458" t="s">
        <v>190</v>
      </c>
      <c r="C36" s="459">
        <v>38002</v>
      </c>
      <c r="D36" s="460">
        <v>3.15</v>
      </c>
      <c r="E36" s="460" t="s">
        <v>738</v>
      </c>
    </row>
    <row r="37" spans="1:5">
      <c r="A37" s="460">
        <v>32</v>
      </c>
      <c r="B37" s="458" t="s">
        <v>191</v>
      </c>
      <c r="C37" s="459">
        <v>38002</v>
      </c>
      <c r="D37" s="460">
        <v>3.15</v>
      </c>
      <c r="E37" s="460" t="s">
        <v>738</v>
      </c>
    </row>
    <row r="38" spans="1:5">
      <c r="A38" s="460">
        <v>33</v>
      </c>
      <c r="B38" s="458" t="s">
        <v>674</v>
      </c>
      <c r="C38" s="459">
        <v>38054</v>
      </c>
      <c r="D38" s="460">
        <v>3.15</v>
      </c>
      <c r="E38" s="460" t="s">
        <v>738</v>
      </c>
    </row>
    <row r="39" spans="1:5">
      <c r="A39" s="460">
        <v>34</v>
      </c>
      <c r="B39" s="458" t="s">
        <v>2140</v>
      </c>
      <c r="C39" s="459">
        <v>38058</v>
      </c>
      <c r="D39" s="460">
        <v>3.15</v>
      </c>
      <c r="E39" s="460" t="s">
        <v>738</v>
      </c>
    </row>
    <row r="40" spans="1:5">
      <c r="A40" s="460">
        <v>35</v>
      </c>
      <c r="B40" s="458" t="s">
        <v>2365</v>
      </c>
      <c r="C40" s="459">
        <v>38063</v>
      </c>
      <c r="D40" s="460">
        <v>3.15</v>
      </c>
      <c r="E40" s="460" t="s">
        <v>738</v>
      </c>
    </row>
    <row r="41" spans="1:5">
      <c r="A41" s="460">
        <v>36</v>
      </c>
      <c r="B41" s="458" t="s">
        <v>1381</v>
      </c>
      <c r="C41" s="459">
        <v>38064</v>
      </c>
      <c r="D41" s="460">
        <v>3.15</v>
      </c>
      <c r="E41" s="460" t="s">
        <v>738</v>
      </c>
    </row>
    <row r="42" spans="1:5">
      <c r="A42" s="460">
        <v>37</v>
      </c>
      <c r="B42" s="458" t="s">
        <v>1115</v>
      </c>
      <c r="C42" s="459">
        <v>38064</v>
      </c>
      <c r="D42" s="460">
        <v>3.15</v>
      </c>
      <c r="E42" s="460" t="s">
        <v>738</v>
      </c>
    </row>
    <row r="43" spans="1:5">
      <c r="A43" s="460">
        <v>38</v>
      </c>
      <c r="B43" s="458" t="s">
        <v>331</v>
      </c>
      <c r="C43" s="459">
        <v>38114</v>
      </c>
      <c r="D43" s="460">
        <v>3.15</v>
      </c>
      <c r="E43" s="460" t="s">
        <v>738</v>
      </c>
    </row>
    <row r="44" spans="1:5">
      <c r="A44" s="460">
        <v>39</v>
      </c>
      <c r="B44" s="458" t="s">
        <v>264</v>
      </c>
      <c r="C44" s="459">
        <v>38119</v>
      </c>
      <c r="D44" s="460">
        <v>3.15</v>
      </c>
      <c r="E44" s="460" t="s">
        <v>738</v>
      </c>
    </row>
    <row r="45" spans="1:5">
      <c r="A45" s="460">
        <v>40</v>
      </c>
      <c r="B45" s="458" t="s">
        <v>1895</v>
      </c>
      <c r="C45" s="459">
        <v>38145</v>
      </c>
      <c r="D45" s="460">
        <v>3.15</v>
      </c>
      <c r="E45" s="460" t="s">
        <v>738</v>
      </c>
    </row>
    <row r="46" spans="1:5">
      <c r="A46" s="460">
        <v>41</v>
      </c>
      <c r="B46" s="458" t="s">
        <v>1896</v>
      </c>
      <c r="C46" s="459">
        <v>38145</v>
      </c>
      <c r="D46" s="460">
        <v>3.15</v>
      </c>
      <c r="E46" s="460" t="s">
        <v>738</v>
      </c>
    </row>
    <row r="47" spans="1:5">
      <c r="A47" s="460">
        <v>42</v>
      </c>
      <c r="B47" s="458" t="s">
        <v>1771</v>
      </c>
      <c r="C47" s="459">
        <v>38177</v>
      </c>
      <c r="D47" s="460">
        <v>3.15</v>
      </c>
      <c r="E47" s="460" t="s">
        <v>738</v>
      </c>
    </row>
    <row r="48" spans="1:5">
      <c r="A48" s="460">
        <v>43</v>
      </c>
      <c r="B48" s="458" t="s">
        <v>1747</v>
      </c>
      <c r="C48" s="459">
        <v>38217</v>
      </c>
      <c r="D48" s="460">
        <v>3.15</v>
      </c>
      <c r="E48" s="460" t="s">
        <v>738</v>
      </c>
    </row>
    <row r="49" spans="1:5">
      <c r="A49" s="460">
        <v>44</v>
      </c>
      <c r="B49" s="458" t="s">
        <v>1249</v>
      </c>
      <c r="C49" s="459">
        <v>38232</v>
      </c>
      <c r="D49" s="460">
        <v>3.16</v>
      </c>
      <c r="E49" s="460" t="s">
        <v>738</v>
      </c>
    </row>
    <row r="50" spans="1:5">
      <c r="A50" s="460">
        <v>45</v>
      </c>
      <c r="B50" s="458" t="s">
        <v>21</v>
      </c>
      <c r="C50" s="459">
        <v>38273</v>
      </c>
      <c r="D50" s="460">
        <v>3.16</v>
      </c>
      <c r="E50" s="460" t="s">
        <v>738</v>
      </c>
    </row>
    <row r="51" spans="1:5">
      <c r="A51" s="460">
        <v>46</v>
      </c>
      <c r="B51" s="458" t="s">
        <v>1451</v>
      </c>
      <c r="C51" s="459">
        <v>38273</v>
      </c>
      <c r="D51" s="460">
        <v>3.16</v>
      </c>
      <c r="E51" s="460" t="s">
        <v>738</v>
      </c>
    </row>
    <row r="52" spans="1:5">
      <c r="A52" s="460">
        <v>47</v>
      </c>
      <c r="B52" s="458" t="s">
        <v>57</v>
      </c>
      <c r="C52" s="459">
        <v>38273</v>
      </c>
      <c r="D52" s="460">
        <v>3.16</v>
      </c>
      <c r="E52" s="460" t="s">
        <v>738</v>
      </c>
    </row>
    <row r="53" spans="1:5">
      <c r="A53" s="460">
        <v>48</v>
      </c>
      <c r="B53" s="458" t="s">
        <v>437</v>
      </c>
      <c r="C53" s="459">
        <v>38282</v>
      </c>
      <c r="D53" s="460">
        <v>3.16</v>
      </c>
      <c r="E53" s="460" t="s">
        <v>738</v>
      </c>
    </row>
    <row r="54" spans="1:5">
      <c r="A54" s="460">
        <v>49</v>
      </c>
      <c r="B54" s="458" t="s">
        <v>779</v>
      </c>
      <c r="C54" s="459">
        <v>38282</v>
      </c>
      <c r="D54" s="460">
        <v>3.16</v>
      </c>
      <c r="E54" s="460" t="s">
        <v>738</v>
      </c>
    </row>
    <row r="55" spans="1:5">
      <c r="A55" s="460">
        <v>50</v>
      </c>
      <c r="B55" s="458" t="s">
        <v>780</v>
      </c>
      <c r="C55" s="459">
        <v>38282</v>
      </c>
      <c r="D55" s="460">
        <v>3.16</v>
      </c>
      <c r="E55" s="460" t="s">
        <v>738</v>
      </c>
    </row>
    <row r="56" spans="1:5">
      <c r="A56" s="460">
        <v>51</v>
      </c>
      <c r="B56" s="458" t="s">
        <v>1718</v>
      </c>
      <c r="C56" s="459">
        <v>38299</v>
      </c>
      <c r="D56" s="460">
        <v>3.16</v>
      </c>
      <c r="E56" s="460" t="s">
        <v>738</v>
      </c>
    </row>
    <row r="57" spans="1:5">
      <c r="A57" s="460">
        <v>52</v>
      </c>
      <c r="B57" s="458" t="s">
        <v>435</v>
      </c>
      <c r="C57" s="459">
        <v>38376</v>
      </c>
      <c r="D57" s="460">
        <v>3.16</v>
      </c>
      <c r="E57" s="460" t="s">
        <v>738</v>
      </c>
    </row>
    <row r="58" spans="1:5">
      <c r="A58" s="460">
        <v>53</v>
      </c>
      <c r="B58" s="458" t="s">
        <v>2146</v>
      </c>
      <c r="C58" s="459">
        <v>38380</v>
      </c>
      <c r="D58" s="460">
        <v>3.16</v>
      </c>
      <c r="E58" s="460" t="s">
        <v>738</v>
      </c>
    </row>
    <row r="59" spans="1:5">
      <c r="A59" s="460">
        <v>54</v>
      </c>
      <c r="B59" s="458" t="s">
        <v>1784</v>
      </c>
      <c r="C59" s="459">
        <v>38476</v>
      </c>
      <c r="D59" s="460">
        <v>3.16</v>
      </c>
      <c r="E59" s="460" t="s">
        <v>738</v>
      </c>
    </row>
    <row r="60" spans="1:5">
      <c r="A60" s="460">
        <v>55</v>
      </c>
      <c r="B60" s="458" t="s">
        <v>233</v>
      </c>
      <c r="C60" s="459">
        <v>38517</v>
      </c>
      <c r="D60" s="460">
        <v>3.16</v>
      </c>
      <c r="E60" s="460" t="s">
        <v>738</v>
      </c>
    </row>
    <row r="61" spans="1:5">
      <c r="A61" s="460">
        <v>56</v>
      </c>
      <c r="B61" s="458" t="s">
        <v>1983</v>
      </c>
      <c r="C61" s="459">
        <v>38778</v>
      </c>
      <c r="D61" s="460">
        <v>3.17</v>
      </c>
      <c r="E61" s="460" t="s">
        <v>738</v>
      </c>
    </row>
    <row r="62" spans="1:5">
      <c r="A62" s="460">
        <v>57</v>
      </c>
      <c r="B62" s="458" t="s">
        <v>1984</v>
      </c>
      <c r="C62" s="459">
        <v>38778</v>
      </c>
      <c r="D62" s="460">
        <v>3.17</v>
      </c>
      <c r="E62" s="460" t="s">
        <v>738</v>
      </c>
    </row>
    <row r="63" spans="1:5">
      <c r="A63" s="460">
        <v>58</v>
      </c>
      <c r="B63" s="458" t="s">
        <v>1126</v>
      </c>
      <c r="C63" s="459">
        <v>38778</v>
      </c>
      <c r="D63" s="460">
        <v>3.17</v>
      </c>
      <c r="E63" s="460" t="s">
        <v>738</v>
      </c>
    </row>
    <row r="64" spans="1:5">
      <c r="A64" s="460">
        <v>59</v>
      </c>
      <c r="B64" s="458" t="s">
        <v>801</v>
      </c>
      <c r="C64" s="459">
        <v>38778</v>
      </c>
      <c r="D64" s="460">
        <v>3.17</v>
      </c>
      <c r="E64" s="460" t="s">
        <v>738</v>
      </c>
    </row>
    <row r="65" spans="1:5">
      <c r="A65" s="460">
        <v>60</v>
      </c>
      <c r="B65" s="1061" t="s">
        <v>1020</v>
      </c>
      <c r="C65" s="459">
        <v>38813</v>
      </c>
      <c r="D65" s="460">
        <v>3.17</v>
      </c>
      <c r="E65" s="460" t="s">
        <v>738</v>
      </c>
    </row>
    <row r="66" spans="1:5">
      <c r="A66" s="460">
        <v>61</v>
      </c>
      <c r="B66" s="1061" t="s">
        <v>2104</v>
      </c>
      <c r="C66" s="459">
        <v>38813</v>
      </c>
      <c r="D66" s="460">
        <v>3.17</v>
      </c>
      <c r="E66" s="460" t="s">
        <v>738</v>
      </c>
    </row>
    <row r="67" spans="1:5">
      <c r="A67" s="460">
        <v>62</v>
      </c>
      <c r="B67" s="1061" t="s">
        <v>1512</v>
      </c>
      <c r="C67" s="459">
        <v>38847</v>
      </c>
      <c r="D67" s="460">
        <v>3.17</v>
      </c>
      <c r="E67" s="460" t="s">
        <v>738</v>
      </c>
    </row>
    <row r="68" spans="1:5">
      <c r="A68" s="460">
        <v>63</v>
      </c>
      <c r="B68" s="458" t="s">
        <v>852</v>
      </c>
      <c r="C68" s="459">
        <v>39032</v>
      </c>
      <c r="D68" s="460">
        <v>3.17</v>
      </c>
      <c r="E68" s="460" t="s">
        <v>738</v>
      </c>
    </row>
    <row r="69" spans="1:5">
      <c r="A69" s="460">
        <v>64</v>
      </c>
      <c r="B69" s="458" t="s">
        <v>1199</v>
      </c>
      <c r="C69" s="459">
        <v>39087</v>
      </c>
      <c r="D69" s="460">
        <v>3.17</v>
      </c>
      <c r="E69" s="460" t="s">
        <v>738</v>
      </c>
    </row>
    <row r="70" spans="1:5" ht="13.5" thickBot="1">
      <c r="A70" s="1062">
        <v>65</v>
      </c>
      <c r="B70" s="1076" t="s">
        <v>2154</v>
      </c>
      <c r="C70" s="1063">
        <v>39174</v>
      </c>
      <c r="D70" s="1062">
        <v>3.17</v>
      </c>
      <c r="E70" s="1062" t="s">
        <v>738</v>
      </c>
    </row>
    <row r="71" spans="1:5">
      <c r="A71" s="460">
        <v>66</v>
      </c>
      <c r="B71" s="458" t="s">
        <v>853</v>
      </c>
      <c r="C71" s="459">
        <v>39087</v>
      </c>
      <c r="D71" s="1064">
        <v>4</v>
      </c>
      <c r="E71" s="460" t="s">
        <v>738</v>
      </c>
    </row>
    <row r="72" spans="1:5">
      <c r="A72" s="460">
        <v>67</v>
      </c>
      <c r="B72" s="458" t="s">
        <v>962</v>
      </c>
      <c r="C72" s="459">
        <v>39087</v>
      </c>
      <c r="D72" s="1064">
        <v>4</v>
      </c>
      <c r="E72" s="460" t="s">
        <v>738</v>
      </c>
    </row>
    <row r="73" spans="1:5">
      <c r="A73" s="460">
        <v>68</v>
      </c>
      <c r="B73" s="458" t="s">
        <v>963</v>
      </c>
      <c r="C73" s="459">
        <v>39087</v>
      </c>
      <c r="D73" s="1064">
        <v>4</v>
      </c>
      <c r="E73" s="460" t="s">
        <v>738</v>
      </c>
    </row>
    <row r="74" spans="1:5">
      <c r="A74" s="460">
        <v>69</v>
      </c>
      <c r="B74" s="458" t="s">
        <v>667</v>
      </c>
      <c r="C74" s="459">
        <v>39087</v>
      </c>
      <c r="D74" s="1064">
        <v>4</v>
      </c>
      <c r="E74" s="460" t="s">
        <v>738</v>
      </c>
    </row>
    <row r="75" spans="1:5">
      <c r="A75" s="460">
        <v>70</v>
      </c>
      <c r="B75" s="458" t="s">
        <v>2373</v>
      </c>
      <c r="C75" s="459">
        <v>39087</v>
      </c>
      <c r="D75" s="1064">
        <v>4</v>
      </c>
      <c r="E75" s="460" t="s">
        <v>738</v>
      </c>
    </row>
    <row r="76" spans="1:5">
      <c r="A76" s="460">
        <v>71</v>
      </c>
      <c r="B76" s="458" t="s">
        <v>850</v>
      </c>
      <c r="C76" s="459">
        <v>39087</v>
      </c>
      <c r="D76" s="1064">
        <v>4</v>
      </c>
      <c r="E76" s="460" t="s">
        <v>738</v>
      </c>
    </row>
    <row r="77" spans="1:5">
      <c r="A77" s="460">
        <v>72</v>
      </c>
      <c r="B77" s="458" t="s">
        <v>172</v>
      </c>
      <c r="C77" s="459">
        <v>39087</v>
      </c>
      <c r="D77" s="1064">
        <v>4</v>
      </c>
      <c r="E77" s="460" t="s">
        <v>738</v>
      </c>
    </row>
    <row r="78" spans="1:5">
      <c r="A78" s="460">
        <v>73</v>
      </c>
      <c r="B78" s="458" t="s">
        <v>176</v>
      </c>
      <c r="C78" s="459">
        <v>39087</v>
      </c>
      <c r="D78" s="1064">
        <v>4</v>
      </c>
      <c r="E78" s="460" t="s">
        <v>738</v>
      </c>
    </row>
    <row r="79" spans="1:5">
      <c r="A79" s="460">
        <v>74</v>
      </c>
      <c r="B79" s="458" t="s">
        <v>1216</v>
      </c>
      <c r="C79" s="459">
        <v>39087</v>
      </c>
      <c r="D79" s="1064">
        <v>4</v>
      </c>
      <c r="E79" s="460" t="s">
        <v>738</v>
      </c>
    </row>
    <row r="80" spans="1:5">
      <c r="A80" s="460">
        <v>75</v>
      </c>
      <c r="B80" s="458" t="s">
        <v>1976</v>
      </c>
      <c r="C80" s="459">
        <v>39087</v>
      </c>
      <c r="D80" s="1064">
        <v>4</v>
      </c>
      <c r="E80" s="460" t="s">
        <v>738</v>
      </c>
    </row>
    <row r="81" spans="1:5">
      <c r="A81" s="460">
        <v>76</v>
      </c>
      <c r="B81" s="1061" t="s">
        <v>849</v>
      </c>
      <c r="C81" s="459">
        <v>39087</v>
      </c>
      <c r="D81" s="1064">
        <v>4</v>
      </c>
      <c r="E81" s="460" t="s">
        <v>738</v>
      </c>
    </row>
    <row r="82" spans="1:5">
      <c r="A82" s="460">
        <v>77</v>
      </c>
      <c r="B82" s="458" t="s">
        <v>426</v>
      </c>
      <c r="C82" s="459">
        <v>39087</v>
      </c>
      <c r="D82" s="1064">
        <v>4</v>
      </c>
      <c r="E82" s="460" t="s">
        <v>738</v>
      </c>
    </row>
    <row r="83" spans="1:5">
      <c r="A83" s="460">
        <v>78</v>
      </c>
      <c r="B83" s="458" t="s">
        <v>862</v>
      </c>
      <c r="C83" s="459">
        <v>39087</v>
      </c>
      <c r="D83" s="1064">
        <v>4</v>
      </c>
      <c r="E83" s="460" t="s">
        <v>738</v>
      </c>
    </row>
    <row r="84" spans="1:5">
      <c r="A84" s="460">
        <v>79</v>
      </c>
      <c r="B84" s="458" t="s">
        <v>869</v>
      </c>
      <c r="C84" s="459">
        <v>39087</v>
      </c>
      <c r="D84" s="1064">
        <v>4</v>
      </c>
      <c r="E84" s="460" t="s">
        <v>738</v>
      </c>
    </row>
    <row r="85" spans="1:5">
      <c r="A85" s="460">
        <v>80</v>
      </c>
      <c r="B85" s="458" t="s">
        <v>870</v>
      </c>
      <c r="C85" s="459">
        <v>39087</v>
      </c>
      <c r="D85" s="1064">
        <v>4</v>
      </c>
      <c r="E85" s="460" t="s">
        <v>738</v>
      </c>
    </row>
    <row r="86" spans="1:5">
      <c r="A86" s="460">
        <v>81</v>
      </c>
      <c r="B86" s="458" t="s">
        <v>361</v>
      </c>
      <c r="C86" s="459">
        <v>39087</v>
      </c>
      <c r="D86" s="1064">
        <v>4</v>
      </c>
      <c r="E86" s="460" t="s">
        <v>738</v>
      </c>
    </row>
    <row r="87" spans="1:5">
      <c r="A87" s="460">
        <v>82</v>
      </c>
      <c r="B87" s="458" t="s">
        <v>752</v>
      </c>
      <c r="C87" s="459">
        <v>39146</v>
      </c>
      <c r="D87" s="1064">
        <v>4</v>
      </c>
      <c r="E87" s="460" t="s">
        <v>751</v>
      </c>
    </row>
    <row r="88" spans="1:5">
      <c r="A88" s="460">
        <v>83</v>
      </c>
      <c r="B88" s="458" t="s">
        <v>753</v>
      </c>
      <c r="C88" s="459">
        <v>39149</v>
      </c>
      <c r="D88" s="1064">
        <v>4</v>
      </c>
      <c r="E88" s="460" t="s">
        <v>751</v>
      </c>
    </row>
    <row r="89" spans="1:5">
      <c r="A89" s="460">
        <v>84</v>
      </c>
      <c r="B89" s="458" t="s">
        <v>1148</v>
      </c>
      <c r="C89" s="459">
        <v>39220</v>
      </c>
      <c r="D89" s="1064">
        <v>4</v>
      </c>
      <c r="E89" s="460" t="s">
        <v>738</v>
      </c>
    </row>
    <row r="90" spans="1:5">
      <c r="A90" s="460">
        <v>85</v>
      </c>
      <c r="B90" s="458" t="s">
        <v>958</v>
      </c>
      <c r="C90" s="459">
        <v>39240</v>
      </c>
      <c r="D90" s="1064">
        <v>4</v>
      </c>
      <c r="E90" s="460" t="s">
        <v>738</v>
      </c>
    </row>
    <row r="91" spans="1:5">
      <c r="A91" s="460">
        <v>86</v>
      </c>
      <c r="B91" s="458" t="s">
        <v>80</v>
      </c>
      <c r="C91" s="459">
        <v>39241</v>
      </c>
      <c r="D91" s="1064">
        <v>4</v>
      </c>
      <c r="E91" s="460" t="s">
        <v>738</v>
      </c>
    </row>
    <row r="92" spans="1:5">
      <c r="A92" s="460">
        <v>87</v>
      </c>
      <c r="B92" s="458" t="s">
        <v>968</v>
      </c>
      <c r="C92" s="459">
        <v>39242</v>
      </c>
      <c r="D92" s="1064">
        <v>4</v>
      </c>
      <c r="E92" s="460" t="s">
        <v>738</v>
      </c>
    </row>
    <row r="93" spans="1:5">
      <c r="A93" s="460">
        <v>88</v>
      </c>
      <c r="B93" s="458" t="s">
        <v>1553</v>
      </c>
      <c r="C93" s="459">
        <v>39245</v>
      </c>
      <c r="D93" s="1064">
        <v>4</v>
      </c>
      <c r="E93" s="460" t="s">
        <v>738</v>
      </c>
    </row>
    <row r="94" spans="1:5">
      <c r="A94" s="460">
        <v>89</v>
      </c>
      <c r="B94" s="458" t="s">
        <v>1668</v>
      </c>
      <c r="C94" s="459">
        <v>39248</v>
      </c>
      <c r="D94" s="1064">
        <v>4</v>
      </c>
      <c r="E94" s="460" t="s">
        <v>738</v>
      </c>
    </row>
    <row r="95" spans="1:5">
      <c r="A95" s="460">
        <v>90</v>
      </c>
      <c r="B95" s="458" t="s">
        <v>1361</v>
      </c>
      <c r="C95" s="459">
        <v>39254</v>
      </c>
      <c r="D95" s="1064">
        <v>4</v>
      </c>
      <c r="E95" s="460" t="s">
        <v>738</v>
      </c>
    </row>
    <row r="96" spans="1:5">
      <c r="A96" s="460">
        <v>91</v>
      </c>
      <c r="B96" s="458" t="s">
        <v>336</v>
      </c>
      <c r="C96" s="459">
        <v>39263</v>
      </c>
      <c r="D96" s="1064">
        <v>4</v>
      </c>
      <c r="E96" s="460" t="s">
        <v>738</v>
      </c>
    </row>
    <row r="97" spans="1:5">
      <c r="A97" s="460">
        <v>92</v>
      </c>
      <c r="B97" s="458" t="s">
        <v>1057</v>
      </c>
      <c r="C97" s="459">
        <v>39335</v>
      </c>
      <c r="D97" s="1064">
        <v>4</v>
      </c>
      <c r="E97" s="460" t="s">
        <v>738</v>
      </c>
    </row>
    <row r="98" spans="1:5">
      <c r="A98" s="460">
        <v>93</v>
      </c>
      <c r="B98" s="458" t="s">
        <v>28</v>
      </c>
      <c r="C98" s="459">
        <v>39335</v>
      </c>
      <c r="D98" s="1064">
        <v>4</v>
      </c>
      <c r="E98" s="460" t="s">
        <v>738</v>
      </c>
    </row>
    <row r="99" spans="1:5">
      <c r="A99" s="460">
        <v>94</v>
      </c>
      <c r="B99" s="458" t="s">
        <v>666</v>
      </c>
      <c r="C99" s="459">
        <v>39353</v>
      </c>
      <c r="D99" s="1064">
        <v>4</v>
      </c>
      <c r="E99" s="460" t="s">
        <v>738</v>
      </c>
    </row>
    <row r="100" spans="1:5">
      <c r="A100" s="460">
        <v>95</v>
      </c>
      <c r="B100" s="458" t="s">
        <v>1818</v>
      </c>
      <c r="C100" s="459">
        <v>39366</v>
      </c>
      <c r="D100" s="1064">
        <v>4</v>
      </c>
      <c r="E100" s="460" t="s">
        <v>738</v>
      </c>
    </row>
    <row r="101" spans="1:5">
      <c r="A101" s="460">
        <v>96</v>
      </c>
      <c r="B101" s="458" t="s">
        <v>861</v>
      </c>
      <c r="C101" s="459">
        <v>39410</v>
      </c>
      <c r="D101" s="1064">
        <v>4</v>
      </c>
      <c r="E101" s="460" t="s">
        <v>738</v>
      </c>
    </row>
    <row r="102" spans="1:5">
      <c r="A102" s="460">
        <v>97</v>
      </c>
      <c r="B102" s="458" t="s">
        <v>214</v>
      </c>
      <c r="C102" s="459">
        <v>39429</v>
      </c>
      <c r="D102" s="1064">
        <v>4</v>
      </c>
      <c r="E102" s="460" t="s">
        <v>738</v>
      </c>
    </row>
    <row r="103" spans="1:5">
      <c r="A103" s="460">
        <v>98</v>
      </c>
      <c r="B103" s="458" t="s">
        <v>2106</v>
      </c>
      <c r="C103" s="459">
        <v>39429</v>
      </c>
      <c r="D103" s="1064">
        <v>4</v>
      </c>
      <c r="E103" s="460" t="s">
        <v>738</v>
      </c>
    </row>
    <row r="104" spans="1:5">
      <c r="A104" s="1397">
        <v>99</v>
      </c>
      <c r="B104" s="1398" t="s">
        <v>293</v>
      </c>
      <c r="C104" s="1399">
        <v>39503</v>
      </c>
      <c r="D104" s="1400">
        <v>4</v>
      </c>
      <c r="E104" s="1397" t="s">
        <v>738</v>
      </c>
    </row>
    <row r="105" spans="1:5" ht="13.9" customHeight="1">
      <c r="A105" s="460">
        <v>100</v>
      </c>
      <c r="B105" s="458" t="s">
        <v>1563</v>
      </c>
      <c r="C105" s="459">
        <v>39646</v>
      </c>
      <c r="D105" s="1064">
        <v>5</v>
      </c>
      <c r="E105" s="460" t="s">
        <v>738</v>
      </c>
    </row>
    <row r="106" spans="1:5">
      <c r="A106" s="460">
        <v>101</v>
      </c>
      <c r="B106" s="458" t="s">
        <v>1999</v>
      </c>
      <c r="C106" s="459">
        <v>39716</v>
      </c>
      <c r="D106" s="1064">
        <v>5</v>
      </c>
      <c r="E106" s="460" t="s">
        <v>738</v>
      </c>
    </row>
    <row r="107" spans="1:5">
      <c r="A107" s="460">
        <v>102</v>
      </c>
      <c r="B107" s="458" t="s">
        <v>1701</v>
      </c>
      <c r="C107" s="459">
        <v>39732</v>
      </c>
      <c r="D107" s="1064">
        <v>5</v>
      </c>
      <c r="E107" s="460" t="s">
        <v>738</v>
      </c>
    </row>
    <row r="108" spans="1:5">
      <c r="A108" s="460">
        <v>103</v>
      </c>
      <c r="B108" s="458" t="s">
        <v>844</v>
      </c>
      <c r="C108" s="459">
        <v>39735</v>
      </c>
      <c r="D108" s="1064">
        <v>5</v>
      </c>
      <c r="E108" s="460" t="s">
        <v>738</v>
      </c>
    </row>
    <row r="109" spans="1:5">
      <c r="A109" s="460">
        <v>104</v>
      </c>
      <c r="B109" s="458" t="s">
        <v>2364</v>
      </c>
      <c r="C109" s="459">
        <v>39757</v>
      </c>
      <c r="D109" s="1064">
        <v>5</v>
      </c>
      <c r="E109" s="460" t="s">
        <v>738</v>
      </c>
    </row>
    <row r="110" spans="1:5">
      <c r="A110" s="460">
        <v>105</v>
      </c>
      <c r="B110" s="458" t="s">
        <v>2142</v>
      </c>
      <c r="C110" s="459">
        <v>39757</v>
      </c>
      <c r="D110" s="1064">
        <v>5</v>
      </c>
      <c r="E110" s="460" t="s">
        <v>738</v>
      </c>
    </row>
    <row r="111" spans="1:5">
      <c r="A111" s="460">
        <v>106</v>
      </c>
      <c r="B111" s="458" t="s">
        <v>2143</v>
      </c>
      <c r="C111" s="459">
        <v>39757</v>
      </c>
      <c r="D111" s="1064">
        <v>5</v>
      </c>
      <c r="E111" s="460" t="s">
        <v>738</v>
      </c>
    </row>
    <row r="112" spans="1:5">
      <c r="A112" s="460">
        <v>106</v>
      </c>
      <c r="B112" s="458" t="s">
        <v>2144</v>
      </c>
      <c r="C112" s="459">
        <v>39757</v>
      </c>
      <c r="D112" s="1064">
        <v>5</v>
      </c>
      <c r="E112" s="460" t="s">
        <v>738</v>
      </c>
    </row>
    <row r="113" spans="1:5">
      <c r="A113" s="460">
        <v>107</v>
      </c>
      <c r="B113" s="458" t="s">
        <v>2145</v>
      </c>
      <c r="C113" s="459">
        <v>39757</v>
      </c>
      <c r="D113" s="1064">
        <v>5</v>
      </c>
      <c r="E113" s="460" t="s">
        <v>738</v>
      </c>
    </row>
    <row r="114" spans="1:5">
      <c r="A114" s="460">
        <v>108</v>
      </c>
      <c r="B114" s="458" t="s">
        <v>534</v>
      </c>
      <c r="C114" s="459">
        <v>39760</v>
      </c>
      <c r="D114" s="1064">
        <v>5</v>
      </c>
      <c r="E114" s="460" t="s">
        <v>738</v>
      </c>
    </row>
    <row r="115" spans="1:5">
      <c r="A115" s="460">
        <v>109</v>
      </c>
      <c r="B115" s="458" t="s">
        <v>2061</v>
      </c>
      <c r="C115" s="459">
        <v>39760</v>
      </c>
      <c r="D115" s="1064">
        <v>5</v>
      </c>
      <c r="E115" s="460" t="s">
        <v>738</v>
      </c>
    </row>
    <row r="116" spans="1:5">
      <c r="A116" s="460">
        <v>110</v>
      </c>
      <c r="B116" s="458" t="s">
        <v>1986</v>
      </c>
      <c r="C116" s="459">
        <v>39760</v>
      </c>
      <c r="D116" s="1064">
        <v>5</v>
      </c>
      <c r="E116" s="460" t="s">
        <v>738</v>
      </c>
    </row>
    <row r="117" spans="1:5">
      <c r="A117" s="460">
        <v>111</v>
      </c>
      <c r="B117" s="458" t="s">
        <v>1559</v>
      </c>
      <c r="C117" s="459">
        <v>39767</v>
      </c>
      <c r="D117" s="1064">
        <v>5</v>
      </c>
      <c r="E117" s="460" t="s">
        <v>738</v>
      </c>
    </row>
    <row r="118" spans="1:5">
      <c r="A118" s="460">
        <v>112</v>
      </c>
      <c r="B118" s="458" t="s">
        <v>1252</v>
      </c>
      <c r="C118" s="459">
        <v>39767</v>
      </c>
      <c r="D118" s="1064">
        <v>5</v>
      </c>
      <c r="E118" s="460" t="s">
        <v>738</v>
      </c>
    </row>
    <row r="119" spans="1:5">
      <c r="A119" s="460">
        <v>113</v>
      </c>
      <c r="B119" s="458" t="s">
        <v>1253</v>
      </c>
      <c r="C119" s="459">
        <v>39767</v>
      </c>
      <c r="D119" s="1064">
        <v>5</v>
      </c>
      <c r="E119" s="460" t="s">
        <v>738</v>
      </c>
    </row>
    <row r="120" spans="1:5">
      <c r="A120" s="460">
        <v>114</v>
      </c>
      <c r="B120" s="458" t="s">
        <v>1254</v>
      </c>
      <c r="C120" s="459">
        <v>39767</v>
      </c>
      <c r="D120" s="1064">
        <v>5</v>
      </c>
      <c r="E120" s="460" t="s">
        <v>738</v>
      </c>
    </row>
    <row r="121" spans="1:5">
      <c r="A121" s="460">
        <v>115</v>
      </c>
      <c r="B121" s="458" t="s">
        <v>188</v>
      </c>
      <c r="C121" s="459">
        <v>39769</v>
      </c>
      <c r="D121" s="1064">
        <v>5</v>
      </c>
      <c r="E121" s="460" t="s">
        <v>738</v>
      </c>
    </row>
    <row r="122" spans="1:5">
      <c r="A122" s="460">
        <v>116</v>
      </c>
      <c r="B122" s="458" t="s">
        <v>189</v>
      </c>
      <c r="C122" s="459">
        <v>39769</v>
      </c>
      <c r="D122" s="1064">
        <v>5</v>
      </c>
      <c r="E122" s="460" t="s">
        <v>738</v>
      </c>
    </row>
    <row r="123" spans="1:5">
      <c r="A123" s="460">
        <v>117</v>
      </c>
      <c r="B123" s="458" t="s">
        <v>1410</v>
      </c>
      <c r="C123" s="459">
        <v>39777</v>
      </c>
      <c r="D123" s="1064">
        <v>5</v>
      </c>
      <c r="E123" s="460" t="s">
        <v>738</v>
      </c>
    </row>
    <row r="124" spans="1:5">
      <c r="A124" s="460">
        <v>118</v>
      </c>
      <c r="B124" s="458" t="s">
        <v>55</v>
      </c>
      <c r="C124" s="459">
        <v>39777</v>
      </c>
      <c r="D124" s="1064">
        <v>5</v>
      </c>
      <c r="E124" s="460" t="s">
        <v>738</v>
      </c>
    </row>
    <row r="125" spans="1:5">
      <c r="A125" s="460">
        <v>119</v>
      </c>
      <c r="B125" s="458" t="s">
        <v>843</v>
      </c>
      <c r="C125" s="459">
        <v>39841</v>
      </c>
      <c r="D125" s="1064">
        <v>5</v>
      </c>
      <c r="E125" s="460" t="s">
        <v>738</v>
      </c>
    </row>
    <row r="126" spans="1:5">
      <c r="A126" s="460">
        <v>120</v>
      </c>
      <c r="B126" s="458" t="s">
        <v>848</v>
      </c>
      <c r="C126" s="459">
        <v>39854</v>
      </c>
      <c r="D126" s="1064">
        <v>5</v>
      </c>
      <c r="E126" s="460" t="s">
        <v>738</v>
      </c>
    </row>
    <row r="127" spans="1:5">
      <c r="A127" s="460">
        <v>121</v>
      </c>
      <c r="B127" s="458" t="s">
        <v>171</v>
      </c>
      <c r="C127" s="459">
        <v>39860</v>
      </c>
      <c r="D127" s="1064">
        <v>5</v>
      </c>
      <c r="E127" s="460" t="s">
        <v>738</v>
      </c>
    </row>
    <row r="128" spans="1:5">
      <c r="A128" s="460">
        <v>122</v>
      </c>
      <c r="B128" s="458" t="s">
        <v>1406</v>
      </c>
      <c r="C128" s="459">
        <v>39884</v>
      </c>
      <c r="D128" s="1064">
        <v>5</v>
      </c>
      <c r="E128" s="460" t="s">
        <v>738</v>
      </c>
    </row>
    <row r="129" spans="1:5">
      <c r="A129" s="460">
        <v>123</v>
      </c>
      <c r="B129" s="458" t="s">
        <v>204</v>
      </c>
      <c r="C129" s="459">
        <v>39898</v>
      </c>
      <c r="D129" s="1064">
        <v>5</v>
      </c>
      <c r="E129" s="460" t="s">
        <v>738</v>
      </c>
    </row>
    <row r="130" spans="1:5">
      <c r="A130" s="460">
        <v>124</v>
      </c>
      <c r="B130" s="458" t="s">
        <v>837</v>
      </c>
      <c r="C130" s="459">
        <v>39905</v>
      </c>
      <c r="D130" s="1064">
        <v>5</v>
      </c>
      <c r="E130" s="460" t="s">
        <v>738</v>
      </c>
    </row>
    <row r="131" spans="1:5">
      <c r="A131" s="460">
        <v>125</v>
      </c>
      <c r="B131" s="458" t="s">
        <v>2110</v>
      </c>
      <c r="C131" s="459">
        <v>39905</v>
      </c>
      <c r="D131" s="1064">
        <v>5</v>
      </c>
      <c r="E131" s="460" t="s">
        <v>738</v>
      </c>
    </row>
    <row r="132" spans="1:5">
      <c r="A132" s="460">
        <v>126</v>
      </c>
      <c r="B132" s="458" t="s">
        <v>1362</v>
      </c>
      <c r="C132" s="459">
        <v>39952</v>
      </c>
      <c r="D132" s="1064">
        <v>5</v>
      </c>
      <c r="E132" s="460" t="s">
        <v>738</v>
      </c>
    </row>
    <row r="133" spans="1:5">
      <c r="A133" s="460">
        <v>127</v>
      </c>
      <c r="B133" s="458" t="s">
        <v>1043</v>
      </c>
      <c r="C133" s="459">
        <v>40040</v>
      </c>
      <c r="D133" s="1064">
        <v>5.0999999999999996</v>
      </c>
      <c r="E133" s="460" t="s">
        <v>738</v>
      </c>
    </row>
    <row r="134" spans="1:5">
      <c r="A134" s="460">
        <v>128</v>
      </c>
      <c r="B134" s="458" t="s">
        <v>252</v>
      </c>
      <c r="C134" s="459">
        <v>40057</v>
      </c>
      <c r="D134" s="1064">
        <v>5.0999999999999996</v>
      </c>
      <c r="E134" s="460" t="s">
        <v>738</v>
      </c>
    </row>
    <row r="135" spans="1:5">
      <c r="A135" s="460">
        <v>129</v>
      </c>
      <c r="B135" s="458" t="s">
        <v>1200</v>
      </c>
      <c r="C135" s="459">
        <v>40058</v>
      </c>
      <c r="D135" s="1064">
        <v>5.0999999999999996</v>
      </c>
      <c r="E135" s="460" t="s">
        <v>738</v>
      </c>
    </row>
    <row r="136" spans="1:5">
      <c r="A136" s="460">
        <v>130</v>
      </c>
      <c r="B136" s="458" t="s">
        <v>1535</v>
      </c>
      <c r="C136" s="459">
        <v>40065</v>
      </c>
      <c r="D136" s="1064">
        <v>5.0999999999999996</v>
      </c>
      <c r="E136" s="460" t="s">
        <v>738</v>
      </c>
    </row>
    <row r="137" spans="1:5">
      <c r="A137" s="460">
        <v>131</v>
      </c>
      <c r="B137" s="458" t="s">
        <v>75</v>
      </c>
      <c r="C137" s="459">
        <v>40066</v>
      </c>
      <c r="D137" s="1064">
        <v>5.0999999999999996</v>
      </c>
      <c r="E137" s="460" t="s">
        <v>738</v>
      </c>
    </row>
    <row r="138" spans="1:5">
      <c r="A138" s="460">
        <v>132</v>
      </c>
      <c r="B138" s="458" t="s">
        <v>1621</v>
      </c>
      <c r="C138" s="459">
        <v>40323</v>
      </c>
      <c r="D138" s="1064">
        <v>5.2</v>
      </c>
      <c r="E138" s="460" t="s">
        <v>738</v>
      </c>
    </row>
    <row r="139" spans="1:5">
      <c r="A139" s="460">
        <v>133</v>
      </c>
      <c r="B139" s="458" t="s">
        <v>2133</v>
      </c>
      <c r="C139" s="459">
        <v>40323</v>
      </c>
      <c r="D139" s="1064">
        <v>5.2</v>
      </c>
      <c r="E139" s="460" t="s">
        <v>738</v>
      </c>
    </row>
    <row r="140" spans="1:5">
      <c r="A140" s="460">
        <v>134</v>
      </c>
      <c r="B140" s="458" t="s">
        <v>2134</v>
      </c>
      <c r="C140" s="459">
        <v>40323</v>
      </c>
      <c r="D140" s="1064">
        <v>5.2</v>
      </c>
      <c r="E140" s="460" t="s">
        <v>738</v>
      </c>
    </row>
    <row r="141" spans="1:5">
      <c r="A141" s="460">
        <v>135</v>
      </c>
      <c r="B141" s="458" t="s">
        <v>477</v>
      </c>
      <c r="C141" s="459">
        <v>40324</v>
      </c>
      <c r="D141" s="1064">
        <v>5.2</v>
      </c>
      <c r="E141" s="460" t="s">
        <v>738</v>
      </c>
    </row>
    <row r="142" spans="1:5">
      <c r="A142" s="460">
        <v>136</v>
      </c>
      <c r="B142" s="458" t="s">
        <v>478</v>
      </c>
      <c r="C142" s="459">
        <v>40324</v>
      </c>
      <c r="D142" s="1064">
        <v>5.2</v>
      </c>
      <c r="E142" s="460" t="s">
        <v>738</v>
      </c>
    </row>
    <row r="143" spans="1:5">
      <c r="A143" s="460">
        <v>137</v>
      </c>
      <c r="B143" s="458" t="s">
        <v>1363</v>
      </c>
      <c r="C143" s="459">
        <v>40324</v>
      </c>
      <c r="D143" s="1064">
        <v>5.2</v>
      </c>
      <c r="E143" s="460" t="s">
        <v>738</v>
      </c>
    </row>
    <row r="144" spans="1:5">
      <c r="A144" s="460">
        <v>138</v>
      </c>
      <c r="B144" s="458" t="s">
        <v>49</v>
      </c>
      <c r="C144" s="459">
        <v>40450</v>
      </c>
      <c r="D144" s="1064">
        <v>5.2</v>
      </c>
      <c r="E144" s="460" t="s">
        <v>738</v>
      </c>
    </row>
    <row r="145" spans="1:5">
      <c r="A145" s="460">
        <v>139</v>
      </c>
      <c r="B145" s="458" t="s">
        <v>1045</v>
      </c>
      <c r="C145" s="459">
        <v>40511</v>
      </c>
      <c r="D145" s="1064">
        <v>5.2</v>
      </c>
      <c r="E145" s="460" t="s">
        <v>738</v>
      </c>
    </row>
    <row r="146" spans="1:5">
      <c r="A146" s="460">
        <v>140</v>
      </c>
      <c r="B146" s="458" t="s">
        <v>1047</v>
      </c>
      <c r="C146" s="459">
        <v>40511</v>
      </c>
      <c r="D146" s="1064">
        <v>5.2</v>
      </c>
      <c r="E146" s="460" t="s">
        <v>738</v>
      </c>
    </row>
    <row r="147" spans="1:5">
      <c r="A147" s="460">
        <v>141</v>
      </c>
      <c r="B147" s="458" t="s">
        <v>1048</v>
      </c>
      <c r="C147" s="459">
        <v>40511</v>
      </c>
      <c r="D147" s="1064">
        <v>5.2</v>
      </c>
      <c r="E147" s="460" t="s">
        <v>738</v>
      </c>
    </row>
    <row r="148" spans="1:5">
      <c r="A148" s="460">
        <v>142</v>
      </c>
      <c r="B148" s="458" t="s">
        <v>297</v>
      </c>
      <c r="C148" s="459">
        <v>40817</v>
      </c>
      <c r="D148" s="1064">
        <v>5.3</v>
      </c>
      <c r="E148" s="460" t="s">
        <v>738</v>
      </c>
    </row>
    <row r="149" spans="1:5">
      <c r="A149" s="460">
        <v>143</v>
      </c>
      <c r="B149" s="458" t="s">
        <v>2296</v>
      </c>
      <c r="C149" s="1519">
        <v>40865</v>
      </c>
      <c r="D149" s="1064">
        <v>5.3</v>
      </c>
      <c r="E149" s="460" t="s">
        <v>738</v>
      </c>
    </row>
    <row r="150" spans="1:5">
      <c r="A150" s="460">
        <v>144</v>
      </c>
      <c r="B150" s="458" t="s">
        <v>2302</v>
      </c>
      <c r="C150" s="1519">
        <v>40865</v>
      </c>
      <c r="D150" s="1064">
        <v>5.3</v>
      </c>
      <c r="E150" s="460" t="s">
        <v>738</v>
      </c>
    </row>
    <row r="151" spans="1:5">
      <c r="A151" s="460">
        <v>145</v>
      </c>
      <c r="B151" s="458" t="s">
        <v>955</v>
      </c>
      <c r="C151" s="1519">
        <v>40866</v>
      </c>
      <c r="D151" s="1064">
        <v>5.3</v>
      </c>
      <c r="E151" s="460" t="s">
        <v>738</v>
      </c>
    </row>
    <row r="152" spans="1:5">
      <c r="A152" s="460">
        <v>146</v>
      </c>
      <c r="B152" s="458" t="s">
        <v>956</v>
      </c>
      <c r="C152" s="1519">
        <v>40866</v>
      </c>
      <c r="D152" s="1064">
        <v>5.3</v>
      </c>
      <c r="E152" s="460" t="s">
        <v>738</v>
      </c>
    </row>
    <row r="153" spans="1:5">
      <c r="A153" s="460">
        <v>147</v>
      </c>
      <c r="B153" s="458" t="s">
        <v>2297</v>
      </c>
      <c r="C153" s="1519">
        <v>40872</v>
      </c>
      <c r="D153" s="1064">
        <v>5.3</v>
      </c>
      <c r="E153" s="460" t="s">
        <v>738</v>
      </c>
    </row>
    <row r="154" spans="1:5">
      <c r="A154" s="460">
        <v>148</v>
      </c>
      <c r="B154" s="458" t="s">
        <v>1367</v>
      </c>
      <c r="C154" s="1519">
        <v>40916</v>
      </c>
      <c r="D154" s="1064">
        <v>5.4</v>
      </c>
      <c r="E154" s="460" t="s">
        <v>738</v>
      </c>
    </row>
    <row r="155" spans="1:5">
      <c r="A155" s="460">
        <v>149</v>
      </c>
      <c r="B155" s="458" t="s">
        <v>1368</v>
      </c>
      <c r="C155" s="1519">
        <v>40916</v>
      </c>
      <c r="D155" s="1064">
        <v>5.4</v>
      </c>
      <c r="E155" s="460" t="s">
        <v>738</v>
      </c>
    </row>
    <row r="156" spans="1:5">
      <c r="A156" s="460">
        <v>150</v>
      </c>
      <c r="B156" s="458" t="s">
        <v>812</v>
      </c>
      <c r="C156" s="1519">
        <v>40943</v>
      </c>
      <c r="D156" s="1064">
        <v>5.4</v>
      </c>
      <c r="E156" s="460" t="s">
        <v>738</v>
      </c>
    </row>
    <row r="157" spans="1:5">
      <c r="A157" s="460">
        <v>151</v>
      </c>
      <c r="B157" s="458" t="s">
        <v>813</v>
      </c>
      <c r="C157" s="1519">
        <v>40943</v>
      </c>
      <c r="D157" s="1064">
        <v>5.4</v>
      </c>
      <c r="E157" s="460" t="s">
        <v>738</v>
      </c>
    </row>
    <row r="158" spans="1:5">
      <c r="A158" s="460">
        <v>152</v>
      </c>
      <c r="B158" s="458" t="s">
        <v>310</v>
      </c>
      <c r="C158" s="1519">
        <v>41054</v>
      </c>
      <c r="D158" s="1064">
        <v>5.4</v>
      </c>
      <c r="E158" s="460" t="s">
        <v>738</v>
      </c>
    </row>
    <row r="159" spans="1:5">
      <c r="A159" s="460">
        <v>153</v>
      </c>
      <c r="B159" s="458" t="s">
        <v>2204</v>
      </c>
      <c r="C159" s="1519">
        <v>41055</v>
      </c>
      <c r="D159" s="1064">
        <v>5.4</v>
      </c>
      <c r="E159" s="460" t="s">
        <v>738</v>
      </c>
    </row>
    <row r="160" spans="1:5">
      <c r="A160" s="460">
        <v>154</v>
      </c>
      <c r="B160" s="458" t="s">
        <v>2250</v>
      </c>
      <c r="C160" s="1519">
        <v>41093</v>
      </c>
      <c r="D160" s="1064">
        <v>5.4</v>
      </c>
      <c r="E160" s="460" t="s">
        <v>738</v>
      </c>
    </row>
    <row r="161" spans="1:5">
      <c r="A161" s="460">
        <v>155</v>
      </c>
      <c r="B161" s="458" t="s">
        <v>2251</v>
      </c>
      <c r="C161" s="1519">
        <v>41093</v>
      </c>
      <c r="D161" s="1064">
        <v>5.4</v>
      </c>
      <c r="E161" s="460" t="s">
        <v>738</v>
      </c>
    </row>
    <row r="162" spans="1:5">
      <c r="A162" s="460">
        <v>156</v>
      </c>
      <c r="B162" s="458" t="s">
        <v>554</v>
      </c>
      <c r="C162" s="1519">
        <v>41283</v>
      </c>
      <c r="D162" s="1064">
        <v>5.4</v>
      </c>
      <c r="E162" s="460" t="s">
        <v>738</v>
      </c>
    </row>
    <row r="163" spans="1:5">
      <c r="A163" s="460">
        <v>157</v>
      </c>
      <c r="B163" s="458" t="s">
        <v>1774</v>
      </c>
      <c r="C163" s="1519">
        <v>41339</v>
      </c>
      <c r="D163" s="1064">
        <v>5.4</v>
      </c>
      <c r="E163" s="460" t="s">
        <v>738</v>
      </c>
    </row>
    <row r="164" spans="1:5">
      <c r="A164" s="460">
        <v>158</v>
      </c>
      <c r="B164" s="458" t="s">
        <v>2205</v>
      </c>
      <c r="C164" s="1519">
        <v>41711</v>
      </c>
      <c r="D164" s="1064">
        <v>5.4</v>
      </c>
      <c r="E164" s="460" t="s">
        <v>738</v>
      </c>
    </row>
    <row r="165" spans="1:5">
      <c r="A165" s="460">
        <v>159</v>
      </c>
      <c r="B165" s="458" t="s">
        <v>1514</v>
      </c>
      <c r="C165" s="1519">
        <v>42085</v>
      </c>
      <c r="D165" s="1064">
        <v>5.4</v>
      </c>
      <c r="E165" s="460" t="s">
        <v>738</v>
      </c>
    </row>
    <row r="166" spans="1:5">
      <c r="A166" s="460">
        <v>160</v>
      </c>
      <c r="B166" s="458" t="s">
        <v>541</v>
      </c>
      <c r="C166" s="1519">
        <v>42281</v>
      </c>
      <c r="D166" s="1064">
        <v>5.5</v>
      </c>
      <c r="E166" s="460" t="s">
        <v>738</v>
      </c>
    </row>
    <row r="167" spans="1:5">
      <c r="A167" s="460">
        <v>161</v>
      </c>
      <c r="B167" s="458" t="s">
        <v>2421</v>
      </c>
      <c r="C167" s="1519">
        <v>42656</v>
      </c>
      <c r="D167" s="1064">
        <v>5.6</v>
      </c>
      <c r="E167" s="460" t="s">
        <v>738</v>
      </c>
    </row>
    <row r="168" spans="1:5">
      <c r="A168" s="460">
        <v>162</v>
      </c>
      <c r="B168" s="458" t="s">
        <v>2422</v>
      </c>
      <c r="C168" s="1519">
        <v>42656</v>
      </c>
      <c r="D168" s="1064">
        <v>5.6</v>
      </c>
      <c r="E168" s="460" t="s">
        <v>738</v>
      </c>
    </row>
    <row r="169" spans="1:5">
      <c r="A169" s="460">
        <v>163</v>
      </c>
      <c r="B169" s="458" t="s">
        <v>2424</v>
      </c>
      <c r="C169" s="1519">
        <v>42656</v>
      </c>
      <c r="D169" s="1064">
        <v>5.6</v>
      </c>
      <c r="E169" s="460" t="s">
        <v>738</v>
      </c>
    </row>
    <row r="170" spans="1:5">
      <c r="A170" s="460">
        <v>164</v>
      </c>
      <c r="B170" s="458" t="s">
        <v>2423</v>
      </c>
      <c r="C170" s="1519">
        <v>42656</v>
      </c>
      <c r="D170" s="1064">
        <v>5.6</v>
      </c>
      <c r="E170" s="460" t="s">
        <v>738</v>
      </c>
    </row>
    <row r="171" spans="1:5">
      <c r="A171" s="460">
        <v>165</v>
      </c>
      <c r="B171" s="458" t="s">
        <v>2425</v>
      </c>
      <c r="C171" s="1519">
        <v>42656</v>
      </c>
      <c r="D171" s="1064">
        <v>5.6</v>
      </c>
      <c r="E171" s="460" t="s">
        <v>738</v>
      </c>
    </row>
    <row r="172" spans="1:5">
      <c r="A172" s="460">
        <v>166</v>
      </c>
      <c r="B172" s="458" t="s">
        <v>2426</v>
      </c>
      <c r="C172" s="1519">
        <v>42656</v>
      </c>
      <c r="D172" s="1064">
        <v>5.6</v>
      </c>
      <c r="E172" s="460" t="s">
        <v>738</v>
      </c>
    </row>
    <row r="173" spans="1:5">
      <c r="A173" s="460">
        <v>167</v>
      </c>
      <c r="B173" s="458" t="s">
        <v>2427</v>
      </c>
      <c r="C173" s="1519">
        <v>42656</v>
      </c>
      <c r="D173" s="1064">
        <v>5.6</v>
      </c>
      <c r="E173" s="460" t="s">
        <v>738</v>
      </c>
    </row>
    <row r="174" spans="1:5">
      <c r="A174" s="460">
        <v>168</v>
      </c>
      <c r="B174" s="458" t="s">
        <v>2428</v>
      </c>
      <c r="C174" s="1519">
        <v>42656</v>
      </c>
      <c r="D174" s="1064">
        <v>5.6</v>
      </c>
      <c r="E174" s="460" t="s">
        <v>738</v>
      </c>
    </row>
    <row r="175" spans="1:5">
      <c r="A175" s="1397">
        <v>169</v>
      </c>
      <c r="B175" s="1398" t="s">
        <v>2429</v>
      </c>
      <c r="C175" s="2097">
        <v>42656</v>
      </c>
      <c r="D175" s="1400">
        <v>5.6</v>
      </c>
      <c r="E175" s="1397" t="s">
        <v>738</v>
      </c>
    </row>
    <row r="176" spans="1:5">
      <c r="A176" s="460">
        <v>170</v>
      </c>
      <c r="B176" s="458" t="s">
        <v>9197</v>
      </c>
      <c r="C176" s="1519">
        <v>42843</v>
      </c>
      <c r="D176" s="1064">
        <v>6</v>
      </c>
      <c r="E176" s="460" t="s">
        <v>738</v>
      </c>
    </row>
    <row r="177" spans="1:5">
      <c r="A177" s="460">
        <v>171</v>
      </c>
      <c r="B177" s="458" t="s">
        <v>9198</v>
      </c>
      <c r="C177" s="1519">
        <v>42853</v>
      </c>
      <c r="D177" s="1064">
        <v>6</v>
      </c>
      <c r="E177" s="460" t="s">
        <v>738</v>
      </c>
    </row>
    <row r="178" spans="1:5">
      <c r="A178" s="460">
        <v>172</v>
      </c>
      <c r="B178" s="458" t="s">
        <v>9199</v>
      </c>
      <c r="C178" s="1519">
        <v>42860</v>
      </c>
      <c r="D178" s="1064">
        <v>6</v>
      </c>
      <c r="E178" s="460" t="s">
        <v>738</v>
      </c>
    </row>
    <row r="179" spans="1:5">
      <c r="A179" s="460">
        <v>173</v>
      </c>
      <c r="B179" s="458" t="s">
        <v>9200</v>
      </c>
      <c r="C179" s="1519">
        <v>42887</v>
      </c>
      <c r="D179" s="1064">
        <v>6</v>
      </c>
      <c r="E179" s="460" t="s">
        <v>738</v>
      </c>
    </row>
    <row r="180" spans="1:5">
      <c r="A180" s="460">
        <v>174</v>
      </c>
      <c r="B180" s="458" t="s">
        <v>9343</v>
      </c>
      <c r="C180" s="1519">
        <v>42892</v>
      </c>
      <c r="D180" s="1064">
        <v>6</v>
      </c>
      <c r="E180" s="460" t="s">
        <v>738</v>
      </c>
    </row>
    <row r="181" spans="1:5">
      <c r="A181" s="460">
        <v>175</v>
      </c>
      <c r="B181" s="458" t="s">
        <v>9344</v>
      </c>
      <c r="C181" s="1519">
        <v>42899</v>
      </c>
      <c r="D181" s="1064">
        <v>6</v>
      </c>
      <c r="E181" s="460" t="s">
        <v>738</v>
      </c>
    </row>
    <row r="182" spans="1:5">
      <c r="A182" s="460">
        <v>176</v>
      </c>
      <c r="B182" s="458" t="s">
        <v>9345</v>
      </c>
      <c r="C182" s="1519">
        <v>42988</v>
      </c>
      <c r="D182" s="1064">
        <v>6</v>
      </c>
      <c r="E182" s="460" t="s">
        <v>738</v>
      </c>
    </row>
    <row r="183" spans="1:5">
      <c r="A183" s="460">
        <v>177</v>
      </c>
      <c r="B183" s="458" t="s">
        <v>9369</v>
      </c>
      <c r="C183" s="1519">
        <v>43141</v>
      </c>
      <c r="D183" s="1064">
        <v>6.1</v>
      </c>
      <c r="E183" s="460" t="s">
        <v>738</v>
      </c>
    </row>
    <row r="184" spans="1:5">
      <c r="A184" s="460">
        <v>178</v>
      </c>
      <c r="B184" s="458" t="s">
        <v>9370</v>
      </c>
      <c r="C184" s="1519">
        <v>43141</v>
      </c>
      <c r="D184" s="1064">
        <v>6.1</v>
      </c>
      <c r="E184" s="460" t="s">
        <v>738</v>
      </c>
    </row>
    <row r="185" spans="1:5">
      <c r="A185" s="460">
        <v>179</v>
      </c>
      <c r="B185" s="458" t="s">
        <v>9371</v>
      </c>
      <c r="C185" s="1519">
        <v>43141</v>
      </c>
      <c r="D185" s="1064">
        <v>6.1</v>
      </c>
      <c r="E185" s="460" t="s">
        <v>738</v>
      </c>
    </row>
    <row r="186" spans="1:5">
      <c r="A186" s="460">
        <v>180</v>
      </c>
      <c r="B186" s="458" t="s">
        <v>9372</v>
      </c>
      <c r="C186" s="1519">
        <v>43141</v>
      </c>
      <c r="D186" s="1064">
        <v>6.1</v>
      </c>
      <c r="E186" s="460" t="s">
        <v>738</v>
      </c>
    </row>
    <row r="187" spans="1:5">
      <c r="A187" s="460">
        <v>181</v>
      </c>
      <c r="B187" s="458" t="s">
        <v>9374</v>
      </c>
      <c r="C187" s="1519">
        <v>43213</v>
      </c>
      <c r="D187" s="1064">
        <v>6.1</v>
      </c>
      <c r="E187" s="460" t="s">
        <v>738</v>
      </c>
    </row>
    <row r="188" spans="1:5">
      <c r="A188" s="460">
        <v>182</v>
      </c>
      <c r="B188" s="458" t="s">
        <v>9375</v>
      </c>
      <c r="C188" s="1519">
        <v>43353</v>
      </c>
      <c r="D188" s="1064">
        <v>6.1</v>
      </c>
      <c r="E188" s="460" t="s">
        <v>738</v>
      </c>
    </row>
    <row r="189" spans="1:5">
      <c r="A189" s="460">
        <v>183</v>
      </c>
      <c r="B189" s="458" t="s">
        <v>9377</v>
      </c>
      <c r="C189" s="1519">
        <v>43475</v>
      </c>
      <c r="D189" s="1064">
        <v>6.1</v>
      </c>
      <c r="E189" s="460" t="s">
        <v>738</v>
      </c>
    </row>
    <row r="190" spans="1:5">
      <c r="A190" s="460">
        <v>184</v>
      </c>
      <c r="B190" s="458" t="s">
        <v>9378</v>
      </c>
      <c r="C190" s="1519">
        <v>43566</v>
      </c>
      <c r="D190" s="1064">
        <v>6.1</v>
      </c>
      <c r="E190" s="460" t="s">
        <v>738</v>
      </c>
    </row>
  </sheetData>
  <sheetProtection password="C9AE" sheet="1" objects="1" scenarios="1"/>
  <phoneticPr fontId="0" type="noConversion"/>
  <pageMargins left="0.7" right="0.28000000000000003" top="0.92" bottom="0.52" header="0.46" footer="0.32"/>
  <pageSetup paperSize="9" scale="78" orientation="portrait" r:id="rId1"/>
  <headerFooter alignWithMargins="0">
    <oddFooter>&amp;L&amp;"Times New Roman,Kursiv"&amp;6Huber Energietechnik, AG Zürich  &amp;C&amp;6&amp;F  &amp;R&amp;"Times New Roman,Kursiv"&amp;6ENTECH 380/1, Ver. 5.4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O2520"/>
  <sheetViews>
    <sheetView showZeros="0" zoomScale="75" workbookViewId="0">
      <selection activeCell="AV2457" sqref="AV2457"/>
    </sheetView>
  </sheetViews>
  <sheetFormatPr baseColWidth="10" defaultColWidth="11.5703125" defaultRowHeight="12.75"/>
  <cols>
    <col min="1" max="1" width="9.28515625" style="28" customWidth="1"/>
    <col min="2" max="2" width="8" style="28" customWidth="1"/>
    <col min="3" max="14" width="5.7109375" style="28" customWidth="1"/>
    <col min="15" max="18" width="6.7109375" style="28" customWidth="1"/>
    <col min="19" max="19" width="11.5703125" style="28"/>
    <col min="20" max="20" width="11.5703125" style="28" hidden="1" customWidth="1"/>
    <col min="21" max="30" width="11.5703125" style="378" hidden="1" customWidth="1"/>
    <col min="31" max="31" width="11.5703125" style="380" hidden="1" customWidth="1"/>
    <col min="32" max="41" width="11.5703125" style="28" hidden="1" customWidth="1"/>
    <col min="42" max="42" width="0" style="28" hidden="1" customWidth="1"/>
    <col min="43" max="16384" width="11.5703125" style="28"/>
  </cols>
  <sheetData>
    <row r="1" spans="1:41" ht="15.75">
      <c r="A1" s="61">
        <v>0</v>
      </c>
      <c r="B1" s="1491" t="s">
        <v>45</v>
      </c>
      <c r="C1" s="1491"/>
      <c r="D1" s="1491"/>
      <c r="E1" s="1491"/>
      <c r="F1" s="130" t="s">
        <v>352</v>
      </c>
      <c r="G1" s="241">
        <v>500</v>
      </c>
      <c r="H1" s="131" t="s">
        <v>353</v>
      </c>
      <c r="I1" s="129"/>
      <c r="J1" s="129"/>
      <c r="K1" s="130" t="s">
        <v>354</v>
      </c>
      <c r="L1" s="242">
        <v>5</v>
      </c>
      <c r="M1" s="129" t="s">
        <v>355</v>
      </c>
      <c r="N1" s="242" t="s">
        <v>1439</v>
      </c>
      <c r="O1" s="130"/>
      <c r="P1" s="130" t="s">
        <v>357</v>
      </c>
      <c r="Q1" s="241">
        <v>-7</v>
      </c>
      <c r="R1" s="131" t="s">
        <v>2324</v>
      </c>
    </row>
    <row r="2" spans="1:41" ht="26.25">
      <c r="B2" s="62"/>
      <c r="N2" s="62"/>
      <c r="O2" s="62"/>
      <c r="P2" s="53" t="s">
        <v>358</v>
      </c>
      <c r="Q2" s="45"/>
      <c r="R2" s="45"/>
      <c r="U2" s="276" t="s">
        <v>1726</v>
      </c>
      <c r="V2" s="495"/>
      <c r="W2" s="495"/>
      <c r="X2" s="495"/>
      <c r="Y2" s="495"/>
      <c r="Z2" s="495"/>
      <c r="AA2" s="495"/>
      <c r="AB2" s="495"/>
      <c r="AC2" s="495"/>
      <c r="AD2" s="495"/>
    </row>
    <row r="3" spans="1:41">
      <c r="A3" s="34"/>
      <c r="B3" s="65"/>
      <c r="C3" s="95" t="s">
        <v>489</v>
      </c>
      <c r="D3" s="95" t="s">
        <v>490</v>
      </c>
      <c r="E3" s="95" t="s">
        <v>491</v>
      </c>
      <c r="F3" s="95" t="s">
        <v>492</v>
      </c>
      <c r="G3" s="95" t="s">
        <v>493</v>
      </c>
      <c r="H3" s="95" t="s">
        <v>494</v>
      </c>
      <c r="I3" s="95" t="s">
        <v>495</v>
      </c>
      <c r="J3" s="95" t="s">
        <v>496</v>
      </c>
      <c r="K3" s="95" t="s">
        <v>497</v>
      </c>
      <c r="L3" s="95" t="s">
        <v>498</v>
      </c>
      <c r="M3" s="95" t="s">
        <v>499</v>
      </c>
      <c r="N3" s="126" t="s">
        <v>500</v>
      </c>
      <c r="O3" s="126" t="s">
        <v>501</v>
      </c>
      <c r="P3" s="132" t="s">
        <v>359</v>
      </c>
      <c r="Q3" s="133" t="s">
        <v>1207</v>
      </c>
      <c r="R3" s="133" t="s">
        <v>1208</v>
      </c>
      <c r="U3" s="495"/>
      <c r="V3" s="495"/>
      <c r="W3" s="495"/>
      <c r="X3" s="495"/>
      <c r="Y3" s="495"/>
      <c r="Z3" s="495"/>
      <c r="AA3" s="495"/>
      <c r="AB3" s="495"/>
      <c r="AC3" s="495"/>
      <c r="AD3" s="495"/>
    </row>
    <row r="4" spans="1:41" ht="15.75">
      <c r="B4" s="62"/>
      <c r="N4" s="62"/>
      <c r="O4" s="62"/>
      <c r="U4" s="512" t="s">
        <v>1727</v>
      </c>
      <c r="V4" s="495"/>
      <c r="W4" s="495"/>
      <c r="X4" s="495"/>
      <c r="Y4" s="495"/>
      <c r="Z4" s="495"/>
      <c r="AA4" s="495"/>
      <c r="AB4" s="495"/>
      <c r="AC4" s="495"/>
      <c r="AD4" s="495"/>
    </row>
    <row r="5" spans="1:41">
      <c r="A5" s="28" t="s">
        <v>1209</v>
      </c>
      <c r="B5" s="62" t="s">
        <v>2324</v>
      </c>
      <c r="C5" s="243">
        <v>-0.4</v>
      </c>
      <c r="D5" s="243">
        <v>1.5</v>
      </c>
      <c r="E5" s="243">
        <v>4.4000000000000004</v>
      </c>
      <c r="F5" s="243">
        <v>9.1999999999999993</v>
      </c>
      <c r="G5" s="243">
        <v>13</v>
      </c>
      <c r="H5" s="243">
        <v>16.899999999999999</v>
      </c>
      <c r="I5" s="243">
        <v>18.8</v>
      </c>
      <c r="J5" s="243">
        <v>17.7</v>
      </c>
      <c r="K5" s="243">
        <v>15.3</v>
      </c>
      <c r="L5" s="243">
        <v>10.5</v>
      </c>
      <c r="M5" s="243">
        <v>4.9000000000000004</v>
      </c>
      <c r="N5" s="244">
        <v>0.3</v>
      </c>
      <c r="O5" s="244">
        <v>9.4</v>
      </c>
      <c r="P5" s="243">
        <v>3</v>
      </c>
      <c r="Q5" s="243">
        <v>4.2</v>
      </c>
      <c r="R5" s="243">
        <v>5.3</v>
      </c>
      <c r="U5" s="495"/>
      <c r="V5" s="495"/>
      <c r="W5" s="495"/>
      <c r="X5" s="495"/>
      <c r="Y5" s="495"/>
      <c r="Z5" s="495"/>
      <c r="AA5" s="495"/>
      <c r="AB5" s="495"/>
      <c r="AC5" s="495"/>
      <c r="AD5" s="495"/>
    </row>
    <row r="6" spans="1:41">
      <c r="B6" s="62"/>
      <c r="N6" s="62"/>
      <c r="O6" s="62"/>
      <c r="U6" s="495"/>
      <c r="V6" s="495"/>
      <c r="W6" s="495"/>
      <c r="X6" s="495"/>
      <c r="Y6" s="495"/>
      <c r="Z6" s="495"/>
      <c r="AA6" s="495"/>
      <c r="AB6" s="495"/>
      <c r="AC6" s="495"/>
      <c r="AD6" s="495"/>
    </row>
    <row r="7" spans="1:41" ht="13.15" customHeight="1">
      <c r="A7" s="28" t="s">
        <v>1210</v>
      </c>
      <c r="B7" s="62" t="s">
        <v>250</v>
      </c>
      <c r="C7" s="243">
        <v>95</v>
      </c>
      <c r="D7" s="243">
        <v>165</v>
      </c>
      <c r="E7" s="243">
        <v>310</v>
      </c>
      <c r="F7" s="243">
        <v>475</v>
      </c>
      <c r="G7" s="243">
        <v>574</v>
      </c>
      <c r="H7" s="243">
        <v>650</v>
      </c>
      <c r="I7" s="243">
        <v>671</v>
      </c>
      <c r="J7" s="243">
        <v>541</v>
      </c>
      <c r="K7" s="243">
        <v>386</v>
      </c>
      <c r="L7" s="243">
        <v>230</v>
      </c>
      <c r="M7" s="243">
        <v>107</v>
      </c>
      <c r="N7" s="244">
        <v>79</v>
      </c>
      <c r="O7" s="244">
        <v>4283</v>
      </c>
      <c r="P7" s="243">
        <v>1112</v>
      </c>
      <c r="Q7" s="243">
        <v>1489</v>
      </c>
      <c r="R7" s="243">
        <v>1934</v>
      </c>
      <c r="U7" s="651" t="s">
        <v>2335</v>
      </c>
      <c r="V7" s="652"/>
      <c r="W7" s="653" t="s">
        <v>2336</v>
      </c>
      <c r="X7" s="652"/>
      <c r="Y7" s="652"/>
      <c r="Z7" s="652"/>
      <c r="AA7" s="652"/>
      <c r="AB7" s="652"/>
      <c r="AC7" s="652"/>
      <c r="AD7" s="654"/>
      <c r="AF7" s="651" t="s">
        <v>2335</v>
      </c>
      <c r="AG7" s="652"/>
      <c r="AH7" s="653" t="s">
        <v>2336</v>
      </c>
      <c r="AI7" s="652"/>
      <c r="AJ7" s="652"/>
      <c r="AK7" s="652"/>
      <c r="AL7" s="652"/>
      <c r="AM7" s="652"/>
      <c r="AN7" s="652"/>
      <c r="AO7" s="654"/>
    </row>
    <row r="8" spans="1:41" ht="13.15" customHeight="1">
      <c r="A8" s="28" t="s">
        <v>1211</v>
      </c>
      <c r="B8" s="62" t="s">
        <v>250</v>
      </c>
      <c r="C8" s="243">
        <v>151</v>
      </c>
      <c r="D8" s="243">
        <v>216</v>
      </c>
      <c r="E8" s="243">
        <v>291</v>
      </c>
      <c r="F8" s="243">
        <v>333</v>
      </c>
      <c r="G8" s="243">
        <v>304</v>
      </c>
      <c r="H8" s="243">
        <v>306</v>
      </c>
      <c r="I8" s="243">
        <v>329</v>
      </c>
      <c r="J8" s="243">
        <v>346</v>
      </c>
      <c r="K8" s="243">
        <v>347</v>
      </c>
      <c r="L8" s="243">
        <v>276</v>
      </c>
      <c r="M8" s="243">
        <v>171</v>
      </c>
      <c r="N8" s="244">
        <v>148</v>
      </c>
      <c r="O8" s="244">
        <v>3218</v>
      </c>
      <c r="P8" s="243">
        <v>1234</v>
      </c>
      <c r="Q8" s="243">
        <v>1523</v>
      </c>
      <c r="R8" s="243">
        <v>1825</v>
      </c>
      <c r="U8" s="655"/>
      <c r="V8" s="173"/>
      <c r="W8" s="656" t="s">
        <v>971</v>
      </c>
      <c r="X8" s="194" t="s">
        <v>972</v>
      </c>
      <c r="Y8" s="194" t="s">
        <v>973</v>
      </c>
      <c r="Z8" s="194" t="s">
        <v>974</v>
      </c>
      <c r="AA8" s="194" t="s">
        <v>975</v>
      </c>
      <c r="AB8" s="194" t="s">
        <v>1674</v>
      </c>
      <c r="AC8" s="194" t="s">
        <v>1675</v>
      </c>
      <c r="AD8" s="444" t="s">
        <v>1676</v>
      </c>
      <c r="AF8" s="655"/>
      <c r="AG8" s="173"/>
      <c r="AH8" s="656" t="s">
        <v>971</v>
      </c>
      <c r="AI8" s="194" t="s">
        <v>972</v>
      </c>
      <c r="AJ8" s="194" t="s">
        <v>973</v>
      </c>
      <c r="AK8" s="194" t="s">
        <v>974</v>
      </c>
      <c r="AL8" s="194" t="s">
        <v>975</v>
      </c>
      <c r="AM8" s="194" t="s">
        <v>1674</v>
      </c>
      <c r="AN8" s="194" t="s">
        <v>1675</v>
      </c>
      <c r="AO8" s="444" t="s">
        <v>1676</v>
      </c>
    </row>
    <row r="9" spans="1:41" ht="13.15" customHeight="1">
      <c r="A9" s="28" t="s">
        <v>1212</v>
      </c>
      <c r="B9" s="62" t="s">
        <v>250</v>
      </c>
      <c r="C9" s="243">
        <v>58</v>
      </c>
      <c r="D9" s="243">
        <v>96</v>
      </c>
      <c r="E9" s="243">
        <v>177</v>
      </c>
      <c r="F9" s="243">
        <v>257</v>
      </c>
      <c r="G9" s="243">
        <v>304</v>
      </c>
      <c r="H9" s="243">
        <v>338</v>
      </c>
      <c r="I9" s="243">
        <v>342</v>
      </c>
      <c r="J9" s="243">
        <v>292</v>
      </c>
      <c r="K9" s="243">
        <v>212</v>
      </c>
      <c r="L9" s="243">
        <v>129</v>
      </c>
      <c r="M9" s="243">
        <v>63</v>
      </c>
      <c r="N9" s="244">
        <v>51</v>
      </c>
      <c r="O9" s="244">
        <v>2319</v>
      </c>
      <c r="P9" s="243">
        <v>637</v>
      </c>
      <c r="Q9" s="243">
        <v>841</v>
      </c>
      <c r="R9" s="243">
        <v>1080</v>
      </c>
      <c r="U9" s="655"/>
      <c r="V9" s="173"/>
      <c r="W9" s="656"/>
      <c r="X9" s="194"/>
      <c r="Y9" s="194"/>
      <c r="Z9" s="194"/>
      <c r="AA9" s="194"/>
      <c r="AB9" s="194"/>
      <c r="AC9" s="194"/>
      <c r="AD9" s="444"/>
      <c r="AF9" s="655"/>
      <c r="AG9" s="173"/>
      <c r="AH9" s="656"/>
      <c r="AI9" s="194"/>
      <c r="AJ9" s="194"/>
      <c r="AK9" s="194"/>
      <c r="AL9" s="194"/>
      <c r="AM9" s="194"/>
      <c r="AN9" s="194"/>
      <c r="AO9" s="444"/>
    </row>
    <row r="10" spans="1:41" ht="13.15" customHeight="1">
      <c r="A10" s="28" t="s">
        <v>1213</v>
      </c>
      <c r="B10" s="62" t="s">
        <v>250</v>
      </c>
      <c r="C10" s="243">
        <v>67</v>
      </c>
      <c r="D10" s="243">
        <v>109</v>
      </c>
      <c r="E10" s="243">
        <v>177</v>
      </c>
      <c r="F10" s="243">
        <v>261</v>
      </c>
      <c r="G10" s="243">
        <v>298</v>
      </c>
      <c r="H10" s="243">
        <v>325</v>
      </c>
      <c r="I10" s="243">
        <v>342</v>
      </c>
      <c r="J10" s="243">
        <v>292</v>
      </c>
      <c r="K10" s="243">
        <v>228</v>
      </c>
      <c r="L10" s="243">
        <v>140</v>
      </c>
      <c r="M10" s="243">
        <v>72</v>
      </c>
      <c r="N10" s="244">
        <v>59</v>
      </c>
      <c r="O10" s="244">
        <v>2370</v>
      </c>
      <c r="P10" s="243">
        <v>679</v>
      </c>
      <c r="Q10" s="243">
        <v>888</v>
      </c>
      <c r="R10" s="243">
        <v>1130</v>
      </c>
      <c r="U10" s="166" t="s">
        <v>502</v>
      </c>
      <c r="V10" s="173"/>
      <c r="W10" s="173"/>
      <c r="X10" s="173"/>
      <c r="Y10" s="173"/>
      <c r="Z10" s="173"/>
      <c r="AA10" s="173"/>
      <c r="AB10" s="173"/>
      <c r="AC10" s="173"/>
      <c r="AD10" s="348"/>
      <c r="AF10" s="166" t="s">
        <v>502</v>
      </c>
      <c r="AG10" s="173"/>
      <c r="AH10" s="173"/>
      <c r="AI10" s="173"/>
      <c r="AJ10" s="173"/>
      <c r="AK10" s="173"/>
      <c r="AL10" s="173"/>
      <c r="AM10" s="173"/>
      <c r="AN10" s="173"/>
      <c r="AO10" s="348"/>
    </row>
    <row r="11" spans="1:41" ht="13.15" customHeight="1">
      <c r="A11" s="28" t="s">
        <v>1214</v>
      </c>
      <c r="B11" s="62" t="s">
        <v>250</v>
      </c>
      <c r="C11" s="243">
        <v>33</v>
      </c>
      <c r="D11" s="243">
        <v>48</v>
      </c>
      <c r="E11" s="243">
        <v>81</v>
      </c>
      <c r="F11" s="243">
        <v>114</v>
      </c>
      <c r="G11" s="243">
        <v>161</v>
      </c>
      <c r="H11" s="243">
        <v>182</v>
      </c>
      <c r="I11" s="243">
        <v>174</v>
      </c>
      <c r="J11" s="243">
        <v>119</v>
      </c>
      <c r="K11" s="243">
        <v>89</v>
      </c>
      <c r="L11" s="243">
        <v>62</v>
      </c>
      <c r="M11" s="243">
        <v>33</v>
      </c>
      <c r="N11" s="244">
        <v>29</v>
      </c>
      <c r="O11" s="244">
        <v>1125</v>
      </c>
      <c r="P11" s="243">
        <v>314</v>
      </c>
      <c r="Q11" s="243">
        <v>412</v>
      </c>
      <c r="R11" s="243">
        <v>528</v>
      </c>
      <c r="U11" s="166" t="s">
        <v>127</v>
      </c>
      <c r="V11" s="173"/>
      <c r="W11" s="345" t="s">
        <v>95</v>
      </c>
      <c r="X11" s="345"/>
      <c r="Y11" s="345"/>
      <c r="Z11" s="345"/>
      <c r="AA11" s="345"/>
      <c r="AB11" s="345"/>
      <c r="AC11" s="345"/>
      <c r="AD11" s="657"/>
      <c r="AF11" s="166" t="s">
        <v>127</v>
      </c>
      <c r="AG11" s="173"/>
      <c r="AH11" s="345" t="s">
        <v>709</v>
      </c>
      <c r="AI11" s="345" t="s">
        <v>720</v>
      </c>
      <c r="AJ11" s="345"/>
      <c r="AK11" s="345"/>
      <c r="AL11" s="345"/>
      <c r="AM11" s="345"/>
      <c r="AN11" s="345"/>
      <c r="AO11" s="657"/>
    </row>
    <row r="12" spans="1:41">
      <c r="B12" s="62"/>
      <c r="N12" s="62"/>
      <c r="O12" s="62"/>
      <c r="U12" s="166" t="s">
        <v>128</v>
      </c>
      <c r="V12" s="173"/>
      <c r="W12" s="345" t="s">
        <v>91</v>
      </c>
      <c r="X12" s="345"/>
      <c r="Y12" s="345"/>
      <c r="Z12" s="345"/>
      <c r="AA12" s="345"/>
      <c r="AB12" s="345"/>
      <c r="AC12" s="345"/>
      <c r="AD12" s="657"/>
      <c r="AF12" s="166" t="s">
        <v>128</v>
      </c>
      <c r="AG12" s="173"/>
      <c r="AH12" s="345" t="s">
        <v>703</v>
      </c>
      <c r="AI12" s="345"/>
      <c r="AJ12" s="345"/>
      <c r="AK12" s="345"/>
      <c r="AL12" s="345"/>
      <c r="AM12" s="345"/>
      <c r="AN12" s="345"/>
      <c r="AO12" s="657"/>
    </row>
    <row r="13" spans="1:41">
      <c r="A13" s="28" t="s">
        <v>1215</v>
      </c>
      <c r="B13" s="62" t="s">
        <v>1808</v>
      </c>
      <c r="C13" s="243">
        <v>31</v>
      </c>
      <c r="D13" s="243">
        <v>28</v>
      </c>
      <c r="E13" s="243">
        <v>29</v>
      </c>
      <c r="F13" s="243">
        <v>17</v>
      </c>
      <c r="G13" s="243">
        <v>6</v>
      </c>
      <c r="H13" s="243">
        <v>1</v>
      </c>
      <c r="I13" s="243">
        <v>0</v>
      </c>
      <c r="J13" s="243">
        <v>0</v>
      </c>
      <c r="K13" s="243">
        <v>1</v>
      </c>
      <c r="L13" s="243">
        <v>13</v>
      </c>
      <c r="M13" s="243">
        <v>28</v>
      </c>
      <c r="N13" s="244">
        <v>31</v>
      </c>
      <c r="O13" s="62"/>
      <c r="P13" s="243">
        <v>185</v>
      </c>
      <c r="U13" s="166" t="s">
        <v>129</v>
      </c>
      <c r="V13" s="173"/>
      <c r="W13" s="345" t="s">
        <v>1442</v>
      </c>
      <c r="X13" s="345" t="s">
        <v>350</v>
      </c>
      <c r="Y13" s="345" t="s">
        <v>350</v>
      </c>
      <c r="Z13" s="345"/>
      <c r="AA13" s="345"/>
      <c r="AB13" s="345"/>
      <c r="AC13" s="345"/>
      <c r="AD13" s="657"/>
      <c r="AF13" s="166" t="s">
        <v>129</v>
      </c>
      <c r="AG13" s="173"/>
      <c r="AH13" s="345" t="s">
        <v>703</v>
      </c>
      <c r="AI13" s="345" t="s">
        <v>350</v>
      </c>
      <c r="AJ13" s="345" t="s">
        <v>350</v>
      </c>
      <c r="AK13" s="345"/>
      <c r="AL13" s="345"/>
      <c r="AM13" s="345"/>
      <c r="AN13" s="345"/>
      <c r="AO13" s="657"/>
    </row>
    <row r="14" spans="1:41">
      <c r="A14" s="28" t="s">
        <v>1809</v>
      </c>
      <c r="B14" s="62" t="s">
        <v>1810</v>
      </c>
      <c r="C14" s="243">
        <v>571</v>
      </c>
      <c r="D14" s="243">
        <v>460</v>
      </c>
      <c r="E14" s="243">
        <v>412</v>
      </c>
      <c r="F14" s="243">
        <v>196</v>
      </c>
      <c r="G14" s="243">
        <v>56</v>
      </c>
      <c r="H14" s="243">
        <v>7</v>
      </c>
      <c r="I14" s="243">
        <v>0</v>
      </c>
      <c r="J14" s="243">
        <v>0</v>
      </c>
      <c r="K14" s="243">
        <v>10</v>
      </c>
      <c r="L14" s="243">
        <v>138</v>
      </c>
      <c r="M14" s="243">
        <v>377</v>
      </c>
      <c r="N14" s="244">
        <v>546</v>
      </c>
      <c r="O14" s="62"/>
      <c r="P14" s="243">
        <v>2773</v>
      </c>
      <c r="U14" s="166" t="s">
        <v>1586</v>
      </c>
      <c r="V14" s="173"/>
      <c r="W14" s="345" t="s">
        <v>1586</v>
      </c>
      <c r="X14" s="345" t="s">
        <v>1587</v>
      </c>
      <c r="Y14" s="345"/>
      <c r="Z14" s="345" t="s">
        <v>350</v>
      </c>
      <c r="AA14" s="345"/>
      <c r="AB14" s="345"/>
      <c r="AC14" s="345"/>
      <c r="AD14" s="657"/>
      <c r="AF14" s="166" t="s">
        <v>1586</v>
      </c>
      <c r="AG14" s="173"/>
      <c r="AH14" s="345" t="s">
        <v>708</v>
      </c>
      <c r="AI14" s="345" t="s">
        <v>705</v>
      </c>
      <c r="AJ14" s="345"/>
      <c r="AK14" s="345" t="s">
        <v>350</v>
      </c>
      <c r="AL14" s="345"/>
      <c r="AM14" s="345"/>
      <c r="AN14" s="345"/>
      <c r="AO14" s="657"/>
    </row>
    <row r="15" spans="1:41">
      <c r="B15" s="62"/>
      <c r="N15" s="62"/>
      <c r="O15" s="62"/>
      <c r="U15" s="166" t="s">
        <v>130</v>
      </c>
      <c r="V15" s="173"/>
      <c r="W15" s="345" t="s">
        <v>104</v>
      </c>
      <c r="X15" s="345"/>
      <c r="Y15" s="345"/>
      <c r="Z15" s="345"/>
      <c r="AA15" s="345" t="s">
        <v>350</v>
      </c>
      <c r="AB15" s="345"/>
      <c r="AC15" s="345"/>
      <c r="AD15" s="657"/>
      <c r="AF15" s="166" t="s">
        <v>130</v>
      </c>
      <c r="AG15" s="173"/>
      <c r="AH15" s="345" t="s">
        <v>720</v>
      </c>
      <c r="AI15" s="345"/>
      <c r="AJ15" s="345"/>
      <c r="AK15" s="345"/>
      <c r="AL15" s="345" t="s">
        <v>350</v>
      </c>
      <c r="AM15" s="345"/>
      <c r="AN15" s="345"/>
      <c r="AO15" s="657"/>
    </row>
    <row r="16" spans="1:41">
      <c r="A16" s="28" t="s">
        <v>1886</v>
      </c>
      <c r="B16" s="62" t="s">
        <v>1808</v>
      </c>
      <c r="C16" s="243">
        <v>31</v>
      </c>
      <c r="D16" s="243">
        <v>28</v>
      </c>
      <c r="E16" s="243">
        <v>31</v>
      </c>
      <c r="F16" s="243">
        <v>23</v>
      </c>
      <c r="G16" s="243">
        <v>12</v>
      </c>
      <c r="H16" s="243">
        <v>3</v>
      </c>
      <c r="I16" s="243">
        <v>1</v>
      </c>
      <c r="J16" s="243">
        <v>1</v>
      </c>
      <c r="K16" s="243">
        <v>4</v>
      </c>
      <c r="L16" s="243">
        <v>21</v>
      </c>
      <c r="M16" s="243">
        <v>30</v>
      </c>
      <c r="N16" s="244">
        <v>31</v>
      </c>
      <c r="O16" s="62"/>
      <c r="Q16" s="243">
        <v>216</v>
      </c>
      <c r="U16" s="166" t="s">
        <v>131</v>
      </c>
      <c r="V16" s="173"/>
      <c r="W16" s="345" t="s">
        <v>104</v>
      </c>
      <c r="X16" s="345"/>
      <c r="Y16" s="345"/>
      <c r="Z16" s="345"/>
      <c r="AA16" s="345"/>
      <c r="AB16" s="345"/>
      <c r="AC16" s="345"/>
      <c r="AD16" s="657"/>
      <c r="AF16" s="166" t="s">
        <v>131</v>
      </c>
      <c r="AG16" s="173"/>
      <c r="AH16" s="345" t="s">
        <v>720</v>
      </c>
      <c r="AI16" s="345"/>
      <c r="AJ16" s="345"/>
      <c r="AK16" s="345"/>
      <c r="AL16" s="345"/>
      <c r="AM16" s="345"/>
      <c r="AN16" s="345"/>
      <c r="AO16" s="657"/>
    </row>
    <row r="17" spans="1:41">
      <c r="A17" s="28" t="s">
        <v>1887</v>
      </c>
      <c r="B17" s="62" t="s">
        <v>1810</v>
      </c>
      <c r="C17" s="243">
        <v>633</v>
      </c>
      <c r="D17" s="243">
        <v>517</v>
      </c>
      <c r="E17" s="243">
        <v>481</v>
      </c>
      <c r="F17" s="243">
        <v>280</v>
      </c>
      <c r="G17" s="243">
        <v>127</v>
      </c>
      <c r="H17" s="243">
        <v>28</v>
      </c>
      <c r="I17" s="243">
        <v>6</v>
      </c>
      <c r="J17" s="243">
        <v>8</v>
      </c>
      <c r="K17" s="243">
        <v>41</v>
      </c>
      <c r="L17" s="243">
        <v>232</v>
      </c>
      <c r="M17" s="243">
        <v>450</v>
      </c>
      <c r="N17" s="244">
        <v>611</v>
      </c>
      <c r="O17" s="62"/>
      <c r="Q17" s="243">
        <v>3414</v>
      </c>
      <c r="U17" s="166" t="s">
        <v>1573</v>
      </c>
      <c r="V17" s="173"/>
      <c r="W17" s="345" t="s">
        <v>1573</v>
      </c>
      <c r="X17" s="345" t="s">
        <v>125</v>
      </c>
      <c r="Y17" s="345"/>
      <c r="Z17" s="345"/>
      <c r="AA17" s="345"/>
      <c r="AB17" s="345"/>
      <c r="AC17" s="345"/>
      <c r="AD17" s="657"/>
      <c r="AF17" s="166" t="s">
        <v>1573</v>
      </c>
      <c r="AG17" s="173"/>
      <c r="AH17" s="345" t="s">
        <v>708</v>
      </c>
      <c r="AI17" s="345" t="s">
        <v>705</v>
      </c>
      <c r="AJ17" s="345"/>
      <c r="AK17" s="345"/>
      <c r="AL17" s="345"/>
      <c r="AM17" s="345"/>
      <c r="AN17" s="345"/>
      <c r="AO17" s="657"/>
    </row>
    <row r="18" spans="1:41">
      <c r="B18" s="62"/>
      <c r="N18" s="62"/>
      <c r="O18" s="62"/>
      <c r="U18" s="166" t="s">
        <v>1251</v>
      </c>
      <c r="V18" s="173"/>
      <c r="W18" s="345" t="s">
        <v>1251</v>
      </c>
      <c r="X18" s="345"/>
      <c r="Y18" s="345"/>
      <c r="Z18" s="345"/>
      <c r="AA18" s="345"/>
      <c r="AB18" s="345"/>
      <c r="AC18" s="345"/>
      <c r="AD18" s="657"/>
      <c r="AF18" s="166" t="s">
        <v>1251</v>
      </c>
      <c r="AG18" s="173"/>
      <c r="AH18" s="345" t="s">
        <v>699</v>
      </c>
      <c r="AI18" s="345"/>
      <c r="AJ18" s="345"/>
      <c r="AK18" s="345"/>
      <c r="AL18" s="345"/>
      <c r="AM18" s="345"/>
      <c r="AN18" s="345"/>
      <c r="AO18" s="657"/>
    </row>
    <row r="19" spans="1:41">
      <c r="A19" s="28" t="s">
        <v>1434</v>
      </c>
      <c r="B19" s="62" t="s">
        <v>1808</v>
      </c>
      <c r="C19" s="243">
        <v>31</v>
      </c>
      <c r="D19" s="243">
        <v>28</v>
      </c>
      <c r="E19" s="243">
        <v>31</v>
      </c>
      <c r="F19" s="243">
        <v>27</v>
      </c>
      <c r="G19" s="243">
        <v>20</v>
      </c>
      <c r="H19" s="243">
        <v>6</v>
      </c>
      <c r="I19" s="243">
        <v>3</v>
      </c>
      <c r="J19" s="243">
        <v>4</v>
      </c>
      <c r="K19" s="243">
        <v>10</v>
      </c>
      <c r="L19" s="243">
        <v>26</v>
      </c>
      <c r="M19" s="243">
        <v>30</v>
      </c>
      <c r="N19" s="244">
        <v>31</v>
      </c>
      <c r="O19" s="62"/>
      <c r="R19" s="243">
        <v>247</v>
      </c>
      <c r="U19" s="166" t="s">
        <v>94</v>
      </c>
      <c r="V19" s="173"/>
      <c r="W19" s="345" t="s">
        <v>94</v>
      </c>
      <c r="X19" s="345"/>
      <c r="Y19" s="345"/>
      <c r="Z19" s="345"/>
      <c r="AA19" s="345"/>
      <c r="AB19" s="345"/>
      <c r="AC19" s="345"/>
      <c r="AD19" s="657"/>
      <c r="AF19" s="166" t="s">
        <v>94</v>
      </c>
      <c r="AG19" s="173"/>
      <c r="AH19" s="345" t="s">
        <v>714</v>
      </c>
      <c r="AI19" s="345"/>
      <c r="AJ19" s="345"/>
      <c r="AK19" s="345"/>
      <c r="AL19" s="345"/>
      <c r="AM19" s="345"/>
      <c r="AN19" s="345"/>
      <c r="AO19" s="657"/>
    </row>
    <row r="20" spans="1:41">
      <c r="A20" s="28" t="s">
        <v>1435</v>
      </c>
      <c r="B20" s="62" t="s">
        <v>1810</v>
      </c>
      <c r="C20" s="243">
        <v>695</v>
      </c>
      <c r="D20" s="243">
        <v>573</v>
      </c>
      <c r="E20" s="243">
        <v>546</v>
      </c>
      <c r="F20" s="243">
        <v>364</v>
      </c>
      <c r="G20" s="243">
        <v>218</v>
      </c>
      <c r="H20" s="243">
        <v>65</v>
      </c>
      <c r="I20" s="243">
        <v>27</v>
      </c>
      <c r="J20" s="243">
        <v>35</v>
      </c>
      <c r="K20" s="243">
        <v>103</v>
      </c>
      <c r="L20" s="243">
        <v>326</v>
      </c>
      <c r="M20" s="243">
        <v>511</v>
      </c>
      <c r="N20" s="244">
        <v>673</v>
      </c>
      <c r="O20" s="62"/>
      <c r="R20" s="243">
        <v>4136</v>
      </c>
      <c r="U20" s="166" t="s">
        <v>1963</v>
      </c>
      <c r="V20" s="173"/>
      <c r="W20" s="345" t="s">
        <v>2260</v>
      </c>
      <c r="X20" s="345" t="s">
        <v>882</v>
      </c>
      <c r="Y20" s="345" t="s">
        <v>1440</v>
      </c>
      <c r="Z20" s="345" t="s">
        <v>93</v>
      </c>
      <c r="AA20" s="345" t="s">
        <v>741</v>
      </c>
      <c r="AB20" s="345" t="s">
        <v>1400</v>
      </c>
      <c r="AC20" s="345" t="s">
        <v>100</v>
      </c>
      <c r="AD20" s="657" t="s">
        <v>203</v>
      </c>
      <c r="AF20" s="166" t="s">
        <v>1963</v>
      </c>
      <c r="AG20" s="173"/>
      <c r="AH20" s="345" t="s">
        <v>733</v>
      </c>
      <c r="AI20" s="345" t="s">
        <v>700</v>
      </c>
      <c r="AJ20" s="345" t="s">
        <v>713</v>
      </c>
      <c r="AK20" s="345" t="s">
        <v>1224</v>
      </c>
      <c r="AL20" s="345" t="s">
        <v>1222</v>
      </c>
      <c r="AM20" s="345" t="s">
        <v>1223</v>
      </c>
      <c r="AN20" s="345"/>
      <c r="AO20" s="657"/>
    </row>
    <row r="21" spans="1:41" ht="7.9" customHeight="1">
      <c r="U21" s="166" t="s">
        <v>1965</v>
      </c>
      <c r="V21" s="173"/>
      <c r="W21" s="345" t="s">
        <v>900</v>
      </c>
      <c r="X21" s="345" t="s">
        <v>884</v>
      </c>
      <c r="Y21" s="345"/>
      <c r="Z21" s="345"/>
      <c r="AA21" s="345"/>
      <c r="AB21" s="345"/>
      <c r="AC21" s="345"/>
      <c r="AD21" s="657"/>
      <c r="AF21" s="166" t="s">
        <v>1965</v>
      </c>
      <c r="AG21" s="173"/>
      <c r="AH21" s="345" t="s">
        <v>720</v>
      </c>
      <c r="AI21" s="345" t="s">
        <v>728</v>
      </c>
      <c r="AJ21" s="345"/>
      <c r="AK21" s="345"/>
      <c r="AL21" s="345"/>
      <c r="AM21" s="345"/>
      <c r="AN21" s="345"/>
      <c r="AO21" s="657"/>
    </row>
    <row r="22" spans="1:41" ht="7.9" customHeight="1">
      <c r="U22" s="166" t="s">
        <v>90</v>
      </c>
      <c r="V22" s="173"/>
      <c r="W22" s="345" t="s">
        <v>90</v>
      </c>
      <c r="X22" s="345"/>
      <c r="Y22" s="345"/>
      <c r="Z22" s="345"/>
      <c r="AA22" s="345"/>
      <c r="AB22" s="345"/>
      <c r="AC22" s="345"/>
      <c r="AD22" s="657"/>
      <c r="AF22" s="166" t="s">
        <v>90</v>
      </c>
      <c r="AG22" s="173"/>
      <c r="AH22" s="345" t="s">
        <v>710</v>
      </c>
      <c r="AI22" s="345"/>
      <c r="AJ22" s="345"/>
      <c r="AK22" s="345"/>
      <c r="AL22" s="345"/>
      <c r="AM22" s="345"/>
      <c r="AN22" s="345"/>
      <c r="AO22" s="657"/>
    </row>
    <row r="23" spans="1:41" ht="7.9" customHeight="1">
      <c r="U23" s="166" t="s">
        <v>1966</v>
      </c>
      <c r="V23" s="173"/>
      <c r="W23" s="345" t="s">
        <v>900</v>
      </c>
      <c r="X23" s="345" t="s">
        <v>1580</v>
      </c>
      <c r="Y23" s="345"/>
      <c r="Z23" s="345"/>
      <c r="AA23" s="345"/>
      <c r="AB23" s="345"/>
      <c r="AC23" s="345"/>
      <c r="AD23" s="657"/>
      <c r="AF23" s="166" t="s">
        <v>1966</v>
      </c>
      <c r="AG23" s="173"/>
      <c r="AH23" s="345" t="s">
        <v>729</v>
      </c>
      <c r="AI23" s="345" t="s">
        <v>728</v>
      </c>
      <c r="AJ23" s="345"/>
      <c r="AK23" s="345"/>
      <c r="AL23" s="345"/>
      <c r="AM23" s="345"/>
      <c r="AN23" s="345"/>
      <c r="AO23" s="657"/>
    </row>
    <row r="24" spans="1:41" ht="7.9" hidden="1" customHeight="1">
      <c r="U24" s="166" t="s">
        <v>132</v>
      </c>
      <c r="V24" s="173"/>
      <c r="W24" s="345" t="s">
        <v>90</v>
      </c>
      <c r="X24" s="345"/>
      <c r="Y24" s="345"/>
      <c r="Z24" s="345"/>
      <c r="AA24" s="345"/>
      <c r="AB24" s="345"/>
      <c r="AC24" s="345"/>
      <c r="AD24" s="657"/>
      <c r="AF24" s="166" t="s">
        <v>132</v>
      </c>
      <c r="AG24" s="173"/>
      <c r="AH24" s="345" t="s">
        <v>710</v>
      </c>
      <c r="AI24" s="345"/>
      <c r="AJ24" s="345"/>
      <c r="AK24" s="345"/>
      <c r="AL24" s="345"/>
      <c r="AM24" s="345"/>
      <c r="AN24" s="345"/>
      <c r="AO24" s="657"/>
    </row>
    <row r="25" spans="1:41" ht="7.9" hidden="1" customHeight="1">
      <c r="U25" s="166" t="s">
        <v>192</v>
      </c>
      <c r="V25" s="173"/>
      <c r="W25" s="345" t="s">
        <v>90</v>
      </c>
      <c r="X25" s="345" t="s">
        <v>887</v>
      </c>
      <c r="Y25" s="345"/>
      <c r="Z25" s="345"/>
      <c r="AA25" s="345"/>
      <c r="AB25" s="345"/>
      <c r="AC25" s="345"/>
      <c r="AD25" s="657"/>
      <c r="AF25" s="166" t="s">
        <v>192</v>
      </c>
      <c r="AG25" s="173"/>
      <c r="AH25" s="345" t="s">
        <v>710</v>
      </c>
      <c r="AI25" s="345" t="s">
        <v>1225</v>
      </c>
      <c r="AJ25" s="345"/>
      <c r="AK25" s="345"/>
      <c r="AL25" s="345"/>
      <c r="AM25" s="345"/>
      <c r="AN25" s="345"/>
      <c r="AO25" s="657"/>
    </row>
    <row r="26" spans="1:41" s="34" customFormat="1" ht="15.75" hidden="1">
      <c r="A26" s="61">
        <v>1</v>
      </c>
      <c r="B26" s="129"/>
      <c r="C26" s="129" t="s">
        <v>351</v>
      </c>
      <c r="D26" s="129"/>
      <c r="E26" s="130"/>
      <c r="F26" s="130" t="s">
        <v>352</v>
      </c>
      <c r="G26" s="129">
        <v>556</v>
      </c>
      <c r="H26" s="131" t="s">
        <v>353</v>
      </c>
      <c r="I26" s="129"/>
      <c r="J26" s="129"/>
      <c r="K26" s="130" t="s">
        <v>354</v>
      </c>
      <c r="L26" s="131">
        <v>3</v>
      </c>
      <c r="M26" s="129" t="s">
        <v>355</v>
      </c>
      <c r="N26" s="131" t="s">
        <v>356</v>
      </c>
      <c r="O26" s="130"/>
      <c r="P26" s="130" t="s">
        <v>357</v>
      </c>
      <c r="Q26" s="129">
        <v>-8</v>
      </c>
      <c r="R26" s="131" t="s">
        <v>2324</v>
      </c>
      <c r="S26" s="28"/>
      <c r="U26" s="166" t="s">
        <v>1442</v>
      </c>
      <c r="V26" s="173"/>
      <c r="W26" s="345" t="s">
        <v>1442</v>
      </c>
      <c r="X26" s="345"/>
      <c r="Y26" s="345"/>
      <c r="Z26" s="345"/>
      <c r="AA26" s="345"/>
      <c r="AB26" s="345"/>
      <c r="AC26" s="345"/>
      <c r="AD26" s="657"/>
      <c r="AE26" s="510"/>
      <c r="AF26" s="166" t="s">
        <v>1442</v>
      </c>
      <c r="AG26" s="173"/>
      <c r="AH26" s="345" t="s">
        <v>703</v>
      </c>
      <c r="AI26" s="345"/>
      <c r="AJ26" s="345"/>
      <c r="AK26" s="345"/>
      <c r="AL26" s="345"/>
      <c r="AM26" s="345"/>
      <c r="AN26" s="345"/>
      <c r="AO26" s="657"/>
    </row>
    <row r="27" spans="1:41" hidden="1">
      <c r="B27" s="62"/>
      <c r="N27" s="62"/>
      <c r="O27" s="62"/>
      <c r="P27" s="53" t="s">
        <v>358</v>
      </c>
      <c r="Q27" s="45"/>
      <c r="R27" s="45"/>
      <c r="U27" s="166" t="s">
        <v>1582</v>
      </c>
      <c r="V27" s="173"/>
      <c r="W27" s="345" t="s">
        <v>1582</v>
      </c>
      <c r="X27" s="345"/>
      <c r="Y27" s="345"/>
      <c r="Z27" s="345"/>
      <c r="AA27" s="345"/>
      <c r="AB27" s="345"/>
      <c r="AC27" s="345"/>
      <c r="AD27" s="657"/>
      <c r="AF27" s="166" t="s">
        <v>1582</v>
      </c>
      <c r="AG27" s="173"/>
      <c r="AH27" s="345" t="s">
        <v>706</v>
      </c>
      <c r="AI27" s="345"/>
      <c r="AJ27" s="345"/>
      <c r="AK27" s="345"/>
      <c r="AL27" s="345"/>
      <c r="AM27" s="345"/>
      <c r="AN27" s="345"/>
      <c r="AO27" s="657"/>
    </row>
    <row r="28" spans="1:41" s="34" customFormat="1" hidden="1">
      <c r="B28" s="65"/>
      <c r="C28" s="95" t="s">
        <v>489</v>
      </c>
      <c r="D28" s="95" t="s">
        <v>490</v>
      </c>
      <c r="E28" s="95" t="s">
        <v>491</v>
      </c>
      <c r="F28" s="95" t="s">
        <v>492</v>
      </c>
      <c r="G28" s="95" t="s">
        <v>493</v>
      </c>
      <c r="H28" s="95" t="s">
        <v>494</v>
      </c>
      <c r="I28" s="95" t="s">
        <v>495</v>
      </c>
      <c r="J28" s="95" t="s">
        <v>496</v>
      </c>
      <c r="K28" s="95" t="s">
        <v>497</v>
      </c>
      <c r="L28" s="95" t="s">
        <v>498</v>
      </c>
      <c r="M28" s="95" t="s">
        <v>499</v>
      </c>
      <c r="N28" s="126" t="s">
        <v>500</v>
      </c>
      <c r="O28" s="126" t="s">
        <v>501</v>
      </c>
      <c r="P28" s="132" t="s">
        <v>359</v>
      </c>
      <c r="Q28" s="133" t="s">
        <v>1207</v>
      </c>
      <c r="R28" s="133" t="s">
        <v>1208</v>
      </c>
      <c r="S28" s="28"/>
      <c r="U28" s="166" t="s">
        <v>1051</v>
      </c>
      <c r="V28" s="173"/>
      <c r="W28" s="345" t="s">
        <v>1571</v>
      </c>
      <c r="X28" s="345" t="s">
        <v>95</v>
      </c>
      <c r="Y28" s="345"/>
      <c r="Z28" s="345"/>
      <c r="AA28" s="345"/>
      <c r="AB28" s="345"/>
      <c r="AC28" s="345"/>
      <c r="AD28" s="657"/>
      <c r="AE28" s="510"/>
      <c r="AF28" s="166" t="s">
        <v>1051</v>
      </c>
      <c r="AG28" s="173"/>
      <c r="AH28" s="345" t="s">
        <v>732</v>
      </c>
      <c r="AI28" s="345"/>
      <c r="AJ28" s="345"/>
      <c r="AK28" s="345"/>
      <c r="AL28" s="345"/>
      <c r="AM28" s="345"/>
      <c r="AN28" s="345"/>
      <c r="AO28" s="657"/>
    </row>
    <row r="29" spans="1:41" hidden="1">
      <c r="B29" s="62"/>
      <c r="N29" s="62"/>
      <c r="O29" s="62"/>
      <c r="U29" s="166" t="s">
        <v>744</v>
      </c>
      <c r="V29" s="173"/>
      <c r="W29" s="345" t="s">
        <v>351</v>
      </c>
      <c r="X29" s="345" t="s">
        <v>90</v>
      </c>
      <c r="Y29" s="345" t="s">
        <v>1572</v>
      </c>
      <c r="Z29" s="345"/>
      <c r="AA29" s="345"/>
      <c r="AB29" s="345"/>
      <c r="AC29" s="345"/>
      <c r="AD29" s="657"/>
      <c r="AF29" s="166" t="s">
        <v>744</v>
      </c>
      <c r="AG29" s="173"/>
      <c r="AH29" s="345" t="s">
        <v>710</v>
      </c>
      <c r="AI29" s="345" t="s">
        <v>697</v>
      </c>
      <c r="AJ29" s="345"/>
      <c r="AK29" s="345"/>
      <c r="AL29" s="345"/>
      <c r="AM29" s="345"/>
      <c r="AN29" s="345"/>
      <c r="AO29" s="657"/>
    </row>
    <row r="30" spans="1:41" hidden="1">
      <c r="A30" s="28" t="s">
        <v>1209</v>
      </c>
      <c r="B30" s="62" t="s">
        <v>2324</v>
      </c>
      <c r="C30" s="28">
        <v>-1.1000000000000001</v>
      </c>
      <c r="D30" s="28">
        <v>0.9</v>
      </c>
      <c r="E30" s="28">
        <v>3.7</v>
      </c>
      <c r="F30" s="28">
        <v>8.6</v>
      </c>
      <c r="G30" s="28">
        <v>12.2</v>
      </c>
      <c r="H30" s="28">
        <v>15.8</v>
      </c>
      <c r="I30" s="28">
        <v>17.5</v>
      </c>
      <c r="J30" s="28">
        <v>16.399999999999999</v>
      </c>
      <c r="K30" s="28">
        <v>14.3</v>
      </c>
      <c r="L30" s="28">
        <v>9.8000000000000007</v>
      </c>
      <c r="M30" s="28">
        <v>4.2</v>
      </c>
      <c r="N30" s="62">
        <v>-0.9</v>
      </c>
      <c r="O30" s="62">
        <v>8.5</v>
      </c>
      <c r="P30" s="28">
        <v>2.6</v>
      </c>
      <c r="Q30" s="28">
        <v>3.8</v>
      </c>
      <c r="R30" s="28">
        <v>5</v>
      </c>
      <c r="U30" s="166" t="s">
        <v>193</v>
      </c>
      <c r="V30" s="173"/>
      <c r="W30" s="345" t="s">
        <v>1581</v>
      </c>
      <c r="X30" s="345"/>
      <c r="Y30" s="345"/>
      <c r="Z30" s="345"/>
      <c r="AA30" s="345"/>
      <c r="AB30" s="345"/>
      <c r="AC30" s="345"/>
      <c r="AD30" s="657"/>
      <c r="AF30" s="166" t="s">
        <v>193</v>
      </c>
      <c r="AG30" s="173"/>
      <c r="AH30" s="345" t="s">
        <v>711</v>
      </c>
      <c r="AI30" s="345"/>
      <c r="AJ30" s="345"/>
      <c r="AK30" s="345"/>
      <c r="AL30" s="345"/>
      <c r="AM30" s="345"/>
      <c r="AN30" s="345"/>
      <c r="AO30" s="657"/>
    </row>
    <row r="31" spans="1:41" hidden="1">
      <c r="B31" s="62"/>
      <c r="N31" s="62"/>
      <c r="O31" s="62"/>
      <c r="U31" s="166" t="s">
        <v>1964</v>
      </c>
      <c r="V31" s="173"/>
      <c r="W31" s="345" t="s">
        <v>99</v>
      </c>
      <c r="X31" s="345" t="s">
        <v>98</v>
      </c>
      <c r="Y31" s="345"/>
      <c r="Z31" s="345"/>
      <c r="AA31" s="345"/>
      <c r="AB31" s="345"/>
      <c r="AC31" s="345"/>
      <c r="AD31" s="657"/>
      <c r="AF31" s="166" t="s">
        <v>1964</v>
      </c>
      <c r="AG31" s="173"/>
      <c r="AH31" s="345" t="s">
        <v>702</v>
      </c>
      <c r="AI31" s="345" t="s">
        <v>717</v>
      </c>
      <c r="AJ31" s="345" t="s">
        <v>718</v>
      </c>
      <c r="AK31" s="345" t="s">
        <v>1224</v>
      </c>
      <c r="AL31" s="345" t="s">
        <v>725</v>
      </c>
      <c r="AM31" s="345"/>
      <c r="AN31" s="345"/>
      <c r="AO31" s="657"/>
    </row>
    <row r="32" spans="1:41" ht="13.15" hidden="1" customHeight="1">
      <c r="A32" s="28" t="s">
        <v>1210</v>
      </c>
      <c r="B32" s="62" t="s">
        <v>250</v>
      </c>
      <c r="C32" s="28">
        <v>106</v>
      </c>
      <c r="D32" s="28">
        <v>179</v>
      </c>
      <c r="E32" s="28">
        <v>316</v>
      </c>
      <c r="F32" s="28">
        <v>458</v>
      </c>
      <c r="G32" s="28">
        <v>579</v>
      </c>
      <c r="H32" s="28">
        <v>618</v>
      </c>
      <c r="I32" s="28">
        <v>657</v>
      </c>
      <c r="J32" s="28">
        <v>531</v>
      </c>
      <c r="K32" s="28">
        <v>389</v>
      </c>
      <c r="L32" s="28">
        <v>248</v>
      </c>
      <c r="M32" s="28">
        <v>121</v>
      </c>
      <c r="N32" s="62">
        <v>83</v>
      </c>
      <c r="O32" s="62">
        <v>4285</v>
      </c>
      <c r="P32" s="28">
        <v>1287</v>
      </c>
      <c r="Q32" s="28">
        <v>1716</v>
      </c>
      <c r="R32" s="28">
        <v>2229</v>
      </c>
      <c r="U32" s="166" t="s">
        <v>194</v>
      </c>
      <c r="V32" s="173"/>
      <c r="W32" s="345" t="s">
        <v>2253</v>
      </c>
      <c r="X32" s="345" t="s">
        <v>889</v>
      </c>
      <c r="Y32" s="345"/>
      <c r="Z32" s="345"/>
      <c r="AA32" s="345"/>
      <c r="AB32" s="345"/>
      <c r="AC32" s="345"/>
      <c r="AD32" s="657"/>
      <c r="AF32" s="166" t="s">
        <v>194</v>
      </c>
      <c r="AG32" s="173"/>
      <c r="AH32" s="345" t="s">
        <v>730</v>
      </c>
      <c r="AI32" s="345"/>
      <c r="AJ32" s="345"/>
      <c r="AK32" s="345"/>
      <c r="AL32" s="345"/>
      <c r="AM32" s="345"/>
      <c r="AN32" s="345"/>
      <c r="AO32" s="657"/>
    </row>
    <row r="33" spans="1:41" ht="13.15" hidden="1" customHeight="1">
      <c r="A33" s="28" t="s">
        <v>1211</v>
      </c>
      <c r="B33" s="62" t="s">
        <v>250</v>
      </c>
      <c r="C33" s="28">
        <v>169</v>
      </c>
      <c r="D33" s="28">
        <v>234</v>
      </c>
      <c r="E33" s="28">
        <v>297</v>
      </c>
      <c r="F33" s="28">
        <v>321</v>
      </c>
      <c r="G33" s="28">
        <v>307</v>
      </c>
      <c r="H33" s="28">
        <v>290</v>
      </c>
      <c r="I33" s="28">
        <v>322</v>
      </c>
      <c r="J33" s="28">
        <v>340</v>
      </c>
      <c r="K33" s="28">
        <v>350</v>
      </c>
      <c r="L33" s="28">
        <v>298</v>
      </c>
      <c r="M33" s="28">
        <v>194</v>
      </c>
      <c r="N33" s="62">
        <v>155</v>
      </c>
      <c r="O33" s="62">
        <v>3277</v>
      </c>
      <c r="P33" s="28">
        <v>1393</v>
      </c>
      <c r="Q33" s="28">
        <v>1710</v>
      </c>
      <c r="R33" s="28">
        <v>2063</v>
      </c>
      <c r="U33" s="166" t="s">
        <v>195</v>
      </c>
      <c r="V33" s="173"/>
      <c r="W33" s="345" t="s">
        <v>105</v>
      </c>
      <c r="X33" s="345" t="s">
        <v>900</v>
      </c>
      <c r="Y33" s="345" t="s">
        <v>125</v>
      </c>
      <c r="Z33" s="345"/>
      <c r="AA33" s="345"/>
      <c r="AB33" s="345"/>
      <c r="AC33" s="345"/>
      <c r="AD33" s="657"/>
      <c r="AF33" s="166" t="s">
        <v>195</v>
      </c>
      <c r="AG33" s="173"/>
      <c r="AH33" s="345" t="s">
        <v>719</v>
      </c>
      <c r="AI33" s="345" t="s">
        <v>728</v>
      </c>
      <c r="AJ33" s="345" t="s">
        <v>705</v>
      </c>
      <c r="AK33" s="345"/>
      <c r="AL33" s="345"/>
      <c r="AM33" s="345"/>
      <c r="AN33" s="345"/>
      <c r="AO33" s="657"/>
    </row>
    <row r="34" spans="1:41" ht="13.15" hidden="1" customHeight="1">
      <c r="A34" s="28" t="s">
        <v>1212</v>
      </c>
      <c r="B34" s="62" t="s">
        <v>250</v>
      </c>
      <c r="C34" s="28">
        <v>65</v>
      </c>
      <c r="D34" s="28">
        <v>104</v>
      </c>
      <c r="E34" s="28">
        <v>180</v>
      </c>
      <c r="F34" s="28">
        <v>247</v>
      </c>
      <c r="G34" s="28">
        <v>307</v>
      </c>
      <c r="H34" s="28">
        <v>321</v>
      </c>
      <c r="I34" s="28">
        <v>335</v>
      </c>
      <c r="J34" s="28">
        <v>287</v>
      </c>
      <c r="K34" s="28">
        <v>214</v>
      </c>
      <c r="L34" s="28">
        <v>139</v>
      </c>
      <c r="M34" s="28">
        <v>71</v>
      </c>
      <c r="N34" s="62">
        <v>54</v>
      </c>
      <c r="O34" s="62">
        <v>2324</v>
      </c>
      <c r="P34" s="28">
        <v>733</v>
      </c>
      <c r="Q34" s="28">
        <v>965</v>
      </c>
      <c r="R34" s="28">
        <v>1240</v>
      </c>
      <c r="U34" s="166" t="s">
        <v>196</v>
      </c>
      <c r="V34" s="173"/>
      <c r="W34" s="345" t="s">
        <v>137</v>
      </c>
      <c r="X34" s="345" t="s">
        <v>1575</v>
      </c>
      <c r="Y34" s="345" t="s">
        <v>1956</v>
      </c>
      <c r="Z34" s="345" t="s">
        <v>1577</v>
      </c>
      <c r="AA34" s="345" t="s">
        <v>1574</v>
      </c>
      <c r="AB34" s="345" t="s">
        <v>2004</v>
      </c>
      <c r="AC34" s="345"/>
      <c r="AD34" s="657"/>
      <c r="AF34" s="166" t="s">
        <v>196</v>
      </c>
      <c r="AG34" s="173"/>
      <c r="AH34" s="345" t="s">
        <v>724</v>
      </c>
      <c r="AI34" s="345" t="s">
        <v>1221</v>
      </c>
      <c r="AJ34" s="345" t="s">
        <v>726</v>
      </c>
      <c r="AK34" s="345" t="s">
        <v>734</v>
      </c>
      <c r="AL34" s="345"/>
      <c r="AM34" s="345"/>
      <c r="AN34" s="345"/>
      <c r="AO34" s="657"/>
    </row>
    <row r="35" spans="1:41" ht="13.15" hidden="1" customHeight="1">
      <c r="A35" s="28" t="s">
        <v>1213</v>
      </c>
      <c r="B35" s="62" t="s">
        <v>250</v>
      </c>
      <c r="C35" s="28">
        <v>75</v>
      </c>
      <c r="D35" s="28">
        <v>118</v>
      </c>
      <c r="E35" s="28">
        <v>180</v>
      </c>
      <c r="F35" s="28">
        <v>252</v>
      </c>
      <c r="G35" s="28">
        <v>301</v>
      </c>
      <c r="H35" s="28">
        <v>309</v>
      </c>
      <c r="I35" s="28">
        <v>335</v>
      </c>
      <c r="J35" s="28">
        <v>287</v>
      </c>
      <c r="K35" s="28">
        <v>230</v>
      </c>
      <c r="L35" s="28">
        <v>151</v>
      </c>
      <c r="M35" s="28">
        <v>81</v>
      </c>
      <c r="N35" s="62">
        <v>62</v>
      </c>
      <c r="O35" s="62">
        <v>2381</v>
      </c>
      <c r="P35" s="28">
        <v>780</v>
      </c>
      <c r="Q35" s="28">
        <v>1016</v>
      </c>
      <c r="R35" s="28">
        <v>1295</v>
      </c>
      <c r="U35" s="166" t="s">
        <v>2005</v>
      </c>
      <c r="V35" s="173"/>
      <c r="W35" s="345" t="s">
        <v>90</v>
      </c>
      <c r="X35" s="345"/>
      <c r="Y35" s="345"/>
      <c r="Z35" s="345"/>
      <c r="AA35" s="345"/>
      <c r="AB35" s="345"/>
      <c r="AC35" s="345"/>
      <c r="AD35" s="657"/>
      <c r="AF35" s="166" t="s">
        <v>2005</v>
      </c>
      <c r="AG35" s="173"/>
      <c r="AH35" s="345" t="s">
        <v>710</v>
      </c>
      <c r="AI35" s="345"/>
      <c r="AJ35" s="345"/>
      <c r="AK35" s="345"/>
      <c r="AL35" s="345"/>
      <c r="AM35" s="345"/>
      <c r="AN35" s="345"/>
      <c r="AO35" s="657"/>
    </row>
    <row r="36" spans="1:41" ht="13.15" hidden="1" customHeight="1">
      <c r="A36" s="28" t="s">
        <v>1214</v>
      </c>
      <c r="B36" s="62" t="s">
        <v>250</v>
      </c>
      <c r="C36" s="28">
        <v>37</v>
      </c>
      <c r="D36" s="28">
        <v>52</v>
      </c>
      <c r="E36" s="28">
        <v>82</v>
      </c>
      <c r="F36" s="28">
        <v>110</v>
      </c>
      <c r="G36" s="28">
        <v>162</v>
      </c>
      <c r="H36" s="28">
        <v>173</v>
      </c>
      <c r="I36" s="28">
        <v>171</v>
      </c>
      <c r="J36" s="28">
        <v>117</v>
      </c>
      <c r="K36" s="28">
        <v>89</v>
      </c>
      <c r="L36" s="28">
        <v>67</v>
      </c>
      <c r="M36" s="28">
        <v>38</v>
      </c>
      <c r="N36" s="62">
        <v>31</v>
      </c>
      <c r="O36" s="62">
        <v>1129</v>
      </c>
      <c r="P36" s="28">
        <v>363</v>
      </c>
      <c r="Q36" s="28">
        <v>474</v>
      </c>
      <c r="R36" s="28">
        <v>606</v>
      </c>
      <c r="U36" s="166" t="s">
        <v>2337</v>
      </c>
      <c r="V36" s="173"/>
      <c r="W36" s="345" t="s">
        <v>351</v>
      </c>
      <c r="X36" s="345"/>
      <c r="Y36" s="345"/>
      <c r="Z36" s="345"/>
      <c r="AA36" s="345"/>
      <c r="AB36" s="345"/>
      <c r="AC36" s="345"/>
      <c r="AD36" s="657"/>
      <c r="AF36" s="166" t="s">
        <v>2337</v>
      </c>
      <c r="AG36" s="173"/>
      <c r="AH36" s="345" t="s">
        <v>697</v>
      </c>
      <c r="AI36" s="345"/>
      <c r="AJ36" s="345"/>
      <c r="AK36" s="345"/>
      <c r="AL36" s="345"/>
      <c r="AM36" s="345"/>
      <c r="AN36" s="345"/>
      <c r="AO36" s="657"/>
    </row>
    <row r="37" spans="1:41" hidden="1">
      <c r="B37" s="62"/>
      <c r="N37" s="62"/>
      <c r="O37" s="62"/>
      <c r="U37" s="167" t="s">
        <v>136</v>
      </c>
      <c r="V37" s="287"/>
      <c r="W37" s="346" t="s">
        <v>92</v>
      </c>
      <c r="X37" s="345" t="s">
        <v>887</v>
      </c>
      <c r="Y37" s="346" t="s">
        <v>909</v>
      </c>
      <c r="Z37" s="346"/>
      <c r="AA37" s="346"/>
      <c r="AB37" s="346"/>
      <c r="AC37" s="346"/>
      <c r="AD37" s="658"/>
      <c r="AF37" s="167" t="s">
        <v>136</v>
      </c>
      <c r="AG37" s="287"/>
      <c r="AH37" s="346" t="s">
        <v>731</v>
      </c>
      <c r="AI37" s="346" t="s">
        <v>1225</v>
      </c>
      <c r="AJ37" s="346"/>
      <c r="AK37" s="346"/>
      <c r="AL37" s="346"/>
      <c r="AM37" s="346"/>
      <c r="AN37" s="346"/>
      <c r="AO37" s="658"/>
    </row>
    <row r="38" spans="1:41" hidden="1">
      <c r="A38" s="28" t="s">
        <v>1215</v>
      </c>
      <c r="B38" s="62" t="s">
        <v>1808</v>
      </c>
      <c r="C38" s="28">
        <v>31</v>
      </c>
      <c r="D38" s="28">
        <v>28</v>
      </c>
      <c r="E38" s="28">
        <v>29</v>
      </c>
      <c r="F38" s="28">
        <v>18</v>
      </c>
      <c r="G38" s="28">
        <v>9</v>
      </c>
      <c r="H38" s="28">
        <v>2</v>
      </c>
      <c r="I38" s="28">
        <v>1</v>
      </c>
      <c r="J38" s="28">
        <v>1</v>
      </c>
      <c r="K38" s="28">
        <v>3</v>
      </c>
      <c r="L38" s="28">
        <v>15</v>
      </c>
      <c r="M38" s="28">
        <v>28</v>
      </c>
      <c r="N38" s="62">
        <v>31</v>
      </c>
      <c r="O38" s="62"/>
      <c r="P38" s="28">
        <v>196</v>
      </c>
      <c r="U38" s="652"/>
      <c r="V38" s="652"/>
      <c r="W38" s="347"/>
      <c r="X38" s="347"/>
      <c r="Y38" s="347"/>
      <c r="Z38" s="347"/>
      <c r="AA38" s="347"/>
      <c r="AB38" s="347"/>
      <c r="AC38" s="347"/>
      <c r="AD38" s="347"/>
    </row>
    <row r="39" spans="1:41" hidden="1">
      <c r="A39" s="28" t="s">
        <v>1809</v>
      </c>
      <c r="B39" s="62" t="s">
        <v>1810</v>
      </c>
      <c r="C39" s="28">
        <v>593</v>
      </c>
      <c r="D39" s="28">
        <v>476</v>
      </c>
      <c r="E39" s="28">
        <v>431</v>
      </c>
      <c r="F39" s="28">
        <v>222</v>
      </c>
      <c r="G39" s="28">
        <v>94</v>
      </c>
      <c r="H39" s="28">
        <v>20</v>
      </c>
      <c r="I39" s="28">
        <v>5</v>
      </c>
      <c r="J39" s="28">
        <v>4</v>
      </c>
      <c r="K39" s="28">
        <v>23</v>
      </c>
      <c r="L39" s="28">
        <v>168</v>
      </c>
      <c r="M39" s="28">
        <v>405</v>
      </c>
      <c r="N39" s="62">
        <v>582</v>
      </c>
      <c r="O39" s="62"/>
      <c r="P39" s="28">
        <v>3023</v>
      </c>
      <c r="U39" s="173"/>
      <c r="V39" s="173"/>
      <c r="W39" s="345"/>
      <c r="X39" s="345"/>
      <c r="Y39" s="345"/>
      <c r="Z39" s="345"/>
      <c r="AA39" s="345"/>
      <c r="AB39" s="345"/>
      <c r="AC39" s="345"/>
      <c r="AD39" s="345"/>
    </row>
    <row r="40" spans="1:41" hidden="1">
      <c r="B40" s="62"/>
      <c r="N40" s="62"/>
      <c r="O40" s="62"/>
      <c r="U40" s="173"/>
      <c r="V40" s="173"/>
      <c r="W40" s="345"/>
      <c r="X40" s="345"/>
      <c r="Y40" s="345"/>
      <c r="Z40" s="345"/>
      <c r="AA40" s="345"/>
      <c r="AB40" s="345"/>
      <c r="AC40" s="345"/>
      <c r="AD40" s="345"/>
    </row>
    <row r="41" spans="1:41" hidden="1">
      <c r="A41" s="28" t="s">
        <v>1886</v>
      </c>
      <c r="B41" s="62" t="s">
        <v>1808</v>
      </c>
      <c r="C41" s="28">
        <v>31</v>
      </c>
      <c r="D41" s="28">
        <v>28</v>
      </c>
      <c r="E41" s="28">
        <v>31</v>
      </c>
      <c r="F41" s="28">
        <v>23</v>
      </c>
      <c r="G41" s="28">
        <v>16</v>
      </c>
      <c r="H41" s="28">
        <v>5</v>
      </c>
      <c r="I41" s="28">
        <v>2</v>
      </c>
      <c r="J41" s="28">
        <v>3</v>
      </c>
      <c r="K41" s="28">
        <v>8</v>
      </c>
      <c r="L41" s="28">
        <v>22</v>
      </c>
      <c r="M41" s="28">
        <v>29</v>
      </c>
      <c r="N41" s="62">
        <v>31</v>
      </c>
      <c r="O41" s="62"/>
      <c r="Q41" s="28">
        <v>229</v>
      </c>
      <c r="U41" s="659" t="s">
        <v>1728</v>
      </c>
      <c r="V41" s="652"/>
      <c r="W41" s="660" t="s">
        <v>1729</v>
      </c>
      <c r="X41" s="345"/>
      <c r="Y41" s="345"/>
      <c r="Z41" s="345"/>
      <c r="AA41" s="345"/>
      <c r="AB41" s="345"/>
      <c r="AC41" s="345"/>
      <c r="AD41" s="345"/>
    </row>
    <row r="42" spans="1:41" hidden="1">
      <c r="A42" s="28" t="s">
        <v>1887</v>
      </c>
      <c r="B42" s="62" t="s">
        <v>1810</v>
      </c>
      <c r="C42" s="28">
        <v>655</v>
      </c>
      <c r="D42" s="28">
        <v>533</v>
      </c>
      <c r="E42" s="28">
        <v>502</v>
      </c>
      <c r="F42" s="28">
        <v>305</v>
      </c>
      <c r="G42" s="28">
        <v>167</v>
      </c>
      <c r="H42" s="28">
        <v>54</v>
      </c>
      <c r="I42" s="28">
        <v>22</v>
      </c>
      <c r="J42" s="28">
        <v>26</v>
      </c>
      <c r="K42" s="28">
        <v>74</v>
      </c>
      <c r="L42" s="28">
        <v>261</v>
      </c>
      <c r="M42" s="28">
        <v>471</v>
      </c>
      <c r="N42" s="62">
        <v>647</v>
      </c>
      <c r="O42" s="62"/>
      <c r="Q42" s="28">
        <v>3717</v>
      </c>
      <c r="U42" s="404" t="str">
        <f>IF(Projekt!AV33&lt;&gt;2,Klima!B1,"")</f>
        <v/>
      </c>
      <c r="V42" s="173"/>
      <c r="W42" s="444">
        <v>0</v>
      </c>
      <c r="X42" s="1373" t="s">
        <v>1226</v>
      </c>
      <c r="Y42" s="345"/>
      <c r="Z42" s="345"/>
      <c r="AA42" s="345"/>
      <c r="AB42" s="345"/>
      <c r="AC42" s="345"/>
      <c r="AD42" s="345"/>
    </row>
    <row r="43" spans="1:41" hidden="1">
      <c r="B43" s="62"/>
      <c r="N43" s="62"/>
      <c r="O43" s="62"/>
      <c r="U43" s="406" t="str">
        <f>IF(AND(Projekt!$BC$33=2,Projekt!$AV$33=2),"",INDEX(Klima!$C$1:$C$60000,1+25*W43,))</f>
        <v>Airolo</v>
      </c>
      <c r="V43" s="173"/>
      <c r="W43" s="444">
        <v>19</v>
      </c>
      <c r="X43" s="1373" t="str">
        <f>U43</f>
        <v>Airolo</v>
      </c>
      <c r="Y43" s="345"/>
      <c r="Z43" s="345"/>
      <c r="AA43" s="345"/>
      <c r="AB43" s="345"/>
      <c r="AC43" s="345"/>
      <c r="AD43" s="345"/>
    </row>
    <row r="44" spans="1:41" hidden="1">
      <c r="A44" s="28" t="s">
        <v>1434</v>
      </c>
      <c r="B44" s="62" t="s">
        <v>1808</v>
      </c>
      <c r="C44" s="28">
        <v>31</v>
      </c>
      <c r="D44" s="28">
        <v>28</v>
      </c>
      <c r="E44" s="28">
        <v>31</v>
      </c>
      <c r="F44" s="28">
        <v>27</v>
      </c>
      <c r="G44" s="28">
        <v>22</v>
      </c>
      <c r="H44" s="28">
        <v>10</v>
      </c>
      <c r="I44" s="28">
        <v>5</v>
      </c>
      <c r="J44" s="28">
        <v>7</v>
      </c>
      <c r="K44" s="28">
        <v>15</v>
      </c>
      <c r="L44" s="28">
        <v>27</v>
      </c>
      <c r="M44" s="28">
        <v>30</v>
      </c>
      <c r="N44" s="62">
        <v>31</v>
      </c>
      <c r="O44" s="62"/>
      <c r="R44" s="28">
        <v>264</v>
      </c>
      <c r="U44" s="406" t="str">
        <f>IF(AND(Projekt!$BC$33=2,Projekt!$AV$33=2),"",INDEX(Klima!$C$1:$C$60000,1+25*W44,))</f>
        <v>Altdorf</v>
      </c>
      <c r="V44" s="173"/>
      <c r="W44" s="444">
        <v>32</v>
      </c>
      <c r="X44" s="1373" t="str">
        <f t="shared" ref="X44:X107" si="0">U44</f>
        <v>Altdorf</v>
      </c>
      <c r="Y44" s="345"/>
      <c r="Z44" s="345"/>
      <c r="AA44" s="345"/>
      <c r="AB44" s="345"/>
      <c r="AC44" s="345"/>
      <c r="AD44" s="345"/>
    </row>
    <row r="45" spans="1:41" hidden="1">
      <c r="A45" s="28" t="s">
        <v>1435</v>
      </c>
      <c r="B45" s="62" t="s">
        <v>1810</v>
      </c>
      <c r="C45" s="28">
        <v>717</v>
      </c>
      <c r="D45" s="28">
        <v>589</v>
      </c>
      <c r="E45" s="28">
        <v>567</v>
      </c>
      <c r="F45" s="28">
        <v>382</v>
      </c>
      <c r="G45" s="28">
        <v>259</v>
      </c>
      <c r="H45" s="28">
        <v>102</v>
      </c>
      <c r="I45" s="28">
        <v>49</v>
      </c>
      <c r="J45" s="28">
        <v>69</v>
      </c>
      <c r="K45" s="28">
        <v>156</v>
      </c>
      <c r="L45" s="28">
        <v>354</v>
      </c>
      <c r="M45" s="28">
        <v>533</v>
      </c>
      <c r="N45" s="62">
        <v>709</v>
      </c>
      <c r="O45" s="62"/>
      <c r="R45" s="28">
        <v>4486</v>
      </c>
      <c r="U45" s="406" t="str">
        <f>IF(AND(Projekt!$BC$33=2,Projekt!$AV$33=2),"",INDEX(Klima!$C$1:$C$60000,1+25*W45,))</f>
        <v>Arosa</v>
      </c>
      <c r="V45" s="173"/>
      <c r="W45" s="444">
        <v>34</v>
      </c>
      <c r="X45" s="1373" t="str">
        <f t="shared" si="0"/>
        <v>Arosa</v>
      </c>
      <c r="Y45" s="345"/>
      <c r="Z45" s="345"/>
      <c r="AA45" s="345"/>
      <c r="AB45" s="345"/>
      <c r="AC45" s="345"/>
      <c r="AD45" s="345"/>
    </row>
    <row r="46" spans="1:41" ht="8.1" hidden="1" customHeight="1">
      <c r="U46" s="406" t="str">
        <f>IF(AND(Projekt!$BC$33=2,Projekt!$AV$33=2),"",INDEX(Klima!$C$1:$C$60000,1+25*W46,))</f>
        <v>Bad Ragaz</v>
      </c>
      <c r="V46" s="423"/>
      <c r="W46" s="444">
        <v>14</v>
      </c>
      <c r="X46" s="1373" t="str">
        <f t="shared" si="0"/>
        <v>Bad Ragaz</v>
      </c>
      <c r="Y46" s="345"/>
      <c r="Z46" s="345"/>
      <c r="AA46" s="345"/>
      <c r="AB46" s="345"/>
      <c r="AC46" s="345"/>
      <c r="AD46" s="345"/>
    </row>
    <row r="47" spans="1:41" ht="8.1" hidden="1" customHeight="1">
      <c r="U47" s="406" t="str">
        <f>IF(AND(Projekt!$BC$33=2,Projekt!$AV$33=2),"",INDEX(Klima!$C$1:$C$60000,1+25*W47,))</f>
        <v>Basel-Binningen</v>
      </c>
      <c r="V47" s="173"/>
      <c r="W47" s="444">
        <v>21</v>
      </c>
      <c r="X47" s="1373" t="str">
        <f t="shared" si="0"/>
        <v>Basel-Binningen</v>
      </c>
      <c r="Y47" s="345"/>
      <c r="Z47" s="345"/>
      <c r="AA47" s="345"/>
      <c r="AB47" s="345"/>
      <c r="AC47" s="345"/>
      <c r="AD47" s="345"/>
    </row>
    <row r="48" spans="1:41" ht="8.1" hidden="1" customHeight="1">
      <c r="U48" s="406" t="str">
        <f>IF(AND(Projekt!$BC$33=2,Projekt!$AV$33=2),"",INDEX(Klima!$C$1:$C$60000,1+25*W48,))</f>
        <v>Beatenberg</v>
      </c>
      <c r="V48" s="173"/>
      <c r="W48" s="444">
        <v>11</v>
      </c>
      <c r="X48" s="1373" t="str">
        <f t="shared" si="0"/>
        <v>Beatenberg</v>
      </c>
      <c r="Y48" s="345"/>
      <c r="Z48" s="345"/>
      <c r="AA48" s="345"/>
      <c r="AB48" s="345"/>
      <c r="AC48" s="345"/>
      <c r="AD48" s="345"/>
    </row>
    <row r="49" spans="1:31" ht="8.1" hidden="1" customHeight="1">
      <c r="U49" s="406" t="str">
        <f>IF(AND(Projekt!$BC$33=2,Projekt!$AV$33=2),"",INDEX(Klima!$C$1:$C$60000,1+25*W49,))</f>
        <v>Bern</v>
      </c>
      <c r="V49" s="173"/>
      <c r="W49" s="444">
        <v>10</v>
      </c>
      <c r="X49" s="1373" t="str">
        <f t="shared" si="0"/>
        <v>Bern</v>
      </c>
      <c r="Y49" s="345"/>
      <c r="Z49" s="345"/>
      <c r="AA49" s="345"/>
      <c r="AB49" s="345"/>
      <c r="AC49" s="345"/>
      <c r="AD49" s="345"/>
    </row>
    <row r="50" spans="1:31" ht="8.1" hidden="1" customHeight="1">
      <c r="M50" s="37"/>
      <c r="U50" s="406" t="str">
        <f>IF(AND(Projekt!$BC$33=2,Projekt!$AV$33=2),"",INDEX(Klima!$C$1:$C$60000,1+25*W50,))</f>
        <v>Beznau</v>
      </c>
      <c r="V50" s="423"/>
      <c r="W50" s="444">
        <v>9</v>
      </c>
      <c r="X50" s="1373" t="str">
        <f t="shared" si="0"/>
        <v>Beznau</v>
      </c>
      <c r="Y50" s="345"/>
      <c r="Z50" s="345"/>
      <c r="AA50" s="345"/>
      <c r="AB50" s="345"/>
      <c r="AC50" s="345"/>
      <c r="AD50" s="345"/>
    </row>
    <row r="51" spans="1:31" s="34" customFormat="1" ht="15.75" hidden="1">
      <c r="A51" s="61">
        <v>2</v>
      </c>
      <c r="B51" s="129"/>
      <c r="C51" s="129" t="s">
        <v>1436</v>
      </c>
      <c r="D51" s="129"/>
      <c r="E51" s="130"/>
      <c r="F51" s="130" t="s">
        <v>352</v>
      </c>
      <c r="G51" s="129">
        <v>411</v>
      </c>
      <c r="H51" s="131" t="s">
        <v>353</v>
      </c>
      <c r="I51" s="129"/>
      <c r="J51" s="129"/>
      <c r="K51" s="130" t="s">
        <v>354</v>
      </c>
      <c r="L51" s="131">
        <v>3</v>
      </c>
      <c r="M51" s="129" t="s">
        <v>355</v>
      </c>
      <c r="N51" s="131" t="s">
        <v>1437</v>
      </c>
      <c r="O51" s="130"/>
      <c r="P51" s="130" t="s">
        <v>357</v>
      </c>
      <c r="Q51" s="129">
        <v>-7</v>
      </c>
      <c r="R51" s="131" t="s">
        <v>2324</v>
      </c>
      <c r="S51" s="28"/>
      <c r="U51" s="406" t="str">
        <f>IF(AND(Projekt!$BC$33=2,Projekt!$AV$33=2),"",INDEX(Klima!$C$1:$C$60000,1+25*W51,))</f>
        <v>Château-d'Oex</v>
      </c>
      <c r="V51" s="173"/>
      <c r="W51" s="444">
        <v>42</v>
      </c>
      <c r="X51" s="1373" t="str">
        <f t="shared" si="0"/>
        <v>Château-d'Oex</v>
      </c>
      <c r="Y51" s="345"/>
      <c r="Z51" s="345"/>
      <c r="AA51" s="345"/>
      <c r="AB51" s="345"/>
      <c r="AC51" s="345"/>
      <c r="AD51" s="345"/>
      <c r="AE51" s="510"/>
    </row>
    <row r="52" spans="1:31" hidden="1">
      <c r="B52" s="62"/>
      <c r="N52" s="62"/>
      <c r="O52" s="62"/>
      <c r="P52" s="53" t="s">
        <v>358</v>
      </c>
      <c r="Q52" s="45"/>
      <c r="R52" s="45"/>
      <c r="U52" s="406" t="str">
        <f>IF(AND(Projekt!$BC$33=2,Projekt!$AV$33=2),"",INDEX(Klima!$C$1:$C$60000,1+25*W52,))</f>
        <v>Chippis</v>
      </c>
      <c r="V52" s="173"/>
      <c r="W52" s="444">
        <v>36</v>
      </c>
      <c r="X52" s="1373" t="str">
        <f t="shared" si="0"/>
        <v>Chippis</v>
      </c>
      <c r="Y52" s="345"/>
      <c r="Z52" s="345"/>
      <c r="AA52" s="345"/>
      <c r="AB52" s="345"/>
      <c r="AC52" s="345"/>
      <c r="AD52" s="345"/>
    </row>
    <row r="53" spans="1:31" s="34" customFormat="1" hidden="1">
      <c r="B53" s="65"/>
      <c r="C53" s="95" t="s">
        <v>489</v>
      </c>
      <c r="D53" s="95" t="s">
        <v>490</v>
      </c>
      <c r="E53" s="95" t="s">
        <v>491</v>
      </c>
      <c r="F53" s="95" t="s">
        <v>492</v>
      </c>
      <c r="G53" s="95" t="s">
        <v>493</v>
      </c>
      <c r="H53" s="95" t="s">
        <v>494</v>
      </c>
      <c r="I53" s="95" t="s">
        <v>495</v>
      </c>
      <c r="J53" s="95" t="s">
        <v>496</v>
      </c>
      <c r="K53" s="95" t="s">
        <v>497</v>
      </c>
      <c r="L53" s="95" t="s">
        <v>498</v>
      </c>
      <c r="M53" s="95" t="s">
        <v>499</v>
      </c>
      <c r="N53" s="126" t="s">
        <v>500</v>
      </c>
      <c r="O53" s="126" t="s">
        <v>501</v>
      </c>
      <c r="P53" s="132" t="s">
        <v>359</v>
      </c>
      <c r="Q53" s="133" t="s">
        <v>1207</v>
      </c>
      <c r="R53" s="133" t="s">
        <v>1208</v>
      </c>
      <c r="S53" s="28"/>
      <c r="U53" s="406" t="str">
        <f>IF(AND(Projekt!$BC$33=2,Projekt!$AV$33=2),"",INDEX(Klima!$C$1:$C$60000,1+25*W53,))</f>
        <v>Chur</v>
      </c>
      <c r="V53" s="173"/>
      <c r="W53" s="444">
        <v>35</v>
      </c>
      <c r="X53" s="1373" t="str">
        <f t="shared" si="0"/>
        <v>Chur</v>
      </c>
      <c r="Y53" s="495"/>
      <c r="Z53" s="495"/>
      <c r="AA53" s="495"/>
      <c r="AB53" s="495"/>
      <c r="AC53" s="495"/>
      <c r="AD53" s="495"/>
      <c r="AE53" s="510"/>
    </row>
    <row r="54" spans="1:31" hidden="1">
      <c r="B54" s="62"/>
      <c r="N54" s="62"/>
      <c r="O54" s="62"/>
      <c r="U54" s="406" t="str">
        <f>IF(AND(Projekt!$BC$33=2,Projekt!$AV$33=2),"",INDEX(Klima!$C$1:$C$60000,1+25*W54,))</f>
        <v>Comprovasco</v>
      </c>
      <c r="V54" s="173"/>
      <c r="W54" s="444">
        <v>20</v>
      </c>
      <c r="X54" s="1373" t="str">
        <f t="shared" si="0"/>
        <v>Comprovasco</v>
      </c>
      <c r="Y54" s="495"/>
      <c r="Z54" s="495"/>
      <c r="AA54" s="495"/>
      <c r="AB54" s="495"/>
      <c r="AC54" s="495"/>
      <c r="AD54" s="495"/>
    </row>
    <row r="55" spans="1:31" hidden="1">
      <c r="A55" s="28" t="s">
        <v>1209</v>
      </c>
      <c r="B55" s="62" t="s">
        <v>2324</v>
      </c>
      <c r="C55" s="28">
        <v>0.1</v>
      </c>
      <c r="D55" s="28">
        <v>2.1</v>
      </c>
      <c r="E55" s="28">
        <v>4.8</v>
      </c>
      <c r="F55" s="28">
        <v>9.6999999999999993</v>
      </c>
      <c r="G55" s="28">
        <v>13.6</v>
      </c>
      <c r="H55" s="28">
        <v>17.600000000000001</v>
      </c>
      <c r="I55" s="28">
        <v>19.3</v>
      </c>
      <c r="J55" s="28">
        <v>17.899999999999999</v>
      </c>
      <c r="K55" s="28">
        <v>15.6</v>
      </c>
      <c r="L55" s="28">
        <v>11</v>
      </c>
      <c r="M55" s="28">
        <v>5.4</v>
      </c>
      <c r="N55" s="62">
        <v>0.6</v>
      </c>
      <c r="O55" s="62">
        <v>9.8000000000000007</v>
      </c>
      <c r="P55" s="28">
        <v>3.2</v>
      </c>
      <c r="Q55" s="28">
        <v>4.3</v>
      </c>
      <c r="R55" s="28">
        <v>5.6</v>
      </c>
      <c r="U55" s="406" t="str">
        <f>IF(AND(Projekt!$BC$33=2,Projekt!$AV$33=2),"",INDEX(Klima!$C$1:$C$60000,1+25*W55,))</f>
        <v>Davos</v>
      </c>
      <c r="V55" s="173"/>
      <c r="W55" s="444">
        <v>4</v>
      </c>
      <c r="X55" s="1373" t="str">
        <f t="shared" si="0"/>
        <v>Davos</v>
      </c>
      <c r="Y55" s="495"/>
      <c r="Z55" s="495"/>
      <c r="AA55" s="495"/>
      <c r="AB55" s="495"/>
      <c r="AC55" s="495"/>
      <c r="AD55" s="495"/>
    </row>
    <row r="56" spans="1:31" hidden="1">
      <c r="B56" s="62"/>
      <c r="N56" s="62"/>
      <c r="O56" s="62"/>
      <c r="U56" s="406" t="str">
        <f>IF(AND(Projekt!$BC$33=2,Projekt!$AV$33=2),"",INDEX(Klima!$C$1:$C$60000,1+25*W56,))</f>
        <v>Delsberg</v>
      </c>
      <c r="V56" s="173"/>
      <c r="W56" s="444">
        <v>29</v>
      </c>
      <c r="X56" s="1373" t="str">
        <f t="shared" si="0"/>
        <v>Delsberg</v>
      </c>
      <c r="Y56" s="495"/>
      <c r="Z56" s="495"/>
      <c r="AA56" s="495"/>
      <c r="AB56" s="495"/>
      <c r="AC56" s="495"/>
      <c r="AD56" s="495"/>
    </row>
    <row r="57" spans="1:31" ht="13.15" hidden="1" customHeight="1">
      <c r="A57" s="28" t="s">
        <v>1210</v>
      </c>
      <c r="B57" s="62" t="s">
        <v>250</v>
      </c>
      <c r="C57" s="28">
        <v>94</v>
      </c>
      <c r="D57" s="28">
        <v>166</v>
      </c>
      <c r="E57" s="28">
        <v>299</v>
      </c>
      <c r="F57" s="28">
        <v>450</v>
      </c>
      <c r="G57" s="28">
        <v>565</v>
      </c>
      <c r="H57" s="28">
        <v>616</v>
      </c>
      <c r="I57" s="28">
        <v>648</v>
      </c>
      <c r="J57" s="28">
        <v>526</v>
      </c>
      <c r="K57" s="28">
        <v>385</v>
      </c>
      <c r="L57" s="28">
        <v>227</v>
      </c>
      <c r="M57" s="28">
        <v>104</v>
      </c>
      <c r="N57" s="62">
        <v>76</v>
      </c>
      <c r="O57" s="62">
        <v>4156</v>
      </c>
      <c r="P57" s="28">
        <v>1009</v>
      </c>
      <c r="Q57" s="28">
        <v>1352</v>
      </c>
      <c r="R57" s="28">
        <v>1791</v>
      </c>
      <c r="U57" s="406" t="str">
        <f>IF(AND(Projekt!$BC$33=2,Projekt!$AV$33=2),"",INDEX(Klima!$C$1:$C$60000,1+25*W57,))</f>
        <v>Disentis</v>
      </c>
      <c r="V57" s="423"/>
      <c r="W57" s="444">
        <v>15</v>
      </c>
      <c r="X57" s="1373" t="str">
        <f t="shared" si="0"/>
        <v>Disentis</v>
      </c>
      <c r="Y57" s="495"/>
      <c r="Z57" s="495"/>
      <c r="AA57" s="495"/>
      <c r="AB57" s="495"/>
      <c r="AC57" s="495"/>
      <c r="AD57" s="495"/>
    </row>
    <row r="58" spans="1:31" ht="13.15" hidden="1" customHeight="1">
      <c r="A58" s="28" t="s">
        <v>1211</v>
      </c>
      <c r="B58" s="62" t="s">
        <v>250</v>
      </c>
      <c r="C58" s="28">
        <v>149</v>
      </c>
      <c r="D58" s="28">
        <v>217</v>
      </c>
      <c r="E58" s="28">
        <v>281</v>
      </c>
      <c r="F58" s="28">
        <v>315</v>
      </c>
      <c r="G58" s="28">
        <v>299</v>
      </c>
      <c r="H58" s="28">
        <v>290</v>
      </c>
      <c r="I58" s="28">
        <v>318</v>
      </c>
      <c r="J58" s="28">
        <v>337</v>
      </c>
      <c r="K58" s="28">
        <v>347</v>
      </c>
      <c r="L58" s="28">
        <v>272</v>
      </c>
      <c r="M58" s="28">
        <v>166</v>
      </c>
      <c r="N58" s="62">
        <v>142</v>
      </c>
      <c r="O58" s="62">
        <v>3133</v>
      </c>
      <c r="P58" s="28">
        <v>1140</v>
      </c>
      <c r="Q58" s="28">
        <v>1407</v>
      </c>
      <c r="R58" s="28">
        <v>1724</v>
      </c>
      <c r="U58" s="406" t="str">
        <f>IF(AND(Projekt!$BC$33=2,Projekt!$AV$33=2),"",INDEX(Klima!$C$1:$C$60000,1+25*W58,))</f>
        <v>Einsiedeln</v>
      </c>
      <c r="V58" s="173"/>
      <c r="W58" s="444">
        <v>24</v>
      </c>
      <c r="X58" s="1373" t="str">
        <f t="shared" si="0"/>
        <v>Einsiedeln</v>
      </c>
      <c r="Y58" s="495"/>
      <c r="Z58" s="495"/>
      <c r="AA58" s="495"/>
      <c r="AB58" s="495"/>
      <c r="AC58" s="495"/>
      <c r="AD58" s="495"/>
    </row>
    <row r="59" spans="1:31" ht="13.15" hidden="1" customHeight="1">
      <c r="A59" s="28" t="s">
        <v>1212</v>
      </c>
      <c r="B59" s="62" t="s">
        <v>250</v>
      </c>
      <c r="C59" s="28">
        <v>57</v>
      </c>
      <c r="D59" s="28">
        <v>96</v>
      </c>
      <c r="E59" s="28">
        <v>170</v>
      </c>
      <c r="F59" s="28">
        <v>243</v>
      </c>
      <c r="G59" s="28">
        <v>299</v>
      </c>
      <c r="H59" s="28">
        <v>320</v>
      </c>
      <c r="I59" s="28">
        <v>330</v>
      </c>
      <c r="J59" s="28">
        <v>284</v>
      </c>
      <c r="K59" s="28">
        <v>212</v>
      </c>
      <c r="L59" s="28">
        <v>127</v>
      </c>
      <c r="M59" s="28">
        <v>61</v>
      </c>
      <c r="N59" s="62">
        <v>49</v>
      </c>
      <c r="O59" s="62">
        <v>2248</v>
      </c>
      <c r="P59" s="28">
        <v>557</v>
      </c>
      <c r="Q59" s="28">
        <v>764</v>
      </c>
      <c r="R59" s="28">
        <v>1000</v>
      </c>
      <c r="U59" s="406" t="str">
        <f>IF(AND(Projekt!$BC$33=2,Projekt!$AV$33=2),"",INDEX(Klima!$C$1:$C$60000,1+25*W59,))</f>
        <v>Engelberg</v>
      </c>
      <c r="V59" s="173"/>
      <c r="W59" s="444">
        <v>43</v>
      </c>
      <c r="X59" s="1373" t="str">
        <f t="shared" si="0"/>
        <v>Engelberg</v>
      </c>
      <c r="Y59" s="495"/>
      <c r="Z59" s="495"/>
      <c r="AA59" s="495"/>
      <c r="AB59" s="495"/>
      <c r="AC59" s="495"/>
      <c r="AD59" s="495"/>
    </row>
    <row r="60" spans="1:31" ht="13.15" hidden="1" customHeight="1">
      <c r="A60" s="28" t="s">
        <v>1213</v>
      </c>
      <c r="B60" s="62" t="s">
        <v>250</v>
      </c>
      <c r="C60" s="28">
        <v>67</v>
      </c>
      <c r="D60" s="28">
        <v>110</v>
      </c>
      <c r="E60" s="28">
        <v>170</v>
      </c>
      <c r="F60" s="28">
        <v>248</v>
      </c>
      <c r="G60" s="28">
        <v>294</v>
      </c>
      <c r="H60" s="28">
        <v>308</v>
      </c>
      <c r="I60" s="28">
        <v>330</v>
      </c>
      <c r="J60" s="28">
        <v>284</v>
      </c>
      <c r="K60" s="28">
        <v>227</v>
      </c>
      <c r="L60" s="28">
        <v>138</v>
      </c>
      <c r="M60" s="28">
        <v>70</v>
      </c>
      <c r="N60" s="62">
        <v>57</v>
      </c>
      <c r="O60" s="62">
        <v>2303</v>
      </c>
      <c r="P60" s="28">
        <v>622</v>
      </c>
      <c r="Q60" s="28">
        <v>812</v>
      </c>
      <c r="R60" s="28">
        <v>1053</v>
      </c>
      <c r="U60" s="406" t="str">
        <f>IF(AND(Projekt!$BC$33=2,Projekt!$AV$33=2),"",INDEX(Klima!$C$1:$C$60000,1+25*W60,))</f>
        <v>Fey-Nendaz</v>
      </c>
      <c r="V60" s="173"/>
      <c r="W60" s="444">
        <v>27</v>
      </c>
      <c r="X60" s="1373" t="str">
        <f t="shared" si="0"/>
        <v>Fey-Nendaz</v>
      </c>
      <c r="Y60" s="495"/>
      <c r="Z60" s="495"/>
      <c r="AA60" s="495"/>
      <c r="AB60" s="495"/>
      <c r="AC60" s="495"/>
      <c r="AD60" s="495"/>
    </row>
    <row r="61" spans="1:31" ht="13.15" hidden="1" customHeight="1">
      <c r="A61" s="28" t="s">
        <v>1214</v>
      </c>
      <c r="B61" s="62" t="s">
        <v>250</v>
      </c>
      <c r="C61" s="28">
        <v>33</v>
      </c>
      <c r="D61" s="28">
        <v>48</v>
      </c>
      <c r="E61" s="28">
        <v>78</v>
      </c>
      <c r="F61" s="28">
        <v>108</v>
      </c>
      <c r="G61" s="28">
        <v>158</v>
      </c>
      <c r="H61" s="28">
        <v>172</v>
      </c>
      <c r="I61" s="28">
        <v>168</v>
      </c>
      <c r="J61" s="28">
        <v>116</v>
      </c>
      <c r="K61" s="28">
        <v>89</v>
      </c>
      <c r="L61" s="28">
        <v>61</v>
      </c>
      <c r="M61" s="28">
        <v>32</v>
      </c>
      <c r="N61" s="62">
        <v>28</v>
      </c>
      <c r="O61" s="62">
        <v>1091</v>
      </c>
      <c r="P61" s="28">
        <v>286</v>
      </c>
      <c r="Q61" s="28">
        <v>376</v>
      </c>
      <c r="R61" s="28">
        <v>489</v>
      </c>
      <c r="U61" s="406" t="str">
        <f>IF(AND(Projekt!$BC$33=2,Projekt!$AV$33=2),"",INDEX(Klima!$C$1:$C$60000,1+25*W61,))</f>
        <v>Fribourg</v>
      </c>
      <c r="V61" s="173"/>
      <c r="W61" s="444">
        <v>25</v>
      </c>
      <c r="X61" s="1373" t="str">
        <f t="shared" si="0"/>
        <v>Fribourg</v>
      </c>
      <c r="Y61" s="495"/>
      <c r="Z61" s="495"/>
      <c r="AA61" s="495"/>
      <c r="AB61" s="495"/>
      <c r="AC61" s="495"/>
      <c r="AD61" s="495"/>
    </row>
    <row r="62" spans="1:31" hidden="1">
      <c r="B62" s="62"/>
      <c r="N62" s="62"/>
      <c r="O62" s="62"/>
      <c r="U62" s="406" t="str">
        <f>IF(AND(Projekt!$BC$33=2,Projekt!$AV$33=2),"",INDEX(Klima!$C$1:$C$60000,1+25*W62,))</f>
        <v>Genève</v>
      </c>
      <c r="V62" s="173"/>
      <c r="W62" s="444">
        <v>3</v>
      </c>
      <c r="X62" s="1373" t="str">
        <f t="shared" si="0"/>
        <v>Genève</v>
      </c>
      <c r="Y62" s="495"/>
      <c r="Z62" s="495"/>
      <c r="AA62" s="495"/>
      <c r="AB62" s="495"/>
      <c r="AC62" s="495"/>
      <c r="AD62" s="495"/>
    </row>
    <row r="63" spans="1:31" hidden="1">
      <c r="A63" s="28" t="s">
        <v>1215</v>
      </c>
      <c r="B63" s="62" t="s">
        <v>1808</v>
      </c>
      <c r="C63" s="28">
        <v>31</v>
      </c>
      <c r="D63" s="28">
        <v>28</v>
      </c>
      <c r="E63" s="28">
        <v>28</v>
      </c>
      <c r="F63" s="28">
        <v>15</v>
      </c>
      <c r="G63" s="28">
        <v>5</v>
      </c>
      <c r="H63" s="28">
        <v>1</v>
      </c>
      <c r="I63" s="28">
        <v>0</v>
      </c>
      <c r="J63" s="28">
        <v>0</v>
      </c>
      <c r="K63" s="28">
        <v>1</v>
      </c>
      <c r="L63" s="28">
        <v>12</v>
      </c>
      <c r="M63" s="28">
        <v>27</v>
      </c>
      <c r="N63" s="62">
        <v>30</v>
      </c>
      <c r="O63" s="62"/>
      <c r="P63" s="28">
        <v>178</v>
      </c>
      <c r="U63" s="406" t="str">
        <f>IF(AND(Projekt!$BC$33=2,Projekt!$AV$33=2),"",INDEX(Klima!$C$1:$C$60000,1+25*W63,))</f>
        <v>Glarus</v>
      </c>
      <c r="V63" s="423"/>
      <c r="W63" s="444">
        <v>16</v>
      </c>
      <c r="X63" s="1373" t="str">
        <f t="shared" si="0"/>
        <v>Glarus</v>
      </c>
      <c r="Y63" s="495"/>
      <c r="Z63" s="495"/>
      <c r="AA63" s="495"/>
      <c r="AB63" s="495"/>
      <c r="AC63" s="495"/>
      <c r="AD63" s="495"/>
    </row>
    <row r="64" spans="1:31" hidden="1">
      <c r="A64" s="28" t="s">
        <v>1809</v>
      </c>
      <c r="B64" s="62" t="s">
        <v>1810</v>
      </c>
      <c r="C64" s="28">
        <v>553</v>
      </c>
      <c r="D64" s="28">
        <v>443</v>
      </c>
      <c r="E64" s="28">
        <v>390</v>
      </c>
      <c r="F64" s="28">
        <v>172</v>
      </c>
      <c r="G64" s="28">
        <v>46</v>
      </c>
      <c r="H64" s="28">
        <v>11</v>
      </c>
      <c r="I64" s="28">
        <v>0</v>
      </c>
      <c r="J64" s="28">
        <v>0</v>
      </c>
      <c r="K64" s="28">
        <v>8</v>
      </c>
      <c r="L64" s="28">
        <v>124</v>
      </c>
      <c r="M64" s="28">
        <v>360</v>
      </c>
      <c r="N64" s="62">
        <v>536</v>
      </c>
      <c r="O64" s="62"/>
      <c r="P64" s="28">
        <v>2643</v>
      </c>
      <c r="U64" s="406" t="str">
        <f>IF(AND(Projekt!$BC$33=2,Projekt!$AV$33=2),"",INDEX(Klima!$C$1:$C$60000,1+25*W64,))</f>
        <v>Göschenen</v>
      </c>
      <c r="V64" s="173"/>
      <c r="W64" s="444">
        <v>33</v>
      </c>
      <c r="X64" s="1373" t="str">
        <f t="shared" si="0"/>
        <v>Göschenen</v>
      </c>
      <c r="Y64" s="495"/>
      <c r="Z64" s="495"/>
      <c r="AA64" s="495"/>
      <c r="AB64" s="495"/>
      <c r="AC64" s="495"/>
      <c r="AD64" s="495"/>
    </row>
    <row r="65" spans="1:31" hidden="1">
      <c r="B65" s="62"/>
      <c r="N65" s="62"/>
      <c r="O65" s="62"/>
      <c r="U65" s="406" t="str">
        <f>IF(AND(Projekt!$BC$33=2,Projekt!$AV$33=2),"",INDEX(Klima!$C$1:$C$60000,1+25*W65,))</f>
        <v>Gr. St. Bernhard</v>
      </c>
      <c r="V65" s="173"/>
      <c r="W65" s="444">
        <v>37</v>
      </c>
      <c r="X65" s="1373" t="str">
        <f t="shared" si="0"/>
        <v>Gr. St. Bernhard</v>
      </c>
      <c r="Y65" s="495"/>
      <c r="Z65" s="495"/>
      <c r="AA65" s="495"/>
      <c r="AB65" s="495"/>
      <c r="AC65" s="495"/>
      <c r="AD65" s="495"/>
    </row>
    <row r="66" spans="1:31" hidden="1">
      <c r="A66" s="28" t="s">
        <v>1886</v>
      </c>
      <c r="B66" s="62" t="s">
        <v>1808</v>
      </c>
      <c r="C66" s="28">
        <v>31</v>
      </c>
      <c r="D66" s="28">
        <v>28</v>
      </c>
      <c r="E66" s="28">
        <v>31</v>
      </c>
      <c r="F66" s="28">
        <v>21</v>
      </c>
      <c r="G66" s="28">
        <v>11</v>
      </c>
      <c r="H66" s="28">
        <v>2</v>
      </c>
      <c r="I66" s="28">
        <v>1</v>
      </c>
      <c r="J66" s="28">
        <v>1</v>
      </c>
      <c r="K66" s="28">
        <v>4</v>
      </c>
      <c r="L66" s="28">
        <v>18</v>
      </c>
      <c r="M66" s="28">
        <v>29</v>
      </c>
      <c r="N66" s="62">
        <v>31</v>
      </c>
      <c r="O66" s="62"/>
      <c r="Q66" s="28">
        <v>208</v>
      </c>
      <c r="U66" s="406" t="str">
        <f>IF(AND(Projekt!$BC$33=2,Projekt!$AV$33=2),"",INDEX(Klima!$C$1:$C$60000,1+25*W66,))</f>
        <v>Heiden</v>
      </c>
      <c r="V66" s="423"/>
      <c r="W66" s="444">
        <v>13</v>
      </c>
      <c r="X66" s="1373" t="str">
        <f t="shared" si="0"/>
        <v>Heiden</v>
      </c>
      <c r="Y66" s="495"/>
      <c r="Z66" s="495"/>
      <c r="AA66" s="495"/>
      <c r="AB66" s="495"/>
      <c r="AC66" s="495"/>
      <c r="AD66" s="495"/>
    </row>
    <row r="67" spans="1:31" hidden="1">
      <c r="A67" s="28" t="s">
        <v>1887</v>
      </c>
      <c r="B67" s="62" t="s">
        <v>1810</v>
      </c>
      <c r="C67" s="28">
        <v>615</v>
      </c>
      <c r="D67" s="28">
        <v>501</v>
      </c>
      <c r="E67" s="28">
        <v>467</v>
      </c>
      <c r="F67" s="28">
        <v>255</v>
      </c>
      <c r="G67" s="28">
        <v>110</v>
      </c>
      <c r="H67" s="28">
        <v>23</v>
      </c>
      <c r="I67" s="28">
        <v>7</v>
      </c>
      <c r="J67" s="28">
        <v>6</v>
      </c>
      <c r="K67" s="28">
        <v>35</v>
      </c>
      <c r="L67" s="28">
        <v>207</v>
      </c>
      <c r="M67" s="28">
        <v>433</v>
      </c>
      <c r="N67" s="62">
        <v>601</v>
      </c>
      <c r="O67" s="62"/>
      <c r="Q67" s="28">
        <v>3260</v>
      </c>
      <c r="U67" s="406" t="str">
        <f>IF(AND(Projekt!$BC$33=2,Projekt!$AV$33=2),"",INDEX(Klima!$C$1:$C$60000,1+25*W67,))</f>
        <v>Kreuzlingen</v>
      </c>
      <c r="V67" s="173"/>
      <c r="W67" s="444">
        <v>7</v>
      </c>
      <c r="X67" s="1373" t="str">
        <f t="shared" si="0"/>
        <v>Kreuzlingen</v>
      </c>
      <c r="Y67" s="495"/>
      <c r="Z67" s="495"/>
      <c r="AA67" s="495"/>
      <c r="AB67" s="495"/>
      <c r="AC67" s="495"/>
      <c r="AD67" s="495"/>
    </row>
    <row r="68" spans="1:31" hidden="1">
      <c r="B68" s="62"/>
      <c r="N68" s="62"/>
      <c r="O68" s="62"/>
      <c r="U68" s="406" t="str">
        <f>IF(AND(Projekt!$BC$33=2,Projekt!$AV$33=2),"",INDEX(Klima!$C$1:$C$60000,1+25*W68,))</f>
        <v>La Chaux-de-Fonds</v>
      </c>
      <c r="V68" s="173"/>
      <c r="W68" s="444">
        <v>30</v>
      </c>
      <c r="X68" s="1373" t="str">
        <f t="shared" si="0"/>
        <v>La Chaux-de-Fonds</v>
      </c>
      <c r="Y68" s="495"/>
      <c r="Z68" s="495"/>
      <c r="AA68" s="495"/>
      <c r="AB68" s="495"/>
      <c r="AC68" s="495"/>
      <c r="AD68" s="495"/>
    </row>
    <row r="69" spans="1:31" hidden="1">
      <c r="A69" s="28" t="s">
        <v>1434</v>
      </c>
      <c r="B69" s="62" t="s">
        <v>1808</v>
      </c>
      <c r="C69" s="28">
        <v>31</v>
      </c>
      <c r="D69" s="28">
        <v>28</v>
      </c>
      <c r="E69" s="28">
        <v>31</v>
      </c>
      <c r="F69" s="28">
        <v>26</v>
      </c>
      <c r="G69" s="28">
        <v>17</v>
      </c>
      <c r="H69" s="28">
        <v>6</v>
      </c>
      <c r="I69" s="28">
        <v>3</v>
      </c>
      <c r="J69" s="28">
        <v>4</v>
      </c>
      <c r="K69" s="28">
        <v>9</v>
      </c>
      <c r="L69" s="28">
        <v>26</v>
      </c>
      <c r="M69" s="28">
        <v>30</v>
      </c>
      <c r="N69" s="62">
        <v>31</v>
      </c>
      <c r="O69" s="62"/>
      <c r="R69" s="28">
        <v>242</v>
      </c>
      <c r="U69" s="406" t="str">
        <f>IF(AND(Projekt!$BC$33=2,Projekt!$AV$33=2),"",INDEX(Klima!$C$1:$C$60000,1+25*W69,))</f>
        <v>Langenbruck</v>
      </c>
      <c r="V69" s="173"/>
      <c r="W69" s="444">
        <v>23</v>
      </c>
      <c r="X69" s="1373" t="str">
        <f t="shared" si="0"/>
        <v>Langenbruck</v>
      </c>
      <c r="Y69" s="495"/>
      <c r="Z69" s="495"/>
      <c r="AA69" s="495"/>
      <c r="AB69" s="495"/>
      <c r="AC69" s="495"/>
      <c r="AD69" s="495"/>
    </row>
    <row r="70" spans="1:31" hidden="1">
      <c r="A70" s="28" t="s">
        <v>1435</v>
      </c>
      <c r="B70" s="62" t="s">
        <v>1810</v>
      </c>
      <c r="C70" s="28">
        <v>677</v>
      </c>
      <c r="D70" s="28">
        <v>557</v>
      </c>
      <c r="E70" s="28">
        <v>533</v>
      </c>
      <c r="F70" s="28">
        <v>341</v>
      </c>
      <c r="G70" s="28">
        <v>191</v>
      </c>
      <c r="H70" s="28">
        <v>58</v>
      </c>
      <c r="I70" s="28">
        <v>25</v>
      </c>
      <c r="J70" s="28">
        <v>32</v>
      </c>
      <c r="K70" s="28">
        <v>91</v>
      </c>
      <c r="L70" s="28">
        <v>311</v>
      </c>
      <c r="M70" s="28">
        <v>495</v>
      </c>
      <c r="N70" s="62">
        <v>665</v>
      </c>
      <c r="O70" s="62"/>
      <c r="R70" s="28">
        <v>3976</v>
      </c>
      <c r="U70" s="406" t="str">
        <f>IF(AND(Projekt!$BC$33=2,Projekt!$AV$33=2),"",INDEX(Klima!$C$1:$C$60000,1+25*W70,))</f>
        <v>Lausanne</v>
      </c>
      <c r="V70" s="173"/>
      <c r="W70" s="444">
        <v>22</v>
      </c>
      <c r="X70" s="1373" t="str">
        <f t="shared" si="0"/>
        <v>Lausanne</v>
      </c>
      <c r="Y70" s="495"/>
      <c r="Z70" s="495"/>
      <c r="AA70" s="495"/>
      <c r="AB70" s="495"/>
      <c r="AC70" s="495"/>
      <c r="AD70" s="495"/>
    </row>
    <row r="71" spans="1:31" ht="8.1" hidden="1" customHeight="1">
      <c r="U71" s="406" t="str">
        <f>IF(AND(Projekt!$BC$33=2,Projekt!$AV$33=2),"",INDEX(Klima!$C$1:$C$60000,1+25*W71,))</f>
        <v>Leysin</v>
      </c>
      <c r="V71" s="496"/>
      <c r="W71" s="1380">
        <v>46</v>
      </c>
      <c r="X71" s="1373" t="str">
        <f t="shared" si="0"/>
        <v>Leysin</v>
      </c>
      <c r="Y71" s="495"/>
      <c r="Z71" s="495"/>
      <c r="AA71" s="495"/>
      <c r="AB71" s="495"/>
      <c r="AC71" s="495"/>
      <c r="AD71" s="495"/>
    </row>
    <row r="72" spans="1:31" ht="8.1" hidden="1" customHeight="1">
      <c r="U72" s="406" t="str">
        <f>IF(AND(Projekt!$BC$33=2,Projekt!$AV$33=2),"",INDEX(Klima!$C$1:$C$60000,1+25*W72,))</f>
        <v>Locarno-Monti</v>
      </c>
      <c r="V72" s="173"/>
      <c r="W72" s="444">
        <v>5</v>
      </c>
      <c r="X72" s="1373" t="str">
        <f t="shared" si="0"/>
        <v>Locarno-Monti</v>
      </c>
      <c r="Y72" s="495"/>
      <c r="Z72" s="495"/>
      <c r="AA72" s="495"/>
      <c r="AB72" s="495"/>
      <c r="AC72" s="495"/>
      <c r="AD72" s="495"/>
    </row>
    <row r="73" spans="1:31" ht="8.1" hidden="1" customHeight="1">
      <c r="U73" s="406" t="str">
        <f>IF(AND(Projekt!$BC$33=2,Projekt!$AV$33=2),"",INDEX(Klima!$C$1:$C$60000,1+25*W73,))</f>
        <v>Lugano</v>
      </c>
      <c r="V73" s="173"/>
      <c r="W73" s="444">
        <v>18</v>
      </c>
      <c r="X73" s="1373" t="str">
        <f t="shared" si="0"/>
        <v>Lugano</v>
      </c>
      <c r="Y73" s="495"/>
      <c r="Z73" s="495"/>
      <c r="AA73" s="495"/>
      <c r="AB73" s="495"/>
      <c r="AC73" s="495"/>
      <c r="AD73" s="495"/>
    </row>
    <row r="74" spans="1:31" ht="8.1" hidden="1" customHeight="1">
      <c r="U74" s="406" t="str">
        <f>IF(AND(Projekt!$BC$33=2,Projekt!$AV$33=2),"",INDEX(Klima!$C$1:$C$60000,1+25*W74,))</f>
        <v>Luzern</v>
      </c>
      <c r="V74" s="423"/>
      <c r="W74" s="444">
        <v>12</v>
      </c>
      <c r="X74" s="1373" t="str">
        <f t="shared" si="0"/>
        <v>Luzern</v>
      </c>
      <c r="Y74" s="495"/>
      <c r="Z74" s="495"/>
      <c r="AA74" s="495"/>
      <c r="AB74" s="495"/>
      <c r="AC74" s="495"/>
      <c r="AD74" s="495"/>
    </row>
    <row r="75" spans="1:31" ht="8.1" hidden="1" customHeight="1">
      <c r="M75" s="37"/>
      <c r="U75" s="406" t="str">
        <f>IF(AND(Projekt!$BC$33=2,Projekt!$AV$33=2),"",INDEX(Klima!$C$1:$C$60000,1+25*W75,))</f>
        <v>Marsens</v>
      </c>
      <c r="V75" s="496"/>
      <c r="W75" s="1380">
        <v>44</v>
      </c>
      <c r="X75" s="1373" t="str">
        <f t="shared" si="0"/>
        <v>Marsens</v>
      </c>
      <c r="Y75" s="495"/>
      <c r="Z75" s="495"/>
      <c r="AA75" s="495"/>
      <c r="AB75" s="495"/>
      <c r="AC75" s="495"/>
      <c r="AD75" s="495"/>
    </row>
    <row r="76" spans="1:31" s="34" customFormat="1" ht="15.75" hidden="1">
      <c r="A76" s="61">
        <v>3</v>
      </c>
      <c r="B76" s="129"/>
      <c r="C76" s="129" t="s">
        <v>1251</v>
      </c>
      <c r="D76" s="129"/>
      <c r="E76" s="130"/>
      <c r="F76" s="130" t="s">
        <v>352</v>
      </c>
      <c r="G76" s="129">
        <v>405</v>
      </c>
      <c r="H76" s="131" t="s">
        <v>353</v>
      </c>
      <c r="I76" s="129"/>
      <c r="J76" s="129"/>
      <c r="K76" s="130" t="s">
        <v>354</v>
      </c>
      <c r="L76" s="131">
        <v>5</v>
      </c>
      <c r="M76" s="129" t="s">
        <v>355</v>
      </c>
      <c r="N76" s="131" t="s">
        <v>1439</v>
      </c>
      <c r="O76" s="130"/>
      <c r="P76" s="130" t="s">
        <v>357</v>
      </c>
      <c r="Q76" s="129">
        <v>-5</v>
      </c>
      <c r="R76" s="131" t="s">
        <v>2324</v>
      </c>
      <c r="S76" s="28"/>
      <c r="U76" s="406" t="str">
        <f>IF(AND(Projekt!$BC$33=2,Projekt!$AV$33=2),"",INDEX(Klima!$C$1:$C$60000,1+25*W76,))</f>
        <v>Meiringen</v>
      </c>
      <c r="V76" s="199"/>
      <c r="W76" s="1381">
        <v>47</v>
      </c>
      <c r="X76" s="1373" t="str">
        <f t="shared" si="0"/>
        <v>Meiringen</v>
      </c>
      <c r="Y76" s="495"/>
      <c r="Z76" s="495"/>
      <c r="AA76" s="495"/>
      <c r="AB76" s="495"/>
      <c r="AC76" s="495"/>
      <c r="AD76" s="495"/>
      <c r="AE76" s="510"/>
    </row>
    <row r="77" spans="1:31" hidden="1">
      <c r="B77" s="62"/>
      <c r="N77" s="62"/>
      <c r="O77" s="62"/>
      <c r="P77" s="53" t="s">
        <v>358</v>
      </c>
      <c r="Q77" s="45"/>
      <c r="R77" s="45"/>
      <c r="U77" s="406" t="str">
        <f>IF(AND(Projekt!$BC$33=2,Projekt!$AV$33=2),"",INDEX(Klima!$C$1:$C$60000,1+25*W77,))</f>
        <v>Montana</v>
      </c>
      <c r="V77" s="64"/>
      <c r="W77" s="62">
        <v>28</v>
      </c>
      <c r="X77" s="1373" t="str">
        <f t="shared" si="0"/>
        <v>Montana</v>
      </c>
      <c r="Y77" s="495"/>
      <c r="Z77" s="495"/>
      <c r="AA77" s="495"/>
      <c r="AB77" s="495"/>
      <c r="AC77" s="495"/>
      <c r="AD77" s="495"/>
    </row>
    <row r="78" spans="1:31" s="34" customFormat="1" hidden="1">
      <c r="B78" s="65"/>
      <c r="C78" s="95" t="s">
        <v>489</v>
      </c>
      <c r="D78" s="95" t="s">
        <v>490</v>
      </c>
      <c r="E78" s="95" t="s">
        <v>491</v>
      </c>
      <c r="F78" s="95" t="s">
        <v>492</v>
      </c>
      <c r="G78" s="95" t="s">
        <v>493</v>
      </c>
      <c r="H78" s="95" t="s">
        <v>494</v>
      </c>
      <c r="I78" s="95" t="s">
        <v>495</v>
      </c>
      <c r="J78" s="95" t="s">
        <v>496</v>
      </c>
      <c r="K78" s="95" t="s">
        <v>497</v>
      </c>
      <c r="L78" s="95" t="s">
        <v>498</v>
      </c>
      <c r="M78" s="95" t="s">
        <v>499</v>
      </c>
      <c r="N78" s="126" t="s">
        <v>500</v>
      </c>
      <c r="O78" s="126" t="s">
        <v>501</v>
      </c>
      <c r="P78" s="132" t="s">
        <v>359</v>
      </c>
      <c r="Q78" s="133" t="s">
        <v>1207</v>
      </c>
      <c r="R78" s="133" t="s">
        <v>1208</v>
      </c>
      <c r="S78" s="28"/>
      <c r="U78" s="406" t="str">
        <f>IF(AND(Projekt!$BC$33=2,Projekt!$AV$33=2),"",INDEX(Klima!$C$1:$C$60000,1+25*W78,))</f>
        <v>Montreux</v>
      </c>
      <c r="V78" s="199"/>
      <c r="W78" s="1381">
        <v>45</v>
      </c>
      <c r="X78" s="1373" t="str">
        <f t="shared" si="0"/>
        <v>Montreux</v>
      </c>
      <c r="Y78" s="495"/>
      <c r="Z78" s="495"/>
      <c r="AA78" s="495"/>
      <c r="AB78" s="495"/>
      <c r="AC78" s="495"/>
      <c r="AD78" s="495"/>
      <c r="AE78" s="510"/>
    </row>
    <row r="79" spans="1:31" hidden="1">
      <c r="B79" s="62"/>
      <c r="N79" s="62"/>
      <c r="O79" s="62"/>
      <c r="U79" s="406" t="str">
        <f>IF(AND(Projekt!$BC$33=2,Projekt!$AV$33=2),"",INDEX(Klima!$C$1:$C$60000,1+25*W79,))</f>
        <v>Neuchâtel</v>
      </c>
      <c r="V79" s="64"/>
      <c r="W79" s="62">
        <v>31</v>
      </c>
      <c r="X79" s="1373" t="str">
        <f t="shared" si="0"/>
        <v>Neuchâtel</v>
      </c>
      <c r="Y79" s="495"/>
      <c r="Z79" s="495"/>
      <c r="AA79" s="495"/>
      <c r="AB79" s="495"/>
      <c r="AC79" s="495"/>
      <c r="AD79" s="495"/>
    </row>
    <row r="80" spans="1:31" hidden="1">
      <c r="A80" s="28" t="s">
        <v>1209</v>
      </c>
      <c r="B80" s="62" t="s">
        <v>2324</v>
      </c>
      <c r="C80" s="28">
        <v>0.9</v>
      </c>
      <c r="D80" s="28">
        <v>2.8</v>
      </c>
      <c r="E80" s="28">
        <v>5.4</v>
      </c>
      <c r="F80" s="28">
        <v>10</v>
      </c>
      <c r="G80" s="28">
        <v>13.9</v>
      </c>
      <c r="H80" s="28">
        <v>17.7</v>
      </c>
      <c r="I80" s="28">
        <v>19.899999999999999</v>
      </c>
      <c r="J80" s="28">
        <v>18.899999999999999</v>
      </c>
      <c r="K80" s="28">
        <v>16.100000000000001</v>
      </c>
      <c r="L80" s="28">
        <v>11.4</v>
      </c>
      <c r="M80" s="28">
        <v>6</v>
      </c>
      <c r="N80" s="62">
        <v>1.6</v>
      </c>
      <c r="O80" s="62">
        <v>10.4</v>
      </c>
      <c r="P80" s="28">
        <v>3.7</v>
      </c>
      <c r="Q80" s="28">
        <v>4.9000000000000004</v>
      </c>
      <c r="R80" s="28">
        <v>5.9</v>
      </c>
      <c r="U80" s="406" t="str">
        <f>IF(AND(Projekt!$BC$33=2,Projekt!$AV$33=2),"",INDEX(Klima!$C$1:$C$60000,1+25*W80,))</f>
        <v>Olten</v>
      </c>
      <c r="V80" s="64"/>
      <c r="W80" s="62">
        <v>17</v>
      </c>
      <c r="X80" s="1373" t="str">
        <f t="shared" si="0"/>
        <v>Olten</v>
      </c>
      <c r="Y80" s="495"/>
      <c r="Z80" s="495"/>
      <c r="AA80" s="495"/>
      <c r="AB80" s="495"/>
      <c r="AC80" s="495"/>
      <c r="AD80" s="495"/>
    </row>
    <row r="81" spans="1:30" hidden="1">
      <c r="B81" s="62"/>
      <c r="N81" s="62"/>
      <c r="O81" s="62"/>
      <c r="U81" s="406" t="str">
        <f>IF(AND(Projekt!$BC$33=2,Projekt!$AV$33=2),"",INDEX(Klima!$C$1:$C$60000,1+25*W81,))</f>
        <v>Robbia</v>
      </c>
      <c r="V81" s="64"/>
      <c r="W81" s="62">
        <v>41</v>
      </c>
      <c r="X81" s="1373" t="str">
        <f t="shared" si="0"/>
        <v>Robbia</v>
      </c>
      <c r="Y81" s="495"/>
      <c r="Z81" s="495"/>
      <c r="AA81" s="495"/>
      <c r="AB81" s="495"/>
      <c r="AC81" s="495"/>
      <c r="AD81" s="495"/>
    </row>
    <row r="82" spans="1:30" ht="13.15" hidden="1" customHeight="1">
      <c r="A82" s="28" t="s">
        <v>1210</v>
      </c>
      <c r="B82" s="62" t="s">
        <v>250</v>
      </c>
      <c r="C82" s="28">
        <v>104</v>
      </c>
      <c r="D82" s="28">
        <v>180</v>
      </c>
      <c r="E82" s="28">
        <v>331</v>
      </c>
      <c r="F82" s="28">
        <v>479</v>
      </c>
      <c r="G82" s="28">
        <v>587</v>
      </c>
      <c r="H82" s="28">
        <v>655</v>
      </c>
      <c r="I82" s="28">
        <v>702</v>
      </c>
      <c r="J82" s="28">
        <v>562</v>
      </c>
      <c r="K82" s="28">
        <v>400</v>
      </c>
      <c r="L82" s="28">
        <v>248</v>
      </c>
      <c r="M82" s="28">
        <v>115</v>
      </c>
      <c r="N82" s="62">
        <v>83</v>
      </c>
      <c r="O82" s="62">
        <v>4446</v>
      </c>
      <c r="P82" s="28">
        <v>1039</v>
      </c>
      <c r="Q82" s="28">
        <v>1392</v>
      </c>
      <c r="R82" s="28">
        <v>1813</v>
      </c>
      <c r="U82" s="406" t="str">
        <f>IF(AND(Projekt!$BC$33=2,Projekt!$AV$33=2),"",INDEX(Klima!$C$1:$C$60000,1+25*W82,))</f>
        <v>Schaffhausen</v>
      </c>
      <c r="V82" s="64"/>
      <c r="W82" s="62">
        <v>8</v>
      </c>
      <c r="X82" s="1373" t="str">
        <f t="shared" si="0"/>
        <v>Schaffhausen</v>
      </c>
      <c r="Y82" s="495"/>
      <c r="Z82" s="495"/>
      <c r="AA82" s="495"/>
      <c r="AB82" s="495"/>
      <c r="AC82" s="495"/>
      <c r="AD82" s="495"/>
    </row>
    <row r="83" spans="1:30" ht="13.15" hidden="1" customHeight="1">
      <c r="A83" s="28" t="s">
        <v>1211</v>
      </c>
      <c r="B83" s="62" t="s">
        <v>250</v>
      </c>
      <c r="C83" s="28">
        <v>165</v>
      </c>
      <c r="D83" s="28">
        <v>236</v>
      </c>
      <c r="E83" s="28">
        <v>311</v>
      </c>
      <c r="F83" s="28">
        <v>335</v>
      </c>
      <c r="G83" s="28">
        <v>311</v>
      </c>
      <c r="H83" s="28">
        <v>308</v>
      </c>
      <c r="I83" s="28">
        <v>344</v>
      </c>
      <c r="J83" s="28">
        <v>360</v>
      </c>
      <c r="K83" s="28">
        <v>360</v>
      </c>
      <c r="L83" s="28">
        <v>298</v>
      </c>
      <c r="M83" s="28">
        <v>184</v>
      </c>
      <c r="N83" s="62">
        <v>155</v>
      </c>
      <c r="O83" s="62">
        <v>3367</v>
      </c>
      <c r="P83" s="28">
        <v>1196</v>
      </c>
      <c r="Q83" s="28">
        <v>1497</v>
      </c>
      <c r="R83" s="28">
        <v>1788</v>
      </c>
      <c r="U83" s="406" t="str">
        <f>IF(AND(Projekt!$BC$33=2,Projekt!$AV$33=2),"",INDEX(Klima!$C$1:$C$60000,1+25*W83,))</f>
        <v>Schuls</v>
      </c>
      <c r="V83" s="64"/>
      <c r="W83" s="62">
        <v>39</v>
      </c>
      <c r="X83" s="1373" t="str">
        <f t="shared" si="0"/>
        <v>Schuls</v>
      </c>
      <c r="Y83" s="495"/>
      <c r="Z83" s="495"/>
      <c r="AA83" s="495"/>
      <c r="AB83" s="495"/>
      <c r="AC83" s="495"/>
      <c r="AD83" s="495"/>
    </row>
    <row r="84" spans="1:30" ht="13.15" hidden="1" customHeight="1">
      <c r="A84" s="28" t="s">
        <v>1212</v>
      </c>
      <c r="B84" s="62" t="s">
        <v>250</v>
      </c>
      <c r="C84" s="28">
        <v>63</v>
      </c>
      <c r="D84" s="28">
        <v>104</v>
      </c>
      <c r="E84" s="28">
        <v>189</v>
      </c>
      <c r="F84" s="28">
        <v>259</v>
      </c>
      <c r="G84" s="28">
        <v>311</v>
      </c>
      <c r="H84" s="28">
        <v>341</v>
      </c>
      <c r="I84" s="28">
        <v>358</v>
      </c>
      <c r="J84" s="28">
        <v>303</v>
      </c>
      <c r="K84" s="28">
        <v>220</v>
      </c>
      <c r="L84" s="28">
        <v>139</v>
      </c>
      <c r="M84" s="28">
        <v>68</v>
      </c>
      <c r="N84" s="62">
        <v>54</v>
      </c>
      <c r="O84" s="62">
        <v>2409</v>
      </c>
      <c r="P84" s="28">
        <v>598</v>
      </c>
      <c r="Q84" s="28">
        <v>792</v>
      </c>
      <c r="R84" s="28">
        <v>1018</v>
      </c>
      <c r="U84" s="406" t="str">
        <f>IF(AND(Projekt!$BC$33=2,Projekt!$AV$33=2),"",INDEX(Klima!$C$1:$C$60000,1+25*W84,))</f>
        <v>Sion</v>
      </c>
      <c r="V84" s="64"/>
      <c r="W84" s="62">
        <v>26</v>
      </c>
      <c r="X84" s="1373" t="str">
        <f t="shared" si="0"/>
        <v>Sion</v>
      </c>
      <c r="Y84" s="495"/>
      <c r="Z84" s="495"/>
      <c r="AA84" s="495"/>
      <c r="AB84" s="495"/>
      <c r="AC84" s="495"/>
      <c r="AD84" s="495"/>
    </row>
    <row r="85" spans="1:30" ht="13.15" hidden="1" customHeight="1">
      <c r="A85" s="28" t="s">
        <v>1213</v>
      </c>
      <c r="B85" s="62" t="s">
        <v>250</v>
      </c>
      <c r="C85" s="28">
        <v>74</v>
      </c>
      <c r="D85" s="28">
        <v>119</v>
      </c>
      <c r="E85" s="28">
        <v>189</v>
      </c>
      <c r="F85" s="28">
        <v>263</v>
      </c>
      <c r="G85" s="28">
        <v>305</v>
      </c>
      <c r="H85" s="28">
        <v>328</v>
      </c>
      <c r="I85" s="28">
        <v>358</v>
      </c>
      <c r="J85" s="28">
        <v>303</v>
      </c>
      <c r="K85" s="28">
        <v>236</v>
      </c>
      <c r="L85" s="28">
        <v>151</v>
      </c>
      <c r="M85" s="28">
        <v>77</v>
      </c>
      <c r="N85" s="62">
        <v>62</v>
      </c>
      <c r="O85" s="62">
        <v>2465</v>
      </c>
      <c r="P85" s="28">
        <v>643</v>
      </c>
      <c r="Q85" s="28">
        <v>843</v>
      </c>
      <c r="R85" s="28">
        <v>1071</v>
      </c>
      <c r="U85" s="406" t="str">
        <f>IF(AND(Projekt!$BC$33=2,Projekt!$AV$33=2),"",INDEX(Klima!$C$1:$C$60000,1+25*W85,))</f>
        <v>St. Gallen</v>
      </c>
      <c r="V85" s="64"/>
      <c r="W85" s="62">
        <v>6</v>
      </c>
      <c r="X85" s="1373" t="str">
        <f t="shared" si="0"/>
        <v>St. Gallen</v>
      </c>
      <c r="Y85" s="495"/>
      <c r="Z85" s="495"/>
      <c r="AA85" s="495"/>
      <c r="AB85" s="495"/>
      <c r="AC85" s="495"/>
      <c r="AD85" s="495"/>
    </row>
    <row r="86" spans="1:30" ht="13.15" hidden="1" customHeight="1">
      <c r="A86" s="28" t="s">
        <v>1214</v>
      </c>
      <c r="B86" s="62" t="s">
        <v>250</v>
      </c>
      <c r="C86" s="28">
        <v>36</v>
      </c>
      <c r="D86" s="28">
        <v>52</v>
      </c>
      <c r="E86" s="28">
        <v>86</v>
      </c>
      <c r="F86" s="28">
        <v>115</v>
      </c>
      <c r="G86" s="28">
        <v>164</v>
      </c>
      <c r="H86" s="28">
        <v>183</v>
      </c>
      <c r="I86" s="28">
        <v>183</v>
      </c>
      <c r="J86" s="28">
        <v>124</v>
      </c>
      <c r="K86" s="28">
        <v>92</v>
      </c>
      <c r="L86" s="28">
        <v>67</v>
      </c>
      <c r="M86" s="28">
        <v>36</v>
      </c>
      <c r="N86" s="62">
        <v>31</v>
      </c>
      <c r="O86" s="62">
        <v>1169</v>
      </c>
      <c r="P86" s="28">
        <v>296</v>
      </c>
      <c r="Q86" s="28">
        <v>389</v>
      </c>
      <c r="R86" s="28">
        <v>498</v>
      </c>
      <c r="U86" s="406" t="str">
        <f>IF(AND(Projekt!$BC$33=2,Projekt!$AV$33=2),"",INDEX(Klima!$C$1:$C$60000,1+25*W86,))</f>
        <v>St. Moritz</v>
      </c>
      <c r="V86" s="64"/>
      <c r="W86" s="62">
        <v>40</v>
      </c>
      <c r="X86" s="1373" t="str">
        <f t="shared" si="0"/>
        <v>St. Moritz</v>
      </c>
      <c r="Y86" s="495"/>
      <c r="Z86" s="495"/>
      <c r="AA86" s="495"/>
      <c r="AB86" s="495"/>
      <c r="AC86" s="495"/>
      <c r="AD86" s="495"/>
    </row>
    <row r="87" spans="1:30" hidden="1">
      <c r="B87" s="62"/>
      <c r="N87" s="62"/>
      <c r="O87" s="62"/>
      <c r="U87" s="406" t="str">
        <f>IF(AND(Projekt!$BC$33=2,Projekt!$AV$33=2),"",INDEX(Klima!$C$1:$C$60000,1+25*W87,))</f>
        <v>Zermatt</v>
      </c>
      <c r="V87" s="64"/>
      <c r="W87" s="62">
        <v>38</v>
      </c>
      <c r="X87" s="1373" t="str">
        <f t="shared" si="0"/>
        <v>Zermatt</v>
      </c>
      <c r="Y87" s="495"/>
      <c r="Z87" s="495"/>
      <c r="AA87" s="495"/>
      <c r="AB87" s="495"/>
      <c r="AC87" s="495"/>
      <c r="AD87" s="495"/>
    </row>
    <row r="88" spans="1:30" hidden="1">
      <c r="A88" s="28" t="s">
        <v>1215</v>
      </c>
      <c r="B88" s="62" t="s">
        <v>1808</v>
      </c>
      <c r="C88" s="28">
        <v>31</v>
      </c>
      <c r="D88" s="28">
        <v>27</v>
      </c>
      <c r="E88" s="28">
        <v>28</v>
      </c>
      <c r="F88" s="28">
        <v>15</v>
      </c>
      <c r="G88" s="28">
        <v>4</v>
      </c>
      <c r="H88" s="28">
        <v>0</v>
      </c>
      <c r="I88" s="28">
        <v>0</v>
      </c>
      <c r="J88" s="28">
        <v>0</v>
      </c>
      <c r="K88" s="28">
        <v>0</v>
      </c>
      <c r="L88" s="28">
        <v>10</v>
      </c>
      <c r="M88" s="28">
        <v>26</v>
      </c>
      <c r="N88" s="62">
        <v>31</v>
      </c>
      <c r="O88" s="62"/>
      <c r="P88" s="28">
        <v>172</v>
      </c>
      <c r="U88" s="406" t="str">
        <f>IF(AND(Projekt!$BC$33=2,Projekt!$AV$33=2),"",INDEX(Klima!$C$1:$C$60000,1+25*W88,))</f>
        <v>Zürich SMA</v>
      </c>
      <c r="V88" s="64"/>
      <c r="W88" s="62">
        <v>1</v>
      </c>
      <c r="X88" s="1373" t="str">
        <f t="shared" si="0"/>
        <v>Zürich SMA</v>
      </c>
      <c r="Y88" s="495"/>
      <c r="Z88" s="495"/>
      <c r="AA88" s="495"/>
      <c r="AB88" s="495"/>
      <c r="AC88" s="495"/>
      <c r="AD88" s="495"/>
    </row>
    <row r="89" spans="1:30" hidden="1">
      <c r="A89" s="28" t="s">
        <v>1809</v>
      </c>
      <c r="B89" s="62" t="s">
        <v>1810</v>
      </c>
      <c r="C89" s="28">
        <v>529</v>
      </c>
      <c r="D89" s="28">
        <v>421</v>
      </c>
      <c r="E89" s="28">
        <v>369</v>
      </c>
      <c r="F89" s="28">
        <v>166</v>
      </c>
      <c r="G89" s="28">
        <v>33</v>
      </c>
      <c r="H89" s="28">
        <v>4</v>
      </c>
      <c r="I89" s="28">
        <v>0</v>
      </c>
      <c r="J89" s="28">
        <v>0</v>
      </c>
      <c r="K89" s="28">
        <v>2</v>
      </c>
      <c r="L89" s="28">
        <v>100</v>
      </c>
      <c r="M89" s="28">
        <v>334</v>
      </c>
      <c r="N89" s="62">
        <v>505</v>
      </c>
      <c r="O89" s="62"/>
      <c r="P89" s="28">
        <v>2463</v>
      </c>
      <c r="U89" s="406" t="str">
        <f>IF(AND(Projekt!$BC$33=2,Projekt!$AV$33=2),"",INDEX(Klima!$C$1:$C$60000,1+25*W89,))</f>
        <v>Zürich-Stadt</v>
      </c>
      <c r="V89" s="64"/>
      <c r="W89" s="62">
        <v>2</v>
      </c>
      <c r="X89" s="1373" t="str">
        <f t="shared" si="0"/>
        <v>Zürich-Stadt</v>
      </c>
      <c r="Y89" s="495"/>
      <c r="Z89" s="495"/>
      <c r="AA89" s="495"/>
      <c r="AB89" s="495"/>
      <c r="AC89" s="495"/>
      <c r="AD89" s="495"/>
    </row>
    <row r="90" spans="1:30" hidden="1">
      <c r="B90" s="62"/>
      <c r="N90" s="62"/>
      <c r="O90" s="62"/>
      <c r="U90" s="406">
        <f>IF(AND(Projekt!$BC$33=2,Projekt!$AV$33=2),"",INDEX(Klima!$C$1:$C$60000,1+25*W90,))</f>
        <v>0</v>
      </c>
      <c r="V90" s="496"/>
      <c r="W90" s="1380">
        <v>48</v>
      </c>
      <c r="X90" s="1373">
        <f t="shared" si="0"/>
        <v>0</v>
      </c>
      <c r="Y90" s="495"/>
      <c r="Z90" s="495"/>
      <c r="AA90" s="495"/>
      <c r="AB90" s="495"/>
      <c r="AC90" s="495"/>
      <c r="AD90" s="495"/>
    </row>
    <row r="91" spans="1:30" hidden="1">
      <c r="A91" s="28" t="s">
        <v>1886</v>
      </c>
      <c r="B91" s="62" t="s">
        <v>1808</v>
      </c>
      <c r="C91" s="28">
        <v>31</v>
      </c>
      <c r="D91" s="28">
        <v>28</v>
      </c>
      <c r="E91" s="28">
        <v>31</v>
      </c>
      <c r="F91" s="28">
        <v>21</v>
      </c>
      <c r="G91" s="28">
        <v>9</v>
      </c>
      <c r="H91" s="28">
        <v>1</v>
      </c>
      <c r="I91" s="28">
        <v>0</v>
      </c>
      <c r="J91" s="28">
        <v>0</v>
      </c>
      <c r="K91" s="28">
        <v>3</v>
      </c>
      <c r="L91" s="28">
        <v>19</v>
      </c>
      <c r="M91" s="28">
        <v>29</v>
      </c>
      <c r="N91" s="62">
        <v>31</v>
      </c>
      <c r="O91" s="62"/>
      <c r="Q91" s="28">
        <v>203</v>
      </c>
      <c r="U91" s="406">
        <f>IF(AND(Projekt!$BC$33=2,Projekt!$AV$33=2),"",INDEX(Klima!$C$1:$C$60000,1+25*W91,))</f>
        <v>0</v>
      </c>
      <c r="V91" s="496"/>
      <c r="W91" s="1380">
        <v>49</v>
      </c>
      <c r="X91" s="1373">
        <f t="shared" si="0"/>
        <v>0</v>
      </c>
      <c r="Y91" s="495"/>
      <c r="Z91" s="495"/>
      <c r="AA91" s="495"/>
      <c r="AB91" s="495"/>
      <c r="AC91" s="495"/>
      <c r="AD91" s="495"/>
    </row>
    <row r="92" spans="1:30" hidden="1">
      <c r="A92" s="28" t="s">
        <v>1887</v>
      </c>
      <c r="B92" s="62" t="s">
        <v>1810</v>
      </c>
      <c r="C92" s="28">
        <v>591</v>
      </c>
      <c r="D92" s="28">
        <v>481</v>
      </c>
      <c r="E92" s="28">
        <v>451</v>
      </c>
      <c r="F92" s="28">
        <v>250</v>
      </c>
      <c r="G92" s="28">
        <v>85</v>
      </c>
      <c r="H92" s="28">
        <v>11</v>
      </c>
      <c r="I92" s="28">
        <v>0</v>
      </c>
      <c r="J92" s="28">
        <v>0</v>
      </c>
      <c r="K92" s="28">
        <v>24</v>
      </c>
      <c r="L92" s="28">
        <v>202</v>
      </c>
      <c r="M92" s="28">
        <v>409</v>
      </c>
      <c r="N92" s="62">
        <v>568</v>
      </c>
      <c r="O92" s="62"/>
      <c r="Q92" s="28">
        <v>3072</v>
      </c>
      <c r="U92" s="406">
        <f>IF(AND(Projekt!$BC$33=2,Projekt!$AV$33=2),"",INDEX(Klima!$C$1:$C$60000,1+25*W92,))</f>
        <v>0</v>
      </c>
      <c r="V92" s="496"/>
      <c r="W92" s="1380">
        <v>50</v>
      </c>
      <c r="X92" s="1373">
        <f t="shared" si="0"/>
        <v>0</v>
      </c>
      <c r="Y92" s="495"/>
      <c r="Z92" s="495"/>
      <c r="AA92" s="495"/>
      <c r="AB92" s="495"/>
      <c r="AC92" s="495"/>
      <c r="AD92" s="495"/>
    </row>
    <row r="93" spans="1:30" hidden="1">
      <c r="B93" s="62"/>
      <c r="N93" s="62"/>
      <c r="O93" s="62"/>
      <c r="U93" s="406" t="str">
        <f>IF(AND(Projekt!$BC$33=2,Projekt!$AV$33=2),"",INDEX(Klima!$C$1:$C$60000,1+25*W93,))</f>
        <v>Adelboden 2028</v>
      </c>
      <c r="V93" s="496"/>
      <c r="W93" s="1380">
        <v>57</v>
      </c>
      <c r="X93" s="1373" t="str">
        <f t="shared" si="0"/>
        <v>Adelboden 2028</v>
      </c>
      <c r="Y93" s="495"/>
      <c r="Z93" s="495"/>
      <c r="AA93" s="495"/>
      <c r="AB93" s="495"/>
      <c r="AC93" s="495"/>
      <c r="AD93" s="495"/>
    </row>
    <row r="94" spans="1:30" hidden="1">
      <c r="A94" s="28" t="s">
        <v>1434</v>
      </c>
      <c r="B94" s="62" t="s">
        <v>1808</v>
      </c>
      <c r="C94" s="28">
        <v>31</v>
      </c>
      <c r="D94" s="28">
        <v>28</v>
      </c>
      <c r="E94" s="28">
        <v>31</v>
      </c>
      <c r="F94" s="28">
        <v>26</v>
      </c>
      <c r="G94" s="28">
        <v>16</v>
      </c>
      <c r="H94" s="28">
        <v>5</v>
      </c>
      <c r="I94" s="28">
        <v>2</v>
      </c>
      <c r="J94" s="28">
        <v>1</v>
      </c>
      <c r="K94" s="28">
        <v>8</v>
      </c>
      <c r="L94" s="28">
        <v>24</v>
      </c>
      <c r="M94" s="28">
        <v>30</v>
      </c>
      <c r="N94" s="62">
        <v>31</v>
      </c>
      <c r="O94" s="62"/>
      <c r="R94" s="28">
        <v>233</v>
      </c>
      <c r="U94" s="406" t="str">
        <f>IF(AND(Projekt!$BC$33=2,Projekt!$AV$33=2),"",INDEX(Klima!$C$1:$C$60000,1+25*W94,))</f>
        <v>Aigle 2028</v>
      </c>
      <c r="V94" s="496"/>
      <c r="W94" s="1380">
        <v>59</v>
      </c>
      <c r="X94" s="1373" t="str">
        <f t="shared" si="0"/>
        <v>Aigle 2028</v>
      </c>
      <c r="Y94" s="495"/>
      <c r="Z94" s="495"/>
      <c r="AA94" s="495"/>
      <c r="AB94" s="495"/>
      <c r="AC94" s="495"/>
      <c r="AD94" s="495"/>
    </row>
    <row r="95" spans="1:30" hidden="1">
      <c r="A95" s="28" t="s">
        <v>1435</v>
      </c>
      <c r="B95" s="62" t="s">
        <v>1810</v>
      </c>
      <c r="C95" s="28">
        <v>653</v>
      </c>
      <c r="D95" s="28">
        <v>538</v>
      </c>
      <c r="E95" s="28">
        <v>514</v>
      </c>
      <c r="F95" s="28">
        <v>337</v>
      </c>
      <c r="G95" s="28">
        <v>166</v>
      </c>
      <c r="H95" s="28">
        <v>48</v>
      </c>
      <c r="I95" s="28">
        <v>13</v>
      </c>
      <c r="J95" s="28">
        <v>12</v>
      </c>
      <c r="K95" s="28">
        <v>77</v>
      </c>
      <c r="L95" s="28">
        <v>285</v>
      </c>
      <c r="M95" s="28">
        <v>478</v>
      </c>
      <c r="N95" s="62">
        <v>632</v>
      </c>
      <c r="O95" s="62"/>
      <c r="R95" s="28">
        <v>3753</v>
      </c>
      <c r="U95" s="406" t="str">
        <f>IF(AND(Projekt!$BC$33=2,Projekt!$AV$33=2),"",INDEX(Klima!$C$1:$C$60000,1+25*W95,))</f>
        <v>Altdorf  2028</v>
      </c>
      <c r="V95" s="496"/>
      <c r="W95" s="1380">
        <v>82</v>
      </c>
      <c r="X95" s="1373" t="str">
        <f t="shared" si="0"/>
        <v>Altdorf  2028</v>
      </c>
      <c r="Y95" s="495"/>
      <c r="Z95" s="495"/>
      <c r="AA95" s="495"/>
      <c r="AB95" s="495"/>
      <c r="AC95" s="495"/>
      <c r="AD95" s="495"/>
    </row>
    <row r="96" spans="1:30" ht="8.1" hidden="1" customHeight="1">
      <c r="U96" s="406" t="str">
        <f>IF(AND(Projekt!$BC$33=2,Projekt!$AV$33=2),"",INDEX(Klima!$C$1:$C$60000,1+25*W96,))</f>
        <v>Basel-Binningen  2028</v>
      </c>
      <c r="V96" s="496"/>
      <c r="W96" s="1380">
        <v>71</v>
      </c>
      <c r="X96" s="1373" t="str">
        <f t="shared" si="0"/>
        <v>Basel-Binningen  2028</v>
      </c>
      <c r="Y96" s="495"/>
      <c r="Z96" s="495"/>
      <c r="AA96" s="495"/>
      <c r="AB96" s="495"/>
      <c r="AC96" s="495"/>
      <c r="AD96" s="495"/>
    </row>
    <row r="97" spans="1:31" ht="8.1" hidden="1" customHeight="1">
      <c r="U97" s="406" t="str">
        <f>IF(AND(Projekt!$BC$33=2,Projekt!$AV$33=2),"",INDEX(Klima!$C$1:$C$60000,1+25*W97,))</f>
        <v>Bern  Liebefeld  2028</v>
      </c>
      <c r="V97" s="496"/>
      <c r="W97" s="1380">
        <v>60</v>
      </c>
      <c r="X97" s="1373" t="str">
        <f t="shared" si="0"/>
        <v>Bern  Liebefeld  2028</v>
      </c>
      <c r="Y97" s="495"/>
      <c r="Z97" s="495"/>
      <c r="AA97" s="495"/>
      <c r="AB97" s="495"/>
      <c r="AC97" s="495"/>
      <c r="AD97" s="495"/>
    </row>
    <row r="98" spans="1:31" ht="8.1" hidden="1" customHeight="1">
      <c r="U98" s="406" t="str">
        <f>IF(AND(Projekt!$BC$33=2,Projekt!$AV$33=2),"",INDEX(Klima!$C$1:$C$60000,1+25*W98,))</f>
        <v>Buchs Aarau 2028</v>
      </c>
      <c r="V98" s="496"/>
      <c r="W98" s="1380">
        <v>61</v>
      </c>
      <c r="X98" s="1373" t="str">
        <f t="shared" si="0"/>
        <v>Buchs Aarau 2028</v>
      </c>
      <c r="Y98" s="495"/>
      <c r="Z98" s="495"/>
      <c r="AA98" s="495"/>
      <c r="AB98" s="495"/>
      <c r="AC98" s="495"/>
      <c r="AD98" s="495"/>
    </row>
    <row r="99" spans="1:31" ht="8.1" hidden="1" customHeight="1">
      <c r="U99" s="406" t="str">
        <f>IF(AND(Projekt!$BC$33=2,Projekt!$AV$33=2),"",INDEX(Klima!$C$1:$C$60000,1+25*W99,))</f>
        <v>Chur  2028</v>
      </c>
      <c r="V99" s="496"/>
      <c r="W99" s="1380">
        <v>85</v>
      </c>
      <c r="X99" s="1373" t="str">
        <f t="shared" si="0"/>
        <v>Chur  2028</v>
      </c>
      <c r="Y99" s="495"/>
      <c r="Z99" s="495"/>
      <c r="AA99" s="495"/>
      <c r="AB99" s="495"/>
      <c r="AC99" s="495"/>
      <c r="AD99" s="495"/>
    </row>
    <row r="100" spans="1:31" ht="8.1" hidden="1" customHeight="1">
      <c r="M100" s="37"/>
      <c r="U100" s="406" t="str">
        <f>IF(AND(Projekt!$BC$33=2,Projekt!$AV$33=2),"",INDEX(Klima!$C$1:$C$60000,1+25*W100,))</f>
        <v>Davos  2028</v>
      </c>
      <c r="V100" s="496"/>
      <c r="W100" s="1380">
        <v>54</v>
      </c>
      <c r="X100" s="1373" t="str">
        <f t="shared" si="0"/>
        <v>Davos  2028</v>
      </c>
      <c r="Y100" s="495"/>
      <c r="Z100" s="495"/>
      <c r="AA100" s="495"/>
      <c r="AB100" s="495"/>
      <c r="AC100" s="495"/>
      <c r="AD100" s="495"/>
    </row>
    <row r="101" spans="1:31" s="34" customFormat="1" ht="15.75" hidden="1">
      <c r="A101" s="61">
        <v>4</v>
      </c>
      <c r="B101" s="129"/>
      <c r="C101" s="129" t="s">
        <v>1440</v>
      </c>
      <c r="D101" s="129"/>
      <c r="E101" s="130"/>
      <c r="F101" s="130" t="s">
        <v>352</v>
      </c>
      <c r="G101" s="129">
        <v>1561</v>
      </c>
      <c r="H101" s="131" t="s">
        <v>353</v>
      </c>
      <c r="I101" s="129"/>
      <c r="J101" s="129"/>
      <c r="K101" s="130" t="s">
        <v>354</v>
      </c>
      <c r="L101" s="131">
        <v>9</v>
      </c>
      <c r="M101" s="129" t="s">
        <v>355</v>
      </c>
      <c r="N101" s="131" t="s">
        <v>1439</v>
      </c>
      <c r="O101" s="130"/>
      <c r="P101" s="130" t="s">
        <v>357</v>
      </c>
      <c r="Q101" s="129">
        <v>-14</v>
      </c>
      <c r="R101" s="131" t="s">
        <v>2324</v>
      </c>
      <c r="S101" s="28"/>
      <c r="U101" s="406" t="str">
        <f>IF(AND(Projekt!$BC$33=2,Projekt!$AV$33=2),"",INDEX(Klima!$C$1:$C$60000,1+25*W101,))</f>
        <v>Disentis  2028</v>
      </c>
      <c r="V101" s="496"/>
      <c r="W101" s="1380">
        <v>65</v>
      </c>
      <c r="X101" s="1373" t="str">
        <f t="shared" si="0"/>
        <v>Disentis  2028</v>
      </c>
      <c r="Y101" s="495"/>
      <c r="Z101" s="495"/>
      <c r="AA101" s="495"/>
      <c r="AB101" s="495"/>
      <c r="AC101" s="495"/>
      <c r="AD101" s="495"/>
      <c r="AE101" s="510"/>
    </row>
    <row r="102" spans="1:31" hidden="1">
      <c r="B102" s="62"/>
      <c r="N102" s="62"/>
      <c r="O102" s="62"/>
      <c r="P102" s="53" t="s">
        <v>358</v>
      </c>
      <c r="Q102" s="45"/>
      <c r="R102" s="45"/>
      <c r="U102" s="406" t="str">
        <f>IF(AND(Projekt!$BC$33=2,Projekt!$AV$33=2),"",INDEX(Klima!$C$1:$C$60000,1+25*W102,))</f>
        <v>Engelberg  2028</v>
      </c>
      <c r="V102" s="496"/>
      <c r="W102" s="1380">
        <v>93</v>
      </c>
      <c r="X102" s="1373" t="str">
        <f t="shared" si="0"/>
        <v>Engelberg  2028</v>
      </c>
      <c r="Y102" s="495"/>
      <c r="Z102" s="495"/>
      <c r="AA102" s="495"/>
      <c r="AB102" s="495"/>
      <c r="AC102" s="495"/>
      <c r="AD102" s="495"/>
    </row>
    <row r="103" spans="1:31" s="34" customFormat="1" hidden="1">
      <c r="B103" s="65"/>
      <c r="C103" s="95" t="s">
        <v>489</v>
      </c>
      <c r="D103" s="95" t="s">
        <v>490</v>
      </c>
      <c r="E103" s="95" t="s">
        <v>491</v>
      </c>
      <c r="F103" s="95" t="s">
        <v>492</v>
      </c>
      <c r="G103" s="95" t="s">
        <v>493</v>
      </c>
      <c r="H103" s="95" t="s">
        <v>494</v>
      </c>
      <c r="I103" s="95" t="s">
        <v>495</v>
      </c>
      <c r="J103" s="95" t="s">
        <v>496</v>
      </c>
      <c r="K103" s="95" t="s">
        <v>497</v>
      </c>
      <c r="L103" s="95" t="s">
        <v>498</v>
      </c>
      <c r="M103" s="95" t="s">
        <v>499</v>
      </c>
      <c r="N103" s="126" t="s">
        <v>500</v>
      </c>
      <c r="O103" s="126" t="s">
        <v>501</v>
      </c>
      <c r="P103" s="132" t="s">
        <v>359</v>
      </c>
      <c r="Q103" s="133" t="s">
        <v>1207</v>
      </c>
      <c r="R103" s="133" t="s">
        <v>1208</v>
      </c>
      <c r="S103" s="28"/>
      <c r="U103" s="406" t="str">
        <f>IF(AND(Projekt!$BC$33=2,Projekt!$AV$33=2),"",INDEX(Klima!$C$1:$C$60000,1+25*W103,))</f>
        <v>Genève  2028</v>
      </c>
      <c r="V103" s="496"/>
      <c r="W103" s="1380">
        <v>53</v>
      </c>
      <c r="X103" s="1373" t="str">
        <f t="shared" si="0"/>
        <v>Genève  2028</v>
      </c>
      <c r="Y103" s="495"/>
      <c r="Z103" s="495"/>
      <c r="AA103" s="495"/>
      <c r="AB103" s="495"/>
      <c r="AC103" s="495"/>
      <c r="AD103" s="495"/>
      <c r="AE103" s="510"/>
    </row>
    <row r="104" spans="1:31" hidden="1">
      <c r="B104" s="62"/>
      <c r="N104" s="62"/>
      <c r="O104" s="62"/>
      <c r="U104" s="406" t="str">
        <f>IF(AND(Projekt!$BC$33=2,Projekt!$AV$33=2),"",INDEX(Klima!$C$1:$C$60000,1+25*W104,))</f>
        <v>Glarus  2028</v>
      </c>
      <c r="V104" s="496"/>
      <c r="W104" s="1380">
        <v>66</v>
      </c>
      <c r="X104" s="1373" t="str">
        <f t="shared" si="0"/>
        <v>Glarus  2028</v>
      </c>
      <c r="Y104" s="495"/>
      <c r="Z104" s="495"/>
      <c r="AA104" s="495"/>
      <c r="AB104" s="495"/>
      <c r="AC104" s="495"/>
      <c r="AD104" s="495"/>
    </row>
    <row r="105" spans="1:31" hidden="1">
      <c r="A105" s="28" t="s">
        <v>1209</v>
      </c>
      <c r="B105" s="62" t="s">
        <v>2324</v>
      </c>
      <c r="C105" s="28">
        <v>-6.2</v>
      </c>
      <c r="D105" s="28">
        <v>-5.4</v>
      </c>
      <c r="E105" s="28">
        <v>-2.6</v>
      </c>
      <c r="F105" s="28">
        <v>2.4</v>
      </c>
      <c r="G105" s="28">
        <v>6.7</v>
      </c>
      <c r="H105" s="28">
        <v>10.6</v>
      </c>
      <c r="I105" s="28">
        <v>12.3</v>
      </c>
      <c r="J105" s="28">
        <v>11.4</v>
      </c>
      <c r="K105" s="28">
        <v>9.3000000000000007</v>
      </c>
      <c r="L105" s="28">
        <v>5.2</v>
      </c>
      <c r="M105" s="28">
        <v>-0.6</v>
      </c>
      <c r="N105" s="62">
        <v>-6</v>
      </c>
      <c r="O105" s="62">
        <v>3.1</v>
      </c>
      <c r="P105" s="28">
        <v>0.2</v>
      </c>
      <c r="Q105" s="28">
        <v>1.3</v>
      </c>
      <c r="R105" s="28">
        <v>2.2000000000000002</v>
      </c>
      <c r="U105" s="406" t="str">
        <f>IF(AND(Projekt!$BC$33=2,Projekt!$AV$33=2),"",INDEX(Klima!$C$1:$C$60000,1+25*W105,))</f>
        <v>Gr. St. Bernhard  2028</v>
      </c>
      <c r="V105" s="496"/>
      <c r="W105" s="1380">
        <v>87</v>
      </c>
      <c r="X105" s="1373" t="str">
        <f t="shared" si="0"/>
        <v>Gr. St. Bernhard  2028</v>
      </c>
      <c r="Y105" s="495"/>
      <c r="Z105" s="495"/>
      <c r="AA105" s="495"/>
      <c r="AB105" s="495"/>
      <c r="AC105" s="495"/>
      <c r="AD105" s="495"/>
    </row>
    <row r="106" spans="1:31" hidden="1">
      <c r="B106" s="62"/>
      <c r="N106" s="62"/>
      <c r="O106" s="62"/>
      <c r="U106" s="406" t="str">
        <f>IF(AND(Projekt!$BC$33=2,Projekt!$AV$33=2),"",INDEX(Klima!$C$1:$C$60000,1+25*W106,))</f>
        <v>Güttingen 2028</v>
      </c>
      <c r="V106" s="496"/>
      <c r="W106" s="1380">
        <v>63</v>
      </c>
      <c r="X106" s="1373" t="str">
        <f t="shared" si="0"/>
        <v>Güttingen 2028</v>
      </c>
      <c r="Y106" s="495"/>
      <c r="Z106" s="495"/>
      <c r="AA106" s="495"/>
      <c r="AB106" s="495"/>
      <c r="AC106" s="495"/>
      <c r="AD106" s="495"/>
    </row>
    <row r="107" spans="1:31" ht="13.15" hidden="1" customHeight="1">
      <c r="A107" s="28" t="s">
        <v>1210</v>
      </c>
      <c r="B107" s="62" t="s">
        <v>250</v>
      </c>
      <c r="C107" s="28">
        <v>174</v>
      </c>
      <c r="D107" s="28">
        <v>247</v>
      </c>
      <c r="E107" s="28">
        <v>428</v>
      </c>
      <c r="F107" s="28">
        <v>543</v>
      </c>
      <c r="G107" s="28">
        <v>615</v>
      </c>
      <c r="H107" s="28">
        <v>596</v>
      </c>
      <c r="I107" s="28">
        <v>633</v>
      </c>
      <c r="J107" s="28">
        <v>548</v>
      </c>
      <c r="K107" s="28">
        <v>445</v>
      </c>
      <c r="L107" s="28">
        <v>339</v>
      </c>
      <c r="M107" s="28">
        <v>184</v>
      </c>
      <c r="N107" s="62">
        <v>155</v>
      </c>
      <c r="O107" s="62">
        <v>4907</v>
      </c>
      <c r="P107" s="28">
        <v>3134</v>
      </c>
      <c r="Q107" s="28">
        <v>3746</v>
      </c>
      <c r="R107" s="28">
        <v>4263</v>
      </c>
      <c r="U107" s="406" t="str">
        <f>IF(AND(Projekt!$BC$33=2,Projekt!$AV$33=2),"",INDEX(Klima!$C$1:$C$60000,1+25*W107,))</f>
        <v>Interlaken 2028</v>
      </c>
      <c r="V107" s="496"/>
      <c r="W107" s="1380">
        <v>64</v>
      </c>
      <c r="X107" s="1373" t="str">
        <f t="shared" si="0"/>
        <v>Interlaken 2028</v>
      </c>
      <c r="Y107" s="495"/>
      <c r="Z107" s="495"/>
      <c r="AA107" s="495"/>
      <c r="AB107" s="495"/>
      <c r="AC107" s="495"/>
      <c r="AD107" s="495"/>
    </row>
    <row r="108" spans="1:31" ht="13.15" hidden="1" customHeight="1">
      <c r="A108" s="28" t="s">
        <v>1211</v>
      </c>
      <c r="B108" s="62" t="s">
        <v>250</v>
      </c>
      <c r="C108" s="28">
        <v>277</v>
      </c>
      <c r="D108" s="28">
        <v>324</v>
      </c>
      <c r="E108" s="28">
        <v>402</v>
      </c>
      <c r="F108" s="28">
        <v>380</v>
      </c>
      <c r="G108" s="28">
        <v>326</v>
      </c>
      <c r="H108" s="28">
        <v>280</v>
      </c>
      <c r="I108" s="28">
        <v>310</v>
      </c>
      <c r="J108" s="28">
        <v>351</v>
      </c>
      <c r="K108" s="28">
        <v>401</v>
      </c>
      <c r="L108" s="28">
        <v>407</v>
      </c>
      <c r="M108" s="28">
        <v>294</v>
      </c>
      <c r="N108" s="62">
        <v>290</v>
      </c>
      <c r="O108" s="62">
        <v>4042</v>
      </c>
      <c r="P108" s="28">
        <v>2987</v>
      </c>
      <c r="Q108" s="28">
        <v>3386</v>
      </c>
      <c r="R108" s="28">
        <v>3694</v>
      </c>
      <c r="U108" s="406" t="str">
        <f>IF(AND(Projekt!$BC$33=2,Projekt!$AV$33=2),"",INDEX(Klima!$C$1:$C$60000,1+25*W108,))</f>
        <v>La Chaux-de-Fonds  2028</v>
      </c>
      <c r="V108" s="496"/>
      <c r="W108" s="1380">
        <v>80</v>
      </c>
      <c r="X108" s="1373" t="str">
        <f t="shared" ref="X108:X139" si="1">U108</f>
        <v>La Chaux-de-Fonds  2028</v>
      </c>
      <c r="Y108" s="495"/>
      <c r="Z108" s="495"/>
      <c r="AA108" s="495"/>
      <c r="AB108" s="495"/>
      <c r="AC108" s="495"/>
      <c r="AD108" s="495"/>
    </row>
    <row r="109" spans="1:31" ht="13.15" hidden="1" customHeight="1">
      <c r="A109" s="28" t="s">
        <v>1212</v>
      </c>
      <c r="B109" s="62" t="s">
        <v>250</v>
      </c>
      <c r="C109" s="28">
        <v>106</v>
      </c>
      <c r="D109" s="28">
        <v>143</v>
      </c>
      <c r="E109" s="28">
        <v>244</v>
      </c>
      <c r="F109" s="28">
        <v>293</v>
      </c>
      <c r="G109" s="28">
        <v>326</v>
      </c>
      <c r="H109" s="28">
        <v>310</v>
      </c>
      <c r="I109" s="28">
        <v>323</v>
      </c>
      <c r="J109" s="28">
        <v>296</v>
      </c>
      <c r="K109" s="28">
        <v>245</v>
      </c>
      <c r="L109" s="28">
        <v>190</v>
      </c>
      <c r="M109" s="28">
        <v>109</v>
      </c>
      <c r="N109" s="62">
        <v>101</v>
      </c>
      <c r="O109" s="62">
        <v>2686</v>
      </c>
      <c r="P109" s="28">
        <v>1750</v>
      </c>
      <c r="Q109" s="28">
        <v>2077</v>
      </c>
      <c r="R109" s="28">
        <v>2350</v>
      </c>
      <c r="U109" s="406" t="str">
        <f>IF(AND(Projekt!$BC$33=2,Projekt!$AV$33=2),"",INDEX(Klima!$C$1:$C$60000,1+25*W109,))</f>
        <v>La Frêtaz  2028</v>
      </c>
      <c r="V109" s="496"/>
      <c r="W109" s="1380">
        <v>67</v>
      </c>
      <c r="X109" s="1373" t="str">
        <f t="shared" si="1"/>
        <v>La Frêtaz  2028</v>
      </c>
      <c r="Y109" s="495"/>
      <c r="Z109" s="495"/>
      <c r="AA109" s="495"/>
      <c r="AB109" s="495"/>
      <c r="AC109" s="495"/>
      <c r="AD109" s="495"/>
    </row>
    <row r="110" spans="1:31" ht="13.15" hidden="1" customHeight="1">
      <c r="A110" s="28" t="s">
        <v>1213</v>
      </c>
      <c r="B110" s="62" t="s">
        <v>250</v>
      </c>
      <c r="C110" s="28">
        <v>124</v>
      </c>
      <c r="D110" s="28">
        <v>163</v>
      </c>
      <c r="E110" s="28">
        <v>244</v>
      </c>
      <c r="F110" s="28">
        <v>299</v>
      </c>
      <c r="G110" s="28">
        <v>320</v>
      </c>
      <c r="H110" s="28">
        <v>298</v>
      </c>
      <c r="I110" s="28">
        <v>323</v>
      </c>
      <c r="J110" s="28">
        <v>296</v>
      </c>
      <c r="K110" s="28">
        <v>263</v>
      </c>
      <c r="L110" s="28">
        <v>207</v>
      </c>
      <c r="M110" s="28">
        <v>123</v>
      </c>
      <c r="N110" s="62">
        <v>116</v>
      </c>
      <c r="O110" s="62">
        <v>2776</v>
      </c>
      <c r="P110" s="28">
        <v>1838</v>
      </c>
      <c r="Q110" s="28">
        <v>2168</v>
      </c>
      <c r="R110" s="28">
        <v>2442</v>
      </c>
      <c r="U110" s="406" t="str">
        <f>IF(AND(Projekt!$BC$33=2,Projekt!$AV$33=2),"",INDEX(Klima!$C$1:$C$60000,1+25*W110,))</f>
        <v>Locarno-Monti  2028</v>
      </c>
      <c r="V110" s="496"/>
      <c r="W110" s="444">
        <v>55</v>
      </c>
      <c r="X110" s="1373" t="str">
        <f t="shared" si="1"/>
        <v>Locarno-Monti  2028</v>
      </c>
      <c r="Y110" s="495"/>
      <c r="Z110" s="495"/>
      <c r="AA110" s="495"/>
      <c r="AB110" s="495"/>
      <c r="AC110" s="495"/>
      <c r="AD110" s="495"/>
    </row>
    <row r="111" spans="1:31" ht="13.15" hidden="1" customHeight="1">
      <c r="A111" s="28" t="s">
        <v>1214</v>
      </c>
      <c r="B111" s="62" t="s">
        <v>250</v>
      </c>
      <c r="C111" s="28">
        <v>61</v>
      </c>
      <c r="D111" s="28">
        <v>72</v>
      </c>
      <c r="E111" s="28">
        <v>111</v>
      </c>
      <c r="F111" s="28">
        <v>130</v>
      </c>
      <c r="G111" s="28">
        <v>172</v>
      </c>
      <c r="H111" s="28">
        <v>167</v>
      </c>
      <c r="I111" s="28">
        <v>165</v>
      </c>
      <c r="J111" s="28">
        <v>121</v>
      </c>
      <c r="K111" s="28">
        <v>102</v>
      </c>
      <c r="L111" s="28">
        <v>92</v>
      </c>
      <c r="M111" s="28">
        <v>57</v>
      </c>
      <c r="N111" s="62">
        <v>57</v>
      </c>
      <c r="O111" s="62">
        <v>1307</v>
      </c>
      <c r="P111" s="28">
        <v>858</v>
      </c>
      <c r="Q111" s="28">
        <v>1013</v>
      </c>
      <c r="R111" s="28">
        <v>1144</v>
      </c>
      <c r="U111" s="406" t="str">
        <f>IF(AND(Projekt!$BC$33=2,Projekt!$AV$33=2),"",INDEX(Klima!$C$1:$C$60000,1+25*W111,))</f>
        <v>Lugano  2028</v>
      </c>
      <c r="V111" s="194"/>
      <c r="W111" s="444">
        <v>68</v>
      </c>
      <c r="X111" s="1373" t="str">
        <f t="shared" si="1"/>
        <v>Lugano  2028</v>
      </c>
    </row>
    <row r="112" spans="1:31" hidden="1">
      <c r="B112" s="62"/>
      <c r="N112" s="62"/>
      <c r="O112" s="62"/>
      <c r="U112" s="406" t="str">
        <f>IF(AND(Projekt!$BC$33=2,Projekt!$AV$33=2),"",INDEX(Klima!$C$1:$C$60000,1+25*W112,))</f>
        <v>Luzern  2028</v>
      </c>
      <c r="V112" s="194"/>
      <c r="W112" s="444">
        <v>62</v>
      </c>
      <c r="X112" s="1373" t="str">
        <f t="shared" si="1"/>
        <v>Luzern  2028</v>
      </c>
    </row>
    <row r="113" spans="1:31" hidden="1">
      <c r="A113" s="28" t="s">
        <v>1215</v>
      </c>
      <c r="B113" s="62" t="s">
        <v>1808</v>
      </c>
      <c r="C113" s="28">
        <v>31</v>
      </c>
      <c r="D113" s="28">
        <v>28</v>
      </c>
      <c r="E113" s="28">
        <v>31</v>
      </c>
      <c r="F113" s="28">
        <v>30</v>
      </c>
      <c r="G113" s="28">
        <v>25</v>
      </c>
      <c r="H113" s="28">
        <v>13</v>
      </c>
      <c r="I113" s="28">
        <v>8</v>
      </c>
      <c r="J113" s="28">
        <v>10</v>
      </c>
      <c r="K113" s="28">
        <v>16</v>
      </c>
      <c r="L113" s="28">
        <v>29</v>
      </c>
      <c r="M113" s="28">
        <v>30</v>
      </c>
      <c r="N113" s="62">
        <v>31</v>
      </c>
      <c r="O113" s="62"/>
      <c r="P113" s="28">
        <v>282</v>
      </c>
      <c r="U113" s="406" t="str">
        <f>IF(AND(Projekt!$BC$33=2,Projekt!$AV$33=2),"",INDEX(Klima!$C$1:$C$60000,1+25*W113,))</f>
        <v>Magadino  2028</v>
      </c>
      <c r="V113" s="194"/>
      <c r="W113" s="444">
        <v>69</v>
      </c>
      <c r="X113" s="1373" t="str">
        <f t="shared" si="1"/>
        <v>Magadino  2028</v>
      </c>
    </row>
    <row r="114" spans="1:31" hidden="1">
      <c r="A114" s="28" t="s">
        <v>1809</v>
      </c>
      <c r="B114" s="62" t="s">
        <v>1810</v>
      </c>
      <c r="C114" s="28">
        <v>751</v>
      </c>
      <c r="D114" s="28">
        <v>656</v>
      </c>
      <c r="E114" s="28">
        <v>638</v>
      </c>
      <c r="F114" s="28">
        <v>467</v>
      </c>
      <c r="G114" s="28">
        <v>315</v>
      </c>
      <c r="H114" s="28">
        <v>144</v>
      </c>
      <c r="I114" s="28">
        <v>85</v>
      </c>
      <c r="J114" s="28">
        <v>106</v>
      </c>
      <c r="K114" s="28">
        <v>181</v>
      </c>
      <c r="L114" s="28">
        <v>380</v>
      </c>
      <c r="M114" s="28">
        <v>558</v>
      </c>
      <c r="N114" s="62">
        <v>745</v>
      </c>
      <c r="O114" s="62"/>
      <c r="P114" s="28">
        <v>5026</v>
      </c>
      <c r="U114" s="406" t="str">
        <f>IF(AND(Projekt!$BC$33=2,Projekt!$AV$33=2),"",INDEX(Klima!$C$1:$C$60000,1+25*W114,))</f>
        <v>Montana  2028</v>
      </c>
      <c r="V114" s="194"/>
      <c r="W114" s="444">
        <v>78</v>
      </c>
      <c r="X114" s="1373" t="str">
        <f t="shared" si="1"/>
        <v>Montana  2028</v>
      </c>
    </row>
    <row r="115" spans="1:31" hidden="1">
      <c r="B115" s="62"/>
      <c r="N115" s="62"/>
      <c r="O115" s="62"/>
      <c r="U115" s="406" t="str">
        <f>IF(AND(Projekt!$BC$33=2,Projekt!$AV$33=2),"",INDEX(Klima!$C$1:$C$60000,1+25*W115,))</f>
        <v>Neuchâtel  2028</v>
      </c>
      <c r="V115" s="194"/>
      <c r="W115" s="444">
        <v>81</v>
      </c>
      <c r="X115" s="1373" t="str">
        <f t="shared" si="1"/>
        <v>Neuchâtel  2028</v>
      </c>
    </row>
    <row r="116" spans="1:31" hidden="1">
      <c r="A116" s="28" t="s">
        <v>1886</v>
      </c>
      <c r="B116" s="62" t="s">
        <v>1808</v>
      </c>
      <c r="C116" s="28">
        <v>31</v>
      </c>
      <c r="D116" s="28">
        <v>28</v>
      </c>
      <c r="E116" s="28">
        <v>31</v>
      </c>
      <c r="F116" s="28">
        <v>30</v>
      </c>
      <c r="G116" s="28">
        <v>29</v>
      </c>
      <c r="H116" s="28">
        <v>18</v>
      </c>
      <c r="I116" s="28">
        <v>14</v>
      </c>
      <c r="J116" s="28">
        <v>18</v>
      </c>
      <c r="K116" s="28">
        <v>24</v>
      </c>
      <c r="L116" s="28">
        <v>31</v>
      </c>
      <c r="M116" s="28">
        <v>30</v>
      </c>
      <c r="N116" s="62">
        <v>31</v>
      </c>
      <c r="O116" s="62"/>
      <c r="Q116" s="28">
        <v>315</v>
      </c>
      <c r="U116" s="406" t="str">
        <f>IF(AND(Projekt!$BC$33=2,Projekt!$AV$33=2),"",INDEX(Klima!$C$1:$C$60000,1+25*W116,))</f>
        <v>Payerne  2028</v>
      </c>
      <c r="V116" s="194"/>
      <c r="W116" s="444">
        <v>70</v>
      </c>
      <c r="X116" s="1373" t="str">
        <f t="shared" si="1"/>
        <v>Payerne  2028</v>
      </c>
    </row>
    <row r="117" spans="1:31" hidden="1">
      <c r="A117" s="28" t="s">
        <v>1887</v>
      </c>
      <c r="B117" s="62" t="s">
        <v>1810</v>
      </c>
      <c r="C117" s="28">
        <v>813</v>
      </c>
      <c r="D117" s="28">
        <v>712</v>
      </c>
      <c r="E117" s="28">
        <v>700</v>
      </c>
      <c r="F117" s="28">
        <v>528</v>
      </c>
      <c r="G117" s="28">
        <v>401</v>
      </c>
      <c r="H117" s="28">
        <v>214</v>
      </c>
      <c r="I117" s="28">
        <v>151</v>
      </c>
      <c r="J117" s="28">
        <v>195</v>
      </c>
      <c r="K117" s="28">
        <v>282</v>
      </c>
      <c r="L117" s="28">
        <v>460</v>
      </c>
      <c r="M117" s="28">
        <v>618</v>
      </c>
      <c r="N117" s="62">
        <v>807</v>
      </c>
      <c r="O117" s="62"/>
      <c r="Q117" s="28">
        <v>5884</v>
      </c>
      <c r="U117" s="406" t="str">
        <f>IF(AND(Projekt!$BC$33=2,Projekt!$AV$33=2),"",INDEX(Klima!$C$1:$C$60000,1+25*W117,))</f>
        <v>Piotta  2028</v>
      </c>
      <c r="V117" s="194"/>
      <c r="W117" s="444">
        <v>72</v>
      </c>
      <c r="X117" s="1373" t="str">
        <f t="shared" si="1"/>
        <v>Piotta  2028</v>
      </c>
    </row>
    <row r="118" spans="1:31" hidden="1">
      <c r="B118" s="62"/>
      <c r="N118" s="62"/>
      <c r="O118" s="62"/>
      <c r="U118" s="406" t="str">
        <f>IF(AND(Projekt!$BC$33=2,Projekt!$AV$33=2),"",INDEX(Klima!$C$1:$C$60000,1+25*W118,))</f>
        <v>Pully  2028</v>
      </c>
      <c r="V118" s="194"/>
      <c r="W118" s="444">
        <v>73</v>
      </c>
      <c r="X118" s="1373" t="str">
        <f t="shared" si="1"/>
        <v>Pully  2028</v>
      </c>
    </row>
    <row r="119" spans="1:31" hidden="1">
      <c r="A119" s="28" t="s">
        <v>1434</v>
      </c>
      <c r="B119" s="62" t="s">
        <v>1808</v>
      </c>
      <c r="C119" s="28">
        <v>31</v>
      </c>
      <c r="D119" s="28">
        <v>28</v>
      </c>
      <c r="E119" s="28">
        <v>31</v>
      </c>
      <c r="F119" s="28">
        <v>30</v>
      </c>
      <c r="G119" s="28">
        <v>31</v>
      </c>
      <c r="H119" s="28">
        <v>24</v>
      </c>
      <c r="I119" s="28">
        <v>20</v>
      </c>
      <c r="J119" s="28">
        <v>23</v>
      </c>
      <c r="K119" s="28">
        <v>29</v>
      </c>
      <c r="L119" s="28">
        <v>31</v>
      </c>
      <c r="M119" s="28">
        <v>30</v>
      </c>
      <c r="N119" s="62">
        <v>31</v>
      </c>
      <c r="O119" s="62"/>
      <c r="R119" s="28">
        <v>339</v>
      </c>
      <c r="U119" s="406" t="str">
        <f>IF(AND(Projekt!$BC$33=2,Projekt!$AV$33=2),"",INDEX(Klima!$C$1:$C$60000,1+25*W119,))</f>
        <v>Robbia  2028</v>
      </c>
      <c r="V119" s="194"/>
      <c r="W119" s="444">
        <v>91</v>
      </c>
      <c r="X119" s="1373" t="str">
        <f t="shared" si="1"/>
        <v>Robbia  2028</v>
      </c>
    </row>
    <row r="120" spans="1:31" hidden="1">
      <c r="A120" s="28" t="s">
        <v>1435</v>
      </c>
      <c r="B120" s="62" t="s">
        <v>1810</v>
      </c>
      <c r="C120" s="28">
        <v>875</v>
      </c>
      <c r="D120" s="28">
        <v>768</v>
      </c>
      <c r="E120" s="28">
        <v>762</v>
      </c>
      <c r="F120" s="28">
        <v>588</v>
      </c>
      <c r="G120" s="28">
        <v>471</v>
      </c>
      <c r="H120" s="28">
        <v>302</v>
      </c>
      <c r="I120" s="28">
        <v>237</v>
      </c>
      <c r="J120" s="28">
        <v>281</v>
      </c>
      <c r="K120" s="28">
        <v>373</v>
      </c>
      <c r="L120" s="28">
        <v>522</v>
      </c>
      <c r="M120" s="28">
        <v>678</v>
      </c>
      <c r="N120" s="62">
        <v>869</v>
      </c>
      <c r="O120" s="62"/>
      <c r="R120" s="28">
        <v>6726</v>
      </c>
      <c r="U120" s="406" t="str">
        <f>IF(AND(Projekt!$BC$33=2,Projekt!$AV$33=2),"",INDEX(Klima!$C$1:$C$60000,1+25*W120,))</f>
        <v>Rünenberg  2028</v>
      </c>
      <c r="V120" s="194"/>
      <c r="W120" s="444">
        <v>74</v>
      </c>
      <c r="X120" s="1373" t="str">
        <f t="shared" si="1"/>
        <v>Rünenberg  2028</v>
      </c>
    </row>
    <row r="121" spans="1:31" ht="8.1" hidden="1" customHeight="1">
      <c r="U121" s="406" t="str">
        <f>IF(AND(Projekt!$BC$33=2,Projekt!$AV$33=2),"",INDEX(Klima!$C$1:$C$60000,1+25*W121,))</f>
        <v>Samedan  2028</v>
      </c>
      <c r="V121" s="194"/>
      <c r="W121" s="444">
        <v>90</v>
      </c>
      <c r="X121" s="1373" t="str">
        <f t="shared" si="1"/>
        <v>Samedan  2028</v>
      </c>
    </row>
    <row r="122" spans="1:31" ht="8.1" hidden="1" customHeight="1">
      <c r="U122" s="406" t="str">
        <f>IF(AND(Projekt!$BC$33=2,Projekt!$AV$33=2),"",INDEX(Klima!$C$1:$C$60000,1+25*W122,))</f>
        <v>San Bernardino 2028</v>
      </c>
      <c r="V122" s="194"/>
      <c r="W122" s="444">
        <v>77</v>
      </c>
      <c r="X122" s="1373" t="str">
        <f t="shared" si="1"/>
        <v>San Bernardino 2028</v>
      </c>
    </row>
    <row r="123" spans="1:31" ht="8.1" hidden="1" customHeight="1">
      <c r="U123" s="406" t="str">
        <f>IF(AND(Projekt!$BC$33=2,Projekt!$AV$33=2),"",INDEX(Klima!$C$1:$C$60000,1+25*W123,))</f>
        <v>St. Gallen  2028</v>
      </c>
      <c r="V123" s="194"/>
      <c r="W123" s="444">
        <v>56</v>
      </c>
      <c r="X123" s="1373" t="str">
        <f t="shared" si="1"/>
        <v>St. Gallen  2028</v>
      </c>
    </row>
    <row r="124" spans="1:31" ht="8.1" hidden="1" customHeight="1">
      <c r="U124" s="406" t="str">
        <f>IF(AND(Projekt!$BC$33=2,Projekt!$AV$33=2),"",INDEX(Klima!$C$1:$C$60000,1+25*W124,))</f>
        <v>Schaffhausen  2028</v>
      </c>
      <c r="V124" s="194"/>
      <c r="W124" s="444">
        <v>58</v>
      </c>
      <c r="X124" s="1373" t="str">
        <f t="shared" si="1"/>
        <v>Schaffhausen  2028</v>
      </c>
    </row>
    <row r="125" spans="1:31" ht="8.1" hidden="1" customHeight="1">
      <c r="M125" s="37"/>
      <c r="U125" s="406" t="str">
        <f>IF(AND(Projekt!$BC$33=2,Projekt!$AV$33=2),"",INDEX(Klima!$C$1:$C$60000,1+25*W125,))</f>
        <v>Schuls  2028</v>
      </c>
      <c r="V125" s="194"/>
      <c r="W125" s="444">
        <v>89</v>
      </c>
      <c r="X125" s="1373" t="str">
        <f t="shared" si="1"/>
        <v>Schuls  2028</v>
      </c>
    </row>
    <row r="126" spans="1:31" s="34" customFormat="1" ht="15.75" hidden="1">
      <c r="A126" s="61">
        <v>5</v>
      </c>
      <c r="B126" s="129"/>
      <c r="C126" s="129" t="s">
        <v>1441</v>
      </c>
      <c r="D126" s="129"/>
      <c r="E126" s="130"/>
      <c r="F126" s="130" t="s">
        <v>352</v>
      </c>
      <c r="G126" s="129">
        <v>379</v>
      </c>
      <c r="H126" s="131" t="s">
        <v>353</v>
      </c>
      <c r="I126" s="129"/>
      <c r="J126" s="129"/>
      <c r="K126" s="130" t="s">
        <v>354</v>
      </c>
      <c r="L126" s="131">
        <v>12</v>
      </c>
      <c r="M126" s="129" t="s">
        <v>355</v>
      </c>
      <c r="N126" s="131" t="s">
        <v>356</v>
      </c>
      <c r="O126" s="130"/>
      <c r="P126" s="130" t="s">
        <v>357</v>
      </c>
      <c r="Q126" s="129">
        <v>-2</v>
      </c>
      <c r="R126" s="131" t="s">
        <v>2324</v>
      </c>
      <c r="S126" s="28"/>
      <c r="U126" s="406" t="str">
        <f>IF(AND(Projekt!$BC$33=2,Projekt!$AV$33=2),"",INDEX(Klima!$C$1:$C$60000,1+25*W126,))</f>
        <v>Sion  2028</v>
      </c>
      <c r="V126" s="245"/>
      <c r="W126" s="444">
        <v>76</v>
      </c>
      <c r="X126" s="1373" t="str">
        <f t="shared" si="1"/>
        <v>Sion  2028</v>
      </c>
      <c r="Y126" s="368"/>
      <c r="Z126" s="368"/>
      <c r="AA126" s="368"/>
      <c r="AB126" s="368"/>
      <c r="AC126" s="368"/>
      <c r="AD126" s="368"/>
      <c r="AE126" s="510"/>
    </row>
    <row r="127" spans="1:31" hidden="1">
      <c r="B127" s="62"/>
      <c r="N127" s="62"/>
      <c r="O127" s="62"/>
      <c r="P127" s="53" t="s">
        <v>358</v>
      </c>
      <c r="Q127" s="45"/>
      <c r="R127" s="45"/>
      <c r="U127" s="406" t="str">
        <f>IF(AND(Projekt!$BC$33=2,Projekt!$AV$33=2),"",INDEX(Klima!$C$1:$C$60000,1+25*W127,))</f>
        <v>Ulrichen 2028</v>
      </c>
      <c r="V127" s="194"/>
      <c r="W127" s="444">
        <v>79</v>
      </c>
      <c r="X127" s="1373" t="str">
        <f t="shared" si="1"/>
        <v>Ulrichen 2028</v>
      </c>
    </row>
    <row r="128" spans="1:31" s="34" customFormat="1" hidden="1">
      <c r="B128" s="65"/>
      <c r="C128" s="95" t="s">
        <v>489</v>
      </c>
      <c r="D128" s="95" t="s">
        <v>490</v>
      </c>
      <c r="E128" s="95" t="s">
        <v>491</v>
      </c>
      <c r="F128" s="95" t="s">
        <v>492</v>
      </c>
      <c r="G128" s="95" t="s">
        <v>493</v>
      </c>
      <c r="H128" s="95" t="s">
        <v>494</v>
      </c>
      <c r="I128" s="95" t="s">
        <v>495</v>
      </c>
      <c r="J128" s="95" t="s">
        <v>496</v>
      </c>
      <c r="K128" s="95" t="s">
        <v>497</v>
      </c>
      <c r="L128" s="95" t="s">
        <v>498</v>
      </c>
      <c r="M128" s="95" t="s">
        <v>499</v>
      </c>
      <c r="N128" s="126" t="s">
        <v>500</v>
      </c>
      <c r="O128" s="126" t="s">
        <v>501</v>
      </c>
      <c r="P128" s="132" t="s">
        <v>359</v>
      </c>
      <c r="Q128" s="133" t="s">
        <v>1207</v>
      </c>
      <c r="R128" s="133" t="s">
        <v>1208</v>
      </c>
      <c r="S128" s="28"/>
      <c r="U128" s="406" t="str">
        <f>IF(AND(Projekt!$BC$33=2,Projekt!$AV$33=2),"",INDEX(Klima!$C$1:$C$60000,1+25*W128,))</f>
        <v>Vaduz  2028</v>
      </c>
      <c r="V128" s="245"/>
      <c r="W128" s="444">
        <v>83</v>
      </c>
      <c r="X128" s="1373" t="str">
        <f t="shared" si="1"/>
        <v>Vaduz  2028</v>
      </c>
      <c r="Y128" s="368"/>
      <c r="Z128" s="368"/>
      <c r="AA128" s="368"/>
      <c r="AB128" s="368"/>
      <c r="AC128" s="368"/>
      <c r="AD128" s="368"/>
      <c r="AE128" s="510"/>
    </row>
    <row r="129" spans="1:24" hidden="1">
      <c r="B129" s="62"/>
      <c r="N129" s="62"/>
      <c r="O129" s="62"/>
      <c r="U129" s="406" t="str">
        <f>IF(AND(Projekt!$BC$33=2,Projekt!$AV$33=2),"",INDEX(Klima!$C$1:$C$60000,1+25*W129,))</f>
        <v>Wynau  2028</v>
      </c>
      <c r="V129" s="194"/>
      <c r="W129" s="444">
        <v>84</v>
      </c>
      <c r="X129" s="1373" t="str">
        <f t="shared" si="1"/>
        <v>Wynau  2028</v>
      </c>
    </row>
    <row r="130" spans="1:24" hidden="1">
      <c r="A130" s="28" t="s">
        <v>1209</v>
      </c>
      <c r="B130" s="62" t="s">
        <v>2324</v>
      </c>
      <c r="C130" s="28">
        <v>2.2999999999999998</v>
      </c>
      <c r="D130" s="28">
        <v>4.0999999999999996</v>
      </c>
      <c r="E130" s="28">
        <v>7.6</v>
      </c>
      <c r="F130" s="28">
        <v>11.7</v>
      </c>
      <c r="G130" s="28">
        <v>15.3</v>
      </c>
      <c r="H130" s="28">
        <v>18.8</v>
      </c>
      <c r="I130" s="28">
        <v>20.9</v>
      </c>
      <c r="J130" s="28">
        <v>19.899999999999999</v>
      </c>
      <c r="K130" s="28">
        <v>17.100000000000001</v>
      </c>
      <c r="L130" s="28">
        <v>12.5</v>
      </c>
      <c r="M130" s="28">
        <v>6.9</v>
      </c>
      <c r="N130" s="62">
        <v>3.2</v>
      </c>
      <c r="O130" s="62">
        <v>11.7</v>
      </c>
      <c r="P130" s="28">
        <v>4.7</v>
      </c>
      <c r="Q130" s="28">
        <v>5.5</v>
      </c>
      <c r="R130" s="28">
        <v>6.5</v>
      </c>
      <c r="U130" s="406" t="str">
        <f>IF(AND(Projekt!$BC$33=2,Projekt!$AV$33=2),"",INDEX(Klima!$C$1:$C$60000,1+25*W130,))</f>
        <v>Zermatt  2028</v>
      </c>
      <c r="V130" s="194"/>
      <c r="W130" s="444">
        <v>88</v>
      </c>
      <c r="X130" s="1373" t="str">
        <f t="shared" si="1"/>
        <v>Zermatt  2028</v>
      </c>
    </row>
    <row r="131" spans="1:24" hidden="1">
      <c r="B131" s="62"/>
      <c r="N131" s="62"/>
      <c r="O131" s="62"/>
      <c r="U131" s="406" t="str">
        <f>IF(AND(Projekt!$BC$33=2,Projekt!$AV$33=2),"",INDEX(Klima!$C$1:$C$60000,1+25*W131,))</f>
        <v>Zürich-Kloten  2028</v>
      </c>
      <c r="V131" s="194"/>
      <c r="W131" s="444">
        <v>52</v>
      </c>
      <c r="X131" s="1373" t="str">
        <f t="shared" si="1"/>
        <v>Zürich-Kloten  2028</v>
      </c>
    </row>
    <row r="132" spans="1:24" ht="13.15" hidden="1" customHeight="1">
      <c r="A132" s="28" t="s">
        <v>1210</v>
      </c>
      <c r="B132" s="62" t="s">
        <v>250</v>
      </c>
      <c r="C132" s="28">
        <v>167</v>
      </c>
      <c r="D132" s="28">
        <v>219</v>
      </c>
      <c r="E132" s="28">
        <v>387</v>
      </c>
      <c r="F132" s="28">
        <v>508</v>
      </c>
      <c r="G132" s="28">
        <v>596</v>
      </c>
      <c r="H132" s="28">
        <v>690</v>
      </c>
      <c r="I132" s="28">
        <v>727</v>
      </c>
      <c r="J132" s="28">
        <v>575</v>
      </c>
      <c r="K132" s="28">
        <v>416</v>
      </c>
      <c r="L132" s="28">
        <v>326</v>
      </c>
      <c r="M132" s="28">
        <v>168</v>
      </c>
      <c r="N132" s="62">
        <v>164</v>
      </c>
      <c r="O132" s="62">
        <v>4943</v>
      </c>
      <c r="P132" s="28">
        <v>1141</v>
      </c>
      <c r="Q132" s="28">
        <v>1444</v>
      </c>
      <c r="R132" s="28">
        <v>1836</v>
      </c>
      <c r="U132" s="406" t="str">
        <f>IF(AND(Projekt!$BC$33=2,Projekt!$AV$33=2),"",INDEX(Klima!$C$1:$C$60000,1+25*W132,))</f>
        <v>Zürich SMA  2028</v>
      </c>
      <c r="V132" s="194"/>
      <c r="W132" s="444">
        <v>51</v>
      </c>
      <c r="X132" s="1373" t="str">
        <f t="shared" si="1"/>
        <v>Zürich SMA  2028</v>
      </c>
    </row>
    <row r="133" spans="1:24" ht="13.15" hidden="1" customHeight="1">
      <c r="A133" s="28" t="s">
        <v>1211</v>
      </c>
      <c r="B133" s="62" t="s">
        <v>250</v>
      </c>
      <c r="C133" s="28">
        <v>266</v>
      </c>
      <c r="D133" s="28">
        <v>287</v>
      </c>
      <c r="E133" s="28">
        <v>364</v>
      </c>
      <c r="F133" s="28">
        <v>356</v>
      </c>
      <c r="G133" s="28">
        <v>316</v>
      </c>
      <c r="H133" s="28">
        <v>324</v>
      </c>
      <c r="I133" s="28">
        <v>356</v>
      </c>
      <c r="J133" s="28">
        <v>368</v>
      </c>
      <c r="K133" s="28">
        <v>374</v>
      </c>
      <c r="L133" s="28">
        <v>391</v>
      </c>
      <c r="M133" s="28">
        <v>269</v>
      </c>
      <c r="N133" s="62">
        <v>307</v>
      </c>
      <c r="O133" s="62">
        <v>3978</v>
      </c>
      <c r="P133" s="28">
        <v>1474</v>
      </c>
      <c r="Q133" s="28">
        <v>1754</v>
      </c>
      <c r="R133" s="28">
        <v>2061</v>
      </c>
      <c r="U133" s="406">
        <f>IF(AND(Projekt!$BC$33=2,Projekt!$AV$33=2),"",INDEX(Klima!$C$1:$C$60000,1+25*W133,))</f>
        <v>0</v>
      </c>
      <c r="V133" s="194"/>
      <c r="W133" s="444"/>
      <c r="X133" s="1373">
        <f t="shared" si="1"/>
        <v>0</v>
      </c>
    </row>
    <row r="134" spans="1:24" ht="13.15" hidden="1" customHeight="1">
      <c r="A134" s="28" t="s">
        <v>1212</v>
      </c>
      <c r="B134" s="62" t="s">
        <v>250</v>
      </c>
      <c r="C134" s="28">
        <v>102</v>
      </c>
      <c r="D134" s="28">
        <v>127</v>
      </c>
      <c r="E134" s="28">
        <v>221</v>
      </c>
      <c r="F134" s="28">
        <v>274</v>
      </c>
      <c r="G134" s="28">
        <v>316</v>
      </c>
      <c r="H134" s="28">
        <v>359</v>
      </c>
      <c r="I134" s="28">
        <v>371</v>
      </c>
      <c r="J134" s="28">
        <v>311</v>
      </c>
      <c r="K134" s="28">
        <v>229</v>
      </c>
      <c r="L134" s="28">
        <v>183</v>
      </c>
      <c r="M134" s="28">
        <v>99</v>
      </c>
      <c r="N134" s="62">
        <v>107</v>
      </c>
      <c r="O134" s="62">
        <v>2699</v>
      </c>
      <c r="P134" s="28">
        <v>670</v>
      </c>
      <c r="Q134" s="28">
        <v>839</v>
      </c>
      <c r="R134" s="28">
        <v>1051</v>
      </c>
      <c r="U134" s="406">
        <f>IF(AND(Projekt!$BC$33=2,Projekt!$AV$33=2),"",INDEX(Klima!$C$1:$C$60000,1+25*W134,))</f>
        <v>0</v>
      </c>
      <c r="V134" s="194"/>
      <c r="W134" s="444"/>
      <c r="X134" s="1373">
        <f t="shared" si="1"/>
        <v>0</v>
      </c>
    </row>
    <row r="135" spans="1:24" ht="13.15" hidden="1" customHeight="1">
      <c r="A135" s="28" t="s">
        <v>1213</v>
      </c>
      <c r="B135" s="62" t="s">
        <v>250</v>
      </c>
      <c r="C135" s="28">
        <v>119</v>
      </c>
      <c r="D135" s="28">
        <v>145</v>
      </c>
      <c r="E135" s="28">
        <v>221</v>
      </c>
      <c r="F135" s="28">
        <v>279</v>
      </c>
      <c r="G135" s="28">
        <v>310</v>
      </c>
      <c r="H135" s="28">
        <v>345</v>
      </c>
      <c r="I135" s="28">
        <v>371</v>
      </c>
      <c r="J135" s="28">
        <v>311</v>
      </c>
      <c r="K135" s="28">
        <v>245</v>
      </c>
      <c r="L135" s="28">
        <v>199</v>
      </c>
      <c r="M135" s="28">
        <v>113</v>
      </c>
      <c r="N135" s="62">
        <v>123</v>
      </c>
      <c r="O135" s="62">
        <v>2781</v>
      </c>
      <c r="P135" s="28">
        <v>735</v>
      </c>
      <c r="Q135" s="28">
        <v>910</v>
      </c>
      <c r="R135" s="28">
        <v>1128</v>
      </c>
      <c r="U135" s="406">
        <f>IF(AND(Projekt!$BC$33=2,Projekt!$AV$33=2),"",INDEX(Klima!$C$1:$C$60000,1+25*W135,))</f>
        <v>0</v>
      </c>
      <c r="V135" s="194"/>
      <c r="W135" s="444"/>
      <c r="X135" s="1373">
        <f t="shared" si="1"/>
        <v>0</v>
      </c>
    </row>
    <row r="136" spans="1:24" ht="13.15" hidden="1" customHeight="1">
      <c r="A136" s="28" t="s">
        <v>1214</v>
      </c>
      <c r="B136" s="62" t="s">
        <v>250</v>
      </c>
      <c r="C136" s="28">
        <v>58</v>
      </c>
      <c r="D136" s="28">
        <v>64</v>
      </c>
      <c r="E136" s="28">
        <v>101</v>
      </c>
      <c r="F136" s="28">
        <v>122</v>
      </c>
      <c r="G136" s="28">
        <v>167</v>
      </c>
      <c r="H136" s="28">
        <v>193</v>
      </c>
      <c r="I136" s="28">
        <v>189</v>
      </c>
      <c r="J136" s="28">
        <v>127</v>
      </c>
      <c r="K136" s="28">
        <v>96</v>
      </c>
      <c r="L136" s="28">
        <v>88</v>
      </c>
      <c r="M136" s="28">
        <v>52</v>
      </c>
      <c r="N136" s="62">
        <v>61</v>
      </c>
      <c r="O136" s="62">
        <v>1318</v>
      </c>
      <c r="P136" s="28">
        <v>342</v>
      </c>
      <c r="Q136" s="28">
        <v>421</v>
      </c>
      <c r="R136" s="28">
        <v>524</v>
      </c>
      <c r="U136" s="406">
        <f>IF(AND(Projekt!$BC$33=2,Projekt!$AV$33=2),"",INDEX(Klima!$C$1:$C$60000,1+25*W136,))</f>
        <v>0</v>
      </c>
      <c r="V136" s="194"/>
      <c r="W136" s="444"/>
      <c r="X136" s="1373">
        <f t="shared" si="1"/>
        <v>0</v>
      </c>
    </row>
    <row r="137" spans="1:24" hidden="1">
      <c r="B137" s="62"/>
      <c r="N137" s="62"/>
      <c r="O137" s="62"/>
      <c r="U137" s="406">
        <f>IF(AND(Projekt!$BC$33=2,Projekt!$AV$33=2),"",INDEX(Klima!$C$1:$C$60000,1+25*W137,))</f>
        <v>0</v>
      </c>
      <c r="V137" s="194"/>
      <c r="W137" s="444"/>
      <c r="X137" s="1373">
        <f t="shared" si="1"/>
        <v>0</v>
      </c>
    </row>
    <row r="138" spans="1:24" hidden="1">
      <c r="A138" s="28" t="s">
        <v>1215</v>
      </c>
      <c r="B138" s="62" t="s">
        <v>1808</v>
      </c>
      <c r="C138" s="28">
        <v>31</v>
      </c>
      <c r="D138" s="28">
        <v>27</v>
      </c>
      <c r="E138" s="28">
        <v>24</v>
      </c>
      <c r="F138" s="28">
        <v>10</v>
      </c>
      <c r="G138" s="28">
        <v>2</v>
      </c>
      <c r="H138" s="28">
        <v>0</v>
      </c>
      <c r="I138" s="28">
        <v>0</v>
      </c>
      <c r="J138" s="28">
        <v>0</v>
      </c>
      <c r="K138" s="28">
        <v>0</v>
      </c>
      <c r="L138" s="28">
        <v>6</v>
      </c>
      <c r="M138" s="28">
        <v>26</v>
      </c>
      <c r="N138" s="62">
        <v>31</v>
      </c>
      <c r="O138" s="62"/>
      <c r="P138" s="28">
        <v>157</v>
      </c>
      <c r="U138" s="406">
        <f>IF(AND(Projekt!$BC$33=2,Projekt!$AV$33=2),"",INDEX(Klima!$C$1:$C$60000,1+25*W138,))</f>
        <v>0</v>
      </c>
      <c r="V138" s="194"/>
      <c r="W138" s="444"/>
      <c r="X138" s="1373">
        <f t="shared" si="1"/>
        <v>0</v>
      </c>
    </row>
    <row r="139" spans="1:24" hidden="1">
      <c r="A139" s="28" t="s">
        <v>1809</v>
      </c>
      <c r="B139" s="62" t="s">
        <v>1810</v>
      </c>
      <c r="C139" s="28">
        <v>484</v>
      </c>
      <c r="D139" s="28">
        <v>384</v>
      </c>
      <c r="E139" s="28">
        <v>283</v>
      </c>
      <c r="F139" s="28">
        <v>103</v>
      </c>
      <c r="G139" s="28">
        <v>14</v>
      </c>
      <c r="H139" s="28">
        <v>1</v>
      </c>
      <c r="I139" s="28">
        <v>0</v>
      </c>
      <c r="J139" s="28">
        <v>0</v>
      </c>
      <c r="K139" s="28">
        <v>2</v>
      </c>
      <c r="L139" s="28">
        <v>56</v>
      </c>
      <c r="M139" s="28">
        <v>307</v>
      </c>
      <c r="N139" s="62">
        <v>457</v>
      </c>
      <c r="O139" s="62"/>
      <c r="P139" s="28">
        <v>2091</v>
      </c>
      <c r="U139" s="1384">
        <f>IF(AND(Projekt!$BC$33=2,Projekt!$AV$33=2),"",INDEX(Klima!$C$1:$C$60000,1+25*W139,))</f>
        <v>0</v>
      </c>
      <c r="V139" s="1382"/>
      <c r="W139" s="1383"/>
      <c r="X139" s="1373">
        <f t="shared" si="1"/>
        <v>0</v>
      </c>
    </row>
    <row r="140" spans="1:24" hidden="1">
      <c r="B140" s="62"/>
      <c r="N140" s="62"/>
      <c r="O140" s="62"/>
    </row>
    <row r="141" spans="1:24" hidden="1">
      <c r="A141" s="28" t="s">
        <v>1886</v>
      </c>
      <c r="B141" s="62" t="s">
        <v>1808</v>
      </c>
      <c r="C141" s="28">
        <v>31</v>
      </c>
      <c r="D141" s="28">
        <v>28</v>
      </c>
      <c r="E141" s="28">
        <v>28</v>
      </c>
      <c r="F141" s="28">
        <v>16</v>
      </c>
      <c r="G141" s="28">
        <v>4</v>
      </c>
      <c r="H141" s="28">
        <v>1</v>
      </c>
      <c r="I141" s="28">
        <v>0</v>
      </c>
      <c r="J141" s="28">
        <v>0</v>
      </c>
      <c r="K141" s="28">
        <v>1</v>
      </c>
      <c r="L141" s="28">
        <v>13</v>
      </c>
      <c r="M141" s="28">
        <v>29</v>
      </c>
      <c r="N141" s="62">
        <v>31</v>
      </c>
      <c r="O141" s="62"/>
      <c r="Q141" s="28">
        <v>182</v>
      </c>
    </row>
    <row r="142" spans="1:24" hidden="1">
      <c r="A142" s="28" t="s">
        <v>1887</v>
      </c>
      <c r="B142" s="62" t="s">
        <v>1810</v>
      </c>
      <c r="C142" s="28">
        <v>547</v>
      </c>
      <c r="D142" s="28">
        <v>445</v>
      </c>
      <c r="E142" s="28">
        <v>366</v>
      </c>
      <c r="F142" s="28">
        <v>174</v>
      </c>
      <c r="G142" s="28">
        <v>41</v>
      </c>
      <c r="H142" s="28">
        <v>7</v>
      </c>
      <c r="I142" s="28">
        <v>2</v>
      </c>
      <c r="J142" s="28">
        <v>0</v>
      </c>
      <c r="K142" s="28">
        <v>12</v>
      </c>
      <c r="L142" s="28">
        <v>132</v>
      </c>
      <c r="M142" s="28">
        <v>386</v>
      </c>
      <c r="N142" s="62">
        <v>519</v>
      </c>
      <c r="O142" s="62"/>
      <c r="Q142" s="28">
        <v>2631</v>
      </c>
    </row>
    <row r="143" spans="1:24" hidden="1">
      <c r="B143" s="62"/>
      <c r="N143" s="62"/>
      <c r="O143" s="62"/>
    </row>
    <row r="144" spans="1:24" hidden="1">
      <c r="A144" s="28" t="s">
        <v>1434</v>
      </c>
      <c r="B144" s="62" t="s">
        <v>1808</v>
      </c>
      <c r="C144" s="28">
        <v>31</v>
      </c>
      <c r="D144" s="28">
        <v>28</v>
      </c>
      <c r="E144" s="28">
        <v>30</v>
      </c>
      <c r="F144" s="28">
        <v>22</v>
      </c>
      <c r="G144" s="28">
        <v>10</v>
      </c>
      <c r="H144" s="28">
        <v>3</v>
      </c>
      <c r="I144" s="28">
        <v>1</v>
      </c>
      <c r="J144" s="28">
        <v>0</v>
      </c>
      <c r="K144" s="28">
        <v>4</v>
      </c>
      <c r="L144" s="28">
        <v>20</v>
      </c>
      <c r="M144" s="28">
        <v>30</v>
      </c>
      <c r="N144" s="62">
        <v>31</v>
      </c>
      <c r="O144" s="62"/>
      <c r="R144" s="28">
        <v>210</v>
      </c>
    </row>
    <row r="145" spans="1:31" hidden="1">
      <c r="A145" s="28" t="s">
        <v>1435</v>
      </c>
      <c r="B145" s="62" t="s">
        <v>1810</v>
      </c>
      <c r="C145" s="28">
        <v>610</v>
      </c>
      <c r="D145" s="28">
        <v>502</v>
      </c>
      <c r="E145" s="28">
        <v>440</v>
      </c>
      <c r="F145" s="28">
        <v>265</v>
      </c>
      <c r="G145" s="28">
        <v>105</v>
      </c>
      <c r="H145" s="28">
        <v>29</v>
      </c>
      <c r="I145" s="28">
        <v>6</v>
      </c>
      <c r="J145" s="28">
        <v>3</v>
      </c>
      <c r="K145" s="28">
        <v>36</v>
      </c>
      <c r="L145" s="28">
        <v>219</v>
      </c>
      <c r="M145" s="28">
        <v>451</v>
      </c>
      <c r="N145" s="62">
        <v>582</v>
      </c>
      <c r="O145" s="62"/>
      <c r="R145" s="28">
        <v>3248</v>
      </c>
    </row>
    <row r="146" spans="1:31" ht="8.1" hidden="1" customHeight="1"/>
    <row r="147" spans="1:31" ht="8.1" hidden="1" customHeight="1"/>
    <row r="148" spans="1:31" ht="8.1" hidden="1" customHeight="1"/>
    <row r="149" spans="1:31" ht="8.1" hidden="1" customHeight="1"/>
    <row r="150" spans="1:31" ht="8.1" hidden="1" customHeight="1">
      <c r="M150" s="37"/>
    </row>
    <row r="151" spans="1:31" s="34" customFormat="1" ht="15.75" hidden="1">
      <c r="A151" s="61">
        <v>6</v>
      </c>
      <c r="B151" s="129"/>
      <c r="C151" s="129" t="s">
        <v>1442</v>
      </c>
      <c r="D151" s="129"/>
      <c r="E151" s="130"/>
      <c r="F151" s="130" t="s">
        <v>352</v>
      </c>
      <c r="G151" s="129">
        <v>664</v>
      </c>
      <c r="H151" s="131" t="s">
        <v>353</v>
      </c>
      <c r="I151" s="129"/>
      <c r="J151" s="129"/>
      <c r="K151" s="130" t="s">
        <v>354</v>
      </c>
      <c r="L151" s="131">
        <v>3</v>
      </c>
      <c r="M151" s="129" t="s">
        <v>355</v>
      </c>
      <c r="N151" s="131" t="s">
        <v>1443</v>
      </c>
      <c r="O151" s="130"/>
      <c r="P151" s="130" t="s">
        <v>357</v>
      </c>
      <c r="Q151" s="129">
        <v>-10</v>
      </c>
      <c r="R151" s="131" t="s">
        <v>2324</v>
      </c>
      <c r="S151" s="28"/>
      <c r="U151" s="368"/>
      <c r="V151" s="368"/>
      <c r="W151" s="368"/>
      <c r="X151" s="368"/>
      <c r="Y151" s="368"/>
      <c r="Z151" s="368"/>
      <c r="AA151" s="368"/>
      <c r="AB151" s="368"/>
      <c r="AC151" s="368"/>
      <c r="AD151" s="368"/>
      <c r="AE151" s="510"/>
    </row>
    <row r="152" spans="1:31" hidden="1">
      <c r="B152" s="62"/>
      <c r="N152" s="62"/>
      <c r="O152" s="62"/>
      <c r="P152" s="53" t="s">
        <v>358</v>
      </c>
      <c r="Q152" s="45"/>
      <c r="R152" s="45"/>
    </row>
    <row r="153" spans="1:31" s="34" customFormat="1" hidden="1">
      <c r="B153" s="65"/>
      <c r="C153" s="95" t="s">
        <v>489</v>
      </c>
      <c r="D153" s="95" t="s">
        <v>490</v>
      </c>
      <c r="E153" s="95" t="s">
        <v>491</v>
      </c>
      <c r="F153" s="95" t="s">
        <v>492</v>
      </c>
      <c r="G153" s="95" t="s">
        <v>493</v>
      </c>
      <c r="H153" s="95" t="s">
        <v>494</v>
      </c>
      <c r="I153" s="95" t="s">
        <v>495</v>
      </c>
      <c r="J153" s="95" t="s">
        <v>496</v>
      </c>
      <c r="K153" s="95" t="s">
        <v>497</v>
      </c>
      <c r="L153" s="95" t="s">
        <v>498</v>
      </c>
      <c r="M153" s="95" t="s">
        <v>499</v>
      </c>
      <c r="N153" s="126" t="s">
        <v>500</v>
      </c>
      <c r="O153" s="126" t="s">
        <v>501</v>
      </c>
      <c r="P153" s="132" t="s">
        <v>359</v>
      </c>
      <c r="Q153" s="133" t="s">
        <v>1207</v>
      </c>
      <c r="R153" s="133" t="s">
        <v>1208</v>
      </c>
      <c r="S153" s="28"/>
      <c r="U153" s="368"/>
      <c r="V153" s="368"/>
      <c r="W153" s="368"/>
      <c r="X153" s="368"/>
      <c r="Y153" s="368"/>
      <c r="Z153" s="368"/>
      <c r="AA153" s="368"/>
      <c r="AB153" s="368"/>
      <c r="AC153" s="368"/>
      <c r="AD153" s="368"/>
      <c r="AE153" s="510"/>
    </row>
    <row r="154" spans="1:31" hidden="1">
      <c r="B154" s="62"/>
      <c r="N154" s="62"/>
      <c r="O154" s="62"/>
    </row>
    <row r="155" spans="1:31" hidden="1">
      <c r="A155" s="28" t="s">
        <v>1209</v>
      </c>
      <c r="B155" s="62" t="s">
        <v>2324</v>
      </c>
      <c r="C155" s="28">
        <v>-1.8</v>
      </c>
      <c r="D155" s="28">
        <v>0.1</v>
      </c>
      <c r="E155" s="28">
        <v>2.6</v>
      </c>
      <c r="F155" s="28">
        <v>7.6</v>
      </c>
      <c r="G155" s="28">
        <v>11.2</v>
      </c>
      <c r="H155" s="28">
        <v>14.9</v>
      </c>
      <c r="I155" s="28">
        <v>16.600000000000001</v>
      </c>
      <c r="J155" s="28">
        <v>15.5</v>
      </c>
      <c r="K155" s="28">
        <v>13.5</v>
      </c>
      <c r="L155" s="28">
        <v>9</v>
      </c>
      <c r="M155" s="28">
        <v>3.9</v>
      </c>
      <c r="N155" s="62">
        <v>-1.6</v>
      </c>
      <c r="O155" s="62">
        <v>7.7</v>
      </c>
      <c r="P155" s="28">
        <v>2.2999999999999998</v>
      </c>
      <c r="Q155" s="28">
        <v>3.6</v>
      </c>
      <c r="R155" s="28">
        <v>4.5999999999999996</v>
      </c>
    </row>
    <row r="156" spans="1:31" hidden="1">
      <c r="B156" s="62"/>
      <c r="N156" s="62"/>
      <c r="O156" s="62"/>
    </row>
    <row r="157" spans="1:31" ht="13.15" hidden="1" customHeight="1">
      <c r="A157" s="28" t="s">
        <v>1210</v>
      </c>
      <c r="B157" s="62" t="s">
        <v>250</v>
      </c>
      <c r="C157" s="28">
        <v>107</v>
      </c>
      <c r="D157" s="28">
        <v>173</v>
      </c>
      <c r="E157" s="28">
        <v>314</v>
      </c>
      <c r="F157" s="28">
        <v>454</v>
      </c>
      <c r="G157" s="28">
        <v>571</v>
      </c>
      <c r="H157" s="28">
        <v>604</v>
      </c>
      <c r="I157" s="28">
        <v>643</v>
      </c>
      <c r="J157" s="28">
        <v>515</v>
      </c>
      <c r="K157" s="28">
        <v>385</v>
      </c>
      <c r="L157" s="28">
        <v>241</v>
      </c>
      <c r="M157" s="28">
        <v>119</v>
      </c>
      <c r="N157" s="62">
        <v>84</v>
      </c>
      <c r="O157" s="62">
        <v>4210</v>
      </c>
      <c r="P157" s="28">
        <v>1433</v>
      </c>
      <c r="Q157" s="28">
        <v>1947</v>
      </c>
      <c r="R157" s="28">
        <v>2411</v>
      </c>
    </row>
    <row r="158" spans="1:31" ht="13.15" hidden="1" customHeight="1">
      <c r="A158" s="28" t="s">
        <v>1211</v>
      </c>
      <c r="B158" s="62" t="s">
        <v>250</v>
      </c>
      <c r="C158" s="28">
        <v>170</v>
      </c>
      <c r="D158" s="28">
        <v>227</v>
      </c>
      <c r="E158" s="28">
        <v>295</v>
      </c>
      <c r="F158" s="28">
        <v>318</v>
      </c>
      <c r="G158" s="28">
        <v>303</v>
      </c>
      <c r="H158" s="28">
        <v>284</v>
      </c>
      <c r="I158" s="28">
        <v>315</v>
      </c>
      <c r="J158" s="28">
        <v>330</v>
      </c>
      <c r="K158" s="28">
        <v>347</v>
      </c>
      <c r="L158" s="28">
        <v>289</v>
      </c>
      <c r="M158" s="28">
        <v>190</v>
      </c>
      <c r="N158" s="62">
        <v>157</v>
      </c>
      <c r="O158" s="62">
        <v>3225</v>
      </c>
      <c r="P158" s="28">
        <v>1500</v>
      </c>
      <c r="Q158" s="28">
        <v>1854</v>
      </c>
      <c r="R158" s="28">
        <v>2162</v>
      </c>
    </row>
    <row r="159" spans="1:31" ht="13.15" hidden="1" customHeight="1">
      <c r="A159" s="28" t="s">
        <v>1212</v>
      </c>
      <c r="B159" s="62" t="s">
        <v>250</v>
      </c>
      <c r="C159" s="28">
        <v>65</v>
      </c>
      <c r="D159" s="28">
        <v>100</v>
      </c>
      <c r="E159" s="28">
        <v>179</v>
      </c>
      <c r="F159" s="28">
        <v>245</v>
      </c>
      <c r="G159" s="28">
        <v>303</v>
      </c>
      <c r="H159" s="28">
        <v>314</v>
      </c>
      <c r="I159" s="28">
        <v>328</v>
      </c>
      <c r="J159" s="28">
        <v>278</v>
      </c>
      <c r="K159" s="28">
        <v>212</v>
      </c>
      <c r="L159" s="28">
        <v>135</v>
      </c>
      <c r="M159" s="28">
        <v>70</v>
      </c>
      <c r="N159" s="62">
        <v>55</v>
      </c>
      <c r="O159" s="62">
        <v>2284</v>
      </c>
      <c r="P159" s="28">
        <v>812</v>
      </c>
      <c r="Q159" s="28">
        <v>1088</v>
      </c>
      <c r="R159" s="28">
        <v>1336</v>
      </c>
    </row>
    <row r="160" spans="1:31" ht="13.15" hidden="1" customHeight="1">
      <c r="A160" s="28" t="s">
        <v>1213</v>
      </c>
      <c r="B160" s="62" t="s">
        <v>250</v>
      </c>
      <c r="C160" s="28">
        <v>76</v>
      </c>
      <c r="D160" s="28">
        <v>114</v>
      </c>
      <c r="E160" s="28">
        <v>179</v>
      </c>
      <c r="F160" s="28">
        <v>250</v>
      </c>
      <c r="G160" s="28">
        <v>297</v>
      </c>
      <c r="H160" s="28">
        <v>302</v>
      </c>
      <c r="I160" s="28">
        <v>328</v>
      </c>
      <c r="J160" s="28">
        <v>278</v>
      </c>
      <c r="K160" s="28">
        <v>227</v>
      </c>
      <c r="L160" s="28">
        <v>147</v>
      </c>
      <c r="M160" s="28">
        <v>80</v>
      </c>
      <c r="N160" s="62">
        <v>63</v>
      </c>
      <c r="O160" s="62">
        <v>2341</v>
      </c>
      <c r="P160" s="28">
        <v>862</v>
      </c>
      <c r="Q160" s="28">
        <v>1141</v>
      </c>
      <c r="R160" s="28">
        <v>1392</v>
      </c>
    </row>
    <row r="161" spans="1:31" ht="13.15" hidden="1" customHeight="1">
      <c r="A161" s="28" t="s">
        <v>1214</v>
      </c>
      <c r="B161" s="62" t="s">
        <v>250</v>
      </c>
      <c r="C161" s="28">
        <v>37</v>
      </c>
      <c r="D161" s="28">
        <v>50</v>
      </c>
      <c r="E161" s="28">
        <v>82</v>
      </c>
      <c r="F161" s="28">
        <v>109</v>
      </c>
      <c r="G161" s="28">
        <v>160</v>
      </c>
      <c r="H161" s="28">
        <v>169</v>
      </c>
      <c r="I161" s="28">
        <v>167</v>
      </c>
      <c r="J161" s="28">
        <v>113</v>
      </c>
      <c r="K161" s="28">
        <v>89</v>
      </c>
      <c r="L161" s="28">
        <v>65</v>
      </c>
      <c r="M161" s="28">
        <v>37</v>
      </c>
      <c r="N161" s="62">
        <v>31</v>
      </c>
      <c r="O161" s="62">
        <v>1109</v>
      </c>
      <c r="P161" s="28">
        <v>399</v>
      </c>
      <c r="Q161" s="28">
        <v>533</v>
      </c>
      <c r="R161" s="28">
        <v>652</v>
      </c>
    </row>
    <row r="162" spans="1:31" hidden="1">
      <c r="B162" s="62"/>
      <c r="N162" s="62"/>
      <c r="O162" s="62"/>
    </row>
    <row r="163" spans="1:31" hidden="1">
      <c r="A163" s="28" t="s">
        <v>1215</v>
      </c>
      <c r="B163" s="62" t="s">
        <v>1808</v>
      </c>
      <c r="C163" s="28">
        <v>31</v>
      </c>
      <c r="D163" s="28">
        <v>28</v>
      </c>
      <c r="E163" s="28">
        <v>30</v>
      </c>
      <c r="F163" s="28">
        <v>21</v>
      </c>
      <c r="G163" s="28">
        <v>11</v>
      </c>
      <c r="H163" s="28">
        <v>3</v>
      </c>
      <c r="I163" s="28">
        <v>1</v>
      </c>
      <c r="J163" s="28">
        <v>2</v>
      </c>
      <c r="K163" s="28">
        <v>5</v>
      </c>
      <c r="L163" s="28">
        <v>18</v>
      </c>
      <c r="M163" s="28">
        <v>28</v>
      </c>
      <c r="N163" s="62">
        <v>31</v>
      </c>
      <c r="O163" s="62"/>
      <c r="P163" s="28">
        <v>209</v>
      </c>
    </row>
    <row r="164" spans="1:31" hidden="1">
      <c r="A164" s="28" t="s">
        <v>1809</v>
      </c>
      <c r="B164" s="62" t="s">
        <v>1810</v>
      </c>
      <c r="C164" s="28">
        <v>613</v>
      </c>
      <c r="D164" s="28">
        <v>500</v>
      </c>
      <c r="E164" s="28">
        <v>467</v>
      </c>
      <c r="F164" s="28">
        <v>265</v>
      </c>
      <c r="G164" s="28">
        <v>120</v>
      </c>
      <c r="H164" s="28">
        <v>33</v>
      </c>
      <c r="I164" s="28">
        <v>9</v>
      </c>
      <c r="J164" s="28">
        <v>13</v>
      </c>
      <c r="K164" s="28">
        <v>44</v>
      </c>
      <c r="L164" s="28">
        <v>205</v>
      </c>
      <c r="M164" s="28">
        <v>412</v>
      </c>
      <c r="N164" s="62">
        <v>604</v>
      </c>
      <c r="O164" s="62"/>
      <c r="P164" s="28">
        <v>3285</v>
      </c>
    </row>
    <row r="165" spans="1:31" hidden="1">
      <c r="B165" s="62"/>
      <c r="N165" s="62"/>
      <c r="O165" s="62"/>
    </row>
    <row r="166" spans="1:31" hidden="1">
      <c r="A166" s="28" t="s">
        <v>1886</v>
      </c>
      <c r="B166" s="62" t="s">
        <v>1808</v>
      </c>
      <c r="C166" s="28">
        <v>31</v>
      </c>
      <c r="D166" s="28">
        <v>28</v>
      </c>
      <c r="E166" s="28">
        <v>31</v>
      </c>
      <c r="F166" s="28">
        <v>25</v>
      </c>
      <c r="G166" s="28">
        <v>20</v>
      </c>
      <c r="H166" s="28">
        <v>7</v>
      </c>
      <c r="I166" s="28">
        <v>4</v>
      </c>
      <c r="J166" s="28">
        <v>5</v>
      </c>
      <c r="K166" s="28">
        <v>11</v>
      </c>
      <c r="L166" s="28">
        <v>25</v>
      </c>
      <c r="M166" s="28">
        <v>28</v>
      </c>
      <c r="N166" s="62">
        <v>31</v>
      </c>
      <c r="O166" s="62"/>
      <c r="Q166" s="28">
        <v>246</v>
      </c>
    </row>
    <row r="167" spans="1:31" hidden="1">
      <c r="A167" s="28" t="s">
        <v>1887</v>
      </c>
      <c r="B167" s="62" t="s">
        <v>1810</v>
      </c>
      <c r="C167" s="28">
        <v>675</v>
      </c>
      <c r="D167" s="28">
        <v>559</v>
      </c>
      <c r="E167" s="28">
        <v>538</v>
      </c>
      <c r="F167" s="28">
        <v>346</v>
      </c>
      <c r="G167" s="28">
        <v>222</v>
      </c>
      <c r="H167" s="28">
        <v>72</v>
      </c>
      <c r="I167" s="28">
        <v>34</v>
      </c>
      <c r="J167" s="28">
        <v>45</v>
      </c>
      <c r="K167" s="28">
        <v>106</v>
      </c>
      <c r="L167" s="28">
        <v>306</v>
      </c>
      <c r="M167" s="28">
        <v>474</v>
      </c>
      <c r="N167" s="62">
        <v>669</v>
      </c>
      <c r="O167" s="62"/>
      <c r="Q167" s="28">
        <v>4046</v>
      </c>
    </row>
    <row r="168" spans="1:31" hidden="1">
      <c r="B168" s="62"/>
      <c r="N168" s="62"/>
      <c r="O168" s="62"/>
    </row>
    <row r="169" spans="1:31" hidden="1">
      <c r="A169" s="28" t="s">
        <v>1434</v>
      </c>
      <c r="B169" s="62" t="s">
        <v>1808</v>
      </c>
      <c r="C169" s="28">
        <v>31</v>
      </c>
      <c r="D169" s="28">
        <v>28</v>
      </c>
      <c r="E169" s="28">
        <v>31</v>
      </c>
      <c r="F169" s="28">
        <v>27</v>
      </c>
      <c r="G169" s="28">
        <v>24</v>
      </c>
      <c r="H169" s="28">
        <v>12</v>
      </c>
      <c r="I169" s="28">
        <v>8</v>
      </c>
      <c r="J169" s="28">
        <v>11</v>
      </c>
      <c r="K169" s="28">
        <v>17</v>
      </c>
      <c r="L169" s="28">
        <v>28</v>
      </c>
      <c r="M169" s="28">
        <v>29</v>
      </c>
      <c r="N169" s="62">
        <v>31</v>
      </c>
      <c r="O169" s="62"/>
      <c r="R169" s="28">
        <v>277</v>
      </c>
    </row>
    <row r="170" spans="1:31" hidden="1">
      <c r="A170" s="28" t="s">
        <v>1435</v>
      </c>
      <c r="B170" s="62" t="s">
        <v>1810</v>
      </c>
      <c r="C170" s="28">
        <v>737</v>
      </c>
      <c r="D170" s="28">
        <v>615</v>
      </c>
      <c r="E170" s="28">
        <v>601</v>
      </c>
      <c r="F170" s="28">
        <v>414</v>
      </c>
      <c r="G170" s="28">
        <v>297</v>
      </c>
      <c r="H170" s="28">
        <v>135</v>
      </c>
      <c r="I170" s="28">
        <v>81</v>
      </c>
      <c r="J170" s="28">
        <v>104</v>
      </c>
      <c r="K170" s="28">
        <v>184</v>
      </c>
      <c r="L170" s="28">
        <v>384</v>
      </c>
      <c r="M170" s="28">
        <v>538</v>
      </c>
      <c r="N170" s="62">
        <v>731</v>
      </c>
      <c r="O170" s="62"/>
      <c r="R170" s="28">
        <v>4821</v>
      </c>
    </row>
    <row r="171" spans="1:31" ht="8.1" hidden="1" customHeight="1"/>
    <row r="172" spans="1:31" ht="8.1" hidden="1" customHeight="1"/>
    <row r="173" spans="1:31" ht="8.1" hidden="1" customHeight="1"/>
    <row r="174" spans="1:31" ht="8.1" hidden="1" customHeight="1"/>
    <row r="175" spans="1:31" ht="8.1" hidden="1" customHeight="1">
      <c r="M175" s="37"/>
    </row>
    <row r="176" spans="1:31" s="34" customFormat="1" ht="15.75" hidden="1">
      <c r="A176" s="61">
        <v>7</v>
      </c>
      <c r="B176" s="129"/>
      <c r="C176" s="129" t="s">
        <v>1581</v>
      </c>
      <c r="D176" s="129"/>
      <c r="E176" s="130"/>
      <c r="F176" s="130" t="s">
        <v>352</v>
      </c>
      <c r="G176" s="129">
        <v>446</v>
      </c>
      <c r="H176" s="131" t="s">
        <v>353</v>
      </c>
      <c r="I176" s="129"/>
      <c r="J176" s="129"/>
      <c r="K176" s="130" t="s">
        <v>354</v>
      </c>
      <c r="L176" s="131">
        <v>3</v>
      </c>
      <c r="M176" s="129" t="s">
        <v>355</v>
      </c>
      <c r="N176" s="131" t="s">
        <v>1439</v>
      </c>
      <c r="O176" s="130"/>
      <c r="P176" s="130" t="s">
        <v>357</v>
      </c>
      <c r="Q176" s="129">
        <v>-8</v>
      </c>
      <c r="R176" s="131" t="s">
        <v>2324</v>
      </c>
      <c r="S176" s="28"/>
      <c r="U176" s="368"/>
      <c r="V176" s="368"/>
      <c r="W176" s="368"/>
      <c r="X176" s="368"/>
      <c r="Y176" s="368"/>
      <c r="Z176" s="368"/>
      <c r="AA176" s="368"/>
      <c r="AB176" s="368"/>
      <c r="AC176" s="368"/>
      <c r="AD176" s="368"/>
      <c r="AE176" s="510"/>
    </row>
    <row r="177" spans="1:31" hidden="1">
      <c r="B177" s="62"/>
      <c r="N177" s="62"/>
      <c r="O177" s="62"/>
      <c r="P177" s="53" t="s">
        <v>358</v>
      </c>
      <c r="Q177" s="45"/>
      <c r="R177" s="45"/>
    </row>
    <row r="178" spans="1:31" s="34" customFormat="1" hidden="1">
      <c r="B178" s="65"/>
      <c r="C178" s="95" t="s">
        <v>489</v>
      </c>
      <c r="D178" s="95" t="s">
        <v>490</v>
      </c>
      <c r="E178" s="95" t="s">
        <v>491</v>
      </c>
      <c r="F178" s="95" t="s">
        <v>492</v>
      </c>
      <c r="G178" s="95" t="s">
        <v>493</v>
      </c>
      <c r="H178" s="95" t="s">
        <v>494</v>
      </c>
      <c r="I178" s="95" t="s">
        <v>495</v>
      </c>
      <c r="J178" s="95" t="s">
        <v>496</v>
      </c>
      <c r="K178" s="95" t="s">
        <v>497</v>
      </c>
      <c r="L178" s="95" t="s">
        <v>498</v>
      </c>
      <c r="M178" s="95" t="s">
        <v>499</v>
      </c>
      <c r="N178" s="126" t="s">
        <v>500</v>
      </c>
      <c r="O178" s="126" t="s">
        <v>501</v>
      </c>
      <c r="P178" s="132" t="s">
        <v>359</v>
      </c>
      <c r="Q178" s="133" t="s">
        <v>1207</v>
      </c>
      <c r="R178" s="133" t="s">
        <v>1208</v>
      </c>
      <c r="S178" s="28"/>
      <c r="U178" s="368"/>
      <c r="V178" s="368"/>
      <c r="W178" s="368"/>
      <c r="X178" s="368"/>
      <c r="Y178" s="368"/>
      <c r="Z178" s="368"/>
      <c r="AA178" s="368"/>
      <c r="AB178" s="368"/>
      <c r="AC178" s="368"/>
      <c r="AD178" s="368"/>
      <c r="AE178" s="510"/>
    </row>
    <row r="179" spans="1:31" hidden="1">
      <c r="B179" s="62"/>
      <c r="N179" s="62"/>
      <c r="O179" s="62"/>
    </row>
    <row r="180" spans="1:31" hidden="1">
      <c r="A180" s="28" t="s">
        <v>1209</v>
      </c>
      <c r="B180" s="62" t="s">
        <v>2324</v>
      </c>
      <c r="C180" s="28">
        <v>-0.9</v>
      </c>
      <c r="D180" s="28">
        <v>0.8</v>
      </c>
      <c r="E180" s="28">
        <v>3.6</v>
      </c>
      <c r="F180" s="28">
        <v>8.6999999999999993</v>
      </c>
      <c r="G180" s="28">
        <v>12.2</v>
      </c>
      <c r="H180" s="28">
        <v>16</v>
      </c>
      <c r="I180" s="28">
        <v>17.7</v>
      </c>
      <c r="J180" s="28">
        <v>16.7</v>
      </c>
      <c r="K180" s="28">
        <v>14.3</v>
      </c>
      <c r="L180" s="28">
        <v>9.6999999999999993</v>
      </c>
      <c r="M180" s="28">
        <v>4.4000000000000004</v>
      </c>
      <c r="N180" s="62">
        <v>-0.5</v>
      </c>
      <c r="O180" s="62">
        <v>8.6</v>
      </c>
      <c r="P180" s="28">
        <v>2.7</v>
      </c>
      <c r="Q180" s="28">
        <v>3.9</v>
      </c>
      <c r="R180" s="28">
        <v>5.0999999999999996</v>
      </c>
    </row>
    <row r="181" spans="1:31" hidden="1">
      <c r="B181" s="62"/>
      <c r="N181" s="62"/>
      <c r="O181" s="62"/>
    </row>
    <row r="182" spans="1:31" ht="13.15" hidden="1" customHeight="1">
      <c r="A182" s="28" t="s">
        <v>1210</v>
      </c>
      <c r="B182" s="62" t="s">
        <v>250</v>
      </c>
      <c r="C182" s="28">
        <v>96</v>
      </c>
      <c r="D182" s="28">
        <v>172</v>
      </c>
      <c r="E182" s="28">
        <v>306</v>
      </c>
      <c r="F182" s="28">
        <v>485</v>
      </c>
      <c r="G182" s="28">
        <v>577</v>
      </c>
      <c r="H182" s="28">
        <v>626</v>
      </c>
      <c r="I182" s="28">
        <v>642</v>
      </c>
      <c r="J182" s="28">
        <v>523</v>
      </c>
      <c r="K182" s="28">
        <v>389</v>
      </c>
      <c r="L182" s="28">
        <v>232</v>
      </c>
      <c r="M182" s="28">
        <v>112</v>
      </c>
      <c r="N182" s="62">
        <v>80</v>
      </c>
      <c r="O182" s="62">
        <v>4213</v>
      </c>
      <c r="P182" s="28">
        <v>1222</v>
      </c>
      <c r="Q182" s="28">
        <v>1647</v>
      </c>
      <c r="R182" s="28">
        <v>2151</v>
      </c>
    </row>
    <row r="183" spans="1:31" ht="13.15" hidden="1" customHeight="1">
      <c r="A183" s="28" t="s">
        <v>1211</v>
      </c>
      <c r="B183" s="62" t="s">
        <v>250</v>
      </c>
      <c r="C183" s="28">
        <v>153</v>
      </c>
      <c r="D183" s="28">
        <v>225</v>
      </c>
      <c r="E183" s="28">
        <v>288</v>
      </c>
      <c r="F183" s="28">
        <v>321</v>
      </c>
      <c r="G183" s="28">
        <v>306</v>
      </c>
      <c r="H183" s="28">
        <v>294</v>
      </c>
      <c r="I183" s="28">
        <v>315</v>
      </c>
      <c r="J183" s="28">
        <v>335</v>
      </c>
      <c r="K183" s="28">
        <v>350</v>
      </c>
      <c r="L183" s="28">
        <v>278</v>
      </c>
      <c r="M183" s="28">
        <v>179</v>
      </c>
      <c r="N183" s="62">
        <v>150</v>
      </c>
      <c r="O183" s="62">
        <v>3194</v>
      </c>
      <c r="P183" s="28">
        <v>1334</v>
      </c>
      <c r="Q183" s="28">
        <v>1649</v>
      </c>
      <c r="R183" s="28">
        <v>1989</v>
      </c>
    </row>
    <row r="184" spans="1:31" ht="13.15" hidden="1" customHeight="1">
      <c r="A184" s="28" t="s">
        <v>1212</v>
      </c>
      <c r="B184" s="62" t="s">
        <v>250</v>
      </c>
      <c r="C184" s="28">
        <v>59</v>
      </c>
      <c r="D184" s="28">
        <v>100</v>
      </c>
      <c r="E184" s="28">
        <v>174</v>
      </c>
      <c r="F184" s="28">
        <v>247</v>
      </c>
      <c r="G184" s="28">
        <v>306</v>
      </c>
      <c r="H184" s="28">
        <v>326</v>
      </c>
      <c r="I184" s="28">
        <v>327</v>
      </c>
      <c r="J184" s="28">
        <v>282</v>
      </c>
      <c r="K184" s="28">
        <v>214</v>
      </c>
      <c r="L184" s="28">
        <v>130</v>
      </c>
      <c r="M184" s="28">
        <v>66</v>
      </c>
      <c r="N184" s="62">
        <v>52</v>
      </c>
      <c r="O184" s="62">
        <v>2283</v>
      </c>
      <c r="P184" s="28">
        <v>697</v>
      </c>
      <c r="Q184" s="28">
        <v>927</v>
      </c>
      <c r="R184" s="28">
        <v>1197</v>
      </c>
    </row>
    <row r="185" spans="1:31" ht="13.15" hidden="1" customHeight="1">
      <c r="A185" s="28" t="s">
        <v>1213</v>
      </c>
      <c r="B185" s="62" t="s">
        <v>250</v>
      </c>
      <c r="C185" s="28">
        <v>68</v>
      </c>
      <c r="D185" s="28">
        <v>114</v>
      </c>
      <c r="E185" s="28">
        <v>174</v>
      </c>
      <c r="F185" s="28">
        <v>252</v>
      </c>
      <c r="G185" s="28">
        <v>300</v>
      </c>
      <c r="H185" s="28">
        <v>313</v>
      </c>
      <c r="I185" s="28">
        <v>327</v>
      </c>
      <c r="J185" s="28">
        <v>282</v>
      </c>
      <c r="K185" s="28">
        <v>230</v>
      </c>
      <c r="L185" s="28">
        <v>142</v>
      </c>
      <c r="M185" s="28">
        <v>75</v>
      </c>
      <c r="N185" s="62">
        <v>60</v>
      </c>
      <c r="O185" s="62">
        <v>2337</v>
      </c>
      <c r="P185" s="28">
        <v>743</v>
      </c>
      <c r="Q185" s="28">
        <v>978</v>
      </c>
      <c r="R185" s="28">
        <v>1252</v>
      </c>
    </row>
    <row r="186" spans="1:31" ht="13.15" hidden="1" customHeight="1">
      <c r="A186" s="28" t="s">
        <v>1214</v>
      </c>
      <c r="B186" s="62" t="s">
        <v>250</v>
      </c>
      <c r="C186" s="28">
        <v>34</v>
      </c>
      <c r="D186" s="28">
        <v>50</v>
      </c>
      <c r="E186" s="28">
        <v>80</v>
      </c>
      <c r="F186" s="28">
        <v>110</v>
      </c>
      <c r="G186" s="28">
        <v>162</v>
      </c>
      <c r="H186" s="28">
        <v>175</v>
      </c>
      <c r="I186" s="28">
        <v>167</v>
      </c>
      <c r="J186" s="28">
        <v>115</v>
      </c>
      <c r="K186" s="28">
        <v>89</v>
      </c>
      <c r="L186" s="28">
        <v>63</v>
      </c>
      <c r="M186" s="28">
        <v>35</v>
      </c>
      <c r="N186" s="62">
        <v>30</v>
      </c>
      <c r="O186" s="62">
        <v>1110</v>
      </c>
      <c r="P186" s="28">
        <v>345</v>
      </c>
      <c r="Q186" s="28">
        <v>457</v>
      </c>
      <c r="R186" s="28">
        <v>586</v>
      </c>
    </row>
    <row r="187" spans="1:31" hidden="1">
      <c r="B187" s="62"/>
      <c r="N187" s="62"/>
      <c r="O187" s="62"/>
    </row>
    <row r="188" spans="1:31" hidden="1">
      <c r="A188" s="28" t="s">
        <v>1215</v>
      </c>
      <c r="B188" s="62" t="s">
        <v>1808</v>
      </c>
      <c r="C188" s="28">
        <v>31</v>
      </c>
      <c r="D188" s="28">
        <v>28</v>
      </c>
      <c r="E188" s="28">
        <v>30</v>
      </c>
      <c r="F188" s="28">
        <v>18</v>
      </c>
      <c r="G188" s="28">
        <v>8</v>
      </c>
      <c r="H188" s="28">
        <v>2</v>
      </c>
      <c r="I188" s="28">
        <v>0</v>
      </c>
      <c r="J188" s="28">
        <v>0</v>
      </c>
      <c r="K188" s="28">
        <v>2</v>
      </c>
      <c r="L188" s="28">
        <v>16</v>
      </c>
      <c r="M188" s="28">
        <v>29</v>
      </c>
      <c r="N188" s="62">
        <v>31</v>
      </c>
      <c r="O188" s="62"/>
      <c r="P188" s="28">
        <v>195</v>
      </c>
    </row>
    <row r="189" spans="1:31" hidden="1">
      <c r="A189" s="28" t="s">
        <v>1809</v>
      </c>
      <c r="B189" s="62" t="s">
        <v>1810</v>
      </c>
      <c r="C189" s="28">
        <v>587</v>
      </c>
      <c r="D189" s="28">
        <v>482</v>
      </c>
      <c r="E189" s="28">
        <v>438</v>
      </c>
      <c r="F189" s="28">
        <v>213</v>
      </c>
      <c r="G189" s="28">
        <v>80</v>
      </c>
      <c r="H189" s="28">
        <v>15</v>
      </c>
      <c r="I189" s="28">
        <v>2</v>
      </c>
      <c r="J189" s="28">
        <v>0</v>
      </c>
      <c r="K189" s="28">
        <v>16</v>
      </c>
      <c r="L189" s="28">
        <v>177</v>
      </c>
      <c r="M189" s="28">
        <v>400</v>
      </c>
      <c r="N189" s="62">
        <v>570</v>
      </c>
      <c r="O189" s="62"/>
      <c r="P189" s="28">
        <v>2980</v>
      </c>
    </row>
    <row r="190" spans="1:31" hidden="1">
      <c r="B190" s="62"/>
      <c r="N190" s="62"/>
      <c r="O190" s="62"/>
    </row>
    <row r="191" spans="1:31" hidden="1">
      <c r="A191" s="28" t="s">
        <v>1886</v>
      </c>
      <c r="B191" s="62" t="s">
        <v>1808</v>
      </c>
      <c r="C191" s="28">
        <v>31</v>
      </c>
      <c r="D191" s="28">
        <v>28</v>
      </c>
      <c r="E191" s="28">
        <v>31</v>
      </c>
      <c r="F191" s="28">
        <v>24</v>
      </c>
      <c r="G191" s="28">
        <v>16</v>
      </c>
      <c r="H191" s="28">
        <v>4</v>
      </c>
      <c r="I191" s="28">
        <v>1</v>
      </c>
      <c r="J191" s="28">
        <v>1</v>
      </c>
      <c r="K191" s="28">
        <v>7</v>
      </c>
      <c r="L191" s="28">
        <v>24</v>
      </c>
      <c r="M191" s="28">
        <v>30</v>
      </c>
      <c r="N191" s="62">
        <v>31</v>
      </c>
      <c r="O191" s="62"/>
      <c r="Q191" s="28">
        <v>228</v>
      </c>
    </row>
    <row r="192" spans="1:31" hidden="1">
      <c r="A192" s="28" t="s">
        <v>1887</v>
      </c>
      <c r="B192" s="62" t="s">
        <v>1810</v>
      </c>
      <c r="C192" s="28">
        <v>649</v>
      </c>
      <c r="D192" s="28">
        <v>538</v>
      </c>
      <c r="E192" s="28">
        <v>508</v>
      </c>
      <c r="F192" s="28">
        <v>302</v>
      </c>
      <c r="G192" s="28">
        <v>165</v>
      </c>
      <c r="H192" s="28">
        <v>41</v>
      </c>
      <c r="I192" s="28">
        <v>12</v>
      </c>
      <c r="J192" s="28">
        <v>12</v>
      </c>
      <c r="K192" s="28">
        <v>65</v>
      </c>
      <c r="L192" s="28">
        <v>276</v>
      </c>
      <c r="M192" s="28">
        <v>465</v>
      </c>
      <c r="N192" s="62">
        <v>635</v>
      </c>
      <c r="O192" s="62"/>
      <c r="Q192" s="28">
        <v>3668</v>
      </c>
    </row>
    <row r="193" spans="1:31" hidden="1">
      <c r="B193" s="62"/>
      <c r="N193" s="62"/>
      <c r="O193" s="62"/>
    </row>
    <row r="194" spans="1:31" hidden="1">
      <c r="A194" s="28" t="s">
        <v>1434</v>
      </c>
      <c r="B194" s="62" t="s">
        <v>1808</v>
      </c>
      <c r="C194" s="28">
        <v>31</v>
      </c>
      <c r="D194" s="28">
        <v>28</v>
      </c>
      <c r="E194" s="28">
        <v>31</v>
      </c>
      <c r="F194" s="28">
        <v>28</v>
      </c>
      <c r="G194" s="28">
        <v>23</v>
      </c>
      <c r="H194" s="28">
        <v>8</v>
      </c>
      <c r="I194" s="28">
        <v>4</v>
      </c>
      <c r="J194" s="28">
        <v>5</v>
      </c>
      <c r="K194" s="28">
        <v>15</v>
      </c>
      <c r="L194" s="28">
        <v>28</v>
      </c>
      <c r="M194" s="28">
        <v>30</v>
      </c>
      <c r="N194" s="62">
        <v>31</v>
      </c>
      <c r="O194" s="62"/>
      <c r="R194" s="28">
        <v>262</v>
      </c>
    </row>
    <row r="195" spans="1:31" hidden="1">
      <c r="A195" s="28" t="s">
        <v>1435</v>
      </c>
      <c r="B195" s="62" t="s">
        <v>1810</v>
      </c>
      <c r="C195" s="28">
        <v>711</v>
      </c>
      <c r="D195" s="28">
        <v>594</v>
      </c>
      <c r="E195" s="28">
        <v>571</v>
      </c>
      <c r="F195" s="28">
        <v>385</v>
      </c>
      <c r="G195" s="28">
        <v>258</v>
      </c>
      <c r="H195" s="28">
        <v>87</v>
      </c>
      <c r="I195" s="28">
        <v>42</v>
      </c>
      <c r="J195" s="28">
        <v>51</v>
      </c>
      <c r="K195" s="28">
        <v>154</v>
      </c>
      <c r="L195" s="28">
        <v>361</v>
      </c>
      <c r="M195" s="28">
        <v>526</v>
      </c>
      <c r="N195" s="62">
        <v>697</v>
      </c>
      <c r="O195" s="62"/>
      <c r="R195" s="28">
        <v>4437</v>
      </c>
    </row>
    <row r="196" spans="1:31" ht="8.1" hidden="1" customHeight="1"/>
    <row r="197" spans="1:31" ht="8.1" hidden="1" customHeight="1"/>
    <row r="198" spans="1:31" ht="8.1" hidden="1" customHeight="1"/>
    <row r="199" spans="1:31" ht="8.1" hidden="1" customHeight="1"/>
    <row r="200" spans="1:31" ht="8.1" hidden="1" customHeight="1">
      <c r="M200" s="37"/>
    </row>
    <row r="201" spans="1:31" s="34" customFormat="1" ht="15.75" hidden="1">
      <c r="A201" s="61">
        <v>8</v>
      </c>
      <c r="B201" s="129"/>
      <c r="C201" s="129" t="s">
        <v>1582</v>
      </c>
      <c r="D201" s="129"/>
      <c r="E201" s="130"/>
      <c r="F201" s="130" t="s">
        <v>352</v>
      </c>
      <c r="G201" s="129">
        <v>435</v>
      </c>
      <c r="H201" s="131" t="s">
        <v>353</v>
      </c>
      <c r="I201" s="129"/>
      <c r="J201" s="129"/>
      <c r="K201" s="130" t="s">
        <v>354</v>
      </c>
      <c r="L201" s="131">
        <v>3</v>
      </c>
      <c r="M201" s="129" t="s">
        <v>355</v>
      </c>
      <c r="N201" s="131" t="s">
        <v>1583</v>
      </c>
      <c r="O201" s="130"/>
      <c r="P201" s="130" t="s">
        <v>357</v>
      </c>
      <c r="Q201" s="129">
        <v>-8</v>
      </c>
      <c r="R201" s="131" t="s">
        <v>2324</v>
      </c>
      <c r="S201" s="28"/>
      <c r="U201" s="368"/>
      <c r="V201" s="368"/>
      <c r="W201" s="368"/>
      <c r="X201" s="368"/>
      <c r="Y201" s="368"/>
      <c r="Z201" s="368"/>
      <c r="AA201" s="368"/>
      <c r="AB201" s="368"/>
      <c r="AC201" s="368"/>
      <c r="AD201" s="368"/>
      <c r="AE201" s="510"/>
    </row>
    <row r="202" spans="1:31" hidden="1">
      <c r="B202" s="62"/>
      <c r="N202" s="62"/>
      <c r="O202" s="62"/>
      <c r="P202" s="53" t="s">
        <v>358</v>
      </c>
      <c r="Q202" s="45"/>
      <c r="R202" s="45"/>
    </row>
    <row r="203" spans="1:31" s="34" customFormat="1" hidden="1">
      <c r="B203" s="65"/>
      <c r="C203" s="95" t="s">
        <v>489</v>
      </c>
      <c r="D203" s="95" t="s">
        <v>490</v>
      </c>
      <c r="E203" s="95" t="s">
        <v>491</v>
      </c>
      <c r="F203" s="95" t="s">
        <v>492</v>
      </c>
      <c r="G203" s="95" t="s">
        <v>493</v>
      </c>
      <c r="H203" s="95" t="s">
        <v>494</v>
      </c>
      <c r="I203" s="95" t="s">
        <v>495</v>
      </c>
      <c r="J203" s="95" t="s">
        <v>496</v>
      </c>
      <c r="K203" s="95" t="s">
        <v>497</v>
      </c>
      <c r="L203" s="95" t="s">
        <v>498</v>
      </c>
      <c r="M203" s="95" t="s">
        <v>499</v>
      </c>
      <c r="N203" s="126" t="s">
        <v>500</v>
      </c>
      <c r="O203" s="126" t="s">
        <v>501</v>
      </c>
      <c r="P203" s="132" t="s">
        <v>359</v>
      </c>
      <c r="Q203" s="133" t="s">
        <v>1207</v>
      </c>
      <c r="R203" s="133" t="s">
        <v>1208</v>
      </c>
      <c r="S203" s="28"/>
      <c r="U203" s="368"/>
      <c r="V203" s="368"/>
      <c r="W203" s="368"/>
      <c r="X203" s="368"/>
      <c r="Y203" s="368"/>
      <c r="Z203" s="368"/>
      <c r="AA203" s="368"/>
      <c r="AB203" s="368"/>
      <c r="AC203" s="368"/>
      <c r="AD203" s="368"/>
      <c r="AE203" s="510"/>
    </row>
    <row r="204" spans="1:31" hidden="1">
      <c r="B204" s="62"/>
      <c r="N204" s="62"/>
      <c r="O204" s="62"/>
    </row>
    <row r="205" spans="1:31" hidden="1">
      <c r="A205" s="28" t="s">
        <v>1209</v>
      </c>
      <c r="B205" s="62" t="s">
        <v>2324</v>
      </c>
      <c r="C205" s="28">
        <v>-1.4</v>
      </c>
      <c r="D205" s="28">
        <v>0.8</v>
      </c>
      <c r="E205" s="28">
        <v>3.7</v>
      </c>
      <c r="F205" s="28">
        <v>9</v>
      </c>
      <c r="G205" s="28">
        <v>12.5</v>
      </c>
      <c r="H205" s="28">
        <v>16.3</v>
      </c>
      <c r="I205" s="28">
        <v>17.8</v>
      </c>
      <c r="J205" s="28">
        <v>16.600000000000001</v>
      </c>
      <c r="K205" s="28">
        <v>14.2</v>
      </c>
      <c r="L205" s="28">
        <v>9.5</v>
      </c>
      <c r="M205" s="28">
        <v>4</v>
      </c>
      <c r="N205" s="62">
        <v>-1</v>
      </c>
      <c r="O205" s="62">
        <v>8.5</v>
      </c>
      <c r="P205" s="28">
        <v>2.4</v>
      </c>
      <c r="Q205" s="28">
        <v>3.7</v>
      </c>
      <c r="R205" s="28">
        <v>4.9000000000000004</v>
      </c>
    </row>
    <row r="206" spans="1:31" hidden="1">
      <c r="B206" s="62"/>
      <c r="N206" s="62"/>
      <c r="O206" s="62"/>
    </row>
    <row r="207" spans="1:31" ht="13.15" hidden="1" customHeight="1">
      <c r="A207" s="28" t="s">
        <v>1210</v>
      </c>
      <c r="B207" s="62" t="s">
        <v>250</v>
      </c>
      <c r="C207" s="28">
        <v>94</v>
      </c>
      <c r="D207" s="28">
        <v>168</v>
      </c>
      <c r="E207" s="28">
        <v>302</v>
      </c>
      <c r="F207" s="28">
        <v>448</v>
      </c>
      <c r="G207" s="28">
        <v>566</v>
      </c>
      <c r="H207" s="28">
        <v>620</v>
      </c>
      <c r="I207" s="28">
        <v>645</v>
      </c>
      <c r="J207" s="28">
        <v>528</v>
      </c>
      <c r="K207" s="28">
        <v>387</v>
      </c>
      <c r="L207" s="28">
        <v>228</v>
      </c>
      <c r="M207" s="28">
        <v>106</v>
      </c>
      <c r="N207" s="62">
        <v>77</v>
      </c>
      <c r="O207" s="62">
        <v>4169</v>
      </c>
      <c r="P207" s="28">
        <v>1181</v>
      </c>
      <c r="Q207" s="28">
        <v>1597</v>
      </c>
      <c r="R207" s="28">
        <v>2089</v>
      </c>
    </row>
    <row r="208" spans="1:31" ht="13.15" hidden="1" customHeight="1">
      <c r="A208" s="28" t="s">
        <v>1211</v>
      </c>
      <c r="B208" s="62" t="s">
        <v>250</v>
      </c>
      <c r="C208" s="28">
        <v>149</v>
      </c>
      <c r="D208" s="28">
        <v>220</v>
      </c>
      <c r="E208" s="28">
        <v>284</v>
      </c>
      <c r="F208" s="28">
        <v>314</v>
      </c>
      <c r="G208" s="28">
        <v>300</v>
      </c>
      <c r="H208" s="28">
        <v>291</v>
      </c>
      <c r="I208" s="28">
        <v>316</v>
      </c>
      <c r="J208" s="28">
        <v>338</v>
      </c>
      <c r="K208" s="28">
        <v>348</v>
      </c>
      <c r="L208" s="28">
        <v>274</v>
      </c>
      <c r="M208" s="28">
        <v>170</v>
      </c>
      <c r="N208" s="62">
        <v>144</v>
      </c>
      <c r="O208" s="62">
        <v>3148</v>
      </c>
      <c r="P208" s="28">
        <v>1294</v>
      </c>
      <c r="Q208" s="28">
        <v>1592</v>
      </c>
      <c r="R208" s="28">
        <v>1937</v>
      </c>
    </row>
    <row r="209" spans="1:18" ht="13.15" hidden="1" customHeight="1">
      <c r="A209" s="28" t="s">
        <v>1212</v>
      </c>
      <c r="B209" s="62" t="s">
        <v>250</v>
      </c>
      <c r="C209" s="28">
        <v>57</v>
      </c>
      <c r="D209" s="28">
        <v>97</v>
      </c>
      <c r="E209" s="28">
        <v>172</v>
      </c>
      <c r="F209" s="28">
        <v>242</v>
      </c>
      <c r="G209" s="28">
        <v>300</v>
      </c>
      <c r="H209" s="28">
        <v>322</v>
      </c>
      <c r="I209" s="28">
        <v>329</v>
      </c>
      <c r="J209" s="28">
        <v>285</v>
      </c>
      <c r="K209" s="28">
        <v>213</v>
      </c>
      <c r="L209" s="28">
        <v>128</v>
      </c>
      <c r="M209" s="28">
        <v>63</v>
      </c>
      <c r="N209" s="62">
        <v>50</v>
      </c>
      <c r="O209" s="62">
        <v>2258</v>
      </c>
      <c r="P209" s="28">
        <v>674</v>
      </c>
      <c r="Q209" s="28">
        <v>898</v>
      </c>
      <c r="R209" s="28">
        <v>1162</v>
      </c>
    </row>
    <row r="210" spans="1:18" ht="13.15" hidden="1" customHeight="1">
      <c r="A210" s="28" t="s">
        <v>1213</v>
      </c>
      <c r="B210" s="62" t="s">
        <v>250</v>
      </c>
      <c r="C210" s="28">
        <v>67</v>
      </c>
      <c r="D210" s="28">
        <v>111</v>
      </c>
      <c r="E210" s="28">
        <v>172</v>
      </c>
      <c r="F210" s="28">
        <v>246</v>
      </c>
      <c r="G210" s="28">
        <v>294</v>
      </c>
      <c r="H210" s="28">
        <v>310</v>
      </c>
      <c r="I210" s="28">
        <v>329</v>
      </c>
      <c r="J210" s="28">
        <v>285</v>
      </c>
      <c r="K210" s="28">
        <v>228</v>
      </c>
      <c r="L210" s="28">
        <v>139</v>
      </c>
      <c r="M210" s="28">
        <v>71</v>
      </c>
      <c r="N210" s="62">
        <v>58</v>
      </c>
      <c r="O210" s="62">
        <v>2310</v>
      </c>
      <c r="P210" s="28">
        <v>719</v>
      </c>
      <c r="Q210" s="28">
        <v>947</v>
      </c>
      <c r="R210" s="28">
        <v>1216</v>
      </c>
    </row>
    <row r="211" spans="1:18" ht="13.15" hidden="1" customHeight="1">
      <c r="A211" s="28" t="s">
        <v>1214</v>
      </c>
      <c r="B211" s="62" t="s">
        <v>250</v>
      </c>
      <c r="C211" s="28">
        <v>33</v>
      </c>
      <c r="D211" s="28">
        <v>49</v>
      </c>
      <c r="E211" s="28">
        <v>79</v>
      </c>
      <c r="F211" s="28">
        <v>108</v>
      </c>
      <c r="G211" s="28">
        <v>158</v>
      </c>
      <c r="H211" s="28">
        <v>174</v>
      </c>
      <c r="I211" s="28">
        <v>168</v>
      </c>
      <c r="J211" s="28">
        <v>116</v>
      </c>
      <c r="K211" s="28">
        <v>89</v>
      </c>
      <c r="L211" s="28">
        <v>62</v>
      </c>
      <c r="M211" s="28">
        <v>33</v>
      </c>
      <c r="N211" s="62">
        <v>28</v>
      </c>
      <c r="O211" s="62">
        <v>1097</v>
      </c>
      <c r="P211" s="28">
        <v>333</v>
      </c>
      <c r="Q211" s="28">
        <v>441</v>
      </c>
      <c r="R211" s="28">
        <v>567</v>
      </c>
    </row>
    <row r="212" spans="1:18" hidden="1">
      <c r="B212" s="62"/>
      <c r="N212" s="62"/>
      <c r="O212" s="62"/>
    </row>
    <row r="213" spans="1:18" hidden="1">
      <c r="A213" s="28" t="s">
        <v>1215</v>
      </c>
      <c r="B213" s="62" t="s">
        <v>1808</v>
      </c>
      <c r="C213" s="28">
        <v>31</v>
      </c>
      <c r="D213" s="28">
        <v>28</v>
      </c>
      <c r="E213" s="28">
        <v>30</v>
      </c>
      <c r="F213" s="28">
        <v>18</v>
      </c>
      <c r="G213" s="28">
        <v>8</v>
      </c>
      <c r="H213" s="28">
        <v>1</v>
      </c>
      <c r="I213" s="28">
        <v>0</v>
      </c>
      <c r="J213" s="28">
        <v>0</v>
      </c>
      <c r="K213" s="28">
        <v>2</v>
      </c>
      <c r="L213" s="28">
        <v>16</v>
      </c>
      <c r="M213" s="28">
        <v>29</v>
      </c>
      <c r="N213" s="62">
        <v>31</v>
      </c>
      <c r="O213" s="62"/>
      <c r="P213" s="28">
        <v>194</v>
      </c>
    </row>
    <row r="214" spans="1:18" hidden="1">
      <c r="A214" s="28" t="s">
        <v>1809</v>
      </c>
      <c r="B214" s="62" t="s">
        <v>1810</v>
      </c>
      <c r="C214" s="28">
        <v>601</v>
      </c>
      <c r="D214" s="28">
        <v>482</v>
      </c>
      <c r="E214" s="28">
        <v>437</v>
      </c>
      <c r="F214" s="28">
        <v>208</v>
      </c>
      <c r="G214" s="28">
        <v>76</v>
      </c>
      <c r="H214" s="28">
        <v>14</v>
      </c>
      <c r="I214" s="28">
        <v>2</v>
      </c>
      <c r="J214" s="28">
        <v>1</v>
      </c>
      <c r="K214" s="28">
        <v>16</v>
      </c>
      <c r="L214" s="28">
        <v>184</v>
      </c>
      <c r="M214" s="28">
        <v>413</v>
      </c>
      <c r="N214" s="62">
        <v>587</v>
      </c>
      <c r="O214" s="62"/>
      <c r="P214" s="28">
        <v>3021</v>
      </c>
    </row>
    <row r="215" spans="1:18" hidden="1">
      <c r="B215" s="62"/>
      <c r="N215" s="62"/>
      <c r="O215" s="62"/>
    </row>
    <row r="216" spans="1:18" hidden="1">
      <c r="A216" s="28" t="s">
        <v>1886</v>
      </c>
      <c r="B216" s="62" t="s">
        <v>1808</v>
      </c>
      <c r="C216" s="28">
        <v>31</v>
      </c>
      <c r="D216" s="28">
        <v>28</v>
      </c>
      <c r="E216" s="28">
        <v>31</v>
      </c>
      <c r="F216" s="28">
        <v>23</v>
      </c>
      <c r="G216" s="28">
        <v>15</v>
      </c>
      <c r="H216" s="28">
        <v>4</v>
      </c>
      <c r="I216" s="28">
        <v>2</v>
      </c>
      <c r="J216" s="28">
        <v>2</v>
      </c>
      <c r="K216" s="28">
        <v>8</v>
      </c>
      <c r="L216" s="28">
        <v>23</v>
      </c>
      <c r="M216" s="28">
        <v>29</v>
      </c>
      <c r="N216" s="62">
        <v>31</v>
      </c>
      <c r="O216" s="62"/>
      <c r="Q216" s="28">
        <v>227</v>
      </c>
    </row>
    <row r="217" spans="1:18" hidden="1">
      <c r="A217" s="28" t="s">
        <v>1887</v>
      </c>
      <c r="B217" s="62" t="s">
        <v>1810</v>
      </c>
      <c r="C217" s="28">
        <v>663</v>
      </c>
      <c r="D217" s="28">
        <v>538</v>
      </c>
      <c r="E217" s="28">
        <v>504</v>
      </c>
      <c r="F217" s="28">
        <v>287</v>
      </c>
      <c r="G217" s="28">
        <v>154</v>
      </c>
      <c r="H217" s="28">
        <v>36</v>
      </c>
      <c r="I217" s="28">
        <v>15</v>
      </c>
      <c r="J217" s="28">
        <v>18</v>
      </c>
      <c r="K217" s="28">
        <v>73</v>
      </c>
      <c r="L217" s="28">
        <v>278</v>
      </c>
      <c r="M217" s="28">
        <v>478</v>
      </c>
      <c r="N217" s="62">
        <v>651</v>
      </c>
      <c r="O217" s="62"/>
      <c r="Q217" s="28">
        <v>3695</v>
      </c>
    </row>
    <row r="218" spans="1:18" hidden="1">
      <c r="B218" s="62"/>
      <c r="N218" s="62"/>
      <c r="O218" s="62"/>
    </row>
    <row r="219" spans="1:18" hidden="1">
      <c r="A219" s="28" t="s">
        <v>1434</v>
      </c>
      <c r="B219" s="62" t="s">
        <v>1808</v>
      </c>
      <c r="C219" s="28">
        <v>31</v>
      </c>
      <c r="D219" s="28">
        <v>28</v>
      </c>
      <c r="E219" s="28">
        <v>31</v>
      </c>
      <c r="F219" s="28">
        <v>27</v>
      </c>
      <c r="G219" s="28">
        <v>21</v>
      </c>
      <c r="H219" s="28">
        <v>8</v>
      </c>
      <c r="I219" s="28">
        <v>5</v>
      </c>
      <c r="J219" s="28">
        <v>6</v>
      </c>
      <c r="K219" s="28">
        <v>16</v>
      </c>
      <c r="L219" s="28">
        <v>28</v>
      </c>
      <c r="M219" s="28">
        <v>30</v>
      </c>
      <c r="N219" s="62">
        <v>31</v>
      </c>
      <c r="O219" s="62"/>
      <c r="R219" s="28">
        <v>262</v>
      </c>
    </row>
    <row r="220" spans="1:18" hidden="1">
      <c r="A220" s="28" t="s">
        <v>1435</v>
      </c>
      <c r="B220" s="62" t="s">
        <v>1810</v>
      </c>
      <c r="C220" s="28">
        <v>725</v>
      </c>
      <c r="D220" s="28">
        <v>594</v>
      </c>
      <c r="E220" s="28">
        <v>567</v>
      </c>
      <c r="F220" s="28">
        <v>371</v>
      </c>
      <c r="G220" s="28">
        <v>242</v>
      </c>
      <c r="H220" s="28">
        <v>81</v>
      </c>
      <c r="I220" s="28">
        <v>45</v>
      </c>
      <c r="J220" s="28">
        <v>61</v>
      </c>
      <c r="K220" s="28">
        <v>164</v>
      </c>
      <c r="L220" s="28">
        <v>365</v>
      </c>
      <c r="M220" s="28">
        <v>540</v>
      </c>
      <c r="N220" s="62">
        <v>713</v>
      </c>
      <c r="O220" s="62"/>
      <c r="R220" s="28">
        <v>4468</v>
      </c>
    </row>
    <row r="221" spans="1:18" ht="8.1" hidden="1" customHeight="1"/>
    <row r="222" spans="1:18" ht="8.1" hidden="1" customHeight="1"/>
    <row r="223" spans="1:18" ht="8.1" hidden="1" customHeight="1"/>
    <row r="224" spans="1:18" ht="8.1" hidden="1" customHeight="1"/>
    <row r="225" spans="1:31" ht="8.1" hidden="1" customHeight="1">
      <c r="M225" s="37"/>
    </row>
    <row r="226" spans="1:31" s="34" customFormat="1" ht="15.75" hidden="1">
      <c r="A226" s="61">
        <v>9</v>
      </c>
      <c r="B226" s="129"/>
      <c r="C226" s="129" t="s">
        <v>1584</v>
      </c>
      <c r="D226" s="129"/>
      <c r="E226" s="130"/>
      <c r="F226" s="130" t="s">
        <v>352</v>
      </c>
      <c r="G226" s="129">
        <v>330</v>
      </c>
      <c r="H226" s="131" t="s">
        <v>353</v>
      </c>
      <c r="I226" s="129"/>
      <c r="J226" s="129"/>
      <c r="K226" s="130" t="s">
        <v>354</v>
      </c>
      <c r="L226" s="131">
        <v>3</v>
      </c>
      <c r="M226" s="129" t="s">
        <v>355</v>
      </c>
      <c r="N226" s="131" t="s">
        <v>1585</v>
      </c>
      <c r="O226" s="130"/>
      <c r="P226" s="130" t="s">
        <v>357</v>
      </c>
      <c r="Q226" s="129">
        <v>-8</v>
      </c>
      <c r="R226" s="131" t="s">
        <v>2324</v>
      </c>
      <c r="S226" s="28"/>
      <c r="U226" s="368"/>
      <c r="V226" s="368"/>
      <c r="W226" s="368"/>
      <c r="X226" s="368"/>
      <c r="Y226" s="368"/>
      <c r="Z226" s="368"/>
      <c r="AA226" s="368"/>
      <c r="AB226" s="368"/>
      <c r="AC226" s="368"/>
      <c r="AD226" s="368"/>
      <c r="AE226" s="510"/>
    </row>
    <row r="227" spans="1:31" hidden="1">
      <c r="B227" s="62"/>
      <c r="N227" s="62"/>
      <c r="O227" s="62"/>
      <c r="P227" s="53" t="s">
        <v>358</v>
      </c>
      <c r="Q227" s="45"/>
      <c r="R227" s="45"/>
    </row>
    <row r="228" spans="1:31" s="34" customFormat="1" hidden="1">
      <c r="B228" s="65"/>
      <c r="C228" s="95" t="s">
        <v>489</v>
      </c>
      <c r="D228" s="95" t="s">
        <v>490</v>
      </c>
      <c r="E228" s="95" t="s">
        <v>491</v>
      </c>
      <c r="F228" s="95" t="s">
        <v>492</v>
      </c>
      <c r="G228" s="95" t="s">
        <v>493</v>
      </c>
      <c r="H228" s="95" t="s">
        <v>494</v>
      </c>
      <c r="I228" s="95" t="s">
        <v>495</v>
      </c>
      <c r="J228" s="95" t="s">
        <v>496</v>
      </c>
      <c r="K228" s="95" t="s">
        <v>497</v>
      </c>
      <c r="L228" s="95" t="s">
        <v>498</v>
      </c>
      <c r="M228" s="95" t="s">
        <v>499</v>
      </c>
      <c r="N228" s="126" t="s">
        <v>500</v>
      </c>
      <c r="O228" s="126" t="s">
        <v>501</v>
      </c>
      <c r="P228" s="132" t="s">
        <v>359</v>
      </c>
      <c r="Q228" s="133" t="s">
        <v>1207</v>
      </c>
      <c r="R228" s="133" t="s">
        <v>1208</v>
      </c>
      <c r="S228" s="28"/>
      <c r="U228" s="368"/>
      <c r="V228" s="368"/>
      <c r="W228" s="368"/>
      <c r="X228" s="368"/>
      <c r="Y228" s="368"/>
      <c r="Z228" s="368"/>
      <c r="AA228" s="368"/>
      <c r="AB228" s="368"/>
      <c r="AC228" s="368"/>
      <c r="AD228" s="368"/>
      <c r="AE228" s="510"/>
    </row>
    <row r="229" spans="1:31" hidden="1">
      <c r="B229" s="62"/>
      <c r="N229" s="62"/>
      <c r="O229" s="62"/>
    </row>
    <row r="230" spans="1:31" hidden="1">
      <c r="A230" s="28" t="s">
        <v>1209</v>
      </c>
      <c r="B230" s="62" t="s">
        <v>2324</v>
      </c>
      <c r="C230" s="28">
        <v>-0.5</v>
      </c>
      <c r="D230" s="28">
        <v>1.4</v>
      </c>
      <c r="E230" s="28">
        <v>4</v>
      </c>
      <c r="F230" s="28">
        <v>8.8000000000000007</v>
      </c>
      <c r="G230" s="28">
        <v>12.4</v>
      </c>
      <c r="H230" s="28">
        <v>16.399999999999999</v>
      </c>
      <c r="I230" s="28">
        <v>18</v>
      </c>
      <c r="J230" s="28">
        <v>16.8</v>
      </c>
      <c r="K230" s="28">
        <v>14.5</v>
      </c>
      <c r="L230" s="28">
        <v>10.1</v>
      </c>
      <c r="M230" s="28">
        <v>4.8</v>
      </c>
      <c r="N230" s="62">
        <v>0.2</v>
      </c>
      <c r="O230" s="62">
        <v>8.9</v>
      </c>
      <c r="P230" s="28">
        <v>3</v>
      </c>
      <c r="Q230" s="28">
        <v>4.0999999999999996</v>
      </c>
      <c r="R230" s="28">
        <v>5.3</v>
      </c>
    </row>
    <row r="231" spans="1:31" hidden="1">
      <c r="B231" s="62"/>
      <c r="N231" s="62"/>
      <c r="O231" s="62"/>
    </row>
    <row r="232" spans="1:31" ht="13.15" hidden="1" customHeight="1">
      <c r="A232" s="28" t="s">
        <v>1210</v>
      </c>
      <c r="B232" s="62" t="s">
        <v>250</v>
      </c>
      <c r="C232" s="28">
        <v>86</v>
      </c>
      <c r="D232" s="28">
        <v>162</v>
      </c>
      <c r="E232" s="28">
        <v>299</v>
      </c>
      <c r="F232" s="28">
        <v>450</v>
      </c>
      <c r="G232" s="28">
        <v>565</v>
      </c>
      <c r="H232" s="28">
        <v>623</v>
      </c>
      <c r="I232" s="28">
        <v>652</v>
      </c>
      <c r="J232" s="28">
        <v>529</v>
      </c>
      <c r="K232" s="28">
        <v>385</v>
      </c>
      <c r="L232" s="28">
        <v>220</v>
      </c>
      <c r="M232" s="28">
        <v>101</v>
      </c>
      <c r="N232" s="62">
        <v>72</v>
      </c>
      <c r="O232" s="62">
        <v>4144</v>
      </c>
      <c r="P232" s="28">
        <v>1139</v>
      </c>
      <c r="Q232" s="28">
        <v>1509</v>
      </c>
      <c r="R232" s="28">
        <v>2004</v>
      </c>
    </row>
    <row r="233" spans="1:31" ht="13.15" hidden="1" customHeight="1">
      <c r="A233" s="28" t="s">
        <v>1211</v>
      </c>
      <c r="B233" s="62" t="s">
        <v>250</v>
      </c>
      <c r="C233" s="28">
        <v>137</v>
      </c>
      <c r="D233" s="28">
        <v>212</v>
      </c>
      <c r="E233" s="28">
        <v>281</v>
      </c>
      <c r="F233" s="28">
        <v>315</v>
      </c>
      <c r="G233" s="28">
        <v>299</v>
      </c>
      <c r="H233" s="28">
        <v>293</v>
      </c>
      <c r="I233" s="28">
        <v>319</v>
      </c>
      <c r="J233" s="28">
        <v>339</v>
      </c>
      <c r="K233" s="28">
        <v>347</v>
      </c>
      <c r="L233" s="28">
        <v>264</v>
      </c>
      <c r="M233" s="28">
        <v>162</v>
      </c>
      <c r="N233" s="62">
        <v>135</v>
      </c>
      <c r="O233" s="62">
        <v>3103</v>
      </c>
      <c r="P233" s="28">
        <v>1232</v>
      </c>
      <c r="Q233" s="28">
        <v>1501</v>
      </c>
      <c r="R233" s="28">
        <v>1850</v>
      </c>
    </row>
    <row r="234" spans="1:31" ht="13.15" hidden="1" customHeight="1">
      <c r="A234" s="28" t="s">
        <v>1212</v>
      </c>
      <c r="B234" s="62" t="s">
        <v>250</v>
      </c>
      <c r="C234" s="28">
        <v>52</v>
      </c>
      <c r="D234" s="28">
        <v>94</v>
      </c>
      <c r="E234" s="28">
        <v>170</v>
      </c>
      <c r="F234" s="28">
        <v>243</v>
      </c>
      <c r="G234" s="28">
        <v>299</v>
      </c>
      <c r="H234" s="28">
        <v>324</v>
      </c>
      <c r="I234" s="28">
        <v>333</v>
      </c>
      <c r="J234" s="28">
        <v>286</v>
      </c>
      <c r="K234" s="28">
        <v>212</v>
      </c>
      <c r="L234" s="28">
        <v>123</v>
      </c>
      <c r="M234" s="28">
        <v>60</v>
      </c>
      <c r="N234" s="62">
        <v>47</v>
      </c>
      <c r="O234" s="62">
        <v>2243</v>
      </c>
      <c r="P234" s="28">
        <v>648</v>
      </c>
      <c r="Q234" s="28">
        <v>848</v>
      </c>
      <c r="R234" s="28">
        <v>1114</v>
      </c>
    </row>
    <row r="235" spans="1:31" ht="13.15" hidden="1" customHeight="1">
      <c r="A235" s="28" t="s">
        <v>1213</v>
      </c>
      <c r="B235" s="62" t="s">
        <v>250</v>
      </c>
      <c r="C235" s="28">
        <v>61</v>
      </c>
      <c r="D235" s="28">
        <v>107</v>
      </c>
      <c r="E235" s="28">
        <v>170</v>
      </c>
      <c r="F235" s="28">
        <v>248</v>
      </c>
      <c r="G235" s="28">
        <v>294</v>
      </c>
      <c r="H235" s="28">
        <v>312</v>
      </c>
      <c r="I235" s="28">
        <v>333</v>
      </c>
      <c r="J235" s="28">
        <v>286</v>
      </c>
      <c r="K235" s="28">
        <v>227</v>
      </c>
      <c r="L235" s="28">
        <v>134</v>
      </c>
      <c r="M235" s="28">
        <v>68</v>
      </c>
      <c r="N235" s="62">
        <v>54</v>
      </c>
      <c r="O235" s="62">
        <v>2294</v>
      </c>
      <c r="P235" s="28">
        <v>691</v>
      </c>
      <c r="Q235" s="28">
        <v>894</v>
      </c>
      <c r="R235" s="28">
        <v>1165</v>
      </c>
    </row>
    <row r="236" spans="1:31" ht="13.15" hidden="1" customHeight="1">
      <c r="A236" s="28" t="s">
        <v>1214</v>
      </c>
      <c r="B236" s="62" t="s">
        <v>250</v>
      </c>
      <c r="C236" s="28">
        <v>30</v>
      </c>
      <c r="D236" s="28">
        <v>47</v>
      </c>
      <c r="E236" s="28">
        <v>78</v>
      </c>
      <c r="F236" s="28">
        <v>108</v>
      </c>
      <c r="G236" s="28">
        <v>158</v>
      </c>
      <c r="H236" s="28">
        <v>174</v>
      </c>
      <c r="I236" s="28">
        <v>170</v>
      </c>
      <c r="J236" s="28">
        <v>116</v>
      </c>
      <c r="K236" s="28">
        <v>89</v>
      </c>
      <c r="L236" s="28">
        <v>59</v>
      </c>
      <c r="M236" s="28">
        <v>31</v>
      </c>
      <c r="N236" s="62">
        <v>27</v>
      </c>
      <c r="O236" s="62">
        <v>1087</v>
      </c>
      <c r="P236" s="28">
        <v>318</v>
      </c>
      <c r="Q236" s="28">
        <v>415</v>
      </c>
      <c r="R236" s="28">
        <v>543</v>
      </c>
    </row>
    <row r="237" spans="1:31" hidden="1">
      <c r="B237" s="62"/>
      <c r="N237" s="62"/>
      <c r="O237" s="62"/>
    </row>
    <row r="238" spans="1:31" hidden="1">
      <c r="A238" s="28" t="s">
        <v>1215</v>
      </c>
      <c r="B238" s="62" t="s">
        <v>1808</v>
      </c>
      <c r="C238" s="28">
        <v>31</v>
      </c>
      <c r="D238" s="28">
        <v>28</v>
      </c>
      <c r="E238" s="28">
        <v>30</v>
      </c>
      <c r="F238" s="28">
        <v>19</v>
      </c>
      <c r="G238" s="28">
        <v>7</v>
      </c>
      <c r="H238" s="28">
        <v>1</v>
      </c>
      <c r="I238" s="28">
        <v>0</v>
      </c>
      <c r="J238" s="28">
        <v>0</v>
      </c>
      <c r="K238" s="28">
        <v>2</v>
      </c>
      <c r="L238" s="28">
        <v>15</v>
      </c>
      <c r="M238" s="28">
        <v>28</v>
      </c>
      <c r="N238" s="62">
        <v>30</v>
      </c>
      <c r="O238" s="62"/>
      <c r="P238" s="28">
        <v>191</v>
      </c>
    </row>
    <row r="239" spans="1:31" hidden="1">
      <c r="A239" s="28" t="s">
        <v>1809</v>
      </c>
      <c r="B239" s="62" t="s">
        <v>1810</v>
      </c>
      <c r="C239" s="28">
        <v>572</v>
      </c>
      <c r="D239" s="28">
        <v>462</v>
      </c>
      <c r="E239" s="28">
        <v>428</v>
      </c>
      <c r="F239" s="28">
        <v>213</v>
      </c>
      <c r="G239" s="28">
        <v>67</v>
      </c>
      <c r="H239" s="28">
        <v>7</v>
      </c>
      <c r="I239" s="28">
        <v>0</v>
      </c>
      <c r="J239" s="28">
        <v>0</v>
      </c>
      <c r="K239" s="28">
        <v>14</v>
      </c>
      <c r="L239" s="28">
        <v>165</v>
      </c>
      <c r="M239" s="28">
        <v>383</v>
      </c>
      <c r="N239" s="62">
        <v>549</v>
      </c>
      <c r="O239" s="62"/>
      <c r="P239" s="28">
        <v>2860</v>
      </c>
    </row>
    <row r="240" spans="1:31" hidden="1">
      <c r="B240" s="62"/>
      <c r="N240" s="62"/>
      <c r="O240" s="62"/>
    </row>
    <row r="241" spans="1:31" hidden="1">
      <c r="A241" s="28" t="s">
        <v>1886</v>
      </c>
      <c r="B241" s="62" t="s">
        <v>1808</v>
      </c>
      <c r="C241" s="28">
        <v>31</v>
      </c>
      <c r="D241" s="28">
        <v>28</v>
      </c>
      <c r="E241" s="28">
        <v>31</v>
      </c>
      <c r="F241" s="28">
        <v>24</v>
      </c>
      <c r="G241" s="28">
        <v>15</v>
      </c>
      <c r="H241" s="28">
        <v>3</v>
      </c>
      <c r="I241" s="28">
        <v>1</v>
      </c>
      <c r="J241" s="28">
        <v>1</v>
      </c>
      <c r="K241" s="28">
        <v>6</v>
      </c>
      <c r="L241" s="28">
        <v>21</v>
      </c>
      <c r="M241" s="28">
        <v>29</v>
      </c>
      <c r="N241" s="62">
        <v>31</v>
      </c>
      <c r="O241" s="62"/>
      <c r="Q241" s="28">
        <v>221</v>
      </c>
    </row>
    <row r="242" spans="1:31" hidden="1">
      <c r="A242" s="28" t="s">
        <v>1887</v>
      </c>
      <c r="B242" s="62" t="s">
        <v>1810</v>
      </c>
      <c r="C242" s="28">
        <v>634</v>
      </c>
      <c r="D242" s="28">
        <v>520</v>
      </c>
      <c r="E242" s="28">
        <v>497</v>
      </c>
      <c r="F242" s="28">
        <v>295</v>
      </c>
      <c r="G242" s="28">
        <v>149</v>
      </c>
      <c r="H242" s="28">
        <v>26</v>
      </c>
      <c r="I242" s="28">
        <v>8</v>
      </c>
      <c r="J242" s="28">
        <v>10</v>
      </c>
      <c r="K242" s="28">
        <v>56</v>
      </c>
      <c r="L242" s="28">
        <v>249</v>
      </c>
      <c r="M242" s="28">
        <v>453</v>
      </c>
      <c r="N242" s="62">
        <v>613</v>
      </c>
      <c r="O242" s="62"/>
      <c r="Q242" s="28">
        <v>3510</v>
      </c>
    </row>
    <row r="243" spans="1:31" hidden="1">
      <c r="B243" s="62"/>
      <c r="N243" s="62"/>
      <c r="O243" s="62"/>
    </row>
    <row r="244" spans="1:31" hidden="1">
      <c r="A244" s="28" t="s">
        <v>1434</v>
      </c>
      <c r="B244" s="62" t="s">
        <v>1808</v>
      </c>
      <c r="C244" s="28">
        <v>31</v>
      </c>
      <c r="D244" s="28">
        <v>28</v>
      </c>
      <c r="E244" s="28">
        <v>31</v>
      </c>
      <c r="F244" s="28">
        <v>28</v>
      </c>
      <c r="G244" s="28">
        <v>22</v>
      </c>
      <c r="H244" s="28">
        <v>7</v>
      </c>
      <c r="I244" s="28">
        <v>3</v>
      </c>
      <c r="J244" s="28">
        <v>5</v>
      </c>
      <c r="K244" s="28">
        <v>14</v>
      </c>
      <c r="L244" s="28">
        <v>27</v>
      </c>
      <c r="M244" s="28">
        <v>30</v>
      </c>
      <c r="N244" s="62">
        <v>31</v>
      </c>
      <c r="O244" s="62"/>
      <c r="R244" s="28">
        <v>257</v>
      </c>
    </row>
    <row r="245" spans="1:31" hidden="1">
      <c r="A245" s="28" t="s">
        <v>1435</v>
      </c>
      <c r="B245" s="62" t="s">
        <v>1810</v>
      </c>
      <c r="C245" s="28">
        <v>696</v>
      </c>
      <c r="D245" s="28">
        <v>576</v>
      </c>
      <c r="E245" s="28">
        <v>560</v>
      </c>
      <c r="F245" s="28">
        <v>379</v>
      </c>
      <c r="G245" s="28">
        <v>249</v>
      </c>
      <c r="H245" s="28">
        <v>71</v>
      </c>
      <c r="I245" s="28">
        <v>31</v>
      </c>
      <c r="J245" s="28">
        <v>48</v>
      </c>
      <c r="K245" s="28">
        <v>144</v>
      </c>
      <c r="L245" s="28">
        <v>342</v>
      </c>
      <c r="M245" s="28">
        <v>515</v>
      </c>
      <c r="N245" s="62">
        <v>677</v>
      </c>
      <c r="O245" s="62"/>
      <c r="R245" s="28">
        <v>4288</v>
      </c>
    </row>
    <row r="246" spans="1:31" ht="8.1" hidden="1" customHeight="1"/>
    <row r="247" spans="1:31" ht="8.1" hidden="1" customHeight="1"/>
    <row r="248" spans="1:31" ht="8.1" hidden="1" customHeight="1"/>
    <row r="249" spans="1:31" ht="8.1" hidden="1" customHeight="1"/>
    <row r="250" spans="1:31" ht="8.1" hidden="1" customHeight="1">
      <c r="M250" s="37"/>
    </row>
    <row r="251" spans="1:31" s="34" customFormat="1" ht="15.75" hidden="1">
      <c r="A251" s="61">
        <v>10</v>
      </c>
      <c r="B251" s="129"/>
      <c r="C251" s="129" t="s">
        <v>1586</v>
      </c>
      <c r="D251" s="129"/>
      <c r="E251" s="130"/>
      <c r="F251" s="130" t="s">
        <v>352</v>
      </c>
      <c r="G251" s="129">
        <v>572</v>
      </c>
      <c r="H251" s="131" t="s">
        <v>353</v>
      </c>
      <c r="I251" s="129"/>
      <c r="J251" s="129"/>
      <c r="K251" s="130" t="s">
        <v>354</v>
      </c>
      <c r="L251" s="131">
        <v>4</v>
      </c>
      <c r="M251" s="129" t="s">
        <v>355</v>
      </c>
      <c r="N251" s="131" t="s">
        <v>1439</v>
      </c>
      <c r="O251" s="130"/>
      <c r="P251" s="130" t="s">
        <v>357</v>
      </c>
      <c r="Q251" s="129">
        <v>-8</v>
      </c>
      <c r="R251" s="131" t="s">
        <v>2324</v>
      </c>
      <c r="S251" s="28"/>
      <c r="U251" s="368"/>
      <c r="V251" s="368"/>
      <c r="W251" s="368"/>
      <c r="X251" s="368"/>
      <c r="Y251" s="368"/>
      <c r="Z251" s="368"/>
      <c r="AA251" s="368"/>
      <c r="AB251" s="368"/>
      <c r="AC251" s="368"/>
      <c r="AD251" s="368"/>
      <c r="AE251" s="510"/>
    </row>
    <row r="252" spans="1:31" hidden="1">
      <c r="B252" s="62"/>
      <c r="N252" s="62"/>
      <c r="O252" s="62"/>
      <c r="P252" s="53" t="s">
        <v>358</v>
      </c>
      <c r="Q252" s="45"/>
      <c r="R252" s="45"/>
    </row>
    <row r="253" spans="1:31" s="34" customFormat="1" hidden="1">
      <c r="B253" s="65"/>
      <c r="C253" s="95" t="s">
        <v>489</v>
      </c>
      <c r="D253" s="95" t="s">
        <v>490</v>
      </c>
      <c r="E253" s="95" t="s">
        <v>491</v>
      </c>
      <c r="F253" s="95" t="s">
        <v>492</v>
      </c>
      <c r="G253" s="95" t="s">
        <v>493</v>
      </c>
      <c r="H253" s="95" t="s">
        <v>494</v>
      </c>
      <c r="I253" s="95" t="s">
        <v>495</v>
      </c>
      <c r="J253" s="95" t="s">
        <v>496</v>
      </c>
      <c r="K253" s="95" t="s">
        <v>497</v>
      </c>
      <c r="L253" s="95" t="s">
        <v>498</v>
      </c>
      <c r="M253" s="95" t="s">
        <v>499</v>
      </c>
      <c r="N253" s="126" t="s">
        <v>500</v>
      </c>
      <c r="O253" s="126" t="s">
        <v>501</v>
      </c>
      <c r="P253" s="132" t="s">
        <v>359</v>
      </c>
      <c r="Q253" s="133" t="s">
        <v>1207</v>
      </c>
      <c r="R253" s="133" t="s">
        <v>1208</v>
      </c>
      <c r="S253" s="28"/>
      <c r="U253" s="368"/>
      <c r="V253" s="368"/>
      <c r="W253" s="368"/>
      <c r="X253" s="368"/>
      <c r="Y253" s="368"/>
      <c r="Z253" s="368"/>
      <c r="AA253" s="368"/>
      <c r="AB253" s="368"/>
      <c r="AC253" s="368"/>
      <c r="AD253" s="368"/>
      <c r="AE253" s="510"/>
    </row>
    <row r="254" spans="1:31" hidden="1">
      <c r="B254" s="62"/>
      <c r="N254" s="62"/>
      <c r="O254" s="62"/>
    </row>
    <row r="255" spans="1:31" hidden="1">
      <c r="A255" s="28" t="s">
        <v>1209</v>
      </c>
      <c r="B255" s="62" t="s">
        <v>2324</v>
      </c>
      <c r="C255" s="28">
        <v>-1.3</v>
      </c>
      <c r="D255" s="28">
        <v>1</v>
      </c>
      <c r="E255" s="28">
        <v>3.8</v>
      </c>
      <c r="F255" s="28">
        <v>8.6</v>
      </c>
      <c r="G255" s="28">
        <v>12.4</v>
      </c>
      <c r="H255" s="28">
        <v>16.2</v>
      </c>
      <c r="I255" s="28">
        <v>18</v>
      </c>
      <c r="J255" s="28">
        <v>16.899999999999999</v>
      </c>
      <c r="K255" s="28">
        <v>14.5</v>
      </c>
      <c r="L255" s="28">
        <v>9.8000000000000007</v>
      </c>
      <c r="M255" s="28">
        <v>4.0999999999999996</v>
      </c>
      <c r="N255" s="62">
        <v>-0.8</v>
      </c>
      <c r="O255" s="62">
        <v>8.6</v>
      </c>
      <c r="P255" s="28">
        <v>2.5</v>
      </c>
      <c r="Q255" s="28">
        <v>3.8</v>
      </c>
      <c r="R255" s="28">
        <v>5</v>
      </c>
    </row>
    <row r="256" spans="1:31" hidden="1">
      <c r="B256" s="62"/>
      <c r="N256" s="62"/>
      <c r="O256" s="62"/>
    </row>
    <row r="257" spans="1:18" ht="13.15" hidden="1" customHeight="1">
      <c r="A257" s="28" t="s">
        <v>1210</v>
      </c>
      <c r="B257" s="62" t="s">
        <v>250</v>
      </c>
      <c r="C257" s="28">
        <v>111</v>
      </c>
      <c r="D257" s="28">
        <v>178</v>
      </c>
      <c r="E257" s="28">
        <v>310</v>
      </c>
      <c r="F257" s="28">
        <v>457</v>
      </c>
      <c r="G257" s="28">
        <v>555</v>
      </c>
      <c r="H257" s="28">
        <v>625</v>
      </c>
      <c r="I257" s="28">
        <v>657</v>
      </c>
      <c r="J257" s="28">
        <v>528</v>
      </c>
      <c r="K257" s="28">
        <v>394</v>
      </c>
      <c r="L257" s="28">
        <v>256</v>
      </c>
      <c r="M257" s="28">
        <v>121</v>
      </c>
      <c r="N257" s="62">
        <v>92</v>
      </c>
      <c r="O257" s="62">
        <v>4284</v>
      </c>
      <c r="P257" s="28">
        <v>1259</v>
      </c>
      <c r="Q257" s="28">
        <v>1671</v>
      </c>
      <c r="R257" s="28">
        <v>2164</v>
      </c>
    </row>
    <row r="258" spans="1:18" ht="13.15" hidden="1" customHeight="1">
      <c r="A258" s="28" t="s">
        <v>1211</v>
      </c>
      <c r="B258" s="62" t="s">
        <v>250</v>
      </c>
      <c r="C258" s="28">
        <v>176</v>
      </c>
      <c r="D258" s="28">
        <v>233</v>
      </c>
      <c r="E258" s="28">
        <v>291</v>
      </c>
      <c r="F258" s="28">
        <v>320</v>
      </c>
      <c r="G258" s="28">
        <v>294</v>
      </c>
      <c r="H258" s="28">
        <v>294</v>
      </c>
      <c r="I258" s="28">
        <v>322</v>
      </c>
      <c r="J258" s="28">
        <v>338</v>
      </c>
      <c r="K258" s="28">
        <v>355</v>
      </c>
      <c r="L258" s="28">
        <v>307</v>
      </c>
      <c r="M258" s="28">
        <v>194</v>
      </c>
      <c r="N258" s="62">
        <v>172</v>
      </c>
      <c r="O258" s="62">
        <v>3296</v>
      </c>
      <c r="P258" s="28">
        <v>1407</v>
      </c>
      <c r="Q258" s="28">
        <v>1707</v>
      </c>
      <c r="R258" s="28">
        <v>2051</v>
      </c>
    </row>
    <row r="259" spans="1:18" ht="13.15" hidden="1" customHeight="1">
      <c r="A259" s="28" t="s">
        <v>1212</v>
      </c>
      <c r="B259" s="62" t="s">
        <v>250</v>
      </c>
      <c r="C259" s="28">
        <v>68</v>
      </c>
      <c r="D259" s="28">
        <v>103</v>
      </c>
      <c r="E259" s="28">
        <v>177</v>
      </c>
      <c r="F259" s="28">
        <v>247</v>
      </c>
      <c r="G259" s="28">
        <v>294</v>
      </c>
      <c r="H259" s="28">
        <v>325</v>
      </c>
      <c r="I259" s="28">
        <v>335</v>
      </c>
      <c r="J259" s="28">
        <v>285</v>
      </c>
      <c r="K259" s="28">
        <v>217</v>
      </c>
      <c r="L259" s="28">
        <v>143</v>
      </c>
      <c r="M259" s="28">
        <v>71</v>
      </c>
      <c r="N259" s="62">
        <v>60</v>
      </c>
      <c r="O259" s="62">
        <v>2325</v>
      </c>
      <c r="P259" s="28">
        <v>721</v>
      </c>
      <c r="Q259" s="28">
        <v>943</v>
      </c>
      <c r="R259" s="28">
        <v>1207</v>
      </c>
    </row>
    <row r="260" spans="1:18" ht="13.15" hidden="1" customHeight="1">
      <c r="A260" s="28" t="s">
        <v>1213</v>
      </c>
      <c r="B260" s="62" t="s">
        <v>250</v>
      </c>
      <c r="C260" s="28">
        <v>79</v>
      </c>
      <c r="D260" s="28">
        <v>117</v>
      </c>
      <c r="E260" s="28">
        <v>177</v>
      </c>
      <c r="F260" s="28">
        <v>251</v>
      </c>
      <c r="G260" s="28">
        <v>289</v>
      </c>
      <c r="H260" s="28">
        <v>313</v>
      </c>
      <c r="I260" s="28">
        <v>335</v>
      </c>
      <c r="J260" s="28">
        <v>285</v>
      </c>
      <c r="K260" s="28">
        <v>232</v>
      </c>
      <c r="L260" s="28">
        <v>156</v>
      </c>
      <c r="M260" s="28">
        <v>81</v>
      </c>
      <c r="N260" s="62">
        <v>69</v>
      </c>
      <c r="O260" s="62">
        <v>2384</v>
      </c>
      <c r="P260" s="28">
        <v>771</v>
      </c>
      <c r="Q260" s="28">
        <v>997</v>
      </c>
      <c r="R260" s="28">
        <v>1266</v>
      </c>
    </row>
    <row r="261" spans="1:18" ht="13.15" hidden="1" customHeight="1">
      <c r="A261" s="28" t="s">
        <v>1214</v>
      </c>
      <c r="B261" s="62" t="s">
        <v>250</v>
      </c>
      <c r="C261" s="28">
        <v>39</v>
      </c>
      <c r="D261" s="28">
        <v>52</v>
      </c>
      <c r="E261" s="28">
        <v>81</v>
      </c>
      <c r="F261" s="28">
        <v>110</v>
      </c>
      <c r="G261" s="28">
        <v>155</v>
      </c>
      <c r="H261" s="28">
        <v>175</v>
      </c>
      <c r="I261" s="28">
        <v>171</v>
      </c>
      <c r="J261" s="28">
        <v>116</v>
      </c>
      <c r="K261" s="28">
        <v>91</v>
      </c>
      <c r="L261" s="28">
        <v>69</v>
      </c>
      <c r="M261" s="28">
        <v>38</v>
      </c>
      <c r="N261" s="62">
        <v>34</v>
      </c>
      <c r="O261" s="62">
        <v>1131</v>
      </c>
      <c r="P261" s="28">
        <v>358</v>
      </c>
      <c r="Q261" s="28">
        <v>464</v>
      </c>
      <c r="R261" s="28">
        <v>592</v>
      </c>
    </row>
    <row r="262" spans="1:18" hidden="1">
      <c r="B262" s="62"/>
      <c r="N262" s="62"/>
      <c r="O262" s="62"/>
    </row>
    <row r="263" spans="1:18" hidden="1">
      <c r="A263" s="28" t="s">
        <v>1215</v>
      </c>
      <c r="B263" s="62" t="s">
        <v>1808</v>
      </c>
      <c r="C263" s="28">
        <v>31</v>
      </c>
      <c r="D263" s="28">
        <v>28</v>
      </c>
      <c r="E263" s="28">
        <v>30</v>
      </c>
      <c r="F263" s="28">
        <v>18</v>
      </c>
      <c r="G263" s="28">
        <v>8</v>
      </c>
      <c r="H263" s="28">
        <v>1</v>
      </c>
      <c r="I263" s="28">
        <v>0</v>
      </c>
      <c r="J263" s="28">
        <v>0</v>
      </c>
      <c r="K263" s="28">
        <v>2</v>
      </c>
      <c r="L263" s="28">
        <v>16</v>
      </c>
      <c r="M263" s="28">
        <v>29</v>
      </c>
      <c r="N263" s="62">
        <v>31</v>
      </c>
      <c r="O263" s="62"/>
      <c r="P263" s="28">
        <v>194</v>
      </c>
    </row>
    <row r="264" spans="1:18" hidden="1">
      <c r="A264" s="28" t="s">
        <v>1809</v>
      </c>
      <c r="B264" s="62" t="s">
        <v>1810</v>
      </c>
      <c r="C264" s="28">
        <v>599</v>
      </c>
      <c r="D264" s="28">
        <v>474</v>
      </c>
      <c r="E264" s="28">
        <v>429</v>
      </c>
      <c r="F264" s="28">
        <v>217</v>
      </c>
      <c r="G264" s="28">
        <v>79</v>
      </c>
      <c r="H264" s="28">
        <v>12</v>
      </c>
      <c r="I264" s="28">
        <v>3</v>
      </c>
      <c r="J264" s="28">
        <v>1</v>
      </c>
      <c r="K264" s="28">
        <v>22</v>
      </c>
      <c r="L264" s="28">
        <v>174</v>
      </c>
      <c r="M264" s="28">
        <v>408</v>
      </c>
      <c r="N264" s="62">
        <v>581</v>
      </c>
      <c r="O264" s="62"/>
      <c r="P264" s="28">
        <v>2999</v>
      </c>
    </row>
    <row r="265" spans="1:18" hidden="1">
      <c r="B265" s="62"/>
      <c r="N265" s="62"/>
      <c r="O265" s="62"/>
    </row>
    <row r="266" spans="1:18" hidden="1">
      <c r="A266" s="28" t="s">
        <v>1886</v>
      </c>
      <c r="B266" s="62" t="s">
        <v>1808</v>
      </c>
      <c r="C266" s="28">
        <v>31</v>
      </c>
      <c r="D266" s="28">
        <v>28</v>
      </c>
      <c r="E266" s="28">
        <v>31</v>
      </c>
      <c r="F266" s="28">
        <v>24</v>
      </c>
      <c r="G266" s="28">
        <v>14</v>
      </c>
      <c r="H266" s="28">
        <v>4</v>
      </c>
      <c r="I266" s="28">
        <v>2</v>
      </c>
      <c r="J266" s="28">
        <v>2</v>
      </c>
      <c r="K266" s="28">
        <v>7</v>
      </c>
      <c r="L266" s="28">
        <v>22</v>
      </c>
      <c r="M266" s="28">
        <v>30</v>
      </c>
      <c r="N266" s="62">
        <v>31</v>
      </c>
      <c r="O266" s="62"/>
      <c r="Q266" s="28">
        <v>226</v>
      </c>
    </row>
    <row r="267" spans="1:18" hidden="1">
      <c r="A267" s="28" t="s">
        <v>1887</v>
      </c>
      <c r="B267" s="62" t="s">
        <v>1810</v>
      </c>
      <c r="C267" s="28">
        <v>661</v>
      </c>
      <c r="D267" s="28">
        <v>532</v>
      </c>
      <c r="E267" s="28">
        <v>499</v>
      </c>
      <c r="F267" s="28">
        <v>305</v>
      </c>
      <c r="G267" s="28">
        <v>148</v>
      </c>
      <c r="H267" s="28">
        <v>42</v>
      </c>
      <c r="I267" s="28">
        <v>16</v>
      </c>
      <c r="J267" s="28">
        <v>17</v>
      </c>
      <c r="K267" s="28">
        <v>66</v>
      </c>
      <c r="L267" s="28">
        <v>262</v>
      </c>
      <c r="M267" s="28">
        <v>475</v>
      </c>
      <c r="N267" s="62">
        <v>645</v>
      </c>
      <c r="O267" s="62"/>
      <c r="Q267" s="28">
        <v>3668</v>
      </c>
    </row>
    <row r="268" spans="1:18" hidden="1">
      <c r="B268" s="62"/>
      <c r="N268" s="62"/>
      <c r="O268" s="62"/>
    </row>
    <row r="269" spans="1:18" hidden="1">
      <c r="A269" s="28" t="s">
        <v>1434</v>
      </c>
      <c r="B269" s="62" t="s">
        <v>1808</v>
      </c>
      <c r="C269" s="28">
        <v>31</v>
      </c>
      <c r="D269" s="28">
        <v>28</v>
      </c>
      <c r="E269" s="28">
        <v>31</v>
      </c>
      <c r="F269" s="28">
        <v>27</v>
      </c>
      <c r="G269" s="28">
        <v>22</v>
      </c>
      <c r="H269" s="28">
        <v>8</v>
      </c>
      <c r="I269" s="28">
        <v>4</v>
      </c>
      <c r="J269" s="28">
        <v>6</v>
      </c>
      <c r="K269" s="28">
        <v>14</v>
      </c>
      <c r="L269" s="28">
        <v>28</v>
      </c>
      <c r="M269" s="28">
        <v>30</v>
      </c>
      <c r="N269" s="62">
        <v>31</v>
      </c>
      <c r="O269" s="62"/>
      <c r="R269" s="28">
        <v>260</v>
      </c>
    </row>
    <row r="270" spans="1:18" hidden="1">
      <c r="A270" s="28" t="s">
        <v>1435</v>
      </c>
      <c r="B270" s="62" t="s">
        <v>1810</v>
      </c>
      <c r="C270" s="28">
        <v>723</v>
      </c>
      <c r="D270" s="28">
        <v>588</v>
      </c>
      <c r="E270" s="28">
        <v>563</v>
      </c>
      <c r="F270" s="28">
        <v>382</v>
      </c>
      <c r="G270" s="28">
        <v>244</v>
      </c>
      <c r="H270" s="28">
        <v>85</v>
      </c>
      <c r="I270" s="28">
        <v>36</v>
      </c>
      <c r="J270" s="28">
        <v>57</v>
      </c>
      <c r="K270" s="28">
        <v>144</v>
      </c>
      <c r="L270" s="28">
        <v>356</v>
      </c>
      <c r="M270" s="28">
        <v>537</v>
      </c>
      <c r="N270" s="62">
        <v>707</v>
      </c>
      <c r="O270" s="62"/>
      <c r="R270" s="28">
        <v>4422</v>
      </c>
    </row>
    <row r="271" spans="1:18" ht="8.1" hidden="1" customHeight="1"/>
    <row r="272" spans="1:18" ht="8.1" hidden="1" customHeight="1"/>
    <row r="273" spans="1:31" ht="8.1" hidden="1" customHeight="1"/>
    <row r="274" spans="1:31" ht="8.1" hidden="1" customHeight="1"/>
    <row r="275" spans="1:31" ht="8.1" hidden="1" customHeight="1">
      <c r="M275" s="37"/>
    </row>
    <row r="276" spans="1:31" s="34" customFormat="1" ht="15.75" hidden="1">
      <c r="A276" s="61">
        <v>11</v>
      </c>
      <c r="B276" s="129"/>
      <c r="C276" s="129" t="s">
        <v>1587</v>
      </c>
      <c r="D276" s="129"/>
      <c r="E276" s="130"/>
      <c r="F276" s="130" t="s">
        <v>352</v>
      </c>
      <c r="G276" s="129">
        <v>1180</v>
      </c>
      <c r="H276" s="131" t="s">
        <v>353</v>
      </c>
      <c r="I276" s="129"/>
      <c r="J276" s="129"/>
      <c r="K276" s="130" t="s">
        <v>354</v>
      </c>
      <c r="L276" s="131">
        <v>8</v>
      </c>
      <c r="M276" s="129" t="s">
        <v>355</v>
      </c>
      <c r="N276" s="131" t="s">
        <v>356</v>
      </c>
      <c r="O276" s="130"/>
      <c r="P276" s="130" t="s">
        <v>357</v>
      </c>
      <c r="Q276" s="129">
        <v>-8</v>
      </c>
      <c r="R276" s="131" t="s">
        <v>2324</v>
      </c>
      <c r="S276" s="28"/>
      <c r="U276" s="368"/>
      <c r="V276" s="368"/>
      <c r="W276" s="368"/>
      <c r="X276" s="368"/>
      <c r="Y276" s="368"/>
      <c r="Z276" s="368"/>
      <c r="AA276" s="368"/>
      <c r="AB276" s="368"/>
      <c r="AC276" s="368"/>
      <c r="AD276" s="368"/>
      <c r="AE276" s="510"/>
    </row>
    <row r="277" spans="1:31" hidden="1">
      <c r="B277" s="62"/>
      <c r="N277" s="62"/>
      <c r="O277" s="62"/>
      <c r="P277" s="53" t="s">
        <v>358</v>
      </c>
      <c r="Q277" s="45"/>
      <c r="R277" s="45"/>
    </row>
    <row r="278" spans="1:31" s="34" customFormat="1" hidden="1">
      <c r="B278" s="65"/>
      <c r="C278" s="95" t="s">
        <v>489</v>
      </c>
      <c r="D278" s="95" t="s">
        <v>490</v>
      </c>
      <c r="E278" s="95" t="s">
        <v>491</v>
      </c>
      <c r="F278" s="95" t="s">
        <v>492</v>
      </c>
      <c r="G278" s="95" t="s">
        <v>493</v>
      </c>
      <c r="H278" s="95" t="s">
        <v>494</v>
      </c>
      <c r="I278" s="95" t="s">
        <v>495</v>
      </c>
      <c r="J278" s="95" t="s">
        <v>496</v>
      </c>
      <c r="K278" s="95" t="s">
        <v>497</v>
      </c>
      <c r="L278" s="95" t="s">
        <v>498</v>
      </c>
      <c r="M278" s="95" t="s">
        <v>499</v>
      </c>
      <c r="N278" s="126" t="s">
        <v>500</v>
      </c>
      <c r="O278" s="126" t="s">
        <v>501</v>
      </c>
      <c r="P278" s="132" t="s">
        <v>359</v>
      </c>
      <c r="Q278" s="133" t="s">
        <v>1207</v>
      </c>
      <c r="R278" s="133" t="s">
        <v>1208</v>
      </c>
      <c r="S278" s="28"/>
      <c r="U278" s="368"/>
      <c r="V278" s="368"/>
      <c r="W278" s="368"/>
      <c r="X278" s="368"/>
      <c r="Y278" s="368"/>
      <c r="Z278" s="368"/>
      <c r="AA278" s="368"/>
      <c r="AB278" s="368"/>
      <c r="AC278" s="368"/>
      <c r="AD278" s="368"/>
      <c r="AE278" s="510"/>
    </row>
    <row r="279" spans="1:31" hidden="1">
      <c r="B279" s="62"/>
      <c r="N279" s="62"/>
      <c r="O279" s="62"/>
    </row>
    <row r="280" spans="1:31" hidden="1">
      <c r="A280" s="28" t="s">
        <v>1209</v>
      </c>
      <c r="B280" s="62" t="s">
        <v>2324</v>
      </c>
      <c r="C280" s="28">
        <v>-1.5</v>
      </c>
      <c r="D280" s="28">
        <v>-0.4</v>
      </c>
      <c r="E280" s="28">
        <v>1.6</v>
      </c>
      <c r="F280" s="28">
        <v>5.7</v>
      </c>
      <c r="G280" s="28">
        <v>9.3000000000000007</v>
      </c>
      <c r="H280" s="28">
        <v>12.8</v>
      </c>
      <c r="I280" s="28">
        <v>14.8</v>
      </c>
      <c r="J280" s="28">
        <v>14</v>
      </c>
      <c r="K280" s="28">
        <v>12.4</v>
      </c>
      <c r="L280" s="28">
        <v>8.8000000000000007</v>
      </c>
      <c r="M280" s="28">
        <v>3.4</v>
      </c>
      <c r="N280" s="62">
        <v>-1</v>
      </c>
      <c r="O280" s="62">
        <v>6.7</v>
      </c>
      <c r="P280" s="28">
        <v>2.5</v>
      </c>
      <c r="Q280" s="28">
        <v>3.6</v>
      </c>
      <c r="R280" s="28">
        <v>4.7</v>
      </c>
    </row>
    <row r="281" spans="1:31" hidden="1">
      <c r="B281" s="62"/>
      <c r="N281" s="62"/>
      <c r="O281" s="62"/>
    </row>
    <row r="282" spans="1:31" ht="13.15" hidden="1" customHeight="1">
      <c r="A282" s="28" t="s">
        <v>1210</v>
      </c>
      <c r="B282" s="62" t="s">
        <v>250</v>
      </c>
      <c r="C282" s="28">
        <v>148</v>
      </c>
      <c r="D282" s="28">
        <v>209</v>
      </c>
      <c r="E282" s="28">
        <v>356</v>
      </c>
      <c r="F282" s="28">
        <v>479</v>
      </c>
      <c r="G282" s="28">
        <v>569</v>
      </c>
      <c r="H282" s="28">
        <v>594</v>
      </c>
      <c r="I282" s="28">
        <v>644</v>
      </c>
      <c r="J282" s="28">
        <v>529</v>
      </c>
      <c r="K282" s="28">
        <v>418</v>
      </c>
      <c r="L282" s="28">
        <v>310</v>
      </c>
      <c r="M282" s="28">
        <v>158</v>
      </c>
      <c r="N282" s="62">
        <v>130</v>
      </c>
      <c r="O282" s="62">
        <v>4544</v>
      </c>
      <c r="P282" s="28">
        <v>2050</v>
      </c>
      <c r="Q282" s="28">
        <v>2583</v>
      </c>
      <c r="R282" s="28">
        <v>3200</v>
      </c>
    </row>
    <row r="283" spans="1:31" ht="13.15" hidden="1" customHeight="1">
      <c r="A283" s="28" t="s">
        <v>1211</v>
      </c>
      <c r="B283" s="62" t="s">
        <v>250</v>
      </c>
      <c r="C283" s="28">
        <v>235</v>
      </c>
      <c r="D283" s="28">
        <v>274</v>
      </c>
      <c r="E283" s="28">
        <v>335</v>
      </c>
      <c r="F283" s="28">
        <v>335</v>
      </c>
      <c r="G283" s="28">
        <v>302</v>
      </c>
      <c r="H283" s="28">
        <v>279</v>
      </c>
      <c r="I283" s="28">
        <v>316</v>
      </c>
      <c r="J283" s="28">
        <v>339</v>
      </c>
      <c r="K283" s="28">
        <v>376</v>
      </c>
      <c r="L283" s="28">
        <v>372</v>
      </c>
      <c r="M283" s="28">
        <v>253</v>
      </c>
      <c r="N283" s="62">
        <v>243</v>
      </c>
      <c r="O283" s="62">
        <v>3659</v>
      </c>
      <c r="P283" s="28">
        <v>2079</v>
      </c>
      <c r="Q283" s="28">
        <v>2446</v>
      </c>
      <c r="R283" s="28">
        <v>2859</v>
      </c>
    </row>
    <row r="284" spans="1:31" ht="13.15" hidden="1" customHeight="1">
      <c r="A284" s="28" t="s">
        <v>1212</v>
      </c>
      <c r="B284" s="62" t="s">
        <v>250</v>
      </c>
      <c r="C284" s="28">
        <v>90</v>
      </c>
      <c r="D284" s="28">
        <v>121</v>
      </c>
      <c r="E284" s="28">
        <v>203</v>
      </c>
      <c r="F284" s="28">
        <v>259</v>
      </c>
      <c r="G284" s="28">
        <v>302</v>
      </c>
      <c r="H284" s="28">
        <v>309</v>
      </c>
      <c r="I284" s="28">
        <v>328</v>
      </c>
      <c r="J284" s="28">
        <v>286</v>
      </c>
      <c r="K284" s="28">
        <v>230</v>
      </c>
      <c r="L284" s="28">
        <v>174</v>
      </c>
      <c r="M284" s="28">
        <v>93</v>
      </c>
      <c r="N284" s="62">
        <v>85</v>
      </c>
      <c r="O284" s="62">
        <v>2480</v>
      </c>
      <c r="P284" s="28">
        <v>1157</v>
      </c>
      <c r="Q284" s="28">
        <v>1442</v>
      </c>
      <c r="R284" s="28">
        <v>1772</v>
      </c>
    </row>
    <row r="285" spans="1:31" ht="13.15" hidden="1" customHeight="1">
      <c r="A285" s="28" t="s">
        <v>1213</v>
      </c>
      <c r="B285" s="62" t="s">
        <v>250</v>
      </c>
      <c r="C285" s="28">
        <v>105</v>
      </c>
      <c r="D285" s="28">
        <v>138</v>
      </c>
      <c r="E285" s="28">
        <v>203</v>
      </c>
      <c r="F285" s="28">
        <v>263</v>
      </c>
      <c r="G285" s="28">
        <v>296</v>
      </c>
      <c r="H285" s="28">
        <v>297</v>
      </c>
      <c r="I285" s="28">
        <v>328</v>
      </c>
      <c r="J285" s="28">
        <v>286</v>
      </c>
      <c r="K285" s="28">
        <v>247</v>
      </c>
      <c r="L285" s="28">
        <v>189</v>
      </c>
      <c r="M285" s="28">
        <v>106</v>
      </c>
      <c r="N285" s="62">
        <v>98</v>
      </c>
      <c r="O285" s="62">
        <v>2556</v>
      </c>
      <c r="P285" s="28">
        <v>1223</v>
      </c>
      <c r="Q285" s="28">
        <v>1512</v>
      </c>
      <c r="R285" s="28">
        <v>1845</v>
      </c>
    </row>
    <row r="286" spans="1:31" ht="13.15" hidden="1" customHeight="1">
      <c r="A286" s="28" t="s">
        <v>1214</v>
      </c>
      <c r="B286" s="62" t="s">
        <v>250</v>
      </c>
      <c r="C286" s="28">
        <v>52</v>
      </c>
      <c r="D286" s="28">
        <v>61</v>
      </c>
      <c r="E286" s="28">
        <v>93</v>
      </c>
      <c r="F286" s="28">
        <v>115</v>
      </c>
      <c r="G286" s="28">
        <v>159</v>
      </c>
      <c r="H286" s="28">
        <v>166</v>
      </c>
      <c r="I286" s="28">
        <v>167</v>
      </c>
      <c r="J286" s="28">
        <v>116</v>
      </c>
      <c r="K286" s="28">
        <v>96</v>
      </c>
      <c r="L286" s="28">
        <v>84</v>
      </c>
      <c r="M286" s="28">
        <v>49</v>
      </c>
      <c r="N286" s="62">
        <v>48</v>
      </c>
      <c r="O286" s="62">
        <v>1206</v>
      </c>
      <c r="P286" s="28">
        <v>573</v>
      </c>
      <c r="Q286" s="28">
        <v>710</v>
      </c>
      <c r="R286" s="28">
        <v>868</v>
      </c>
    </row>
    <row r="287" spans="1:31" hidden="1">
      <c r="B287" s="62"/>
      <c r="N287" s="62"/>
      <c r="O287" s="62"/>
    </row>
    <row r="288" spans="1:31" hidden="1">
      <c r="A288" s="28" t="s">
        <v>1215</v>
      </c>
      <c r="B288" s="62" t="s">
        <v>1808</v>
      </c>
      <c r="C288" s="28">
        <v>31</v>
      </c>
      <c r="D288" s="28">
        <v>28</v>
      </c>
      <c r="E288" s="28">
        <v>31</v>
      </c>
      <c r="F288" s="28">
        <v>25</v>
      </c>
      <c r="G288" s="28">
        <v>18</v>
      </c>
      <c r="H288" s="28">
        <v>7</v>
      </c>
      <c r="I288" s="28">
        <v>3</v>
      </c>
      <c r="J288" s="28">
        <v>4</v>
      </c>
      <c r="K288" s="28">
        <v>8</v>
      </c>
      <c r="L288" s="28">
        <v>18</v>
      </c>
      <c r="M288" s="28">
        <v>29</v>
      </c>
      <c r="N288" s="62">
        <v>31</v>
      </c>
      <c r="O288" s="62"/>
      <c r="P288" s="28">
        <v>233</v>
      </c>
    </row>
    <row r="289" spans="1:31" hidden="1">
      <c r="A289" s="28" t="s">
        <v>1809</v>
      </c>
      <c r="B289" s="62" t="s">
        <v>1810</v>
      </c>
      <c r="C289" s="28">
        <v>604</v>
      </c>
      <c r="D289" s="28">
        <v>515</v>
      </c>
      <c r="E289" s="28">
        <v>506</v>
      </c>
      <c r="F289" s="28">
        <v>338</v>
      </c>
      <c r="G289" s="28">
        <v>206</v>
      </c>
      <c r="H289" s="28">
        <v>75</v>
      </c>
      <c r="I289" s="28">
        <v>32</v>
      </c>
      <c r="J289" s="28">
        <v>36</v>
      </c>
      <c r="K289" s="28">
        <v>76</v>
      </c>
      <c r="L289" s="28">
        <v>206</v>
      </c>
      <c r="M289" s="28">
        <v>427</v>
      </c>
      <c r="N289" s="62">
        <v>589</v>
      </c>
      <c r="O289" s="62"/>
      <c r="P289" s="28">
        <v>3610</v>
      </c>
    </row>
    <row r="290" spans="1:31" hidden="1">
      <c r="B290" s="62"/>
      <c r="N290" s="62"/>
      <c r="O290" s="62"/>
    </row>
    <row r="291" spans="1:31" hidden="1">
      <c r="A291" s="28" t="s">
        <v>1886</v>
      </c>
      <c r="B291" s="62" t="s">
        <v>1808</v>
      </c>
      <c r="C291" s="28">
        <v>31</v>
      </c>
      <c r="D291" s="28">
        <v>28</v>
      </c>
      <c r="E291" s="28">
        <v>31</v>
      </c>
      <c r="F291" s="28">
        <v>28</v>
      </c>
      <c r="G291" s="28">
        <v>23</v>
      </c>
      <c r="H291" s="28">
        <v>13</v>
      </c>
      <c r="I291" s="28">
        <v>7</v>
      </c>
      <c r="J291" s="28">
        <v>9</v>
      </c>
      <c r="K291" s="28">
        <v>13</v>
      </c>
      <c r="L291" s="28">
        <v>24</v>
      </c>
      <c r="M291" s="28">
        <v>30</v>
      </c>
      <c r="N291" s="62">
        <v>31</v>
      </c>
      <c r="O291" s="62"/>
      <c r="Q291" s="28">
        <v>268</v>
      </c>
    </row>
    <row r="292" spans="1:31" hidden="1">
      <c r="A292" s="28" t="s">
        <v>1887</v>
      </c>
      <c r="B292" s="62" t="s">
        <v>1810</v>
      </c>
      <c r="C292" s="28">
        <v>666</v>
      </c>
      <c r="D292" s="28">
        <v>571</v>
      </c>
      <c r="E292" s="28">
        <v>571</v>
      </c>
      <c r="F292" s="28">
        <v>417</v>
      </c>
      <c r="G292" s="28">
        <v>289</v>
      </c>
      <c r="H292" s="28">
        <v>138</v>
      </c>
      <c r="I292" s="28">
        <v>74</v>
      </c>
      <c r="J292" s="28">
        <v>89</v>
      </c>
      <c r="K292" s="28">
        <v>140</v>
      </c>
      <c r="L292" s="28">
        <v>302</v>
      </c>
      <c r="M292" s="28">
        <v>495</v>
      </c>
      <c r="N292" s="62">
        <v>652</v>
      </c>
      <c r="O292" s="62"/>
      <c r="Q292" s="28">
        <v>4404</v>
      </c>
    </row>
    <row r="293" spans="1:31" hidden="1">
      <c r="B293" s="62"/>
      <c r="N293" s="62"/>
      <c r="O293" s="62"/>
    </row>
    <row r="294" spans="1:31" hidden="1">
      <c r="A294" s="28" t="s">
        <v>1434</v>
      </c>
      <c r="B294" s="62" t="s">
        <v>1808</v>
      </c>
      <c r="C294" s="28">
        <v>31</v>
      </c>
      <c r="D294" s="28">
        <v>28</v>
      </c>
      <c r="E294" s="28">
        <v>31</v>
      </c>
      <c r="F294" s="28">
        <v>29</v>
      </c>
      <c r="G294" s="28">
        <v>27</v>
      </c>
      <c r="H294" s="28">
        <v>19</v>
      </c>
      <c r="I294" s="28">
        <v>13</v>
      </c>
      <c r="J294" s="28">
        <v>16</v>
      </c>
      <c r="K294" s="28">
        <v>20</v>
      </c>
      <c r="L294" s="28">
        <v>29</v>
      </c>
      <c r="M294" s="28">
        <v>30</v>
      </c>
      <c r="N294" s="62">
        <v>31</v>
      </c>
      <c r="O294" s="62"/>
      <c r="R294" s="28">
        <v>304</v>
      </c>
    </row>
    <row r="295" spans="1:31" hidden="1">
      <c r="A295" s="28" t="s">
        <v>1435</v>
      </c>
      <c r="B295" s="62" t="s">
        <v>1810</v>
      </c>
      <c r="C295" s="28">
        <v>728</v>
      </c>
      <c r="D295" s="28">
        <v>627</v>
      </c>
      <c r="E295" s="28">
        <v>633</v>
      </c>
      <c r="F295" s="28">
        <v>484</v>
      </c>
      <c r="G295" s="28">
        <v>368</v>
      </c>
      <c r="H295" s="28">
        <v>216</v>
      </c>
      <c r="I295" s="28">
        <v>139</v>
      </c>
      <c r="J295" s="28">
        <v>173</v>
      </c>
      <c r="K295" s="28">
        <v>231</v>
      </c>
      <c r="L295" s="28">
        <v>397</v>
      </c>
      <c r="M295" s="28">
        <v>555</v>
      </c>
      <c r="N295" s="62">
        <v>714</v>
      </c>
      <c r="O295" s="62"/>
      <c r="R295" s="28">
        <v>5265</v>
      </c>
    </row>
    <row r="296" spans="1:31" ht="8.1" hidden="1" customHeight="1"/>
    <row r="297" spans="1:31" ht="8.1" hidden="1" customHeight="1"/>
    <row r="298" spans="1:31" ht="8.1" hidden="1" customHeight="1"/>
    <row r="299" spans="1:31" ht="8.1" hidden="1" customHeight="1"/>
    <row r="300" spans="1:31" ht="8.1" hidden="1" customHeight="1">
      <c r="M300" s="37"/>
    </row>
    <row r="301" spans="1:31" s="34" customFormat="1" ht="15.75" hidden="1">
      <c r="A301" s="61">
        <v>12</v>
      </c>
      <c r="B301" s="129"/>
      <c r="C301" s="129" t="s">
        <v>90</v>
      </c>
      <c r="D301" s="129"/>
      <c r="E301" s="130"/>
      <c r="F301" s="130" t="s">
        <v>352</v>
      </c>
      <c r="G301" s="129">
        <v>498</v>
      </c>
      <c r="H301" s="131" t="s">
        <v>353</v>
      </c>
      <c r="I301" s="129"/>
      <c r="J301" s="129"/>
      <c r="K301" s="130" t="s">
        <v>354</v>
      </c>
      <c r="L301" s="131">
        <v>4</v>
      </c>
      <c r="M301" s="129" t="s">
        <v>355</v>
      </c>
      <c r="N301" s="131" t="s">
        <v>1585</v>
      </c>
      <c r="O301" s="130"/>
      <c r="P301" s="130" t="s">
        <v>357</v>
      </c>
      <c r="Q301" s="129">
        <v>-8</v>
      </c>
      <c r="R301" s="131" t="s">
        <v>2324</v>
      </c>
      <c r="S301" s="28"/>
      <c r="U301" s="368"/>
      <c r="V301" s="368"/>
      <c r="W301" s="368"/>
      <c r="X301" s="368"/>
      <c r="Y301" s="368"/>
      <c r="Z301" s="368"/>
      <c r="AA301" s="368"/>
      <c r="AB301" s="368"/>
      <c r="AC301" s="368"/>
      <c r="AD301" s="368"/>
      <c r="AE301" s="510"/>
    </row>
    <row r="302" spans="1:31" hidden="1">
      <c r="B302" s="62"/>
      <c r="N302" s="62"/>
      <c r="O302" s="62"/>
      <c r="P302" s="53" t="s">
        <v>358</v>
      </c>
      <c r="Q302" s="45"/>
      <c r="R302" s="45"/>
    </row>
    <row r="303" spans="1:31" s="34" customFormat="1" hidden="1">
      <c r="B303" s="65"/>
      <c r="C303" s="95" t="s">
        <v>489</v>
      </c>
      <c r="D303" s="95" t="s">
        <v>490</v>
      </c>
      <c r="E303" s="95" t="s">
        <v>491</v>
      </c>
      <c r="F303" s="95" t="s">
        <v>492</v>
      </c>
      <c r="G303" s="95" t="s">
        <v>493</v>
      </c>
      <c r="H303" s="95" t="s">
        <v>494</v>
      </c>
      <c r="I303" s="95" t="s">
        <v>495</v>
      </c>
      <c r="J303" s="95" t="s">
        <v>496</v>
      </c>
      <c r="K303" s="95" t="s">
        <v>497</v>
      </c>
      <c r="L303" s="95" t="s">
        <v>498</v>
      </c>
      <c r="M303" s="95" t="s">
        <v>499</v>
      </c>
      <c r="N303" s="126" t="s">
        <v>500</v>
      </c>
      <c r="O303" s="126" t="s">
        <v>501</v>
      </c>
      <c r="P303" s="132" t="s">
        <v>359</v>
      </c>
      <c r="Q303" s="133" t="s">
        <v>1207</v>
      </c>
      <c r="R303" s="133" t="s">
        <v>1208</v>
      </c>
      <c r="S303" s="28"/>
      <c r="U303" s="368"/>
      <c r="V303" s="368"/>
      <c r="W303" s="368"/>
      <c r="X303" s="368"/>
      <c r="Y303" s="368"/>
      <c r="Z303" s="368"/>
      <c r="AA303" s="368"/>
      <c r="AB303" s="368"/>
      <c r="AC303" s="368"/>
      <c r="AD303" s="368"/>
      <c r="AE303" s="510"/>
    </row>
    <row r="304" spans="1:31" hidden="1">
      <c r="B304" s="62"/>
      <c r="N304" s="62"/>
      <c r="O304" s="62"/>
    </row>
    <row r="305" spans="1:18" hidden="1">
      <c r="A305" s="28" t="s">
        <v>1209</v>
      </c>
      <c r="B305" s="62" t="s">
        <v>2324</v>
      </c>
      <c r="C305" s="28">
        <v>-1.1000000000000001</v>
      </c>
      <c r="D305" s="28">
        <v>1.1000000000000001</v>
      </c>
      <c r="E305" s="28">
        <v>3.9</v>
      </c>
      <c r="F305" s="28">
        <v>8.8000000000000007</v>
      </c>
      <c r="G305" s="28">
        <v>12.4</v>
      </c>
      <c r="H305" s="28">
        <v>16.100000000000001</v>
      </c>
      <c r="I305" s="28">
        <v>17.899999999999999</v>
      </c>
      <c r="J305" s="28">
        <v>16.8</v>
      </c>
      <c r="K305" s="28">
        <v>14.5</v>
      </c>
      <c r="L305" s="28">
        <v>9.6999999999999993</v>
      </c>
      <c r="M305" s="28">
        <v>4.3</v>
      </c>
      <c r="N305" s="62">
        <v>-0.6</v>
      </c>
      <c r="O305" s="62">
        <v>8.6999999999999993</v>
      </c>
      <c r="P305" s="28">
        <v>2.7</v>
      </c>
      <c r="Q305" s="28">
        <v>4</v>
      </c>
      <c r="R305" s="28">
        <v>5</v>
      </c>
    </row>
    <row r="306" spans="1:18" hidden="1">
      <c r="B306" s="62"/>
      <c r="N306" s="62"/>
      <c r="O306" s="62"/>
    </row>
    <row r="307" spans="1:18" ht="13.15" hidden="1" customHeight="1">
      <c r="A307" s="28" t="s">
        <v>1210</v>
      </c>
      <c r="B307" s="62" t="s">
        <v>250</v>
      </c>
      <c r="C307" s="28">
        <v>94</v>
      </c>
      <c r="D307" s="28">
        <v>158</v>
      </c>
      <c r="E307" s="28">
        <v>289</v>
      </c>
      <c r="F307" s="28">
        <v>431</v>
      </c>
      <c r="G307" s="28">
        <v>536</v>
      </c>
      <c r="H307" s="28">
        <v>571</v>
      </c>
      <c r="I307" s="28">
        <v>609</v>
      </c>
      <c r="J307" s="28">
        <v>488</v>
      </c>
      <c r="K307" s="28">
        <v>349</v>
      </c>
      <c r="L307" s="28">
        <v>227</v>
      </c>
      <c r="M307" s="28">
        <v>111</v>
      </c>
      <c r="N307" s="62">
        <v>76</v>
      </c>
      <c r="O307" s="62">
        <v>3939</v>
      </c>
      <c r="P307" s="28">
        <v>1153</v>
      </c>
      <c r="Q307" s="28">
        <v>1549</v>
      </c>
      <c r="R307" s="28">
        <v>1955</v>
      </c>
    </row>
    <row r="308" spans="1:18" ht="13.15" hidden="1" customHeight="1">
      <c r="A308" s="28" t="s">
        <v>1211</v>
      </c>
      <c r="B308" s="62" t="s">
        <v>250</v>
      </c>
      <c r="C308" s="28">
        <v>149</v>
      </c>
      <c r="D308" s="28">
        <v>207</v>
      </c>
      <c r="E308" s="28">
        <v>272</v>
      </c>
      <c r="F308" s="28">
        <v>302</v>
      </c>
      <c r="G308" s="28">
        <v>284</v>
      </c>
      <c r="H308" s="28">
        <v>268</v>
      </c>
      <c r="I308" s="28">
        <v>298</v>
      </c>
      <c r="J308" s="28">
        <v>312</v>
      </c>
      <c r="K308" s="28">
        <v>314</v>
      </c>
      <c r="L308" s="28">
        <v>272</v>
      </c>
      <c r="M308" s="28">
        <v>178</v>
      </c>
      <c r="N308" s="62">
        <v>142</v>
      </c>
      <c r="O308" s="62">
        <v>2998</v>
      </c>
      <c r="P308" s="28">
        <v>1272</v>
      </c>
      <c r="Q308" s="28">
        <v>1557</v>
      </c>
      <c r="R308" s="28">
        <v>1833</v>
      </c>
    </row>
    <row r="309" spans="1:18" ht="13.15" hidden="1" customHeight="1">
      <c r="A309" s="28" t="s">
        <v>1212</v>
      </c>
      <c r="B309" s="62" t="s">
        <v>250</v>
      </c>
      <c r="C309" s="28">
        <v>57</v>
      </c>
      <c r="D309" s="28">
        <v>92</v>
      </c>
      <c r="E309" s="28">
        <v>165</v>
      </c>
      <c r="F309" s="28">
        <v>233</v>
      </c>
      <c r="G309" s="28">
        <v>284</v>
      </c>
      <c r="H309" s="28">
        <v>297</v>
      </c>
      <c r="I309" s="28">
        <v>311</v>
      </c>
      <c r="J309" s="28">
        <v>264</v>
      </c>
      <c r="K309" s="28">
        <v>192</v>
      </c>
      <c r="L309" s="28">
        <v>127</v>
      </c>
      <c r="M309" s="28">
        <v>65</v>
      </c>
      <c r="N309" s="62">
        <v>49</v>
      </c>
      <c r="O309" s="62">
        <v>2136</v>
      </c>
      <c r="P309" s="28">
        <v>658</v>
      </c>
      <c r="Q309" s="28">
        <v>871</v>
      </c>
      <c r="R309" s="28">
        <v>1089</v>
      </c>
    </row>
    <row r="310" spans="1:18" ht="13.15" hidden="1" customHeight="1">
      <c r="A310" s="28" t="s">
        <v>1213</v>
      </c>
      <c r="B310" s="62" t="s">
        <v>250</v>
      </c>
      <c r="C310" s="28">
        <v>67</v>
      </c>
      <c r="D310" s="28">
        <v>104</v>
      </c>
      <c r="E310" s="28">
        <v>165</v>
      </c>
      <c r="F310" s="28">
        <v>237</v>
      </c>
      <c r="G310" s="28">
        <v>279</v>
      </c>
      <c r="H310" s="28">
        <v>286</v>
      </c>
      <c r="I310" s="28">
        <v>311</v>
      </c>
      <c r="J310" s="28">
        <v>264</v>
      </c>
      <c r="K310" s="28">
        <v>206</v>
      </c>
      <c r="L310" s="28">
        <v>138</v>
      </c>
      <c r="M310" s="28">
        <v>74</v>
      </c>
      <c r="N310" s="62">
        <v>57</v>
      </c>
      <c r="O310" s="62">
        <v>2188</v>
      </c>
      <c r="P310" s="28">
        <v>703</v>
      </c>
      <c r="Q310" s="28">
        <v>920</v>
      </c>
      <c r="R310" s="28">
        <v>1141</v>
      </c>
    </row>
    <row r="311" spans="1:18" ht="13.15" hidden="1" customHeight="1">
      <c r="A311" s="28" t="s">
        <v>1214</v>
      </c>
      <c r="B311" s="62" t="s">
        <v>250</v>
      </c>
      <c r="C311" s="28">
        <v>33</v>
      </c>
      <c r="D311" s="28">
        <v>46</v>
      </c>
      <c r="E311" s="28">
        <v>75</v>
      </c>
      <c r="F311" s="28">
        <v>103</v>
      </c>
      <c r="G311" s="28">
        <v>150</v>
      </c>
      <c r="H311" s="28">
        <v>160</v>
      </c>
      <c r="I311" s="28">
        <v>158</v>
      </c>
      <c r="J311" s="28">
        <v>107</v>
      </c>
      <c r="K311" s="28">
        <v>80</v>
      </c>
      <c r="L311" s="28">
        <v>61</v>
      </c>
      <c r="M311" s="28">
        <v>34</v>
      </c>
      <c r="N311" s="62">
        <v>28</v>
      </c>
      <c r="O311" s="62">
        <v>1035</v>
      </c>
      <c r="P311" s="28">
        <v>324</v>
      </c>
      <c r="Q311" s="28">
        <v>427</v>
      </c>
      <c r="R311" s="28">
        <v>531</v>
      </c>
    </row>
    <row r="312" spans="1:18" hidden="1">
      <c r="B312" s="62"/>
      <c r="N312" s="62"/>
      <c r="O312" s="62"/>
    </row>
    <row r="313" spans="1:18" hidden="1">
      <c r="A313" s="28" t="s">
        <v>1215</v>
      </c>
      <c r="B313" s="62" t="s">
        <v>1808</v>
      </c>
      <c r="C313" s="28">
        <v>31</v>
      </c>
      <c r="D313" s="28">
        <v>28</v>
      </c>
      <c r="E313" s="28">
        <v>30</v>
      </c>
      <c r="F313" s="28">
        <v>18</v>
      </c>
      <c r="G313" s="28">
        <v>8</v>
      </c>
      <c r="H313" s="28">
        <v>1</v>
      </c>
      <c r="I313" s="28">
        <v>0</v>
      </c>
      <c r="J313" s="28">
        <v>0</v>
      </c>
      <c r="K313" s="28">
        <v>2</v>
      </c>
      <c r="L313" s="28">
        <v>17</v>
      </c>
      <c r="M313" s="28">
        <v>29</v>
      </c>
      <c r="N313" s="62">
        <v>31</v>
      </c>
      <c r="O313" s="62"/>
      <c r="P313" s="28">
        <v>195</v>
      </c>
    </row>
    <row r="314" spans="1:18" hidden="1">
      <c r="A314" s="28" t="s">
        <v>1809</v>
      </c>
      <c r="B314" s="62" t="s">
        <v>1810</v>
      </c>
      <c r="C314" s="28">
        <v>591</v>
      </c>
      <c r="D314" s="28">
        <v>472</v>
      </c>
      <c r="E314" s="28">
        <v>428</v>
      </c>
      <c r="F314" s="28">
        <v>212</v>
      </c>
      <c r="G314" s="28">
        <v>83</v>
      </c>
      <c r="H314" s="28">
        <v>15</v>
      </c>
      <c r="I314" s="28">
        <v>3</v>
      </c>
      <c r="J314" s="28">
        <v>1</v>
      </c>
      <c r="K314" s="28">
        <v>19</v>
      </c>
      <c r="L314" s="28">
        <v>179</v>
      </c>
      <c r="M314" s="28">
        <v>402</v>
      </c>
      <c r="N314" s="62">
        <v>574</v>
      </c>
      <c r="O314" s="62"/>
      <c r="P314" s="28">
        <v>2979</v>
      </c>
    </row>
    <row r="315" spans="1:18" hidden="1">
      <c r="B315" s="62"/>
      <c r="N315" s="62"/>
      <c r="O315" s="62"/>
    </row>
    <row r="316" spans="1:18" hidden="1">
      <c r="A316" s="28" t="s">
        <v>1886</v>
      </c>
      <c r="B316" s="62" t="s">
        <v>1808</v>
      </c>
      <c r="C316" s="28">
        <v>31</v>
      </c>
      <c r="D316" s="28">
        <v>28</v>
      </c>
      <c r="E316" s="28">
        <v>31</v>
      </c>
      <c r="F316" s="28">
        <v>24</v>
      </c>
      <c r="G316" s="28">
        <v>14</v>
      </c>
      <c r="H316" s="28">
        <v>5</v>
      </c>
      <c r="I316" s="28">
        <v>2</v>
      </c>
      <c r="J316" s="28">
        <v>2</v>
      </c>
      <c r="K316" s="28">
        <v>7</v>
      </c>
      <c r="L316" s="28">
        <v>23</v>
      </c>
      <c r="M316" s="28">
        <v>30</v>
      </c>
      <c r="N316" s="62">
        <v>31</v>
      </c>
      <c r="O316" s="62"/>
      <c r="Q316" s="28">
        <v>228</v>
      </c>
    </row>
    <row r="317" spans="1:18" hidden="1">
      <c r="A317" s="28" t="s">
        <v>1887</v>
      </c>
      <c r="B317" s="62" t="s">
        <v>1810</v>
      </c>
      <c r="C317" s="28">
        <v>653</v>
      </c>
      <c r="D317" s="28">
        <v>529</v>
      </c>
      <c r="E317" s="28">
        <v>498</v>
      </c>
      <c r="F317" s="28">
        <v>300</v>
      </c>
      <c r="G317" s="28">
        <v>151</v>
      </c>
      <c r="H317" s="28">
        <v>46</v>
      </c>
      <c r="I317" s="28">
        <v>16</v>
      </c>
      <c r="J317" s="28">
        <v>15</v>
      </c>
      <c r="K317" s="28">
        <v>67</v>
      </c>
      <c r="L317" s="28">
        <v>273</v>
      </c>
      <c r="M317" s="28">
        <v>468</v>
      </c>
      <c r="N317" s="62">
        <v>637</v>
      </c>
      <c r="O317" s="62"/>
      <c r="Q317" s="28">
        <v>3653</v>
      </c>
    </row>
    <row r="318" spans="1:18" hidden="1">
      <c r="B318" s="62"/>
      <c r="N318" s="62"/>
      <c r="O318" s="62"/>
    </row>
    <row r="319" spans="1:18" hidden="1">
      <c r="A319" s="28" t="s">
        <v>1434</v>
      </c>
      <c r="B319" s="62" t="s">
        <v>1808</v>
      </c>
      <c r="C319" s="28">
        <v>31</v>
      </c>
      <c r="D319" s="28">
        <v>28</v>
      </c>
      <c r="E319" s="28">
        <v>31</v>
      </c>
      <c r="F319" s="28">
        <v>27</v>
      </c>
      <c r="G319" s="28">
        <v>21</v>
      </c>
      <c r="H319" s="28">
        <v>8</v>
      </c>
      <c r="I319" s="28">
        <v>4</v>
      </c>
      <c r="J319" s="28">
        <v>6</v>
      </c>
      <c r="K319" s="28">
        <v>14</v>
      </c>
      <c r="L319" s="28">
        <v>27</v>
      </c>
      <c r="M319" s="28">
        <v>30</v>
      </c>
      <c r="N319" s="62">
        <v>31</v>
      </c>
      <c r="O319" s="62"/>
      <c r="R319" s="28">
        <v>258</v>
      </c>
    </row>
    <row r="320" spans="1:18" hidden="1">
      <c r="A320" s="28" t="s">
        <v>1435</v>
      </c>
      <c r="B320" s="62" t="s">
        <v>1810</v>
      </c>
      <c r="C320" s="28">
        <v>715</v>
      </c>
      <c r="D320" s="28">
        <v>585</v>
      </c>
      <c r="E320" s="28">
        <v>562</v>
      </c>
      <c r="F320" s="28">
        <v>378</v>
      </c>
      <c r="G320" s="28">
        <v>243</v>
      </c>
      <c r="H320" s="28">
        <v>86</v>
      </c>
      <c r="I320" s="28">
        <v>39</v>
      </c>
      <c r="J320" s="28">
        <v>54</v>
      </c>
      <c r="K320" s="28">
        <v>144</v>
      </c>
      <c r="L320" s="28">
        <v>357</v>
      </c>
      <c r="M320" s="28">
        <v>529</v>
      </c>
      <c r="N320" s="62">
        <v>700</v>
      </c>
      <c r="O320" s="62"/>
      <c r="R320" s="28">
        <v>4392</v>
      </c>
    </row>
    <row r="321" spans="1:31" ht="8.1" hidden="1" customHeight="1"/>
    <row r="322" spans="1:31" ht="8.1" hidden="1" customHeight="1"/>
    <row r="323" spans="1:31" ht="8.1" hidden="1" customHeight="1"/>
    <row r="324" spans="1:31" ht="8.1" hidden="1" customHeight="1"/>
    <row r="325" spans="1:31" ht="8.1" hidden="1" customHeight="1">
      <c r="M325" s="37"/>
    </row>
    <row r="326" spans="1:31" s="34" customFormat="1" ht="15.75" hidden="1">
      <c r="A326" s="61">
        <v>13</v>
      </c>
      <c r="B326" s="129"/>
      <c r="C326" s="129" t="s">
        <v>91</v>
      </c>
      <c r="D326" s="129"/>
      <c r="E326" s="130"/>
      <c r="F326" s="130" t="s">
        <v>352</v>
      </c>
      <c r="G326" s="129">
        <v>809</v>
      </c>
      <c r="H326" s="131" t="s">
        <v>353</v>
      </c>
      <c r="I326" s="129"/>
      <c r="J326" s="129"/>
      <c r="K326" s="130" t="s">
        <v>354</v>
      </c>
      <c r="L326" s="131">
        <v>6</v>
      </c>
      <c r="M326" s="129" t="s">
        <v>355</v>
      </c>
      <c r="N326" s="131" t="s">
        <v>1443</v>
      </c>
      <c r="O326" s="130"/>
      <c r="P326" s="130" t="s">
        <v>357</v>
      </c>
      <c r="Q326" s="129">
        <v>-10</v>
      </c>
      <c r="R326" s="131" t="s">
        <v>2324</v>
      </c>
      <c r="S326" s="28"/>
      <c r="U326" s="368"/>
      <c r="V326" s="368"/>
      <c r="W326" s="368"/>
      <c r="X326" s="368"/>
      <c r="Y326" s="368"/>
      <c r="Z326" s="368"/>
      <c r="AA326" s="368"/>
      <c r="AB326" s="368"/>
      <c r="AC326" s="368"/>
      <c r="AD326" s="368"/>
      <c r="AE326" s="510"/>
    </row>
    <row r="327" spans="1:31" hidden="1">
      <c r="B327" s="62"/>
      <c r="N327" s="62"/>
      <c r="O327" s="62"/>
      <c r="P327" s="53" t="s">
        <v>358</v>
      </c>
      <c r="Q327" s="45"/>
      <c r="R327" s="45"/>
    </row>
    <row r="328" spans="1:31" s="34" customFormat="1" hidden="1">
      <c r="B328" s="65"/>
      <c r="C328" s="95" t="s">
        <v>489</v>
      </c>
      <c r="D328" s="95" t="s">
        <v>490</v>
      </c>
      <c r="E328" s="95" t="s">
        <v>491</v>
      </c>
      <c r="F328" s="95" t="s">
        <v>492</v>
      </c>
      <c r="G328" s="95" t="s">
        <v>493</v>
      </c>
      <c r="H328" s="95" t="s">
        <v>494</v>
      </c>
      <c r="I328" s="95" t="s">
        <v>495</v>
      </c>
      <c r="J328" s="95" t="s">
        <v>496</v>
      </c>
      <c r="K328" s="95" t="s">
        <v>497</v>
      </c>
      <c r="L328" s="95" t="s">
        <v>498</v>
      </c>
      <c r="M328" s="95" t="s">
        <v>499</v>
      </c>
      <c r="N328" s="126" t="s">
        <v>500</v>
      </c>
      <c r="O328" s="126" t="s">
        <v>501</v>
      </c>
      <c r="P328" s="132" t="s">
        <v>359</v>
      </c>
      <c r="Q328" s="133" t="s">
        <v>1207</v>
      </c>
      <c r="R328" s="133" t="s">
        <v>1208</v>
      </c>
      <c r="S328" s="28"/>
      <c r="U328" s="368"/>
      <c r="V328" s="368"/>
      <c r="W328" s="368"/>
      <c r="X328" s="368"/>
      <c r="Y328" s="368"/>
      <c r="Z328" s="368"/>
      <c r="AA328" s="368"/>
      <c r="AB328" s="368"/>
      <c r="AC328" s="368"/>
      <c r="AD328" s="368"/>
      <c r="AE328" s="510"/>
    </row>
    <row r="329" spans="1:31" hidden="1">
      <c r="B329" s="62"/>
      <c r="N329" s="62"/>
      <c r="O329" s="62"/>
    </row>
    <row r="330" spans="1:31" hidden="1">
      <c r="A330" s="28" t="s">
        <v>1209</v>
      </c>
      <c r="B330" s="62" t="s">
        <v>2324</v>
      </c>
      <c r="C330" s="28">
        <v>-2</v>
      </c>
      <c r="D330" s="28">
        <v>-0.6</v>
      </c>
      <c r="E330" s="28">
        <v>1.7</v>
      </c>
      <c r="F330" s="28">
        <v>6.7</v>
      </c>
      <c r="G330" s="28">
        <v>10.199999999999999</v>
      </c>
      <c r="H330" s="28">
        <v>13.9</v>
      </c>
      <c r="I330" s="28">
        <v>15.3</v>
      </c>
      <c r="J330" s="28">
        <v>14.5</v>
      </c>
      <c r="K330" s="28">
        <v>12.7</v>
      </c>
      <c r="L330" s="28">
        <v>8.5</v>
      </c>
      <c r="M330" s="28">
        <v>3.5</v>
      </c>
      <c r="N330" s="62">
        <v>-2.2000000000000002</v>
      </c>
      <c r="O330" s="62">
        <v>6.9</v>
      </c>
      <c r="P330" s="28">
        <v>2</v>
      </c>
      <c r="Q330" s="28">
        <v>3.3</v>
      </c>
      <c r="R330" s="28">
        <v>4.4000000000000004</v>
      </c>
    </row>
    <row r="331" spans="1:31" hidden="1">
      <c r="B331" s="62"/>
      <c r="N331" s="62"/>
      <c r="O331" s="62"/>
    </row>
    <row r="332" spans="1:31" ht="13.15" hidden="1" customHeight="1">
      <c r="A332" s="28" t="s">
        <v>1210</v>
      </c>
      <c r="B332" s="62" t="s">
        <v>250</v>
      </c>
      <c r="C332" s="28">
        <v>119</v>
      </c>
      <c r="D332" s="28">
        <v>184</v>
      </c>
      <c r="E332" s="28">
        <v>313</v>
      </c>
      <c r="F332" s="28">
        <v>457</v>
      </c>
      <c r="G332" s="28">
        <v>558</v>
      </c>
      <c r="H332" s="28">
        <v>583</v>
      </c>
      <c r="I332" s="28">
        <v>626</v>
      </c>
      <c r="J332" s="28">
        <v>500</v>
      </c>
      <c r="K332" s="28">
        <v>382</v>
      </c>
      <c r="L332" s="28">
        <v>259</v>
      </c>
      <c r="M332" s="28">
        <v>130</v>
      </c>
      <c r="N332" s="62">
        <v>94</v>
      </c>
      <c r="O332" s="62">
        <v>4205</v>
      </c>
      <c r="P332" s="28">
        <v>1682</v>
      </c>
      <c r="Q332" s="28">
        <v>2210</v>
      </c>
      <c r="R332" s="28">
        <v>2723</v>
      </c>
    </row>
    <row r="333" spans="1:31" ht="13.15" hidden="1" customHeight="1">
      <c r="A333" s="28" t="s">
        <v>1211</v>
      </c>
      <c r="B333" s="62" t="s">
        <v>250</v>
      </c>
      <c r="C333" s="28">
        <v>189</v>
      </c>
      <c r="D333" s="28">
        <v>241</v>
      </c>
      <c r="E333" s="28">
        <v>294</v>
      </c>
      <c r="F333" s="28">
        <v>320</v>
      </c>
      <c r="G333" s="28">
        <v>296</v>
      </c>
      <c r="H333" s="28">
        <v>274</v>
      </c>
      <c r="I333" s="28">
        <v>307</v>
      </c>
      <c r="J333" s="28">
        <v>320</v>
      </c>
      <c r="K333" s="28">
        <v>344</v>
      </c>
      <c r="L333" s="28">
        <v>311</v>
      </c>
      <c r="M333" s="28">
        <v>208</v>
      </c>
      <c r="N333" s="62">
        <v>176</v>
      </c>
      <c r="O333" s="62">
        <v>3280</v>
      </c>
      <c r="P333" s="28">
        <v>1700</v>
      </c>
      <c r="Q333" s="28">
        <v>2063</v>
      </c>
      <c r="R333" s="28">
        <v>2403</v>
      </c>
    </row>
    <row r="334" spans="1:31" ht="13.15" hidden="1" customHeight="1">
      <c r="A334" s="28" t="s">
        <v>1212</v>
      </c>
      <c r="B334" s="62" t="s">
        <v>250</v>
      </c>
      <c r="C334" s="28">
        <v>73</v>
      </c>
      <c r="D334" s="28">
        <v>107</v>
      </c>
      <c r="E334" s="28">
        <v>178</v>
      </c>
      <c r="F334" s="28">
        <v>247</v>
      </c>
      <c r="G334" s="28">
        <v>296</v>
      </c>
      <c r="H334" s="28">
        <v>303</v>
      </c>
      <c r="I334" s="28">
        <v>319</v>
      </c>
      <c r="J334" s="28">
        <v>270</v>
      </c>
      <c r="K334" s="28">
        <v>210</v>
      </c>
      <c r="L334" s="28">
        <v>145</v>
      </c>
      <c r="M334" s="28">
        <v>77</v>
      </c>
      <c r="N334" s="62">
        <v>61</v>
      </c>
      <c r="O334" s="62">
        <v>2286</v>
      </c>
      <c r="P334" s="28">
        <v>949</v>
      </c>
      <c r="Q334" s="28">
        <v>1231</v>
      </c>
      <c r="R334" s="28">
        <v>1505</v>
      </c>
    </row>
    <row r="335" spans="1:31" ht="13.15" hidden="1" customHeight="1">
      <c r="A335" s="28" t="s">
        <v>1213</v>
      </c>
      <c r="B335" s="62" t="s">
        <v>250</v>
      </c>
      <c r="C335" s="28">
        <v>84</v>
      </c>
      <c r="D335" s="28">
        <v>121</v>
      </c>
      <c r="E335" s="28">
        <v>178</v>
      </c>
      <c r="F335" s="28">
        <v>251</v>
      </c>
      <c r="G335" s="28">
        <v>290</v>
      </c>
      <c r="H335" s="28">
        <v>292</v>
      </c>
      <c r="I335" s="28">
        <v>319</v>
      </c>
      <c r="J335" s="28">
        <v>270</v>
      </c>
      <c r="K335" s="28">
        <v>225</v>
      </c>
      <c r="L335" s="28">
        <v>158</v>
      </c>
      <c r="M335" s="28">
        <v>87</v>
      </c>
      <c r="N335" s="62">
        <v>71</v>
      </c>
      <c r="O335" s="62">
        <v>2346</v>
      </c>
      <c r="P335" s="28">
        <v>1001</v>
      </c>
      <c r="Q335" s="28">
        <v>1287</v>
      </c>
      <c r="R335" s="28">
        <v>1564</v>
      </c>
    </row>
    <row r="336" spans="1:31" ht="13.15" hidden="1" customHeight="1">
      <c r="A336" s="28" t="s">
        <v>1214</v>
      </c>
      <c r="B336" s="62" t="s">
        <v>250</v>
      </c>
      <c r="C336" s="28">
        <v>42</v>
      </c>
      <c r="D336" s="28">
        <v>53</v>
      </c>
      <c r="E336" s="28">
        <v>81</v>
      </c>
      <c r="F336" s="28">
        <v>110</v>
      </c>
      <c r="G336" s="28">
        <v>156</v>
      </c>
      <c r="H336" s="28">
        <v>163</v>
      </c>
      <c r="I336" s="28">
        <v>163</v>
      </c>
      <c r="J336" s="28">
        <v>110</v>
      </c>
      <c r="K336" s="28">
        <v>88</v>
      </c>
      <c r="L336" s="28">
        <v>70</v>
      </c>
      <c r="M336" s="28">
        <v>40</v>
      </c>
      <c r="N336" s="62">
        <v>35</v>
      </c>
      <c r="O336" s="62">
        <v>1111</v>
      </c>
      <c r="P336" s="28">
        <v>468</v>
      </c>
      <c r="Q336" s="28">
        <v>604</v>
      </c>
      <c r="R336" s="28">
        <v>733</v>
      </c>
    </row>
    <row r="337" spans="1:31" hidden="1">
      <c r="B337" s="62"/>
      <c r="N337" s="62"/>
      <c r="O337" s="62"/>
    </row>
    <row r="338" spans="1:31" hidden="1">
      <c r="A338" s="28" t="s">
        <v>1215</v>
      </c>
      <c r="B338" s="62" t="s">
        <v>1808</v>
      </c>
      <c r="C338" s="28">
        <v>31</v>
      </c>
      <c r="D338" s="28">
        <v>28</v>
      </c>
      <c r="E338" s="28">
        <v>30</v>
      </c>
      <c r="F338" s="28">
        <v>24</v>
      </c>
      <c r="G338" s="28">
        <v>16</v>
      </c>
      <c r="H338" s="28">
        <v>5</v>
      </c>
      <c r="I338" s="28">
        <v>2</v>
      </c>
      <c r="J338" s="28">
        <v>2</v>
      </c>
      <c r="K338" s="28">
        <v>6</v>
      </c>
      <c r="L338" s="28">
        <v>20</v>
      </c>
      <c r="M338" s="28">
        <v>27</v>
      </c>
      <c r="N338" s="62">
        <v>31</v>
      </c>
      <c r="O338" s="62"/>
      <c r="P338" s="28">
        <v>222</v>
      </c>
    </row>
    <row r="339" spans="1:31" hidden="1">
      <c r="A339" s="28" t="s">
        <v>1809</v>
      </c>
      <c r="B339" s="62" t="s">
        <v>1810</v>
      </c>
      <c r="C339" s="28">
        <v>620</v>
      </c>
      <c r="D339" s="28">
        <v>519</v>
      </c>
      <c r="E339" s="28">
        <v>500</v>
      </c>
      <c r="F339" s="28">
        <v>306</v>
      </c>
      <c r="G339" s="28">
        <v>171</v>
      </c>
      <c r="H339" s="28">
        <v>52</v>
      </c>
      <c r="I339" s="28">
        <v>21</v>
      </c>
      <c r="J339" s="28">
        <v>21</v>
      </c>
      <c r="K339" s="28">
        <v>60</v>
      </c>
      <c r="L339" s="28">
        <v>237</v>
      </c>
      <c r="M339" s="28">
        <v>421</v>
      </c>
      <c r="N339" s="62">
        <v>623</v>
      </c>
      <c r="O339" s="62"/>
      <c r="P339" s="28">
        <v>3551</v>
      </c>
    </row>
    <row r="340" spans="1:31" hidden="1">
      <c r="B340" s="62"/>
      <c r="N340" s="62"/>
      <c r="O340" s="62"/>
    </row>
    <row r="341" spans="1:31" hidden="1">
      <c r="A341" s="28" t="s">
        <v>1886</v>
      </c>
      <c r="B341" s="62" t="s">
        <v>1808</v>
      </c>
      <c r="C341" s="28">
        <v>31</v>
      </c>
      <c r="D341" s="28">
        <v>28</v>
      </c>
      <c r="E341" s="28">
        <v>31</v>
      </c>
      <c r="F341" s="28">
        <v>26</v>
      </c>
      <c r="G341" s="28">
        <v>23</v>
      </c>
      <c r="H341" s="28">
        <v>10</v>
      </c>
      <c r="I341" s="28">
        <v>6</v>
      </c>
      <c r="J341" s="28">
        <v>7</v>
      </c>
      <c r="K341" s="28">
        <v>14</v>
      </c>
      <c r="L341" s="28">
        <v>25</v>
      </c>
      <c r="M341" s="28">
        <v>28</v>
      </c>
      <c r="N341" s="62">
        <v>31</v>
      </c>
      <c r="O341" s="62"/>
      <c r="Q341" s="28">
        <v>260</v>
      </c>
    </row>
    <row r="342" spans="1:31" hidden="1">
      <c r="A342" s="28" t="s">
        <v>1887</v>
      </c>
      <c r="B342" s="62" t="s">
        <v>1810</v>
      </c>
      <c r="C342" s="28">
        <v>683</v>
      </c>
      <c r="D342" s="28">
        <v>577</v>
      </c>
      <c r="E342" s="28">
        <v>566</v>
      </c>
      <c r="F342" s="28">
        <v>377</v>
      </c>
      <c r="G342" s="28">
        <v>267</v>
      </c>
      <c r="H342" s="28">
        <v>101</v>
      </c>
      <c r="I342" s="28">
        <v>58</v>
      </c>
      <c r="J342" s="28">
        <v>65</v>
      </c>
      <c r="K342" s="28">
        <v>144</v>
      </c>
      <c r="L342" s="28">
        <v>323</v>
      </c>
      <c r="M342" s="28">
        <v>484</v>
      </c>
      <c r="N342" s="62">
        <v>687</v>
      </c>
      <c r="O342" s="62"/>
      <c r="Q342" s="28">
        <v>4332</v>
      </c>
    </row>
    <row r="343" spans="1:31" hidden="1">
      <c r="B343" s="62"/>
      <c r="N343" s="62"/>
      <c r="O343" s="62"/>
    </row>
    <row r="344" spans="1:31" hidden="1">
      <c r="A344" s="28" t="s">
        <v>1434</v>
      </c>
      <c r="B344" s="62" t="s">
        <v>1808</v>
      </c>
      <c r="C344" s="28">
        <v>31</v>
      </c>
      <c r="D344" s="28">
        <v>28</v>
      </c>
      <c r="E344" s="28">
        <v>31</v>
      </c>
      <c r="F344" s="28">
        <v>28</v>
      </c>
      <c r="G344" s="28">
        <v>26</v>
      </c>
      <c r="H344" s="28">
        <v>15</v>
      </c>
      <c r="I344" s="28">
        <v>11</v>
      </c>
      <c r="J344" s="28">
        <v>15</v>
      </c>
      <c r="K344" s="28">
        <v>20</v>
      </c>
      <c r="L344" s="28">
        <v>28</v>
      </c>
      <c r="M344" s="28">
        <v>29</v>
      </c>
      <c r="N344" s="62">
        <v>31</v>
      </c>
      <c r="O344" s="62"/>
      <c r="R344" s="28">
        <v>293</v>
      </c>
    </row>
    <row r="345" spans="1:31" hidden="1">
      <c r="A345" s="28" t="s">
        <v>1435</v>
      </c>
      <c r="B345" s="62" t="s">
        <v>1810</v>
      </c>
      <c r="C345" s="28">
        <v>745</v>
      </c>
      <c r="D345" s="28">
        <v>634</v>
      </c>
      <c r="E345" s="28">
        <v>630</v>
      </c>
      <c r="F345" s="28">
        <v>446</v>
      </c>
      <c r="G345" s="28">
        <v>336</v>
      </c>
      <c r="H345" s="28">
        <v>172</v>
      </c>
      <c r="I345" s="28">
        <v>115</v>
      </c>
      <c r="J345" s="28">
        <v>152</v>
      </c>
      <c r="K345" s="28">
        <v>221</v>
      </c>
      <c r="L345" s="28">
        <v>400</v>
      </c>
      <c r="M345" s="28">
        <v>551</v>
      </c>
      <c r="N345" s="62">
        <v>749</v>
      </c>
      <c r="O345" s="62"/>
      <c r="R345" s="28">
        <v>5151</v>
      </c>
    </row>
    <row r="346" spans="1:31" ht="8.1" hidden="1" customHeight="1"/>
    <row r="347" spans="1:31" ht="8.1" hidden="1" customHeight="1"/>
    <row r="348" spans="1:31" ht="8.1" hidden="1" customHeight="1"/>
    <row r="349" spans="1:31" ht="8.1" hidden="1" customHeight="1"/>
    <row r="350" spans="1:31" ht="8.1" hidden="1" customHeight="1">
      <c r="M350" s="37"/>
    </row>
    <row r="351" spans="1:31" s="34" customFormat="1" ht="15.75" hidden="1">
      <c r="A351" s="61">
        <v>14</v>
      </c>
      <c r="B351" s="129"/>
      <c r="C351" s="129" t="s">
        <v>92</v>
      </c>
      <c r="D351" s="129"/>
      <c r="E351" s="130"/>
      <c r="F351" s="130" t="s">
        <v>352</v>
      </c>
      <c r="G351" s="129">
        <v>518</v>
      </c>
      <c r="H351" s="131" t="s">
        <v>353</v>
      </c>
      <c r="I351" s="129"/>
      <c r="J351" s="129"/>
      <c r="K351" s="130" t="s">
        <v>354</v>
      </c>
      <c r="L351" s="131">
        <v>9</v>
      </c>
      <c r="M351" s="129" t="s">
        <v>355</v>
      </c>
      <c r="N351" s="131" t="s">
        <v>1583</v>
      </c>
      <c r="O351" s="130"/>
      <c r="P351" s="130" t="s">
        <v>357</v>
      </c>
      <c r="Q351" s="129">
        <v>-9</v>
      </c>
      <c r="R351" s="131" t="s">
        <v>2324</v>
      </c>
      <c r="S351" s="28"/>
      <c r="U351" s="368"/>
      <c r="V351" s="368"/>
      <c r="W351" s="368"/>
      <c r="X351" s="368"/>
      <c r="Y351" s="368"/>
      <c r="Z351" s="368"/>
      <c r="AA351" s="368"/>
      <c r="AB351" s="368"/>
      <c r="AC351" s="368"/>
      <c r="AD351" s="368"/>
      <c r="AE351" s="510"/>
    </row>
    <row r="352" spans="1:31" hidden="1">
      <c r="B352" s="62"/>
      <c r="N352" s="62"/>
      <c r="O352" s="62"/>
      <c r="P352" s="53" t="s">
        <v>358</v>
      </c>
      <c r="Q352" s="45"/>
      <c r="R352" s="45"/>
    </row>
    <row r="353" spans="1:31" s="34" customFormat="1" hidden="1">
      <c r="B353" s="65"/>
      <c r="C353" s="95" t="s">
        <v>489</v>
      </c>
      <c r="D353" s="95" t="s">
        <v>490</v>
      </c>
      <c r="E353" s="95" t="s">
        <v>491</v>
      </c>
      <c r="F353" s="95" t="s">
        <v>492</v>
      </c>
      <c r="G353" s="95" t="s">
        <v>493</v>
      </c>
      <c r="H353" s="95" t="s">
        <v>494</v>
      </c>
      <c r="I353" s="95" t="s">
        <v>495</v>
      </c>
      <c r="J353" s="95" t="s">
        <v>496</v>
      </c>
      <c r="K353" s="95" t="s">
        <v>497</v>
      </c>
      <c r="L353" s="95" t="s">
        <v>498</v>
      </c>
      <c r="M353" s="95" t="s">
        <v>499</v>
      </c>
      <c r="N353" s="126" t="s">
        <v>500</v>
      </c>
      <c r="O353" s="126" t="s">
        <v>501</v>
      </c>
      <c r="P353" s="132" t="s">
        <v>359</v>
      </c>
      <c r="Q353" s="133" t="s">
        <v>1207</v>
      </c>
      <c r="R353" s="133" t="s">
        <v>1208</v>
      </c>
      <c r="S353" s="28"/>
      <c r="U353" s="368"/>
      <c r="V353" s="368"/>
      <c r="W353" s="368"/>
      <c r="X353" s="368"/>
      <c r="Y353" s="368"/>
      <c r="Z353" s="368"/>
      <c r="AA353" s="368"/>
      <c r="AB353" s="368"/>
      <c r="AC353" s="368"/>
      <c r="AD353" s="368"/>
      <c r="AE353" s="510"/>
    </row>
    <row r="354" spans="1:31" hidden="1">
      <c r="B354" s="62"/>
      <c r="N354" s="62"/>
      <c r="O354" s="62"/>
    </row>
    <row r="355" spans="1:31" hidden="1">
      <c r="A355" s="28" t="s">
        <v>1209</v>
      </c>
      <c r="B355" s="62" t="s">
        <v>2324</v>
      </c>
      <c r="C355" s="28">
        <v>-0.9</v>
      </c>
      <c r="D355" s="28">
        <v>-1.3</v>
      </c>
      <c r="E355" s="28">
        <v>4.2</v>
      </c>
      <c r="F355" s="28">
        <v>9.1999999999999993</v>
      </c>
      <c r="G355" s="28">
        <v>12.7</v>
      </c>
      <c r="H355" s="28">
        <v>16.3</v>
      </c>
      <c r="I355" s="28">
        <v>17.7</v>
      </c>
      <c r="J355" s="28">
        <v>16.7</v>
      </c>
      <c r="K355" s="28">
        <v>14.6</v>
      </c>
      <c r="L355" s="28">
        <v>10.1</v>
      </c>
      <c r="M355" s="28">
        <v>5</v>
      </c>
      <c r="N355" s="62">
        <v>-1.4</v>
      </c>
      <c r="O355" s="62">
        <v>8.8000000000000007</v>
      </c>
      <c r="P355" s="28">
        <v>2.5</v>
      </c>
      <c r="Q355" s="28">
        <v>3.8</v>
      </c>
      <c r="R355" s="28">
        <v>4.9000000000000004</v>
      </c>
    </row>
    <row r="356" spans="1:31" hidden="1">
      <c r="B356" s="62"/>
      <c r="N356" s="62"/>
      <c r="O356" s="62"/>
    </row>
    <row r="357" spans="1:31" ht="13.15" hidden="1" customHeight="1">
      <c r="A357" s="28" t="s">
        <v>1210</v>
      </c>
      <c r="B357" s="62" t="s">
        <v>250</v>
      </c>
      <c r="C357" s="28">
        <v>137</v>
      </c>
      <c r="D357" s="28">
        <v>202</v>
      </c>
      <c r="E357" s="28">
        <v>354</v>
      </c>
      <c r="F357" s="28">
        <v>471</v>
      </c>
      <c r="G357" s="28">
        <v>576</v>
      </c>
      <c r="H357" s="28">
        <v>615</v>
      </c>
      <c r="I357" s="28">
        <v>645</v>
      </c>
      <c r="J357" s="28">
        <v>534</v>
      </c>
      <c r="K357" s="28">
        <v>419</v>
      </c>
      <c r="L357" s="28">
        <v>296</v>
      </c>
      <c r="M357" s="28">
        <v>141</v>
      </c>
      <c r="N357" s="62">
        <v>111</v>
      </c>
      <c r="O357" s="62">
        <v>4501</v>
      </c>
      <c r="P357" s="28">
        <v>1347</v>
      </c>
      <c r="Q357" s="28">
        <v>1776</v>
      </c>
      <c r="R357" s="28">
        <v>2259</v>
      </c>
    </row>
    <row r="358" spans="1:31" ht="13.15" hidden="1" customHeight="1">
      <c r="A358" s="28" t="s">
        <v>1211</v>
      </c>
      <c r="B358" s="62" t="s">
        <v>250</v>
      </c>
      <c r="C358" s="28">
        <v>218</v>
      </c>
      <c r="D358" s="28">
        <v>265</v>
      </c>
      <c r="E358" s="28">
        <v>333</v>
      </c>
      <c r="F358" s="28">
        <v>330</v>
      </c>
      <c r="G358" s="28">
        <v>305</v>
      </c>
      <c r="H358" s="28">
        <v>289</v>
      </c>
      <c r="I358" s="28">
        <v>316</v>
      </c>
      <c r="J358" s="28">
        <v>342</v>
      </c>
      <c r="K358" s="28">
        <v>377</v>
      </c>
      <c r="L358" s="28">
        <v>355</v>
      </c>
      <c r="M358" s="28">
        <v>226</v>
      </c>
      <c r="N358" s="62">
        <v>208</v>
      </c>
      <c r="O358" s="62">
        <v>3564</v>
      </c>
      <c r="P358" s="28">
        <v>1532</v>
      </c>
      <c r="Q358" s="28">
        <v>1868</v>
      </c>
      <c r="R358" s="28">
        <v>2203</v>
      </c>
    </row>
    <row r="359" spans="1:31" ht="13.15" hidden="1" customHeight="1">
      <c r="A359" s="28" t="s">
        <v>1212</v>
      </c>
      <c r="B359" s="62" t="s">
        <v>250</v>
      </c>
      <c r="C359" s="28">
        <v>84</v>
      </c>
      <c r="D359" s="28">
        <v>117</v>
      </c>
      <c r="E359" s="28">
        <v>202</v>
      </c>
      <c r="F359" s="28">
        <v>254</v>
      </c>
      <c r="G359" s="28">
        <v>305</v>
      </c>
      <c r="H359" s="28">
        <v>320</v>
      </c>
      <c r="I359" s="28">
        <v>329</v>
      </c>
      <c r="J359" s="28">
        <v>288</v>
      </c>
      <c r="K359" s="28">
        <v>230</v>
      </c>
      <c r="L359" s="28">
        <v>166</v>
      </c>
      <c r="M359" s="28">
        <v>83</v>
      </c>
      <c r="N359" s="62">
        <v>72</v>
      </c>
      <c r="O359" s="62">
        <v>2450</v>
      </c>
      <c r="P359" s="28">
        <v>773</v>
      </c>
      <c r="Q359" s="28">
        <v>1006</v>
      </c>
      <c r="R359" s="28">
        <v>1265</v>
      </c>
    </row>
    <row r="360" spans="1:31" ht="13.15" hidden="1" customHeight="1">
      <c r="A360" s="28" t="s">
        <v>1213</v>
      </c>
      <c r="B360" s="62" t="s">
        <v>250</v>
      </c>
      <c r="C360" s="28">
        <v>97</v>
      </c>
      <c r="D360" s="28">
        <v>133</v>
      </c>
      <c r="E360" s="28">
        <v>202</v>
      </c>
      <c r="F360" s="28">
        <v>259</v>
      </c>
      <c r="G360" s="28">
        <v>300</v>
      </c>
      <c r="H360" s="28">
        <v>308</v>
      </c>
      <c r="I360" s="28">
        <v>329</v>
      </c>
      <c r="J360" s="28">
        <v>288</v>
      </c>
      <c r="K360" s="28">
        <v>247</v>
      </c>
      <c r="L360" s="28">
        <v>181</v>
      </c>
      <c r="M360" s="28">
        <v>94</v>
      </c>
      <c r="N360" s="62">
        <v>83</v>
      </c>
      <c r="O360" s="62">
        <v>2521</v>
      </c>
      <c r="P360" s="28">
        <v>829</v>
      </c>
      <c r="Q360" s="28">
        <v>1068</v>
      </c>
      <c r="R360" s="28">
        <v>1332</v>
      </c>
    </row>
    <row r="361" spans="1:31" ht="13.15" hidden="1" customHeight="1">
      <c r="A361" s="28" t="s">
        <v>1214</v>
      </c>
      <c r="B361" s="62" t="s">
        <v>250</v>
      </c>
      <c r="C361" s="28">
        <v>48</v>
      </c>
      <c r="D361" s="28">
        <v>59</v>
      </c>
      <c r="E361" s="28">
        <v>92</v>
      </c>
      <c r="F361" s="28">
        <v>113</v>
      </c>
      <c r="G361" s="28">
        <v>161</v>
      </c>
      <c r="H361" s="28">
        <v>172</v>
      </c>
      <c r="I361" s="28">
        <v>168</v>
      </c>
      <c r="J361" s="28">
        <v>117</v>
      </c>
      <c r="K361" s="28">
        <v>96</v>
      </c>
      <c r="L361" s="28">
        <v>80</v>
      </c>
      <c r="M361" s="28">
        <v>44</v>
      </c>
      <c r="N361" s="62">
        <v>41</v>
      </c>
      <c r="O361" s="62">
        <v>1191</v>
      </c>
      <c r="P361" s="28">
        <v>385</v>
      </c>
      <c r="Q361" s="28">
        <v>497</v>
      </c>
      <c r="R361" s="28">
        <v>621</v>
      </c>
    </row>
    <row r="362" spans="1:31" hidden="1">
      <c r="B362" s="62"/>
      <c r="N362" s="62"/>
      <c r="O362" s="62"/>
    </row>
    <row r="363" spans="1:31" hidden="1">
      <c r="A363" s="28" t="s">
        <v>1215</v>
      </c>
      <c r="B363" s="62" t="s">
        <v>1808</v>
      </c>
      <c r="C363" s="28">
        <v>31</v>
      </c>
      <c r="D363" s="28">
        <v>27</v>
      </c>
      <c r="E363" s="28">
        <v>28</v>
      </c>
      <c r="F363" s="28">
        <v>16</v>
      </c>
      <c r="G363" s="28">
        <v>7</v>
      </c>
      <c r="H363" s="28">
        <v>2</v>
      </c>
      <c r="I363" s="28">
        <v>1</v>
      </c>
      <c r="J363" s="28">
        <v>1</v>
      </c>
      <c r="K363" s="28">
        <v>2</v>
      </c>
      <c r="L363" s="28">
        <v>16</v>
      </c>
      <c r="M363" s="28">
        <v>26</v>
      </c>
      <c r="N363" s="62">
        <v>31</v>
      </c>
      <c r="O363" s="62"/>
      <c r="P363" s="28">
        <v>188</v>
      </c>
    </row>
    <row r="364" spans="1:31" hidden="1">
      <c r="A364" s="28" t="s">
        <v>1809</v>
      </c>
      <c r="B364" s="62" t="s">
        <v>1810</v>
      </c>
      <c r="C364" s="28">
        <v>581</v>
      </c>
      <c r="D364" s="28">
        <v>458</v>
      </c>
      <c r="E364" s="28">
        <v>410</v>
      </c>
      <c r="F364" s="28">
        <v>197</v>
      </c>
      <c r="G364" s="28">
        <v>74</v>
      </c>
      <c r="H364" s="28">
        <v>18</v>
      </c>
      <c r="I364" s="28">
        <v>5</v>
      </c>
      <c r="J364" s="28">
        <v>6</v>
      </c>
      <c r="K364" s="28">
        <v>22</v>
      </c>
      <c r="L364" s="28">
        <v>173</v>
      </c>
      <c r="M364" s="28">
        <v>368</v>
      </c>
      <c r="N364" s="62">
        <v>597</v>
      </c>
      <c r="O364" s="62"/>
      <c r="P364" s="28">
        <v>2909</v>
      </c>
    </row>
    <row r="365" spans="1:31" hidden="1">
      <c r="B365" s="62"/>
      <c r="N365" s="62"/>
      <c r="O365" s="62"/>
    </row>
    <row r="366" spans="1:31" hidden="1">
      <c r="A366" s="28" t="s">
        <v>1886</v>
      </c>
      <c r="B366" s="62" t="s">
        <v>1808</v>
      </c>
      <c r="C366" s="28">
        <v>31</v>
      </c>
      <c r="D366" s="28">
        <v>28</v>
      </c>
      <c r="E366" s="28">
        <v>30</v>
      </c>
      <c r="F366" s="28">
        <v>21</v>
      </c>
      <c r="G366" s="28">
        <v>14</v>
      </c>
      <c r="H366" s="28">
        <v>4</v>
      </c>
      <c r="I366" s="28">
        <v>2</v>
      </c>
      <c r="J366" s="28">
        <v>3</v>
      </c>
      <c r="K366" s="28">
        <v>7</v>
      </c>
      <c r="L366" s="28">
        <v>22</v>
      </c>
      <c r="M366" s="28">
        <v>28</v>
      </c>
      <c r="N366" s="62">
        <v>31</v>
      </c>
      <c r="O366" s="62"/>
      <c r="Q366" s="28">
        <v>221</v>
      </c>
    </row>
    <row r="367" spans="1:31" hidden="1">
      <c r="A367" s="28" t="s">
        <v>1887</v>
      </c>
      <c r="B367" s="62" t="s">
        <v>1810</v>
      </c>
      <c r="C367" s="28">
        <v>646</v>
      </c>
      <c r="D367" s="28">
        <v>523</v>
      </c>
      <c r="E367" s="28">
        <v>483</v>
      </c>
      <c r="F367" s="28">
        <v>273</v>
      </c>
      <c r="G367" s="28">
        <v>145</v>
      </c>
      <c r="H367" s="28">
        <v>44</v>
      </c>
      <c r="I367" s="28">
        <v>21</v>
      </c>
      <c r="J367" s="28">
        <v>24</v>
      </c>
      <c r="K367" s="28">
        <v>63</v>
      </c>
      <c r="L367" s="28">
        <v>259</v>
      </c>
      <c r="M367" s="28">
        <v>438</v>
      </c>
      <c r="N367" s="62">
        <v>662</v>
      </c>
      <c r="O367" s="62"/>
      <c r="Q367" s="28">
        <v>3581</v>
      </c>
    </row>
    <row r="368" spans="1:31" hidden="1">
      <c r="B368" s="62"/>
      <c r="N368" s="62"/>
      <c r="O368" s="62"/>
    </row>
    <row r="369" spans="1:31" hidden="1">
      <c r="A369" s="28" t="s">
        <v>1434</v>
      </c>
      <c r="B369" s="62" t="s">
        <v>1808</v>
      </c>
      <c r="C369" s="28">
        <v>31</v>
      </c>
      <c r="D369" s="28">
        <v>28</v>
      </c>
      <c r="E369" s="28">
        <v>31</v>
      </c>
      <c r="F369" s="28">
        <v>26</v>
      </c>
      <c r="G369" s="28">
        <v>20</v>
      </c>
      <c r="H369" s="28">
        <v>8</v>
      </c>
      <c r="I369" s="28">
        <v>5</v>
      </c>
      <c r="J369" s="28">
        <v>6</v>
      </c>
      <c r="K369" s="28">
        <v>13</v>
      </c>
      <c r="L369" s="28">
        <v>25</v>
      </c>
      <c r="M369" s="28">
        <v>29</v>
      </c>
      <c r="N369" s="62">
        <v>31</v>
      </c>
      <c r="O369" s="62"/>
      <c r="R369" s="28">
        <v>253</v>
      </c>
    </row>
    <row r="370" spans="1:31" hidden="1">
      <c r="A370" s="28" t="s">
        <v>1435</v>
      </c>
      <c r="B370" s="62" t="s">
        <v>1810</v>
      </c>
      <c r="C370" s="28">
        <v>709</v>
      </c>
      <c r="D370" s="28">
        <v>580</v>
      </c>
      <c r="E370" s="28">
        <v>551</v>
      </c>
      <c r="F370" s="28">
        <v>359</v>
      </c>
      <c r="G370" s="28">
        <v>230</v>
      </c>
      <c r="H370" s="28">
        <v>88</v>
      </c>
      <c r="I370" s="28">
        <v>52</v>
      </c>
      <c r="J370" s="28">
        <v>61</v>
      </c>
      <c r="K370" s="28">
        <v>138</v>
      </c>
      <c r="L370" s="28">
        <v>335</v>
      </c>
      <c r="M370" s="28">
        <v>502</v>
      </c>
      <c r="N370" s="62">
        <v>725</v>
      </c>
      <c r="O370" s="62"/>
      <c r="R370" s="28">
        <v>4330</v>
      </c>
    </row>
    <row r="371" spans="1:31" ht="8.1" hidden="1" customHeight="1"/>
    <row r="372" spans="1:31" ht="8.1" hidden="1" customHeight="1"/>
    <row r="373" spans="1:31" ht="8.1" hidden="1" customHeight="1"/>
    <row r="374" spans="1:31" ht="8.1" hidden="1" customHeight="1"/>
    <row r="375" spans="1:31" ht="8.1" hidden="1" customHeight="1">
      <c r="M375" s="37"/>
    </row>
    <row r="376" spans="1:31" s="34" customFormat="1" ht="15.75" hidden="1">
      <c r="A376" s="61">
        <v>15</v>
      </c>
      <c r="B376" s="129"/>
      <c r="C376" s="129" t="s">
        <v>93</v>
      </c>
      <c r="D376" s="129"/>
      <c r="E376" s="130"/>
      <c r="F376" s="130" t="s">
        <v>352</v>
      </c>
      <c r="G376" s="129">
        <v>1173</v>
      </c>
      <c r="H376" s="131" t="s">
        <v>353</v>
      </c>
      <c r="I376" s="129"/>
      <c r="J376" s="129"/>
      <c r="K376" s="130" t="s">
        <v>354</v>
      </c>
      <c r="L376" s="131">
        <v>9</v>
      </c>
      <c r="M376" s="129" t="s">
        <v>355</v>
      </c>
      <c r="N376" s="131" t="s">
        <v>356</v>
      </c>
      <c r="O376" s="130"/>
      <c r="P376" s="130" t="s">
        <v>357</v>
      </c>
      <c r="Q376" s="129">
        <v>-9</v>
      </c>
      <c r="R376" s="131" t="s">
        <v>2324</v>
      </c>
      <c r="S376" s="28"/>
      <c r="U376" s="368"/>
      <c r="V376" s="368"/>
      <c r="W376" s="368"/>
      <c r="X376" s="368"/>
      <c r="Y376" s="368"/>
      <c r="Z376" s="368"/>
      <c r="AA376" s="368"/>
      <c r="AB376" s="368"/>
      <c r="AC376" s="368"/>
      <c r="AD376" s="368"/>
      <c r="AE376" s="510"/>
    </row>
    <row r="377" spans="1:31" hidden="1">
      <c r="B377" s="62"/>
      <c r="N377" s="62"/>
      <c r="O377" s="62"/>
      <c r="P377" s="53" t="s">
        <v>358</v>
      </c>
      <c r="Q377" s="45"/>
      <c r="R377" s="45"/>
    </row>
    <row r="378" spans="1:31" s="34" customFormat="1" hidden="1">
      <c r="B378" s="65"/>
      <c r="C378" s="95" t="s">
        <v>489</v>
      </c>
      <c r="D378" s="95" t="s">
        <v>490</v>
      </c>
      <c r="E378" s="95" t="s">
        <v>491</v>
      </c>
      <c r="F378" s="95" t="s">
        <v>492</v>
      </c>
      <c r="G378" s="95" t="s">
        <v>493</v>
      </c>
      <c r="H378" s="95" t="s">
        <v>494</v>
      </c>
      <c r="I378" s="95" t="s">
        <v>495</v>
      </c>
      <c r="J378" s="95" t="s">
        <v>496</v>
      </c>
      <c r="K378" s="95" t="s">
        <v>497</v>
      </c>
      <c r="L378" s="95" t="s">
        <v>498</v>
      </c>
      <c r="M378" s="95" t="s">
        <v>499</v>
      </c>
      <c r="N378" s="126" t="s">
        <v>500</v>
      </c>
      <c r="O378" s="126" t="s">
        <v>501</v>
      </c>
      <c r="P378" s="132" t="s">
        <v>359</v>
      </c>
      <c r="Q378" s="133" t="s">
        <v>1207</v>
      </c>
      <c r="R378" s="133" t="s">
        <v>1208</v>
      </c>
      <c r="S378" s="28"/>
      <c r="U378" s="368"/>
      <c r="V378" s="368"/>
      <c r="W378" s="368"/>
      <c r="X378" s="368"/>
      <c r="Y378" s="368"/>
      <c r="Z378" s="368"/>
      <c r="AA378" s="368"/>
      <c r="AB378" s="368"/>
      <c r="AC378" s="368"/>
      <c r="AD378" s="368"/>
      <c r="AE378" s="510"/>
    </row>
    <row r="379" spans="1:31" hidden="1">
      <c r="B379" s="62"/>
      <c r="N379" s="62"/>
      <c r="O379" s="62"/>
    </row>
    <row r="380" spans="1:31" hidden="1">
      <c r="A380" s="28" t="s">
        <v>1209</v>
      </c>
      <c r="B380" s="62" t="s">
        <v>2324</v>
      </c>
      <c r="C380" s="28">
        <v>-1.9</v>
      </c>
      <c r="D380" s="28">
        <v>-1.2</v>
      </c>
      <c r="E380" s="28">
        <v>1.3</v>
      </c>
      <c r="F380" s="28">
        <v>5.7</v>
      </c>
      <c r="G380" s="28">
        <v>9.5</v>
      </c>
      <c r="H380" s="28">
        <v>13.4</v>
      </c>
      <c r="I380" s="28">
        <v>15.2</v>
      </c>
      <c r="J380" s="28">
        <v>14.3</v>
      </c>
      <c r="K380" s="28">
        <v>12.5</v>
      </c>
      <c r="L380" s="28">
        <v>8.6999999999999993</v>
      </c>
      <c r="M380" s="28">
        <v>3.1</v>
      </c>
      <c r="N380" s="62">
        <v>-1.8</v>
      </c>
      <c r="O380" s="62">
        <v>6.6</v>
      </c>
      <c r="P380" s="28">
        <v>2.1</v>
      </c>
      <c r="Q380" s="28">
        <v>3.4</v>
      </c>
      <c r="R380" s="28">
        <v>4.5</v>
      </c>
    </row>
    <row r="381" spans="1:31" hidden="1">
      <c r="B381" s="62"/>
      <c r="N381" s="62"/>
      <c r="O381" s="62"/>
    </row>
    <row r="382" spans="1:31" ht="13.15" hidden="1" customHeight="1">
      <c r="A382" s="28" t="s">
        <v>1210</v>
      </c>
      <c r="B382" s="62" t="s">
        <v>250</v>
      </c>
      <c r="C382" s="28">
        <v>153</v>
      </c>
      <c r="D382" s="28">
        <v>220</v>
      </c>
      <c r="E382" s="28">
        <v>372</v>
      </c>
      <c r="F382" s="28">
        <v>504</v>
      </c>
      <c r="G382" s="28">
        <v>569</v>
      </c>
      <c r="H382" s="28">
        <v>607</v>
      </c>
      <c r="I382" s="28">
        <v>646</v>
      </c>
      <c r="J382" s="28">
        <v>532</v>
      </c>
      <c r="K382" s="28">
        <v>422</v>
      </c>
      <c r="L382" s="28">
        <v>317</v>
      </c>
      <c r="M382" s="28">
        <v>168</v>
      </c>
      <c r="N382" s="62">
        <v>146</v>
      </c>
      <c r="O382" s="62">
        <v>4656</v>
      </c>
      <c r="P382" s="28">
        <v>2097</v>
      </c>
      <c r="Q382" s="28">
        <v>2678</v>
      </c>
      <c r="R382" s="28">
        <v>3262</v>
      </c>
    </row>
    <row r="383" spans="1:31" ht="13.15" hidden="1" customHeight="1">
      <c r="A383" s="28" t="s">
        <v>1211</v>
      </c>
      <c r="B383" s="62" t="s">
        <v>250</v>
      </c>
      <c r="C383" s="28">
        <v>243</v>
      </c>
      <c r="D383" s="28">
        <v>288</v>
      </c>
      <c r="E383" s="28">
        <v>350</v>
      </c>
      <c r="F383" s="28">
        <v>353</v>
      </c>
      <c r="G383" s="28">
        <v>302</v>
      </c>
      <c r="H383" s="28">
        <v>285</v>
      </c>
      <c r="I383" s="28">
        <v>317</v>
      </c>
      <c r="J383" s="28">
        <v>340</v>
      </c>
      <c r="K383" s="28">
        <v>380</v>
      </c>
      <c r="L383" s="28">
        <v>380</v>
      </c>
      <c r="M383" s="28">
        <v>269</v>
      </c>
      <c r="N383" s="62">
        <v>273</v>
      </c>
      <c r="O383" s="62">
        <v>3780</v>
      </c>
      <c r="P383" s="28">
        <v>2160</v>
      </c>
      <c r="Q383" s="28">
        <v>2579</v>
      </c>
      <c r="R383" s="28">
        <v>2968</v>
      </c>
    </row>
    <row r="384" spans="1:31" ht="13.15" hidden="1" customHeight="1">
      <c r="A384" s="28" t="s">
        <v>1212</v>
      </c>
      <c r="B384" s="62" t="s">
        <v>250</v>
      </c>
      <c r="C384" s="28">
        <v>93</v>
      </c>
      <c r="D384" s="28">
        <v>128</v>
      </c>
      <c r="E384" s="28">
        <v>212</v>
      </c>
      <c r="F384" s="28">
        <v>272</v>
      </c>
      <c r="G384" s="28">
        <v>302</v>
      </c>
      <c r="H384" s="28">
        <v>316</v>
      </c>
      <c r="I384" s="28">
        <v>329</v>
      </c>
      <c r="J384" s="28">
        <v>287</v>
      </c>
      <c r="K384" s="28">
        <v>323</v>
      </c>
      <c r="L384" s="28">
        <v>178</v>
      </c>
      <c r="M384" s="28">
        <v>99</v>
      </c>
      <c r="N384" s="62">
        <v>95</v>
      </c>
      <c r="O384" s="62">
        <v>2543</v>
      </c>
      <c r="P384" s="28">
        <v>1186</v>
      </c>
      <c r="Q384" s="28">
        <v>1498</v>
      </c>
      <c r="R384" s="28">
        <v>1810</v>
      </c>
    </row>
    <row r="385" spans="1:18" ht="13.15" hidden="1" customHeight="1">
      <c r="A385" s="28" t="s">
        <v>1213</v>
      </c>
      <c r="B385" s="62" t="s">
        <v>250</v>
      </c>
      <c r="C385" s="28">
        <v>109</v>
      </c>
      <c r="D385" s="28">
        <v>145</v>
      </c>
      <c r="E385" s="28">
        <v>212</v>
      </c>
      <c r="F385" s="28">
        <v>277</v>
      </c>
      <c r="G385" s="28">
        <v>296</v>
      </c>
      <c r="H385" s="28">
        <v>304</v>
      </c>
      <c r="I385" s="28">
        <v>329</v>
      </c>
      <c r="J385" s="28">
        <v>287</v>
      </c>
      <c r="K385" s="28">
        <v>249</v>
      </c>
      <c r="L385" s="28">
        <v>193</v>
      </c>
      <c r="M385" s="28">
        <v>113</v>
      </c>
      <c r="N385" s="62">
        <v>110</v>
      </c>
      <c r="O385" s="62">
        <v>2624</v>
      </c>
      <c r="P385" s="28">
        <v>1257</v>
      </c>
      <c r="Q385" s="28">
        <v>1575</v>
      </c>
      <c r="R385" s="28">
        <v>1890</v>
      </c>
    </row>
    <row r="386" spans="1:18" ht="13.15" hidden="1" customHeight="1">
      <c r="A386" s="28" t="s">
        <v>1214</v>
      </c>
      <c r="B386" s="62" t="s">
        <v>250</v>
      </c>
      <c r="C386" s="28">
        <v>54</v>
      </c>
      <c r="D386" s="28">
        <v>64</v>
      </c>
      <c r="E386" s="28">
        <v>97</v>
      </c>
      <c r="F386" s="28">
        <v>121</v>
      </c>
      <c r="G386" s="28">
        <v>159</v>
      </c>
      <c r="H386" s="28">
        <v>170</v>
      </c>
      <c r="I386" s="28">
        <v>168</v>
      </c>
      <c r="J386" s="28">
        <v>117</v>
      </c>
      <c r="K386" s="28">
        <v>97</v>
      </c>
      <c r="L386" s="28">
        <v>86</v>
      </c>
      <c r="M386" s="28">
        <v>52</v>
      </c>
      <c r="N386" s="62">
        <v>54</v>
      </c>
      <c r="O386" s="62">
        <v>1239</v>
      </c>
      <c r="P386" s="28">
        <v>587</v>
      </c>
      <c r="Q386" s="28">
        <v>738</v>
      </c>
      <c r="R386" s="28">
        <v>887</v>
      </c>
    </row>
    <row r="387" spans="1:18" hidden="1">
      <c r="B387" s="62"/>
      <c r="N387" s="62"/>
      <c r="O387" s="62"/>
    </row>
    <row r="388" spans="1:18" hidden="1">
      <c r="A388" s="28" t="s">
        <v>1215</v>
      </c>
      <c r="B388" s="62" t="s">
        <v>1808</v>
      </c>
      <c r="C388" s="28">
        <v>31</v>
      </c>
      <c r="D388" s="28">
        <v>28</v>
      </c>
      <c r="E388" s="28">
        <v>31</v>
      </c>
      <c r="F388" s="28">
        <v>26</v>
      </c>
      <c r="G388" s="28">
        <v>17</v>
      </c>
      <c r="H388" s="28">
        <v>6</v>
      </c>
      <c r="I388" s="28">
        <v>3</v>
      </c>
      <c r="J388" s="28">
        <v>3</v>
      </c>
      <c r="K388" s="28">
        <v>7</v>
      </c>
      <c r="L388" s="28">
        <v>18</v>
      </c>
      <c r="M388" s="28">
        <v>29</v>
      </c>
      <c r="N388" s="62">
        <v>31</v>
      </c>
      <c r="O388" s="62"/>
      <c r="P388" s="28">
        <v>230</v>
      </c>
    </row>
    <row r="389" spans="1:18" hidden="1">
      <c r="A389" s="28" t="s">
        <v>1809</v>
      </c>
      <c r="B389" s="62" t="s">
        <v>1810</v>
      </c>
      <c r="C389" s="28">
        <v>616</v>
      </c>
      <c r="D389" s="28">
        <v>537</v>
      </c>
      <c r="E389" s="28">
        <v>517</v>
      </c>
      <c r="F389" s="28">
        <v>344</v>
      </c>
      <c r="G389" s="28">
        <v>189</v>
      </c>
      <c r="H389" s="28">
        <v>64</v>
      </c>
      <c r="I389" s="28">
        <v>25</v>
      </c>
      <c r="J389" s="28">
        <v>32</v>
      </c>
      <c r="K389" s="28">
        <v>66</v>
      </c>
      <c r="L389" s="28">
        <v>210</v>
      </c>
      <c r="M389" s="28">
        <v>443</v>
      </c>
      <c r="N389" s="62">
        <v>615</v>
      </c>
      <c r="O389" s="62"/>
      <c r="P389" s="28">
        <v>3658</v>
      </c>
    </row>
    <row r="390" spans="1:18" hidden="1">
      <c r="B390" s="62"/>
      <c r="N390" s="62"/>
      <c r="O390" s="62"/>
    </row>
    <row r="391" spans="1:18" hidden="1">
      <c r="A391" s="28" t="s">
        <v>1886</v>
      </c>
      <c r="B391" s="62" t="s">
        <v>1808</v>
      </c>
      <c r="C391" s="28">
        <v>31</v>
      </c>
      <c r="D391" s="28">
        <v>28</v>
      </c>
      <c r="E391" s="28">
        <v>31</v>
      </c>
      <c r="F391" s="28">
        <v>29</v>
      </c>
      <c r="G391" s="28">
        <v>24</v>
      </c>
      <c r="H391" s="28">
        <v>11</v>
      </c>
      <c r="I391" s="28">
        <v>6</v>
      </c>
      <c r="J391" s="28">
        <v>8</v>
      </c>
      <c r="K391" s="28">
        <v>13</v>
      </c>
      <c r="L391" s="28">
        <v>26</v>
      </c>
      <c r="M391" s="28">
        <v>30</v>
      </c>
      <c r="N391" s="62">
        <v>31</v>
      </c>
      <c r="O391" s="62"/>
      <c r="Q391" s="28">
        <v>268</v>
      </c>
    </row>
    <row r="392" spans="1:18" hidden="1">
      <c r="A392" s="28" t="s">
        <v>1887</v>
      </c>
      <c r="B392" s="62" t="s">
        <v>1810</v>
      </c>
      <c r="C392" s="28">
        <v>678</v>
      </c>
      <c r="D392" s="28">
        <v>593</v>
      </c>
      <c r="E392" s="28">
        <v>579</v>
      </c>
      <c r="F392" s="28">
        <v>420</v>
      </c>
      <c r="G392" s="28">
        <v>281</v>
      </c>
      <c r="H392" s="28">
        <v>114</v>
      </c>
      <c r="I392" s="28">
        <v>60</v>
      </c>
      <c r="J392" s="28">
        <v>78</v>
      </c>
      <c r="K392" s="28">
        <v>137</v>
      </c>
      <c r="L392" s="28">
        <v>315</v>
      </c>
      <c r="M392" s="28">
        <v>507</v>
      </c>
      <c r="N392" s="62">
        <v>677</v>
      </c>
      <c r="O392" s="62"/>
      <c r="Q392" s="28">
        <v>4439</v>
      </c>
    </row>
    <row r="393" spans="1:18" hidden="1">
      <c r="B393" s="62"/>
      <c r="N393" s="62"/>
      <c r="O393" s="62"/>
    </row>
    <row r="394" spans="1:18" hidden="1">
      <c r="A394" s="28" t="s">
        <v>1434</v>
      </c>
      <c r="B394" s="62" t="s">
        <v>1808</v>
      </c>
      <c r="C394" s="28">
        <v>31</v>
      </c>
      <c r="D394" s="28">
        <v>28</v>
      </c>
      <c r="E394" s="28">
        <v>31</v>
      </c>
      <c r="F394" s="28">
        <v>30</v>
      </c>
      <c r="G394" s="28">
        <v>28</v>
      </c>
      <c r="H394" s="28">
        <v>17</v>
      </c>
      <c r="I394" s="28">
        <v>11</v>
      </c>
      <c r="J394" s="28">
        <v>15</v>
      </c>
      <c r="K394" s="28">
        <v>20</v>
      </c>
      <c r="L394" s="28">
        <v>30</v>
      </c>
      <c r="M394" s="28">
        <v>30</v>
      </c>
      <c r="N394" s="62">
        <v>31</v>
      </c>
      <c r="O394" s="62"/>
      <c r="R394" s="28">
        <v>302</v>
      </c>
    </row>
    <row r="395" spans="1:18" hidden="1">
      <c r="A395" s="28" t="s">
        <v>1435</v>
      </c>
      <c r="B395" s="62" t="s">
        <v>1810</v>
      </c>
      <c r="C395" s="28">
        <v>740</v>
      </c>
      <c r="D395" s="28">
        <v>649</v>
      </c>
      <c r="E395" s="28">
        <v>641</v>
      </c>
      <c r="F395" s="28">
        <v>488</v>
      </c>
      <c r="G395" s="28">
        <v>370</v>
      </c>
      <c r="H395" s="28">
        <v>191</v>
      </c>
      <c r="I395" s="28">
        <v>116</v>
      </c>
      <c r="J395" s="28">
        <v>156</v>
      </c>
      <c r="K395" s="28">
        <v>223</v>
      </c>
      <c r="L395" s="28">
        <v>402</v>
      </c>
      <c r="M395" s="28">
        <v>568</v>
      </c>
      <c r="N395" s="62">
        <v>739</v>
      </c>
      <c r="O395" s="62"/>
      <c r="R395" s="28">
        <v>5283</v>
      </c>
    </row>
    <row r="396" spans="1:18" ht="8.1" hidden="1" customHeight="1"/>
    <row r="397" spans="1:18" ht="8.1" hidden="1" customHeight="1"/>
    <row r="398" spans="1:18" ht="8.1" hidden="1" customHeight="1"/>
    <row r="399" spans="1:18" ht="8.1" hidden="1" customHeight="1"/>
    <row r="400" spans="1:18" ht="8.1" hidden="1" customHeight="1">
      <c r="M400" s="37"/>
    </row>
    <row r="401" spans="1:31" s="34" customFormat="1" ht="15.75" hidden="1">
      <c r="A401" s="61">
        <v>16</v>
      </c>
      <c r="B401" s="129"/>
      <c r="C401" s="129" t="s">
        <v>94</v>
      </c>
      <c r="D401" s="129"/>
      <c r="E401" s="130"/>
      <c r="F401" s="130" t="s">
        <v>352</v>
      </c>
      <c r="G401" s="129">
        <v>480</v>
      </c>
      <c r="H401" s="131" t="s">
        <v>353</v>
      </c>
      <c r="I401" s="129"/>
      <c r="J401" s="129"/>
      <c r="K401" s="130" t="s">
        <v>354</v>
      </c>
      <c r="L401" s="131">
        <v>6</v>
      </c>
      <c r="M401" s="129" t="s">
        <v>355</v>
      </c>
      <c r="N401" s="131" t="s">
        <v>1443</v>
      </c>
      <c r="O401" s="130"/>
      <c r="P401" s="130" t="s">
        <v>357</v>
      </c>
      <c r="Q401" s="129">
        <v>-9</v>
      </c>
      <c r="R401" s="131" t="s">
        <v>2324</v>
      </c>
      <c r="S401" s="28"/>
      <c r="U401" s="368"/>
      <c r="V401" s="368"/>
      <c r="W401" s="368"/>
      <c r="X401" s="368"/>
      <c r="Y401" s="368"/>
      <c r="Z401" s="368"/>
      <c r="AA401" s="368"/>
      <c r="AB401" s="368"/>
      <c r="AC401" s="368"/>
      <c r="AD401" s="368"/>
      <c r="AE401" s="510"/>
    </row>
    <row r="402" spans="1:31" hidden="1">
      <c r="B402" s="62"/>
      <c r="N402" s="62"/>
      <c r="O402" s="62"/>
      <c r="P402" s="53" t="s">
        <v>358</v>
      </c>
      <c r="Q402" s="45"/>
      <c r="R402" s="45"/>
    </row>
    <row r="403" spans="1:31" s="34" customFormat="1" hidden="1">
      <c r="B403" s="65"/>
      <c r="C403" s="95" t="s">
        <v>489</v>
      </c>
      <c r="D403" s="95" t="s">
        <v>490</v>
      </c>
      <c r="E403" s="95" t="s">
        <v>491</v>
      </c>
      <c r="F403" s="95" t="s">
        <v>492</v>
      </c>
      <c r="G403" s="95" t="s">
        <v>493</v>
      </c>
      <c r="H403" s="95" t="s">
        <v>494</v>
      </c>
      <c r="I403" s="95" t="s">
        <v>495</v>
      </c>
      <c r="J403" s="95" t="s">
        <v>496</v>
      </c>
      <c r="K403" s="95" t="s">
        <v>497</v>
      </c>
      <c r="L403" s="95" t="s">
        <v>498</v>
      </c>
      <c r="M403" s="95" t="s">
        <v>499</v>
      </c>
      <c r="N403" s="126" t="s">
        <v>500</v>
      </c>
      <c r="O403" s="126" t="s">
        <v>501</v>
      </c>
      <c r="P403" s="132" t="s">
        <v>359</v>
      </c>
      <c r="Q403" s="133" t="s">
        <v>1207</v>
      </c>
      <c r="R403" s="133" t="s">
        <v>1208</v>
      </c>
      <c r="S403" s="28"/>
      <c r="U403" s="368"/>
      <c r="V403" s="368"/>
      <c r="W403" s="368"/>
      <c r="X403" s="368"/>
      <c r="Y403" s="368"/>
      <c r="Z403" s="368"/>
      <c r="AA403" s="368"/>
      <c r="AB403" s="368"/>
      <c r="AC403" s="368"/>
      <c r="AD403" s="368"/>
      <c r="AE403" s="510"/>
    </row>
    <row r="404" spans="1:31" hidden="1">
      <c r="B404" s="62"/>
      <c r="N404" s="62"/>
      <c r="O404" s="62"/>
    </row>
    <row r="405" spans="1:31" hidden="1">
      <c r="A405" s="28" t="s">
        <v>1209</v>
      </c>
      <c r="B405" s="62" t="s">
        <v>2324</v>
      </c>
      <c r="C405" s="28">
        <v>-2</v>
      </c>
      <c r="D405" s="28">
        <v>0.2</v>
      </c>
      <c r="E405" s="28">
        <v>2.9</v>
      </c>
      <c r="F405" s="28">
        <v>8.3000000000000007</v>
      </c>
      <c r="G405" s="28">
        <v>12</v>
      </c>
      <c r="H405" s="28">
        <v>15.6</v>
      </c>
      <c r="I405" s="28">
        <v>17</v>
      </c>
      <c r="J405" s="28">
        <v>16.899999999999999</v>
      </c>
      <c r="K405" s="28">
        <v>13.9</v>
      </c>
      <c r="L405" s="28">
        <v>9.5</v>
      </c>
      <c r="M405" s="28">
        <v>4.0999999999999996</v>
      </c>
      <c r="N405" s="62">
        <v>-1.9</v>
      </c>
      <c r="O405" s="62">
        <v>8</v>
      </c>
      <c r="P405" s="28">
        <v>2.2000000000000002</v>
      </c>
      <c r="Q405" s="28">
        <v>3.4</v>
      </c>
      <c r="R405" s="28">
        <v>4.5</v>
      </c>
    </row>
    <row r="406" spans="1:31" hidden="1">
      <c r="B406" s="62"/>
      <c r="N406" s="62"/>
      <c r="O406" s="62"/>
    </row>
    <row r="407" spans="1:31" ht="13.15" hidden="1" customHeight="1">
      <c r="A407" s="28" t="s">
        <v>1210</v>
      </c>
      <c r="B407" s="62" t="s">
        <v>250</v>
      </c>
      <c r="C407" s="28">
        <v>130</v>
      </c>
      <c r="D407" s="28">
        <v>193</v>
      </c>
      <c r="E407" s="28">
        <v>330</v>
      </c>
      <c r="F407" s="28">
        <v>449</v>
      </c>
      <c r="G407" s="28">
        <v>565</v>
      </c>
      <c r="H407" s="28">
        <v>595</v>
      </c>
      <c r="I407" s="28">
        <v>630</v>
      </c>
      <c r="J407" s="28">
        <v>526</v>
      </c>
      <c r="K407" s="28">
        <v>401</v>
      </c>
      <c r="L407" s="28">
        <v>278</v>
      </c>
      <c r="M407" s="28">
        <v>133</v>
      </c>
      <c r="N407" s="62">
        <v>105</v>
      </c>
      <c r="O407" s="62">
        <v>4335</v>
      </c>
      <c r="P407" s="28">
        <v>1447</v>
      </c>
      <c r="Q407" s="28">
        <v>1857</v>
      </c>
      <c r="R407" s="28">
        <v>2352</v>
      </c>
    </row>
    <row r="408" spans="1:31" ht="13.15" hidden="1" customHeight="1">
      <c r="A408" s="28" t="s">
        <v>1211</v>
      </c>
      <c r="B408" s="62" t="s">
        <v>250</v>
      </c>
      <c r="C408" s="28">
        <v>207</v>
      </c>
      <c r="D408" s="28">
        <v>253</v>
      </c>
      <c r="E408" s="28">
        <v>310</v>
      </c>
      <c r="F408" s="28">
        <v>314</v>
      </c>
      <c r="G408" s="28">
        <v>299</v>
      </c>
      <c r="H408" s="28">
        <v>280</v>
      </c>
      <c r="I408" s="28">
        <v>309</v>
      </c>
      <c r="J408" s="28">
        <v>337</v>
      </c>
      <c r="K408" s="28">
        <v>361</v>
      </c>
      <c r="L408" s="28">
        <v>334</v>
      </c>
      <c r="M408" s="28">
        <v>213</v>
      </c>
      <c r="N408" s="62">
        <v>196</v>
      </c>
      <c r="O408" s="62">
        <v>3413</v>
      </c>
      <c r="P408" s="28">
        <v>1597</v>
      </c>
      <c r="Q408" s="28">
        <v>1902</v>
      </c>
      <c r="R408" s="28">
        <v>2233</v>
      </c>
    </row>
    <row r="409" spans="1:31" ht="13.15" hidden="1" customHeight="1">
      <c r="A409" s="28" t="s">
        <v>1212</v>
      </c>
      <c r="B409" s="62" t="s">
        <v>250</v>
      </c>
      <c r="C409" s="28">
        <v>79</v>
      </c>
      <c r="D409" s="28">
        <v>112</v>
      </c>
      <c r="E409" s="28">
        <v>188</v>
      </c>
      <c r="F409" s="28">
        <v>242</v>
      </c>
      <c r="G409" s="28">
        <v>299</v>
      </c>
      <c r="H409" s="28">
        <v>309</v>
      </c>
      <c r="I409" s="28">
        <v>321</v>
      </c>
      <c r="J409" s="28">
        <v>284</v>
      </c>
      <c r="K409" s="28">
        <v>221</v>
      </c>
      <c r="L409" s="28">
        <v>156</v>
      </c>
      <c r="M409" s="28">
        <v>78</v>
      </c>
      <c r="N409" s="62">
        <v>68</v>
      </c>
      <c r="O409" s="62">
        <v>2357</v>
      </c>
      <c r="P409" s="28">
        <v>825</v>
      </c>
      <c r="Q409" s="28">
        <v>1046</v>
      </c>
      <c r="R409" s="28">
        <v>1311</v>
      </c>
    </row>
    <row r="410" spans="1:31" ht="13.15" hidden="1" customHeight="1">
      <c r="A410" s="28" t="s">
        <v>1213</v>
      </c>
      <c r="B410" s="62" t="s">
        <v>250</v>
      </c>
      <c r="C410" s="28">
        <v>92</v>
      </c>
      <c r="D410" s="28">
        <v>127</v>
      </c>
      <c r="E410" s="28">
        <v>188</v>
      </c>
      <c r="F410" s="28">
        <v>247</v>
      </c>
      <c r="G410" s="28">
        <v>294</v>
      </c>
      <c r="H410" s="28">
        <v>298</v>
      </c>
      <c r="I410" s="28">
        <v>321</v>
      </c>
      <c r="J410" s="28">
        <v>284</v>
      </c>
      <c r="K410" s="28">
        <v>237</v>
      </c>
      <c r="L410" s="28">
        <v>170</v>
      </c>
      <c r="M410" s="28">
        <v>89</v>
      </c>
      <c r="N410" s="62">
        <v>79</v>
      </c>
      <c r="O410" s="62">
        <v>2426</v>
      </c>
      <c r="P410" s="28">
        <v>883</v>
      </c>
      <c r="Q410" s="28">
        <v>1110</v>
      </c>
      <c r="R410" s="28">
        <v>1378</v>
      </c>
    </row>
    <row r="411" spans="1:31" ht="13.15" hidden="1" customHeight="1">
      <c r="A411" s="28" t="s">
        <v>1214</v>
      </c>
      <c r="B411" s="62" t="s">
        <v>250</v>
      </c>
      <c r="C411" s="28">
        <v>46</v>
      </c>
      <c r="D411" s="28">
        <v>56</v>
      </c>
      <c r="E411" s="28">
        <v>86</v>
      </c>
      <c r="F411" s="28">
        <v>108</v>
      </c>
      <c r="G411" s="28">
        <v>158</v>
      </c>
      <c r="H411" s="28">
        <v>167</v>
      </c>
      <c r="I411" s="28">
        <v>164</v>
      </c>
      <c r="J411" s="28">
        <v>116</v>
      </c>
      <c r="K411" s="28">
        <v>92</v>
      </c>
      <c r="L411" s="28">
        <v>75</v>
      </c>
      <c r="M411" s="28">
        <v>41</v>
      </c>
      <c r="N411" s="62">
        <v>39</v>
      </c>
      <c r="O411" s="62">
        <v>1148</v>
      </c>
      <c r="P411" s="28">
        <v>410</v>
      </c>
      <c r="Q411" s="28">
        <v>516</v>
      </c>
      <c r="R411" s="28">
        <v>644</v>
      </c>
    </row>
    <row r="412" spans="1:31" hidden="1">
      <c r="B412" s="62"/>
      <c r="N412" s="62"/>
      <c r="O412" s="62"/>
    </row>
    <row r="413" spans="1:31" hidden="1">
      <c r="A413" s="28" t="s">
        <v>1215</v>
      </c>
      <c r="B413" s="62" t="s">
        <v>1808</v>
      </c>
      <c r="C413" s="28">
        <v>31</v>
      </c>
      <c r="D413" s="28">
        <v>28</v>
      </c>
      <c r="E413" s="28">
        <v>31</v>
      </c>
      <c r="F413" s="28">
        <v>19</v>
      </c>
      <c r="G413" s="28">
        <v>9</v>
      </c>
      <c r="H413" s="28">
        <v>2</v>
      </c>
      <c r="I413" s="28">
        <v>1</v>
      </c>
      <c r="J413" s="28">
        <v>1</v>
      </c>
      <c r="K413" s="28">
        <v>4</v>
      </c>
      <c r="L413" s="28">
        <v>17</v>
      </c>
      <c r="M413" s="28">
        <v>28</v>
      </c>
      <c r="N413" s="62">
        <v>31</v>
      </c>
      <c r="O413" s="62"/>
      <c r="P413" s="28">
        <v>202</v>
      </c>
    </row>
    <row r="414" spans="1:31" hidden="1">
      <c r="A414" s="28" t="s">
        <v>1809</v>
      </c>
      <c r="B414" s="62" t="s">
        <v>1810</v>
      </c>
      <c r="C414" s="28">
        <v>621</v>
      </c>
      <c r="D414" s="28">
        <v>498</v>
      </c>
      <c r="E414" s="28">
        <v>467</v>
      </c>
      <c r="F414" s="28">
        <v>229</v>
      </c>
      <c r="G414" s="28">
        <v>89</v>
      </c>
      <c r="H414" s="28">
        <v>19</v>
      </c>
      <c r="I414" s="28">
        <v>7</v>
      </c>
      <c r="J414" s="28">
        <v>9</v>
      </c>
      <c r="K414" s="28">
        <v>32</v>
      </c>
      <c r="L414" s="28">
        <v>188</v>
      </c>
      <c r="M414" s="28">
        <v>407</v>
      </c>
      <c r="N414" s="62">
        <v>616</v>
      </c>
      <c r="O414" s="62"/>
      <c r="P414" s="28">
        <v>3182</v>
      </c>
    </row>
    <row r="415" spans="1:31" hidden="1">
      <c r="B415" s="62"/>
      <c r="N415" s="62"/>
      <c r="O415" s="62"/>
    </row>
    <row r="416" spans="1:31" hidden="1">
      <c r="A416" s="28" t="s">
        <v>1886</v>
      </c>
      <c r="B416" s="62" t="s">
        <v>1808</v>
      </c>
      <c r="C416" s="28">
        <v>31</v>
      </c>
      <c r="D416" s="28">
        <v>28</v>
      </c>
      <c r="E416" s="28">
        <v>31</v>
      </c>
      <c r="F416" s="28">
        <v>24</v>
      </c>
      <c r="G416" s="28">
        <v>16</v>
      </c>
      <c r="H416" s="28">
        <v>5</v>
      </c>
      <c r="I416" s="28">
        <v>2</v>
      </c>
      <c r="J416" s="28">
        <v>3</v>
      </c>
      <c r="K416" s="28">
        <v>9</v>
      </c>
      <c r="L416" s="28">
        <v>24</v>
      </c>
      <c r="M416" s="28">
        <v>29</v>
      </c>
      <c r="N416" s="62">
        <v>31</v>
      </c>
      <c r="O416" s="62"/>
      <c r="Q416" s="28">
        <v>233</v>
      </c>
    </row>
    <row r="417" spans="1:31" hidden="1">
      <c r="A417" s="28" t="s">
        <v>1887</v>
      </c>
      <c r="B417" s="62" t="s">
        <v>1810</v>
      </c>
      <c r="C417" s="28">
        <v>683</v>
      </c>
      <c r="D417" s="28">
        <v>554</v>
      </c>
      <c r="E417" s="28">
        <v>530</v>
      </c>
      <c r="F417" s="28">
        <v>318</v>
      </c>
      <c r="G417" s="28">
        <v>172</v>
      </c>
      <c r="H417" s="28">
        <v>50</v>
      </c>
      <c r="I417" s="28">
        <v>22</v>
      </c>
      <c r="J417" s="28">
        <v>27</v>
      </c>
      <c r="K417" s="28">
        <v>86</v>
      </c>
      <c r="L417" s="28">
        <v>287</v>
      </c>
      <c r="M417" s="28">
        <v>469</v>
      </c>
      <c r="N417" s="62">
        <v>678</v>
      </c>
      <c r="O417" s="62"/>
      <c r="Q417" s="28">
        <v>3876</v>
      </c>
    </row>
    <row r="418" spans="1:31" hidden="1">
      <c r="B418" s="62"/>
      <c r="N418" s="62"/>
      <c r="O418" s="62"/>
    </row>
    <row r="419" spans="1:31" hidden="1">
      <c r="A419" s="28" t="s">
        <v>1434</v>
      </c>
      <c r="B419" s="62" t="s">
        <v>1808</v>
      </c>
      <c r="C419" s="28">
        <v>31</v>
      </c>
      <c r="D419" s="28">
        <v>28</v>
      </c>
      <c r="E419" s="28">
        <v>31</v>
      </c>
      <c r="F419" s="28">
        <v>27</v>
      </c>
      <c r="G419" s="28">
        <v>22</v>
      </c>
      <c r="H419" s="28">
        <v>10</v>
      </c>
      <c r="I419" s="28">
        <v>6</v>
      </c>
      <c r="J419" s="28">
        <v>8</v>
      </c>
      <c r="K419" s="28">
        <v>15</v>
      </c>
      <c r="L419" s="28">
        <v>28</v>
      </c>
      <c r="M419" s="28">
        <v>29</v>
      </c>
      <c r="N419" s="62">
        <v>31</v>
      </c>
      <c r="O419" s="62"/>
      <c r="R419" s="28">
        <v>266</v>
      </c>
    </row>
    <row r="420" spans="1:31" hidden="1">
      <c r="A420" s="28" t="s">
        <v>1435</v>
      </c>
      <c r="B420" s="62" t="s">
        <v>1810</v>
      </c>
      <c r="C420" s="28">
        <v>745</v>
      </c>
      <c r="D420" s="28">
        <v>611</v>
      </c>
      <c r="E420" s="28">
        <v>593</v>
      </c>
      <c r="F420" s="28">
        <v>393</v>
      </c>
      <c r="G420" s="28">
        <v>256</v>
      </c>
      <c r="H420" s="28">
        <v>105</v>
      </c>
      <c r="I420" s="28">
        <v>63</v>
      </c>
      <c r="J420" s="28">
        <v>79</v>
      </c>
      <c r="K420" s="28">
        <v>163</v>
      </c>
      <c r="L420" s="28">
        <v>366</v>
      </c>
      <c r="M420" s="28">
        <v>534</v>
      </c>
      <c r="N420" s="62">
        <v>740</v>
      </c>
      <c r="O420" s="62"/>
      <c r="R420" s="28">
        <v>4648</v>
      </c>
    </row>
    <row r="421" spans="1:31" ht="8.1" hidden="1" customHeight="1"/>
    <row r="422" spans="1:31" ht="8.1" hidden="1" customHeight="1"/>
    <row r="423" spans="1:31" ht="8.1" hidden="1" customHeight="1"/>
    <row r="424" spans="1:31" ht="8.1" hidden="1" customHeight="1"/>
    <row r="425" spans="1:31" ht="8.1" hidden="1" customHeight="1">
      <c r="M425" s="37"/>
    </row>
    <row r="426" spans="1:31" s="34" customFormat="1" ht="15.75" hidden="1">
      <c r="A426" s="61">
        <v>17</v>
      </c>
      <c r="B426" s="129"/>
      <c r="C426" s="129" t="s">
        <v>95</v>
      </c>
      <c r="D426" s="129"/>
      <c r="E426" s="130"/>
      <c r="F426" s="130" t="s">
        <v>352</v>
      </c>
      <c r="G426" s="129">
        <v>412</v>
      </c>
      <c r="H426" s="131" t="s">
        <v>353</v>
      </c>
      <c r="I426" s="129"/>
      <c r="J426" s="129"/>
      <c r="K426" s="130" t="s">
        <v>354</v>
      </c>
      <c r="L426" s="131">
        <v>4</v>
      </c>
      <c r="M426" s="129" t="s">
        <v>355</v>
      </c>
      <c r="N426" s="131" t="s">
        <v>1585</v>
      </c>
      <c r="O426" s="130"/>
      <c r="P426" s="130" t="s">
        <v>357</v>
      </c>
      <c r="Q426" s="129">
        <v>-8</v>
      </c>
      <c r="R426" s="131" t="s">
        <v>2324</v>
      </c>
      <c r="S426" s="28"/>
      <c r="U426" s="368"/>
      <c r="V426" s="368"/>
      <c r="W426" s="368"/>
      <c r="X426" s="368"/>
      <c r="Y426" s="368"/>
      <c r="Z426" s="368"/>
      <c r="AA426" s="368"/>
      <c r="AB426" s="368"/>
      <c r="AC426" s="368"/>
      <c r="AD426" s="368"/>
      <c r="AE426" s="510"/>
    </row>
    <row r="427" spans="1:31" hidden="1">
      <c r="B427" s="62"/>
      <c r="N427" s="62"/>
      <c r="O427" s="62"/>
      <c r="P427" s="53" t="s">
        <v>358</v>
      </c>
      <c r="Q427" s="45"/>
      <c r="R427" s="45"/>
    </row>
    <row r="428" spans="1:31" s="34" customFormat="1" hidden="1">
      <c r="B428" s="65"/>
      <c r="C428" s="95" t="s">
        <v>489</v>
      </c>
      <c r="D428" s="95" t="s">
        <v>490</v>
      </c>
      <c r="E428" s="95" t="s">
        <v>491</v>
      </c>
      <c r="F428" s="95" t="s">
        <v>492</v>
      </c>
      <c r="G428" s="95" t="s">
        <v>493</v>
      </c>
      <c r="H428" s="95" t="s">
        <v>494</v>
      </c>
      <c r="I428" s="95" t="s">
        <v>495</v>
      </c>
      <c r="J428" s="95" t="s">
        <v>496</v>
      </c>
      <c r="K428" s="95" t="s">
        <v>497</v>
      </c>
      <c r="L428" s="95" t="s">
        <v>498</v>
      </c>
      <c r="M428" s="95" t="s">
        <v>499</v>
      </c>
      <c r="N428" s="126" t="s">
        <v>500</v>
      </c>
      <c r="O428" s="126" t="s">
        <v>501</v>
      </c>
      <c r="P428" s="132" t="s">
        <v>359</v>
      </c>
      <c r="Q428" s="133" t="s">
        <v>1207</v>
      </c>
      <c r="R428" s="133" t="s">
        <v>1208</v>
      </c>
      <c r="S428" s="28"/>
      <c r="U428" s="368"/>
      <c r="V428" s="368"/>
      <c r="W428" s="368"/>
      <c r="X428" s="368"/>
      <c r="Y428" s="368"/>
      <c r="Z428" s="368"/>
      <c r="AA428" s="368"/>
      <c r="AB428" s="368"/>
      <c r="AC428" s="368"/>
      <c r="AD428" s="368"/>
      <c r="AE428" s="510"/>
    </row>
    <row r="429" spans="1:31" hidden="1">
      <c r="B429" s="62"/>
      <c r="N429" s="62"/>
      <c r="O429" s="62"/>
    </row>
    <row r="430" spans="1:31" hidden="1">
      <c r="A430" s="28" t="s">
        <v>1209</v>
      </c>
      <c r="B430" s="62" t="s">
        <v>2324</v>
      </c>
      <c r="C430" s="28">
        <v>-0.7</v>
      </c>
      <c r="D430" s="28">
        <v>1.2</v>
      </c>
      <c r="E430" s="28">
        <v>3.9</v>
      </c>
      <c r="F430" s="28">
        <v>8.6999999999999993</v>
      </c>
      <c r="G430" s="28">
        <v>12.4</v>
      </c>
      <c r="H430" s="28">
        <v>16.3</v>
      </c>
      <c r="I430" s="28">
        <v>17.899999999999999</v>
      </c>
      <c r="J430" s="28">
        <v>16.8</v>
      </c>
      <c r="K430" s="28">
        <v>14.5</v>
      </c>
      <c r="L430" s="28">
        <v>10</v>
      </c>
      <c r="M430" s="28">
        <v>4.5</v>
      </c>
      <c r="N430" s="62">
        <v>-0.2</v>
      </c>
      <c r="O430" s="62">
        <v>8.8000000000000007</v>
      </c>
      <c r="P430" s="28">
        <v>2.9</v>
      </c>
      <c r="Q430" s="28">
        <v>3.9</v>
      </c>
      <c r="R430" s="28">
        <v>5.2</v>
      </c>
    </row>
    <row r="431" spans="1:31" hidden="1">
      <c r="B431" s="62"/>
      <c r="N431" s="62"/>
      <c r="O431" s="62"/>
    </row>
    <row r="432" spans="1:31" ht="13.15" hidden="1" customHeight="1">
      <c r="A432" s="28" t="s">
        <v>1210</v>
      </c>
      <c r="B432" s="62" t="s">
        <v>250</v>
      </c>
      <c r="C432" s="28">
        <v>88</v>
      </c>
      <c r="D432" s="28">
        <v>151</v>
      </c>
      <c r="E432" s="28">
        <v>283</v>
      </c>
      <c r="F432" s="28">
        <v>434</v>
      </c>
      <c r="G432" s="28">
        <v>536</v>
      </c>
      <c r="H432" s="28">
        <v>598</v>
      </c>
      <c r="I432" s="28">
        <v>627</v>
      </c>
      <c r="J432" s="28">
        <v>505</v>
      </c>
      <c r="K432" s="28">
        <v>355</v>
      </c>
      <c r="L432" s="28">
        <v>216</v>
      </c>
      <c r="M432" s="28">
        <v>98</v>
      </c>
      <c r="N432" s="62">
        <v>71</v>
      </c>
      <c r="O432" s="62">
        <v>3962</v>
      </c>
      <c r="P432" s="28">
        <v>1099</v>
      </c>
      <c r="Q432" s="28">
        <v>1453</v>
      </c>
      <c r="R432" s="28">
        <v>1937</v>
      </c>
    </row>
    <row r="433" spans="1:18" ht="13.15" hidden="1" customHeight="1">
      <c r="A433" s="28" t="s">
        <v>1211</v>
      </c>
      <c r="B433" s="62" t="s">
        <v>250</v>
      </c>
      <c r="C433" s="28">
        <v>140</v>
      </c>
      <c r="D433" s="28">
        <v>198</v>
      </c>
      <c r="E433" s="28">
        <v>266</v>
      </c>
      <c r="F433" s="28">
        <v>304</v>
      </c>
      <c r="G433" s="28">
        <v>284</v>
      </c>
      <c r="H433" s="28">
        <v>281</v>
      </c>
      <c r="I433" s="28">
        <v>307</v>
      </c>
      <c r="J433" s="28">
        <v>323</v>
      </c>
      <c r="K433" s="28">
        <v>320</v>
      </c>
      <c r="L433" s="28">
        <v>259</v>
      </c>
      <c r="M433" s="28">
        <v>157</v>
      </c>
      <c r="N433" s="62">
        <v>133</v>
      </c>
      <c r="O433" s="62">
        <v>2972</v>
      </c>
      <c r="P433" s="28">
        <v>1200</v>
      </c>
      <c r="Q433" s="28">
        <v>1463</v>
      </c>
      <c r="R433" s="28">
        <v>1781</v>
      </c>
    </row>
    <row r="434" spans="1:18" ht="13.15" hidden="1" customHeight="1">
      <c r="A434" s="28" t="s">
        <v>1212</v>
      </c>
      <c r="B434" s="62" t="s">
        <v>250</v>
      </c>
      <c r="C434" s="28">
        <v>54</v>
      </c>
      <c r="D434" s="28">
        <v>88</v>
      </c>
      <c r="E434" s="28">
        <v>161</v>
      </c>
      <c r="F434" s="28">
        <v>234</v>
      </c>
      <c r="G434" s="28">
        <v>284</v>
      </c>
      <c r="H434" s="28">
        <v>311</v>
      </c>
      <c r="I434" s="28">
        <v>320</v>
      </c>
      <c r="J434" s="28">
        <v>273</v>
      </c>
      <c r="K434" s="28">
        <v>195</v>
      </c>
      <c r="L434" s="28">
        <v>121</v>
      </c>
      <c r="M434" s="28">
        <v>58</v>
      </c>
      <c r="N434" s="62">
        <v>46</v>
      </c>
      <c r="O434" s="62">
        <v>2145</v>
      </c>
      <c r="P434" s="28">
        <v>627</v>
      </c>
      <c r="Q434" s="28">
        <v>818</v>
      </c>
      <c r="R434" s="28">
        <v>1077</v>
      </c>
    </row>
    <row r="435" spans="1:18" ht="13.15" hidden="1" customHeight="1">
      <c r="A435" s="28" t="s">
        <v>1213</v>
      </c>
      <c r="B435" s="62" t="s">
        <v>250</v>
      </c>
      <c r="C435" s="28">
        <v>62</v>
      </c>
      <c r="D435" s="28">
        <v>100</v>
      </c>
      <c r="E435" s="28">
        <v>161</v>
      </c>
      <c r="F435" s="28">
        <v>239</v>
      </c>
      <c r="G435" s="28">
        <v>279</v>
      </c>
      <c r="H435" s="28">
        <v>299</v>
      </c>
      <c r="I435" s="28">
        <v>320</v>
      </c>
      <c r="J435" s="28">
        <v>273</v>
      </c>
      <c r="K435" s="28">
        <v>209</v>
      </c>
      <c r="L435" s="28">
        <v>132</v>
      </c>
      <c r="M435" s="28">
        <v>66</v>
      </c>
      <c r="N435" s="62">
        <v>53</v>
      </c>
      <c r="O435" s="62">
        <v>2193</v>
      </c>
      <c r="P435" s="28">
        <v>668</v>
      </c>
      <c r="Q435" s="28">
        <v>864</v>
      </c>
      <c r="R435" s="28">
        <v>1125</v>
      </c>
    </row>
    <row r="436" spans="1:18" ht="13.15" hidden="1" customHeight="1">
      <c r="A436" s="28" t="s">
        <v>1214</v>
      </c>
      <c r="B436" s="62" t="s">
        <v>250</v>
      </c>
      <c r="C436" s="28">
        <v>31</v>
      </c>
      <c r="D436" s="28">
        <v>44</v>
      </c>
      <c r="E436" s="28">
        <v>74</v>
      </c>
      <c r="F436" s="28">
        <v>104</v>
      </c>
      <c r="G436" s="28">
        <v>150</v>
      </c>
      <c r="H436" s="28">
        <v>167</v>
      </c>
      <c r="I436" s="28">
        <v>163</v>
      </c>
      <c r="J436" s="28">
        <v>111</v>
      </c>
      <c r="K436" s="28">
        <v>82</v>
      </c>
      <c r="L436" s="28">
        <v>58</v>
      </c>
      <c r="M436" s="28">
        <v>30</v>
      </c>
      <c r="N436" s="62">
        <v>26</v>
      </c>
      <c r="O436" s="62">
        <v>1040</v>
      </c>
      <c r="P436" s="28">
        <v>309</v>
      </c>
      <c r="Q436" s="28">
        <v>400</v>
      </c>
      <c r="R436" s="28">
        <v>525</v>
      </c>
    </row>
    <row r="437" spans="1:18" hidden="1">
      <c r="B437" s="62"/>
      <c r="N437" s="62"/>
      <c r="O437" s="62"/>
    </row>
    <row r="438" spans="1:18" hidden="1">
      <c r="A438" s="28" t="s">
        <v>1215</v>
      </c>
      <c r="B438" s="62" t="s">
        <v>1808</v>
      </c>
      <c r="C438" s="28">
        <v>31</v>
      </c>
      <c r="D438" s="28">
        <v>28</v>
      </c>
      <c r="E438" s="28">
        <v>30</v>
      </c>
      <c r="F438" s="28">
        <v>18</v>
      </c>
      <c r="G438" s="28">
        <v>8</v>
      </c>
      <c r="H438" s="28">
        <v>1</v>
      </c>
      <c r="I438" s="28">
        <v>0</v>
      </c>
      <c r="J438" s="28">
        <v>0</v>
      </c>
      <c r="K438" s="28">
        <v>1</v>
      </c>
      <c r="L438" s="28">
        <v>16</v>
      </c>
      <c r="M438" s="28">
        <v>29</v>
      </c>
      <c r="N438" s="62">
        <v>31</v>
      </c>
      <c r="O438" s="62"/>
      <c r="P438" s="28">
        <v>193</v>
      </c>
    </row>
    <row r="439" spans="1:18" hidden="1">
      <c r="A439" s="28" t="s">
        <v>1809</v>
      </c>
      <c r="B439" s="62" t="s">
        <v>1810</v>
      </c>
      <c r="C439" s="28">
        <v>581</v>
      </c>
      <c r="D439" s="28">
        <v>470</v>
      </c>
      <c r="E439" s="28">
        <v>431</v>
      </c>
      <c r="F439" s="28">
        <v>212</v>
      </c>
      <c r="G439" s="28">
        <v>72</v>
      </c>
      <c r="H439" s="28">
        <v>9</v>
      </c>
      <c r="I439" s="28">
        <v>0</v>
      </c>
      <c r="J439" s="28">
        <v>0</v>
      </c>
      <c r="K439" s="28">
        <v>13</v>
      </c>
      <c r="L439" s="28">
        <v>171</v>
      </c>
      <c r="M439" s="28">
        <v>395</v>
      </c>
      <c r="N439" s="62">
        <v>561</v>
      </c>
      <c r="O439" s="62"/>
      <c r="P439" s="28">
        <v>2915</v>
      </c>
    </row>
    <row r="440" spans="1:18" hidden="1">
      <c r="B440" s="62"/>
      <c r="N440" s="62"/>
      <c r="O440" s="62"/>
    </row>
    <row r="441" spans="1:18" hidden="1">
      <c r="A441" s="28" t="s">
        <v>1886</v>
      </c>
      <c r="B441" s="62" t="s">
        <v>1808</v>
      </c>
      <c r="C441" s="28">
        <v>31</v>
      </c>
      <c r="D441" s="28">
        <v>28</v>
      </c>
      <c r="E441" s="28">
        <v>31</v>
      </c>
      <c r="F441" s="28">
        <v>24</v>
      </c>
      <c r="G441" s="28">
        <v>14</v>
      </c>
      <c r="H441" s="28">
        <v>3</v>
      </c>
      <c r="I441" s="28">
        <v>1</v>
      </c>
      <c r="J441" s="28">
        <v>1</v>
      </c>
      <c r="K441" s="28">
        <v>7</v>
      </c>
      <c r="L441" s="28">
        <v>22</v>
      </c>
      <c r="M441" s="28">
        <v>30</v>
      </c>
      <c r="N441" s="62">
        <v>31</v>
      </c>
      <c r="O441" s="62"/>
      <c r="Q441" s="28">
        <v>223</v>
      </c>
    </row>
    <row r="442" spans="1:18" hidden="1">
      <c r="A442" s="28" t="s">
        <v>1887</v>
      </c>
      <c r="B442" s="62" t="s">
        <v>1810</v>
      </c>
      <c r="C442" s="28">
        <v>643</v>
      </c>
      <c r="D442" s="28">
        <v>528</v>
      </c>
      <c r="E442" s="28">
        <v>499</v>
      </c>
      <c r="F442" s="28">
        <v>301</v>
      </c>
      <c r="G442" s="28">
        <v>149</v>
      </c>
      <c r="H442" s="28">
        <v>32</v>
      </c>
      <c r="I442" s="28">
        <v>12</v>
      </c>
      <c r="J442" s="28">
        <v>12</v>
      </c>
      <c r="K442" s="28">
        <v>65</v>
      </c>
      <c r="L442" s="28">
        <v>259</v>
      </c>
      <c r="M442" s="28">
        <v>462</v>
      </c>
      <c r="N442" s="62">
        <v>626</v>
      </c>
      <c r="O442" s="62"/>
      <c r="Q442" s="28">
        <v>3588</v>
      </c>
    </row>
    <row r="443" spans="1:18" hidden="1">
      <c r="B443" s="62"/>
      <c r="N443" s="62"/>
      <c r="O443" s="62"/>
    </row>
    <row r="444" spans="1:18" hidden="1">
      <c r="A444" s="28" t="s">
        <v>1434</v>
      </c>
      <c r="B444" s="62" t="s">
        <v>1808</v>
      </c>
      <c r="C444" s="28">
        <v>31</v>
      </c>
      <c r="D444" s="28">
        <v>28</v>
      </c>
      <c r="E444" s="28">
        <v>30</v>
      </c>
      <c r="F444" s="28">
        <v>28</v>
      </c>
      <c r="G444" s="28">
        <v>22</v>
      </c>
      <c r="H444" s="28">
        <v>8</v>
      </c>
      <c r="I444" s="28">
        <v>4</v>
      </c>
      <c r="J444" s="28">
        <v>5</v>
      </c>
      <c r="K444" s="28">
        <v>14</v>
      </c>
      <c r="L444" s="28">
        <v>27</v>
      </c>
      <c r="M444" s="28">
        <v>30</v>
      </c>
      <c r="N444" s="62">
        <v>31</v>
      </c>
      <c r="O444" s="62"/>
      <c r="R444" s="28">
        <v>258</v>
      </c>
    </row>
    <row r="445" spans="1:18" hidden="1">
      <c r="A445" s="28" t="s">
        <v>1435</v>
      </c>
      <c r="B445" s="62" t="s">
        <v>1810</v>
      </c>
      <c r="C445" s="28">
        <v>705</v>
      </c>
      <c r="D445" s="28">
        <v>584</v>
      </c>
      <c r="E445" s="28">
        <v>562</v>
      </c>
      <c r="F445" s="28">
        <v>384</v>
      </c>
      <c r="G445" s="28">
        <v>247</v>
      </c>
      <c r="H445" s="28">
        <v>76</v>
      </c>
      <c r="I445" s="28">
        <v>34</v>
      </c>
      <c r="J445" s="28">
        <v>50</v>
      </c>
      <c r="K445" s="28">
        <v>145</v>
      </c>
      <c r="L445" s="28">
        <v>346</v>
      </c>
      <c r="M445" s="28">
        <v>524</v>
      </c>
      <c r="N445" s="62">
        <v>688</v>
      </c>
      <c r="O445" s="62"/>
      <c r="R445" s="28">
        <v>4345</v>
      </c>
    </row>
    <row r="446" spans="1:18" ht="8.1" hidden="1" customHeight="1"/>
    <row r="447" spans="1:18" ht="8.1" hidden="1" customHeight="1"/>
    <row r="448" spans="1:18" ht="8.1" hidden="1" customHeight="1"/>
    <row r="449" spans="1:31" ht="8.1" hidden="1" customHeight="1"/>
    <row r="450" spans="1:31" ht="8.1" hidden="1" customHeight="1">
      <c r="M450" s="37"/>
    </row>
    <row r="451" spans="1:31" s="34" customFormat="1" ht="15.75" hidden="1">
      <c r="A451" s="61">
        <v>18</v>
      </c>
      <c r="B451" s="129"/>
      <c r="C451" s="129" t="s">
        <v>98</v>
      </c>
      <c r="D451" s="129"/>
      <c r="E451" s="130"/>
      <c r="F451" s="130" t="s">
        <v>352</v>
      </c>
      <c r="G451" s="129">
        <v>275</v>
      </c>
      <c r="H451" s="131" t="s">
        <v>353</v>
      </c>
      <c r="I451" s="129"/>
      <c r="J451" s="129"/>
      <c r="K451" s="130" t="s">
        <v>354</v>
      </c>
      <c r="L451" s="131">
        <v>12</v>
      </c>
      <c r="M451" s="129" t="s">
        <v>355</v>
      </c>
      <c r="N451" s="131" t="s">
        <v>1585</v>
      </c>
      <c r="O451" s="130"/>
      <c r="P451" s="130" t="s">
        <v>357</v>
      </c>
      <c r="Q451" s="129">
        <v>-2</v>
      </c>
      <c r="R451" s="131" t="s">
        <v>2324</v>
      </c>
      <c r="S451" s="28"/>
      <c r="U451" s="368"/>
      <c r="V451" s="368"/>
      <c r="W451" s="368"/>
      <c r="X451" s="368"/>
      <c r="Y451" s="368"/>
      <c r="Z451" s="368"/>
      <c r="AA451" s="368"/>
      <c r="AB451" s="368"/>
      <c r="AC451" s="368"/>
      <c r="AD451" s="368"/>
      <c r="AE451" s="510"/>
    </row>
    <row r="452" spans="1:31" hidden="1">
      <c r="B452" s="62"/>
      <c r="N452" s="62"/>
      <c r="O452" s="62"/>
      <c r="P452" s="53" t="s">
        <v>358</v>
      </c>
      <c r="Q452" s="45"/>
      <c r="R452" s="45"/>
    </row>
    <row r="453" spans="1:31" s="34" customFormat="1" hidden="1">
      <c r="B453" s="65"/>
      <c r="C453" s="95" t="s">
        <v>489</v>
      </c>
      <c r="D453" s="95" t="s">
        <v>490</v>
      </c>
      <c r="E453" s="95" t="s">
        <v>491</v>
      </c>
      <c r="F453" s="95" t="s">
        <v>492</v>
      </c>
      <c r="G453" s="95" t="s">
        <v>493</v>
      </c>
      <c r="H453" s="95" t="s">
        <v>494</v>
      </c>
      <c r="I453" s="95" t="s">
        <v>495</v>
      </c>
      <c r="J453" s="95" t="s">
        <v>496</v>
      </c>
      <c r="K453" s="95" t="s">
        <v>497</v>
      </c>
      <c r="L453" s="95" t="s">
        <v>498</v>
      </c>
      <c r="M453" s="95" t="s">
        <v>499</v>
      </c>
      <c r="N453" s="126" t="s">
        <v>500</v>
      </c>
      <c r="O453" s="126" t="s">
        <v>501</v>
      </c>
      <c r="P453" s="132" t="s">
        <v>359</v>
      </c>
      <c r="Q453" s="133" t="s">
        <v>1207</v>
      </c>
      <c r="R453" s="133" t="s">
        <v>1208</v>
      </c>
      <c r="S453" s="28"/>
      <c r="U453" s="368"/>
      <c r="V453" s="368"/>
      <c r="W453" s="368"/>
      <c r="X453" s="368"/>
      <c r="Y453" s="368"/>
      <c r="Z453" s="368"/>
      <c r="AA453" s="368"/>
      <c r="AB453" s="368"/>
      <c r="AC453" s="368"/>
      <c r="AD453" s="368"/>
      <c r="AE453" s="510"/>
    </row>
    <row r="454" spans="1:31" hidden="1">
      <c r="B454" s="62"/>
      <c r="N454" s="62"/>
      <c r="O454" s="62"/>
    </row>
    <row r="455" spans="1:31" hidden="1">
      <c r="A455" s="28" t="s">
        <v>1209</v>
      </c>
      <c r="B455" s="62" t="s">
        <v>2324</v>
      </c>
      <c r="C455" s="28">
        <v>1.9</v>
      </c>
      <c r="D455" s="28">
        <v>3.9</v>
      </c>
      <c r="E455" s="28">
        <v>7.3</v>
      </c>
      <c r="F455" s="28">
        <v>11.5</v>
      </c>
      <c r="G455" s="28">
        <v>15.4</v>
      </c>
      <c r="H455" s="28">
        <v>19.100000000000001</v>
      </c>
      <c r="I455" s="28">
        <v>21.4</v>
      </c>
      <c r="J455" s="28">
        <v>20.399999999999999</v>
      </c>
      <c r="K455" s="28">
        <v>17.600000000000001</v>
      </c>
      <c r="L455" s="28">
        <v>13</v>
      </c>
      <c r="M455" s="28">
        <v>7.3</v>
      </c>
      <c r="N455" s="62">
        <v>2.8</v>
      </c>
      <c r="O455" s="62">
        <v>11.8</v>
      </c>
      <c r="P455" s="28">
        <v>4.5</v>
      </c>
      <c r="Q455" s="28">
        <v>5.5</v>
      </c>
      <c r="R455" s="28">
        <v>6.4</v>
      </c>
    </row>
    <row r="456" spans="1:31" hidden="1">
      <c r="B456" s="62"/>
      <c r="N456" s="62"/>
      <c r="O456" s="62"/>
    </row>
    <row r="457" spans="1:31" ht="13.15" hidden="1" customHeight="1">
      <c r="A457" s="28" t="s">
        <v>1210</v>
      </c>
      <c r="B457" s="62" t="s">
        <v>250</v>
      </c>
      <c r="C457" s="28">
        <v>148</v>
      </c>
      <c r="D457" s="28">
        <v>202</v>
      </c>
      <c r="E457" s="28">
        <v>358</v>
      </c>
      <c r="F457" s="28">
        <v>478</v>
      </c>
      <c r="G457" s="28">
        <v>562</v>
      </c>
      <c r="H457" s="28">
        <v>653</v>
      </c>
      <c r="I457" s="28">
        <v>701</v>
      </c>
      <c r="J457" s="28">
        <v>561</v>
      </c>
      <c r="K457" s="28">
        <v>394</v>
      </c>
      <c r="L457" s="28">
        <v>301</v>
      </c>
      <c r="M457" s="28">
        <v>153</v>
      </c>
      <c r="N457" s="62">
        <v>147</v>
      </c>
      <c r="O457" s="62">
        <v>4658</v>
      </c>
      <c r="P457" s="28">
        <v>1033</v>
      </c>
      <c r="Q457" s="28">
        <v>1341</v>
      </c>
      <c r="R457" s="28">
        <v>1672</v>
      </c>
    </row>
    <row r="458" spans="1:31" ht="13.15" hidden="1" customHeight="1">
      <c r="A458" s="28" t="s">
        <v>1211</v>
      </c>
      <c r="B458" s="62" t="s">
        <v>250</v>
      </c>
      <c r="C458" s="28">
        <v>235</v>
      </c>
      <c r="D458" s="28">
        <v>265</v>
      </c>
      <c r="E458" s="28">
        <v>337</v>
      </c>
      <c r="F458" s="28">
        <v>335</v>
      </c>
      <c r="G458" s="28">
        <v>298</v>
      </c>
      <c r="H458" s="28">
        <v>307</v>
      </c>
      <c r="I458" s="28">
        <v>343</v>
      </c>
      <c r="J458" s="28">
        <v>359</v>
      </c>
      <c r="K458" s="28">
        <v>355</v>
      </c>
      <c r="L458" s="28">
        <v>361</v>
      </c>
      <c r="M458" s="28">
        <v>245</v>
      </c>
      <c r="N458" s="62">
        <v>275</v>
      </c>
      <c r="O458" s="62">
        <v>3715</v>
      </c>
      <c r="P458" s="28">
        <v>1330</v>
      </c>
      <c r="Q458" s="28">
        <v>1606</v>
      </c>
      <c r="R458" s="28">
        <v>1875</v>
      </c>
    </row>
    <row r="459" spans="1:31" ht="13.15" hidden="1" customHeight="1">
      <c r="A459" s="28" t="s">
        <v>1212</v>
      </c>
      <c r="B459" s="62" t="s">
        <v>250</v>
      </c>
      <c r="C459" s="28">
        <v>90</v>
      </c>
      <c r="D459" s="28">
        <v>117</v>
      </c>
      <c r="E459" s="28">
        <v>204</v>
      </c>
      <c r="F459" s="28">
        <v>258</v>
      </c>
      <c r="G459" s="28">
        <v>298</v>
      </c>
      <c r="H459" s="28">
        <v>340</v>
      </c>
      <c r="I459" s="28">
        <v>358</v>
      </c>
      <c r="J459" s="28">
        <v>303</v>
      </c>
      <c r="K459" s="28">
        <v>217</v>
      </c>
      <c r="L459" s="28">
        <v>169</v>
      </c>
      <c r="M459" s="28">
        <v>90</v>
      </c>
      <c r="N459" s="62">
        <v>96</v>
      </c>
      <c r="O459" s="62">
        <v>2540</v>
      </c>
      <c r="P459" s="28">
        <v>606</v>
      </c>
      <c r="Q459" s="28">
        <v>777</v>
      </c>
      <c r="R459" s="28">
        <v>957</v>
      </c>
    </row>
    <row r="460" spans="1:31" ht="13.15" hidden="1" customHeight="1">
      <c r="A460" s="28" t="s">
        <v>1213</v>
      </c>
      <c r="B460" s="62" t="s">
        <v>250</v>
      </c>
      <c r="C460" s="28">
        <v>105</v>
      </c>
      <c r="D460" s="28">
        <v>133</v>
      </c>
      <c r="E460" s="28">
        <v>204</v>
      </c>
      <c r="F460" s="28">
        <v>263</v>
      </c>
      <c r="G460" s="28">
        <v>292</v>
      </c>
      <c r="H460" s="28">
        <v>327</v>
      </c>
      <c r="I460" s="28">
        <v>358</v>
      </c>
      <c r="J460" s="28">
        <v>303</v>
      </c>
      <c r="K460" s="28">
        <v>232</v>
      </c>
      <c r="L460" s="28">
        <v>184</v>
      </c>
      <c r="M460" s="28">
        <v>103</v>
      </c>
      <c r="N460" s="62">
        <v>110</v>
      </c>
      <c r="O460" s="62">
        <v>2614</v>
      </c>
      <c r="P460" s="28">
        <v>663</v>
      </c>
      <c r="Q460" s="28">
        <v>840</v>
      </c>
      <c r="R460" s="28">
        <v>1025</v>
      </c>
    </row>
    <row r="461" spans="1:31" ht="13.15" hidden="1" customHeight="1">
      <c r="A461" s="28" t="s">
        <v>1214</v>
      </c>
      <c r="B461" s="62" t="s">
        <v>250</v>
      </c>
      <c r="C461" s="28">
        <v>52</v>
      </c>
      <c r="D461" s="28">
        <v>59</v>
      </c>
      <c r="E461" s="28">
        <v>93</v>
      </c>
      <c r="F461" s="28">
        <v>115</v>
      </c>
      <c r="G461" s="28">
        <v>157</v>
      </c>
      <c r="H461" s="28">
        <v>183</v>
      </c>
      <c r="I461" s="28">
        <v>182</v>
      </c>
      <c r="J461" s="28">
        <v>123</v>
      </c>
      <c r="K461" s="28">
        <v>91</v>
      </c>
      <c r="L461" s="28">
        <v>81</v>
      </c>
      <c r="M461" s="28">
        <v>47</v>
      </c>
      <c r="N461" s="62">
        <v>54</v>
      </c>
      <c r="O461" s="62">
        <v>1237</v>
      </c>
      <c r="P461" s="28">
        <v>308</v>
      </c>
      <c r="Q461" s="28">
        <v>389</v>
      </c>
      <c r="R461" s="28">
        <v>475</v>
      </c>
    </row>
    <row r="462" spans="1:31" hidden="1">
      <c r="B462" s="62"/>
      <c r="N462" s="62"/>
      <c r="O462" s="62"/>
    </row>
    <row r="463" spans="1:31" hidden="1">
      <c r="A463" s="28" t="s">
        <v>1215</v>
      </c>
      <c r="B463" s="62" t="s">
        <v>1808</v>
      </c>
      <c r="C463" s="28">
        <v>31</v>
      </c>
      <c r="D463" s="28">
        <v>27</v>
      </c>
      <c r="E463" s="28">
        <v>25</v>
      </c>
      <c r="F463" s="28">
        <v>10</v>
      </c>
      <c r="G463" s="28">
        <v>1</v>
      </c>
      <c r="H463" s="28">
        <v>0</v>
      </c>
      <c r="I463" s="28">
        <v>0</v>
      </c>
      <c r="J463" s="28">
        <v>0</v>
      </c>
      <c r="K463" s="28">
        <v>0</v>
      </c>
      <c r="L463" s="28">
        <v>5</v>
      </c>
      <c r="M463" s="28">
        <v>25</v>
      </c>
      <c r="N463" s="62">
        <v>31</v>
      </c>
      <c r="O463" s="62"/>
      <c r="P463" s="28">
        <v>155</v>
      </c>
    </row>
    <row r="464" spans="1:31" hidden="1">
      <c r="A464" s="28" t="s">
        <v>1809</v>
      </c>
      <c r="B464" s="62" t="s">
        <v>1810</v>
      </c>
      <c r="C464" s="28">
        <v>498</v>
      </c>
      <c r="D464" s="28">
        <v>391</v>
      </c>
      <c r="E464" s="28">
        <v>293</v>
      </c>
      <c r="F464" s="28">
        <v>96</v>
      </c>
      <c r="G464" s="28">
        <v>5</v>
      </c>
      <c r="H464" s="28">
        <v>1</v>
      </c>
      <c r="I464" s="28">
        <v>0</v>
      </c>
      <c r="J464" s="28">
        <v>0</v>
      </c>
      <c r="K464" s="28">
        <v>0</v>
      </c>
      <c r="L464" s="28">
        <v>47</v>
      </c>
      <c r="M464" s="28">
        <v>288</v>
      </c>
      <c r="N464" s="62">
        <v>471</v>
      </c>
      <c r="O464" s="62"/>
      <c r="P464" s="28">
        <v>2090</v>
      </c>
    </row>
    <row r="465" spans="1:31" hidden="1">
      <c r="B465" s="62"/>
      <c r="N465" s="62"/>
      <c r="O465" s="62"/>
    </row>
    <row r="466" spans="1:31" hidden="1">
      <c r="A466" s="28" t="s">
        <v>1886</v>
      </c>
      <c r="B466" s="62" t="s">
        <v>1808</v>
      </c>
      <c r="C466" s="28">
        <v>31</v>
      </c>
      <c r="D466" s="28">
        <v>28</v>
      </c>
      <c r="E466" s="28">
        <v>29</v>
      </c>
      <c r="F466" s="28">
        <v>17</v>
      </c>
      <c r="G466" s="28">
        <v>4</v>
      </c>
      <c r="H466" s="28">
        <v>1</v>
      </c>
      <c r="I466" s="28">
        <v>0</v>
      </c>
      <c r="J466" s="28">
        <v>0</v>
      </c>
      <c r="K466" s="28">
        <v>1</v>
      </c>
      <c r="L466" s="28">
        <v>11</v>
      </c>
      <c r="M466" s="28">
        <v>29</v>
      </c>
      <c r="N466" s="62">
        <v>31</v>
      </c>
      <c r="O466" s="62"/>
      <c r="Q466" s="28">
        <v>182</v>
      </c>
    </row>
    <row r="467" spans="1:31" hidden="1">
      <c r="A467" s="28" t="s">
        <v>1887</v>
      </c>
      <c r="B467" s="62" t="s">
        <v>1810</v>
      </c>
      <c r="C467" s="28">
        <v>561</v>
      </c>
      <c r="D467" s="28">
        <v>450</v>
      </c>
      <c r="E467" s="28">
        <v>382</v>
      </c>
      <c r="F467" s="28">
        <v>185</v>
      </c>
      <c r="G467" s="28">
        <v>36</v>
      </c>
      <c r="H467" s="28">
        <v>5</v>
      </c>
      <c r="I467" s="28">
        <v>0</v>
      </c>
      <c r="J467" s="28">
        <v>0</v>
      </c>
      <c r="K467" s="28">
        <v>5</v>
      </c>
      <c r="L467" s="28">
        <v>112</v>
      </c>
      <c r="M467" s="28">
        <v>375</v>
      </c>
      <c r="N467" s="62">
        <v>533</v>
      </c>
      <c r="O467" s="62"/>
      <c r="Q467" s="28">
        <v>2644</v>
      </c>
    </row>
    <row r="468" spans="1:31" hidden="1">
      <c r="B468" s="62"/>
      <c r="N468" s="62"/>
      <c r="O468" s="62"/>
    </row>
    <row r="469" spans="1:31" hidden="1">
      <c r="A469" s="28" t="s">
        <v>1434</v>
      </c>
      <c r="B469" s="62" t="s">
        <v>1808</v>
      </c>
      <c r="C469" s="28">
        <v>31</v>
      </c>
      <c r="D469" s="28">
        <v>28</v>
      </c>
      <c r="E469" s="28">
        <v>31</v>
      </c>
      <c r="F469" s="28">
        <v>23</v>
      </c>
      <c r="G469" s="28">
        <v>10</v>
      </c>
      <c r="H469" s="28">
        <v>2</v>
      </c>
      <c r="I469" s="28">
        <v>0</v>
      </c>
      <c r="J469" s="28">
        <v>0</v>
      </c>
      <c r="K469" s="28">
        <v>2</v>
      </c>
      <c r="L469" s="28">
        <v>19</v>
      </c>
      <c r="M469" s="28">
        <v>30</v>
      </c>
      <c r="N469" s="62">
        <v>31</v>
      </c>
      <c r="O469" s="62"/>
      <c r="R469" s="28">
        <v>207</v>
      </c>
    </row>
    <row r="470" spans="1:31" hidden="1">
      <c r="A470" s="28" t="s">
        <v>1435</v>
      </c>
      <c r="B470" s="62" t="s">
        <v>1810</v>
      </c>
      <c r="C470" s="28">
        <v>623</v>
      </c>
      <c r="D470" s="28">
        <v>507</v>
      </c>
      <c r="E470" s="28">
        <v>453</v>
      </c>
      <c r="F470" s="28">
        <v>274</v>
      </c>
      <c r="G470" s="28">
        <v>93</v>
      </c>
      <c r="H470" s="28">
        <v>19</v>
      </c>
      <c r="I470" s="28">
        <v>3</v>
      </c>
      <c r="J470" s="28">
        <v>0</v>
      </c>
      <c r="K470" s="28">
        <v>21</v>
      </c>
      <c r="L470" s="28">
        <v>203</v>
      </c>
      <c r="M470" s="28">
        <v>440</v>
      </c>
      <c r="N470" s="62">
        <v>595</v>
      </c>
      <c r="O470" s="62"/>
      <c r="R470" s="28">
        <v>3231</v>
      </c>
    </row>
    <row r="471" spans="1:31" ht="8.1" hidden="1" customHeight="1"/>
    <row r="472" spans="1:31" ht="8.1" hidden="1" customHeight="1"/>
    <row r="473" spans="1:31" ht="8.1" hidden="1" customHeight="1"/>
    <row r="474" spans="1:31" ht="8.1" hidden="1" customHeight="1"/>
    <row r="475" spans="1:31" ht="8.1" hidden="1" customHeight="1">
      <c r="M475" s="37"/>
    </row>
    <row r="476" spans="1:31" s="34" customFormat="1" ht="15.75" hidden="1">
      <c r="A476" s="61">
        <v>19</v>
      </c>
      <c r="B476" s="129"/>
      <c r="C476" s="129" t="s">
        <v>99</v>
      </c>
      <c r="D476" s="129"/>
      <c r="E476" s="130"/>
      <c r="F476" s="130" t="s">
        <v>352</v>
      </c>
      <c r="G476" s="129">
        <v>1167</v>
      </c>
      <c r="H476" s="131" t="s">
        <v>353</v>
      </c>
      <c r="I476" s="129"/>
      <c r="J476" s="129"/>
      <c r="K476" s="130" t="s">
        <v>354</v>
      </c>
      <c r="L476" s="131">
        <v>12</v>
      </c>
      <c r="M476" s="129" t="s">
        <v>355</v>
      </c>
      <c r="N476" s="131" t="s">
        <v>1443</v>
      </c>
      <c r="O476" s="130"/>
      <c r="P476" s="130" t="s">
        <v>357</v>
      </c>
      <c r="Q476" s="129">
        <v>-8</v>
      </c>
      <c r="R476" s="131" t="s">
        <v>2324</v>
      </c>
      <c r="S476" s="28"/>
      <c r="U476" s="368"/>
      <c r="V476" s="368"/>
      <c r="W476" s="368"/>
      <c r="X476" s="368"/>
      <c r="Y476" s="368"/>
      <c r="Z476" s="368"/>
      <c r="AA476" s="368"/>
      <c r="AB476" s="368"/>
      <c r="AC476" s="368"/>
      <c r="AD476" s="368"/>
      <c r="AE476" s="510"/>
    </row>
    <row r="477" spans="1:31" hidden="1">
      <c r="B477" s="62"/>
      <c r="N477" s="62"/>
      <c r="O477" s="62"/>
      <c r="P477" s="53" t="s">
        <v>358</v>
      </c>
      <c r="Q477" s="45"/>
      <c r="R477" s="45"/>
    </row>
    <row r="478" spans="1:31" s="34" customFormat="1" hidden="1">
      <c r="B478" s="65"/>
      <c r="C478" s="95" t="s">
        <v>489</v>
      </c>
      <c r="D478" s="95" t="s">
        <v>490</v>
      </c>
      <c r="E478" s="95" t="s">
        <v>491</v>
      </c>
      <c r="F478" s="95" t="s">
        <v>492</v>
      </c>
      <c r="G478" s="95" t="s">
        <v>493</v>
      </c>
      <c r="H478" s="95" t="s">
        <v>494</v>
      </c>
      <c r="I478" s="95" t="s">
        <v>495</v>
      </c>
      <c r="J478" s="95" t="s">
        <v>496</v>
      </c>
      <c r="K478" s="95" t="s">
        <v>497</v>
      </c>
      <c r="L478" s="95" t="s">
        <v>498</v>
      </c>
      <c r="M478" s="95" t="s">
        <v>499</v>
      </c>
      <c r="N478" s="126" t="s">
        <v>500</v>
      </c>
      <c r="O478" s="126" t="s">
        <v>501</v>
      </c>
      <c r="P478" s="132" t="s">
        <v>359</v>
      </c>
      <c r="Q478" s="133" t="s">
        <v>1207</v>
      </c>
      <c r="R478" s="133" t="s">
        <v>1208</v>
      </c>
      <c r="S478" s="28"/>
      <c r="U478" s="368"/>
      <c r="V478" s="368"/>
      <c r="W478" s="368"/>
      <c r="X478" s="368"/>
      <c r="Y478" s="368"/>
      <c r="Z478" s="368"/>
      <c r="AA478" s="368"/>
      <c r="AB478" s="368"/>
      <c r="AC478" s="368"/>
      <c r="AD478" s="368"/>
      <c r="AE478" s="510"/>
    </row>
    <row r="479" spans="1:31" hidden="1">
      <c r="B479" s="62"/>
      <c r="N479" s="62"/>
      <c r="O479" s="62"/>
    </row>
    <row r="480" spans="1:31" hidden="1">
      <c r="A480" s="28" t="s">
        <v>1209</v>
      </c>
      <c r="B480" s="62" t="s">
        <v>2324</v>
      </c>
      <c r="C480" s="28">
        <v>-2.9</v>
      </c>
      <c r="D480" s="28">
        <v>-1.4</v>
      </c>
      <c r="E480" s="28">
        <v>1.2</v>
      </c>
      <c r="F480" s="28">
        <v>5.0999999999999996</v>
      </c>
      <c r="G480" s="28">
        <v>9.1999999999999993</v>
      </c>
      <c r="H480" s="28">
        <v>13.3</v>
      </c>
      <c r="I480" s="28">
        <v>15.4</v>
      </c>
      <c r="J480" s="28">
        <v>14.4</v>
      </c>
      <c r="K480" s="28">
        <v>11.8</v>
      </c>
      <c r="L480" s="28">
        <v>7.5</v>
      </c>
      <c r="M480" s="28">
        <v>1.7</v>
      </c>
      <c r="N480" s="62">
        <v>-2.2000000000000002</v>
      </c>
      <c r="O480" s="62">
        <v>6.1</v>
      </c>
      <c r="P480" s="28">
        <v>1.9</v>
      </c>
      <c r="Q480" s="28">
        <v>3</v>
      </c>
      <c r="R480" s="28">
        <v>4.0999999999999996</v>
      </c>
    </row>
    <row r="481" spans="1:18" hidden="1">
      <c r="B481" s="62"/>
      <c r="N481" s="62"/>
      <c r="O481" s="62"/>
    </row>
    <row r="482" spans="1:18" ht="13.15" hidden="1" customHeight="1">
      <c r="A482" s="28" t="s">
        <v>1210</v>
      </c>
      <c r="B482" s="62" t="s">
        <v>250</v>
      </c>
      <c r="C482" s="28">
        <v>81</v>
      </c>
      <c r="D482" s="28">
        <v>197</v>
      </c>
      <c r="E482" s="28">
        <v>405</v>
      </c>
      <c r="F482" s="28">
        <v>531</v>
      </c>
      <c r="G482" s="28">
        <v>597</v>
      </c>
      <c r="H482" s="28">
        <v>653</v>
      </c>
      <c r="I482" s="28">
        <v>685</v>
      </c>
      <c r="J482" s="28">
        <v>560</v>
      </c>
      <c r="K482" s="28">
        <v>418</v>
      </c>
      <c r="L482" s="28">
        <v>268</v>
      </c>
      <c r="M482" s="28">
        <v>85</v>
      </c>
      <c r="N482" s="62">
        <v>67</v>
      </c>
      <c r="O482" s="62">
        <v>4547</v>
      </c>
      <c r="P482" s="28">
        <v>1996</v>
      </c>
      <c r="Q482" s="28">
        <v>2548</v>
      </c>
      <c r="R482" s="28">
        <v>3131</v>
      </c>
    </row>
    <row r="483" spans="1:18" ht="13.15" hidden="1" customHeight="1">
      <c r="A483" s="28" t="s">
        <v>1211</v>
      </c>
      <c r="B483" s="62" t="s">
        <v>250</v>
      </c>
      <c r="C483" s="28">
        <v>129</v>
      </c>
      <c r="D483" s="28">
        <v>258</v>
      </c>
      <c r="E483" s="28">
        <v>381</v>
      </c>
      <c r="F483" s="28">
        <v>372</v>
      </c>
      <c r="G483" s="28">
        <v>316</v>
      </c>
      <c r="H483" s="28">
        <v>307</v>
      </c>
      <c r="I483" s="28">
        <v>336</v>
      </c>
      <c r="J483" s="28">
        <v>358</v>
      </c>
      <c r="K483" s="28">
        <v>376</v>
      </c>
      <c r="L483" s="28">
        <v>322</v>
      </c>
      <c r="M483" s="28">
        <v>136</v>
      </c>
      <c r="N483" s="62">
        <v>125</v>
      </c>
      <c r="O483" s="62">
        <v>3416</v>
      </c>
      <c r="P483" s="28">
        <v>1875</v>
      </c>
      <c r="Q483" s="28">
        <v>2257</v>
      </c>
      <c r="R483" s="28">
        <v>2628</v>
      </c>
    </row>
    <row r="484" spans="1:18" ht="13.15" hidden="1" customHeight="1">
      <c r="A484" s="28" t="s">
        <v>1212</v>
      </c>
      <c r="B484" s="62" t="s">
        <v>250</v>
      </c>
      <c r="C484" s="28">
        <v>49</v>
      </c>
      <c r="D484" s="28">
        <v>114</v>
      </c>
      <c r="E484" s="28">
        <v>231</v>
      </c>
      <c r="F484" s="28">
        <v>287</v>
      </c>
      <c r="G484" s="28">
        <v>316</v>
      </c>
      <c r="H484" s="28">
        <v>340</v>
      </c>
      <c r="I484" s="28">
        <v>349</v>
      </c>
      <c r="J484" s="28">
        <v>302</v>
      </c>
      <c r="K484" s="28">
        <v>230</v>
      </c>
      <c r="L484" s="28">
        <v>150</v>
      </c>
      <c r="M484" s="28">
        <v>50</v>
      </c>
      <c r="N484" s="62">
        <v>44</v>
      </c>
      <c r="O484" s="62">
        <v>2462</v>
      </c>
      <c r="P484" s="28">
        <v>1114</v>
      </c>
      <c r="Q484" s="28">
        <v>1410</v>
      </c>
      <c r="R484" s="28">
        <v>1721</v>
      </c>
    </row>
    <row r="485" spans="1:18" ht="13.15" hidden="1" customHeight="1">
      <c r="A485" s="28" t="s">
        <v>1213</v>
      </c>
      <c r="B485" s="62" t="s">
        <v>250</v>
      </c>
      <c r="C485" s="28">
        <v>58</v>
      </c>
      <c r="D485" s="28">
        <v>130</v>
      </c>
      <c r="E485" s="28">
        <v>231</v>
      </c>
      <c r="F485" s="28">
        <v>292</v>
      </c>
      <c r="G485" s="28">
        <v>310</v>
      </c>
      <c r="H485" s="28">
        <v>327</v>
      </c>
      <c r="I485" s="28">
        <v>349</v>
      </c>
      <c r="J485" s="28">
        <v>302</v>
      </c>
      <c r="K485" s="28">
        <v>247</v>
      </c>
      <c r="L485" s="28">
        <v>163</v>
      </c>
      <c r="M485" s="28">
        <v>57</v>
      </c>
      <c r="N485" s="62">
        <v>50</v>
      </c>
      <c r="O485" s="62">
        <v>2516</v>
      </c>
      <c r="P485" s="28">
        <v>1164</v>
      </c>
      <c r="Q485" s="28">
        <v>1465</v>
      </c>
      <c r="R485" s="28">
        <v>1778</v>
      </c>
    </row>
    <row r="486" spans="1:18" ht="13.15" hidden="1" customHeight="1">
      <c r="A486" s="28" t="s">
        <v>1214</v>
      </c>
      <c r="B486" s="62" t="s">
        <v>250</v>
      </c>
      <c r="C486" s="28">
        <v>28</v>
      </c>
      <c r="D486" s="28">
        <v>57</v>
      </c>
      <c r="E486" s="28">
        <v>105</v>
      </c>
      <c r="F486" s="28">
        <v>127</v>
      </c>
      <c r="G486" s="28">
        <v>167</v>
      </c>
      <c r="H486" s="28">
        <v>183</v>
      </c>
      <c r="I486" s="28">
        <v>178</v>
      </c>
      <c r="J486" s="28">
        <v>123</v>
      </c>
      <c r="K486" s="28">
        <v>96</v>
      </c>
      <c r="L486" s="28">
        <v>72</v>
      </c>
      <c r="M486" s="28">
        <v>26</v>
      </c>
      <c r="N486" s="62">
        <v>25</v>
      </c>
      <c r="O486" s="62">
        <v>1187</v>
      </c>
      <c r="P486" s="28">
        <v>539</v>
      </c>
      <c r="Q486" s="28">
        <v>682</v>
      </c>
      <c r="R486" s="28">
        <v>829</v>
      </c>
    </row>
    <row r="487" spans="1:18" hidden="1">
      <c r="B487" s="62"/>
      <c r="N487" s="62"/>
      <c r="O487" s="62"/>
    </row>
    <row r="488" spans="1:18" hidden="1">
      <c r="A488" s="28" t="s">
        <v>1215</v>
      </c>
      <c r="B488" s="62" t="s">
        <v>1808</v>
      </c>
      <c r="C488" s="28">
        <v>31</v>
      </c>
      <c r="D488" s="28">
        <v>28</v>
      </c>
      <c r="E488" s="28">
        <v>31</v>
      </c>
      <c r="F488" s="28">
        <v>27</v>
      </c>
      <c r="G488" s="28">
        <v>19</v>
      </c>
      <c r="H488" s="28">
        <v>6</v>
      </c>
      <c r="I488" s="28">
        <v>1</v>
      </c>
      <c r="J488" s="28">
        <v>2</v>
      </c>
      <c r="K488" s="28">
        <v>8</v>
      </c>
      <c r="L488" s="28">
        <v>24</v>
      </c>
      <c r="M488" s="28">
        <v>30</v>
      </c>
      <c r="N488" s="62">
        <v>31</v>
      </c>
      <c r="O488" s="62"/>
      <c r="P488" s="28">
        <v>238</v>
      </c>
    </row>
    <row r="489" spans="1:18" hidden="1">
      <c r="A489" s="28" t="s">
        <v>1809</v>
      </c>
      <c r="B489" s="62" t="s">
        <v>1810</v>
      </c>
      <c r="C489" s="28">
        <v>646</v>
      </c>
      <c r="D489" s="28">
        <v>542</v>
      </c>
      <c r="E489" s="28">
        <v>521</v>
      </c>
      <c r="F489" s="28">
        <v>369</v>
      </c>
      <c r="G489" s="28">
        <v>200</v>
      </c>
      <c r="H489" s="28">
        <v>59</v>
      </c>
      <c r="I489" s="28">
        <v>10</v>
      </c>
      <c r="J489" s="28">
        <v>19</v>
      </c>
      <c r="K489" s="28">
        <v>74</v>
      </c>
      <c r="L489" s="28">
        <v>276</v>
      </c>
      <c r="M489" s="28">
        <v>486</v>
      </c>
      <c r="N489" s="62">
        <v>628</v>
      </c>
      <c r="O489" s="62"/>
      <c r="P489" s="28">
        <v>3830</v>
      </c>
    </row>
    <row r="490" spans="1:18" hidden="1">
      <c r="B490" s="62"/>
      <c r="N490" s="62"/>
      <c r="O490" s="62"/>
    </row>
    <row r="491" spans="1:18" hidden="1">
      <c r="A491" s="28" t="s">
        <v>1886</v>
      </c>
      <c r="B491" s="62" t="s">
        <v>1808</v>
      </c>
      <c r="C491" s="28">
        <v>31</v>
      </c>
      <c r="D491" s="28">
        <v>28</v>
      </c>
      <c r="E491" s="28">
        <v>31</v>
      </c>
      <c r="F491" s="28">
        <v>30</v>
      </c>
      <c r="G491" s="28">
        <v>26</v>
      </c>
      <c r="H491" s="28">
        <v>10</v>
      </c>
      <c r="I491" s="28">
        <v>4</v>
      </c>
      <c r="J491" s="28">
        <v>6</v>
      </c>
      <c r="K491" s="28">
        <v>15</v>
      </c>
      <c r="L491" s="28">
        <v>30</v>
      </c>
      <c r="M491" s="28">
        <v>30</v>
      </c>
      <c r="N491" s="62">
        <v>31</v>
      </c>
      <c r="O491" s="62"/>
      <c r="Q491" s="28">
        <v>272</v>
      </c>
    </row>
    <row r="492" spans="1:18" hidden="1">
      <c r="A492" s="28" t="s">
        <v>1887</v>
      </c>
      <c r="B492" s="62" t="s">
        <v>1810</v>
      </c>
      <c r="C492" s="28">
        <v>708</v>
      </c>
      <c r="D492" s="28">
        <v>598</v>
      </c>
      <c r="E492" s="28">
        <v>583</v>
      </c>
      <c r="F492" s="28">
        <v>447</v>
      </c>
      <c r="G492" s="28">
        <v>300</v>
      </c>
      <c r="H492" s="28">
        <v>110</v>
      </c>
      <c r="I492" s="28">
        <v>41</v>
      </c>
      <c r="J492" s="28">
        <v>59</v>
      </c>
      <c r="K492" s="28">
        <v>156</v>
      </c>
      <c r="L492" s="28">
        <v>376</v>
      </c>
      <c r="M492" s="28">
        <v>547</v>
      </c>
      <c r="N492" s="62">
        <v>690</v>
      </c>
      <c r="O492" s="62"/>
      <c r="Q492" s="28">
        <v>4615</v>
      </c>
    </row>
    <row r="493" spans="1:18" hidden="1">
      <c r="B493" s="62"/>
      <c r="N493" s="62"/>
      <c r="O493" s="62"/>
    </row>
    <row r="494" spans="1:18" hidden="1">
      <c r="A494" s="28" t="s">
        <v>1434</v>
      </c>
      <c r="B494" s="62" t="s">
        <v>1808</v>
      </c>
      <c r="C494" s="28">
        <v>31</v>
      </c>
      <c r="D494" s="28">
        <v>28</v>
      </c>
      <c r="E494" s="28">
        <v>31</v>
      </c>
      <c r="F494" s="28">
        <v>30</v>
      </c>
      <c r="G494" s="28">
        <v>29</v>
      </c>
      <c r="H494" s="28">
        <v>17</v>
      </c>
      <c r="I494" s="28">
        <v>9</v>
      </c>
      <c r="J494" s="28">
        <v>14</v>
      </c>
      <c r="K494" s="28">
        <v>24</v>
      </c>
      <c r="L494" s="28">
        <v>31</v>
      </c>
      <c r="M494" s="28">
        <v>30</v>
      </c>
      <c r="N494" s="62">
        <v>31</v>
      </c>
      <c r="O494" s="62"/>
      <c r="R494" s="28">
        <v>305</v>
      </c>
    </row>
    <row r="495" spans="1:18" hidden="1">
      <c r="A495" s="28" t="s">
        <v>1435</v>
      </c>
      <c r="B495" s="62" t="s">
        <v>1810</v>
      </c>
      <c r="C495" s="28">
        <v>770</v>
      </c>
      <c r="D495" s="28">
        <v>654</v>
      </c>
      <c r="E495" s="28">
        <v>645</v>
      </c>
      <c r="F495" s="28">
        <v>508</v>
      </c>
      <c r="G495" s="28">
        <v>383</v>
      </c>
      <c r="H495" s="28">
        <v>193</v>
      </c>
      <c r="I495" s="28">
        <v>94</v>
      </c>
      <c r="J495" s="28">
        <v>138</v>
      </c>
      <c r="K495" s="28">
        <v>266</v>
      </c>
      <c r="L495" s="28">
        <v>447</v>
      </c>
      <c r="M495" s="28">
        <v>608</v>
      </c>
      <c r="N495" s="62">
        <v>752</v>
      </c>
      <c r="O495" s="62"/>
      <c r="R495" s="28">
        <v>5458</v>
      </c>
    </row>
    <row r="496" spans="1:18" ht="8.1" hidden="1" customHeight="1"/>
    <row r="497" spans="1:31" ht="8.1" hidden="1" customHeight="1"/>
    <row r="498" spans="1:31" ht="8.1" hidden="1" customHeight="1"/>
    <row r="499" spans="1:31" ht="8.1" hidden="1" customHeight="1"/>
    <row r="500" spans="1:31" ht="8.1" hidden="1" customHeight="1">
      <c r="M500" s="37"/>
    </row>
    <row r="501" spans="1:31" s="34" customFormat="1" ht="15.75" hidden="1">
      <c r="A501" s="61">
        <v>20</v>
      </c>
      <c r="B501" s="129"/>
      <c r="C501" s="129" t="s">
        <v>100</v>
      </c>
      <c r="D501" s="129"/>
      <c r="E501" s="130"/>
      <c r="F501" s="130" t="s">
        <v>352</v>
      </c>
      <c r="G501" s="129">
        <v>544</v>
      </c>
      <c r="H501" s="131" t="s">
        <v>353</v>
      </c>
      <c r="I501" s="129"/>
      <c r="J501" s="129"/>
      <c r="K501" s="130" t="s">
        <v>354</v>
      </c>
      <c r="L501" s="131">
        <v>12</v>
      </c>
      <c r="M501" s="129" t="s">
        <v>355</v>
      </c>
      <c r="N501" s="131" t="s">
        <v>101</v>
      </c>
      <c r="O501" s="130"/>
      <c r="P501" s="130" t="s">
        <v>357</v>
      </c>
      <c r="Q501" s="129">
        <v>-4</v>
      </c>
      <c r="R501" s="131" t="s">
        <v>2324</v>
      </c>
      <c r="S501" s="28"/>
      <c r="U501" s="368"/>
      <c r="V501" s="368"/>
      <c r="W501" s="368"/>
      <c r="X501" s="368"/>
      <c r="Y501" s="368"/>
      <c r="Z501" s="368"/>
      <c r="AA501" s="368"/>
      <c r="AB501" s="368"/>
      <c r="AC501" s="368"/>
      <c r="AD501" s="368"/>
      <c r="AE501" s="510"/>
    </row>
    <row r="502" spans="1:31" hidden="1">
      <c r="B502" s="62"/>
      <c r="N502" s="62"/>
      <c r="O502" s="62"/>
      <c r="P502" s="53" t="s">
        <v>358</v>
      </c>
      <c r="Q502" s="45"/>
      <c r="R502" s="45"/>
    </row>
    <row r="503" spans="1:31" s="34" customFormat="1" hidden="1">
      <c r="B503" s="65"/>
      <c r="C503" s="95" t="s">
        <v>489</v>
      </c>
      <c r="D503" s="95" t="s">
        <v>490</v>
      </c>
      <c r="E503" s="95" t="s">
        <v>491</v>
      </c>
      <c r="F503" s="95" t="s">
        <v>492</v>
      </c>
      <c r="G503" s="95" t="s">
        <v>493</v>
      </c>
      <c r="H503" s="95" t="s">
        <v>494</v>
      </c>
      <c r="I503" s="95" t="s">
        <v>495</v>
      </c>
      <c r="J503" s="95" t="s">
        <v>496</v>
      </c>
      <c r="K503" s="95" t="s">
        <v>497</v>
      </c>
      <c r="L503" s="95" t="s">
        <v>498</v>
      </c>
      <c r="M503" s="95" t="s">
        <v>499</v>
      </c>
      <c r="N503" s="126" t="s">
        <v>500</v>
      </c>
      <c r="O503" s="126" t="s">
        <v>501</v>
      </c>
      <c r="P503" s="132" t="s">
        <v>359</v>
      </c>
      <c r="Q503" s="133" t="s">
        <v>1207</v>
      </c>
      <c r="R503" s="133" t="s">
        <v>1208</v>
      </c>
      <c r="S503" s="28"/>
      <c r="U503" s="368"/>
      <c r="V503" s="368"/>
      <c r="W503" s="368"/>
      <c r="X503" s="368"/>
      <c r="Y503" s="368"/>
      <c r="Z503" s="368"/>
      <c r="AA503" s="368"/>
      <c r="AB503" s="368"/>
      <c r="AC503" s="368"/>
      <c r="AD503" s="368"/>
      <c r="AE503" s="510"/>
    </row>
    <row r="504" spans="1:31" hidden="1">
      <c r="B504" s="62"/>
      <c r="N504" s="62"/>
      <c r="O504" s="62"/>
    </row>
    <row r="505" spans="1:31" hidden="1">
      <c r="A505" s="28" t="s">
        <v>1209</v>
      </c>
      <c r="B505" s="62" t="s">
        <v>2324</v>
      </c>
      <c r="C505" s="28">
        <v>0.4</v>
      </c>
      <c r="D505" s="28">
        <v>2.1</v>
      </c>
      <c r="E505" s="28">
        <v>5.3</v>
      </c>
      <c r="F505" s="28">
        <v>9.4</v>
      </c>
      <c r="G505" s="28">
        <v>12.8</v>
      </c>
      <c r="H505" s="28">
        <v>16.399999999999999</v>
      </c>
      <c r="I505" s="28">
        <v>18.2</v>
      </c>
      <c r="J505" s="28">
        <v>17.2</v>
      </c>
      <c r="K505" s="28">
        <v>14.5</v>
      </c>
      <c r="L505" s="28">
        <v>10.3</v>
      </c>
      <c r="M505" s="28">
        <v>4.9000000000000004</v>
      </c>
      <c r="N505" s="62">
        <v>1.3</v>
      </c>
      <c r="O505" s="62">
        <v>9.4</v>
      </c>
      <c r="P505" s="28">
        <v>3.7</v>
      </c>
      <c r="Q505" s="28">
        <v>4.8</v>
      </c>
      <c r="R505" s="28">
        <v>5.9</v>
      </c>
    </row>
    <row r="506" spans="1:31" hidden="1">
      <c r="B506" s="62"/>
      <c r="N506" s="62"/>
      <c r="O506" s="62"/>
    </row>
    <row r="507" spans="1:31" ht="13.15" hidden="1" customHeight="1">
      <c r="A507" s="28" t="s">
        <v>1210</v>
      </c>
      <c r="B507" s="62" t="s">
        <v>250</v>
      </c>
      <c r="C507" s="28">
        <v>166</v>
      </c>
      <c r="D507" s="28">
        <v>223</v>
      </c>
      <c r="E507" s="28">
        <v>390</v>
      </c>
      <c r="F507" s="28">
        <v>504</v>
      </c>
      <c r="G507" s="28">
        <v>600</v>
      </c>
      <c r="H507" s="28">
        <v>685</v>
      </c>
      <c r="I507" s="28">
        <v>710</v>
      </c>
      <c r="J507" s="28">
        <v>569</v>
      </c>
      <c r="K507" s="28">
        <v>415</v>
      </c>
      <c r="L507" s="28">
        <v>326</v>
      </c>
      <c r="M507" s="28">
        <v>168</v>
      </c>
      <c r="N507" s="62">
        <v>160</v>
      </c>
      <c r="O507" s="62">
        <v>4916</v>
      </c>
      <c r="P507" s="28">
        <v>1501</v>
      </c>
      <c r="Q507" s="28">
        <v>1931</v>
      </c>
      <c r="R507" s="28">
        <v>2471</v>
      </c>
    </row>
    <row r="508" spans="1:31" ht="13.15" hidden="1" customHeight="1">
      <c r="A508" s="28" t="s">
        <v>1211</v>
      </c>
      <c r="B508" s="62" t="s">
        <v>250</v>
      </c>
      <c r="C508" s="28">
        <v>264</v>
      </c>
      <c r="D508" s="28">
        <v>292</v>
      </c>
      <c r="E508" s="28">
        <v>367</v>
      </c>
      <c r="F508" s="28">
        <v>353</v>
      </c>
      <c r="G508" s="28">
        <v>318</v>
      </c>
      <c r="H508" s="28">
        <v>322</v>
      </c>
      <c r="I508" s="28">
        <v>348</v>
      </c>
      <c r="J508" s="28">
        <v>364</v>
      </c>
      <c r="K508" s="28">
        <v>374</v>
      </c>
      <c r="L508" s="28">
        <v>391</v>
      </c>
      <c r="M508" s="28">
        <v>269</v>
      </c>
      <c r="N508" s="62">
        <v>299</v>
      </c>
      <c r="O508" s="62">
        <v>3961</v>
      </c>
      <c r="P508" s="28">
        <v>1797</v>
      </c>
      <c r="Q508" s="28">
        <v>2139</v>
      </c>
      <c r="R508" s="28">
        <v>2525</v>
      </c>
    </row>
    <row r="509" spans="1:31" ht="13.15" hidden="1" customHeight="1">
      <c r="A509" s="28" t="s">
        <v>1212</v>
      </c>
      <c r="B509" s="62" t="s">
        <v>250</v>
      </c>
      <c r="C509" s="28">
        <v>101</v>
      </c>
      <c r="D509" s="28">
        <v>129</v>
      </c>
      <c r="E509" s="28">
        <v>222</v>
      </c>
      <c r="F509" s="28">
        <v>272</v>
      </c>
      <c r="G509" s="28">
        <v>318</v>
      </c>
      <c r="H509" s="28">
        <v>356</v>
      </c>
      <c r="I509" s="28">
        <v>362</v>
      </c>
      <c r="J509" s="28">
        <v>307</v>
      </c>
      <c r="K509" s="28">
        <v>228</v>
      </c>
      <c r="L509" s="28">
        <v>183</v>
      </c>
      <c r="M509" s="28">
        <v>99</v>
      </c>
      <c r="N509" s="62">
        <v>104</v>
      </c>
      <c r="O509" s="62">
        <v>2681</v>
      </c>
      <c r="P509" s="28">
        <v>867</v>
      </c>
      <c r="Q509" s="28">
        <v>1102</v>
      </c>
      <c r="R509" s="28">
        <v>1393</v>
      </c>
    </row>
    <row r="510" spans="1:31" ht="13.15" hidden="1" customHeight="1">
      <c r="A510" s="28" t="s">
        <v>1213</v>
      </c>
      <c r="B510" s="62" t="s">
        <v>250</v>
      </c>
      <c r="C510" s="28">
        <v>118</v>
      </c>
      <c r="D510" s="28">
        <v>147</v>
      </c>
      <c r="E510" s="28">
        <v>222</v>
      </c>
      <c r="F510" s="28">
        <v>277</v>
      </c>
      <c r="G510" s="28">
        <v>312</v>
      </c>
      <c r="H510" s="28">
        <v>343</v>
      </c>
      <c r="I510" s="28">
        <v>362</v>
      </c>
      <c r="J510" s="28">
        <v>307</v>
      </c>
      <c r="K510" s="28">
        <v>245</v>
      </c>
      <c r="L510" s="28">
        <v>199</v>
      </c>
      <c r="M510" s="28">
        <v>113</v>
      </c>
      <c r="N510" s="62">
        <v>120</v>
      </c>
      <c r="O510" s="62">
        <v>2765</v>
      </c>
      <c r="P510" s="28">
        <v>939</v>
      </c>
      <c r="Q510" s="28">
        <v>1180</v>
      </c>
      <c r="R510" s="28">
        <v>1476</v>
      </c>
    </row>
    <row r="511" spans="1:31" ht="13.15" hidden="1" customHeight="1">
      <c r="A511" s="28" t="s">
        <v>1214</v>
      </c>
      <c r="B511" s="62" t="s">
        <v>250</v>
      </c>
      <c r="C511" s="28">
        <v>58</v>
      </c>
      <c r="D511" s="28">
        <v>65</v>
      </c>
      <c r="E511" s="28">
        <v>101</v>
      </c>
      <c r="F511" s="28">
        <v>121</v>
      </c>
      <c r="G511" s="28">
        <v>168</v>
      </c>
      <c r="H511" s="28">
        <v>192</v>
      </c>
      <c r="I511" s="28">
        <v>185</v>
      </c>
      <c r="J511" s="28">
        <v>125</v>
      </c>
      <c r="K511" s="28">
        <v>95</v>
      </c>
      <c r="L511" s="28">
        <v>88</v>
      </c>
      <c r="M511" s="28">
        <v>52</v>
      </c>
      <c r="N511" s="62">
        <v>59</v>
      </c>
      <c r="O511" s="62">
        <v>1309</v>
      </c>
      <c r="P511" s="28">
        <v>433</v>
      </c>
      <c r="Q511" s="28">
        <v>547</v>
      </c>
      <c r="R511" s="28">
        <v>687</v>
      </c>
    </row>
    <row r="512" spans="1:31" hidden="1">
      <c r="B512" s="62"/>
      <c r="N512" s="62"/>
      <c r="O512" s="62"/>
    </row>
    <row r="513" spans="1:31" hidden="1">
      <c r="A513" s="28" t="s">
        <v>1215</v>
      </c>
      <c r="B513" s="62" t="s">
        <v>1808</v>
      </c>
      <c r="C513" s="28">
        <v>31</v>
      </c>
      <c r="D513" s="28">
        <v>28</v>
      </c>
      <c r="E513" s="28">
        <v>29</v>
      </c>
      <c r="F513" s="28">
        <v>17</v>
      </c>
      <c r="G513" s="28">
        <v>4</v>
      </c>
      <c r="H513" s="28">
        <v>1</v>
      </c>
      <c r="I513" s="28">
        <v>0</v>
      </c>
      <c r="J513" s="28">
        <v>0</v>
      </c>
      <c r="K513" s="28">
        <v>2</v>
      </c>
      <c r="L513" s="28">
        <v>15</v>
      </c>
      <c r="M513" s="28">
        <v>29</v>
      </c>
      <c r="N513" s="62">
        <v>30</v>
      </c>
      <c r="O513" s="62"/>
      <c r="P513" s="28">
        <v>186</v>
      </c>
    </row>
    <row r="514" spans="1:31" hidden="1">
      <c r="A514" s="28" t="s">
        <v>1809</v>
      </c>
      <c r="B514" s="62" t="s">
        <v>1810</v>
      </c>
      <c r="C514" s="28">
        <v>543</v>
      </c>
      <c r="D514" s="28">
        <v>446</v>
      </c>
      <c r="E514" s="28">
        <v>380</v>
      </c>
      <c r="F514" s="28">
        <v>186</v>
      </c>
      <c r="G514" s="28">
        <v>39</v>
      </c>
      <c r="H514" s="28">
        <v>5</v>
      </c>
      <c r="I514" s="28">
        <v>1</v>
      </c>
      <c r="J514" s="28">
        <v>0</v>
      </c>
      <c r="K514" s="28">
        <v>13</v>
      </c>
      <c r="L514" s="28">
        <v>149</v>
      </c>
      <c r="M514" s="28">
        <v>383</v>
      </c>
      <c r="N514" s="62">
        <v>513</v>
      </c>
      <c r="O514" s="62"/>
      <c r="P514" s="28">
        <v>2658</v>
      </c>
    </row>
    <row r="515" spans="1:31" hidden="1">
      <c r="B515" s="62"/>
      <c r="N515" s="62"/>
      <c r="O515" s="62"/>
    </row>
    <row r="516" spans="1:31" hidden="1">
      <c r="A516" s="28" t="s">
        <v>1886</v>
      </c>
      <c r="B516" s="62" t="s">
        <v>1808</v>
      </c>
      <c r="C516" s="28">
        <v>31</v>
      </c>
      <c r="D516" s="28">
        <v>28</v>
      </c>
      <c r="E516" s="28">
        <v>31</v>
      </c>
      <c r="F516" s="28">
        <v>22</v>
      </c>
      <c r="G516" s="28">
        <v>12</v>
      </c>
      <c r="H516" s="28">
        <v>3</v>
      </c>
      <c r="I516" s="28">
        <v>1</v>
      </c>
      <c r="J516" s="28">
        <v>0</v>
      </c>
      <c r="K516" s="28">
        <v>6</v>
      </c>
      <c r="L516" s="28">
        <v>22</v>
      </c>
      <c r="M516" s="28">
        <v>30</v>
      </c>
      <c r="N516" s="62">
        <v>31</v>
      </c>
      <c r="O516" s="62"/>
      <c r="Q516" s="28">
        <v>217</v>
      </c>
    </row>
    <row r="517" spans="1:31" hidden="1">
      <c r="A517" s="28" t="s">
        <v>1887</v>
      </c>
      <c r="B517" s="62" t="s">
        <v>1810</v>
      </c>
      <c r="C517" s="28">
        <v>605</v>
      </c>
      <c r="D517" s="28">
        <v>502</v>
      </c>
      <c r="E517" s="28">
        <v>454</v>
      </c>
      <c r="F517" s="28">
        <v>269</v>
      </c>
      <c r="G517" s="28">
        <v>118</v>
      </c>
      <c r="H517" s="28">
        <v>24</v>
      </c>
      <c r="I517" s="28">
        <v>4</v>
      </c>
      <c r="J517" s="28">
        <v>4</v>
      </c>
      <c r="K517" s="28">
        <v>52</v>
      </c>
      <c r="L517" s="28">
        <v>245</v>
      </c>
      <c r="M517" s="28">
        <v>451</v>
      </c>
      <c r="N517" s="62">
        <v>576</v>
      </c>
      <c r="O517" s="62"/>
      <c r="Q517" s="28">
        <v>3304</v>
      </c>
    </row>
    <row r="518" spans="1:31" hidden="1">
      <c r="B518" s="62"/>
      <c r="N518" s="62"/>
      <c r="O518" s="62"/>
    </row>
    <row r="519" spans="1:31" hidden="1">
      <c r="A519" s="28" t="s">
        <v>1434</v>
      </c>
      <c r="B519" s="62" t="s">
        <v>1808</v>
      </c>
      <c r="C519" s="28">
        <v>31</v>
      </c>
      <c r="D519" s="28">
        <v>28</v>
      </c>
      <c r="E519" s="28">
        <v>31</v>
      </c>
      <c r="F519" s="28">
        <v>27</v>
      </c>
      <c r="G519" s="28">
        <v>20</v>
      </c>
      <c r="H519" s="28">
        <v>7</v>
      </c>
      <c r="I519" s="28">
        <v>2</v>
      </c>
      <c r="J519" s="28">
        <v>3</v>
      </c>
      <c r="K519" s="28">
        <v>13</v>
      </c>
      <c r="L519" s="28">
        <v>28</v>
      </c>
      <c r="M519" s="28">
        <v>30</v>
      </c>
      <c r="N519" s="62">
        <v>31</v>
      </c>
      <c r="O519" s="62"/>
      <c r="R519" s="28">
        <v>251</v>
      </c>
    </row>
    <row r="520" spans="1:31" hidden="1">
      <c r="A520" s="28" t="s">
        <v>1435</v>
      </c>
      <c r="B520" s="62" t="s">
        <v>1810</v>
      </c>
      <c r="C520" s="28">
        <v>669</v>
      </c>
      <c r="D520" s="28">
        <v>558</v>
      </c>
      <c r="E520" s="28">
        <v>518</v>
      </c>
      <c r="F520" s="28">
        <v>357</v>
      </c>
      <c r="G520" s="28">
        <v>214</v>
      </c>
      <c r="H520" s="28">
        <v>68</v>
      </c>
      <c r="I520" s="28">
        <v>14</v>
      </c>
      <c r="J520" s="28">
        <v>29</v>
      </c>
      <c r="K520" s="28">
        <v>129</v>
      </c>
      <c r="L520" s="28">
        <v>345</v>
      </c>
      <c r="M520" s="28">
        <v>512</v>
      </c>
      <c r="N520" s="62">
        <v>640</v>
      </c>
      <c r="O520" s="62"/>
      <c r="R520" s="28">
        <v>4053</v>
      </c>
    </row>
    <row r="521" spans="1:31" ht="8.1" hidden="1" customHeight="1"/>
    <row r="522" spans="1:31" ht="8.1" hidden="1" customHeight="1"/>
    <row r="523" spans="1:31" ht="8.1" hidden="1" customHeight="1"/>
    <row r="524" spans="1:31" ht="8.1" hidden="1" customHeight="1"/>
    <row r="525" spans="1:31" ht="8.1" hidden="1" customHeight="1">
      <c r="M525" s="37"/>
    </row>
    <row r="526" spans="1:31" s="34" customFormat="1" ht="15.75" hidden="1">
      <c r="A526" s="61">
        <v>21</v>
      </c>
      <c r="B526" s="129"/>
      <c r="C526" s="129" t="s">
        <v>104</v>
      </c>
      <c r="D526" s="129"/>
      <c r="E526" s="130"/>
      <c r="F526" s="130" t="s">
        <v>352</v>
      </c>
      <c r="G526" s="129">
        <v>316</v>
      </c>
      <c r="H526" s="131" t="s">
        <v>353</v>
      </c>
      <c r="I526" s="129"/>
      <c r="J526" s="129"/>
      <c r="K526" s="130" t="s">
        <v>354</v>
      </c>
      <c r="L526" s="131">
        <v>1</v>
      </c>
      <c r="M526" s="129" t="s">
        <v>355</v>
      </c>
      <c r="N526" s="131" t="s">
        <v>1439</v>
      </c>
      <c r="O526" s="130"/>
      <c r="P526" s="130" t="s">
        <v>357</v>
      </c>
      <c r="Q526" s="129">
        <v>-8</v>
      </c>
      <c r="R526" s="131" t="s">
        <v>2324</v>
      </c>
      <c r="S526" s="28"/>
      <c r="U526" s="368"/>
      <c r="V526" s="368"/>
      <c r="W526" s="368"/>
      <c r="X526" s="368"/>
      <c r="Y526" s="368"/>
      <c r="Z526" s="368"/>
      <c r="AA526" s="368"/>
      <c r="AB526" s="368"/>
      <c r="AC526" s="368"/>
      <c r="AD526" s="368"/>
      <c r="AE526" s="510"/>
    </row>
    <row r="527" spans="1:31" hidden="1">
      <c r="B527" s="62"/>
      <c r="N527" s="62"/>
      <c r="O527" s="62"/>
      <c r="P527" s="53" t="s">
        <v>358</v>
      </c>
      <c r="Q527" s="45"/>
      <c r="R527" s="45"/>
    </row>
    <row r="528" spans="1:31" s="34" customFormat="1" hidden="1">
      <c r="B528" s="65"/>
      <c r="C528" s="95" t="s">
        <v>489</v>
      </c>
      <c r="D528" s="95" t="s">
        <v>490</v>
      </c>
      <c r="E528" s="95" t="s">
        <v>491</v>
      </c>
      <c r="F528" s="95" t="s">
        <v>492</v>
      </c>
      <c r="G528" s="95" t="s">
        <v>493</v>
      </c>
      <c r="H528" s="95" t="s">
        <v>494</v>
      </c>
      <c r="I528" s="95" t="s">
        <v>495</v>
      </c>
      <c r="J528" s="95" t="s">
        <v>496</v>
      </c>
      <c r="K528" s="95" t="s">
        <v>497</v>
      </c>
      <c r="L528" s="95" t="s">
        <v>498</v>
      </c>
      <c r="M528" s="95" t="s">
        <v>499</v>
      </c>
      <c r="N528" s="126" t="s">
        <v>500</v>
      </c>
      <c r="O528" s="126" t="s">
        <v>501</v>
      </c>
      <c r="P528" s="132" t="s">
        <v>359</v>
      </c>
      <c r="Q528" s="133" t="s">
        <v>1207</v>
      </c>
      <c r="R528" s="133" t="s">
        <v>1208</v>
      </c>
      <c r="S528" s="28"/>
      <c r="U528" s="368"/>
      <c r="V528" s="368"/>
      <c r="W528" s="368"/>
      <c r="X528" s="368"/>
      <c r="Y528" s="368"/>
      <c r="Z528" s="368"/>
      <c r="AA528" s="368"/>
      <c r="AB528" s="368"/>
      <c r="AC528" s="368"/>
      <c r="AD528" s="368"/>
      <c r="AE528" s="510"/>
    </row>
    <row r="529" spans="1:18" hidden="1">
      <c r="B529" s="62"/>
      <c r="N529" s="62"/>
      <c r="O529" s="62"/>
    </row>
    <row r="530" spans="1:18" hidden="1">
      <c r="A530" s="28" t="s">
        <v>1209</v>
      </c>
      <c r="B530" s="62" t="s">
        <v>2324</v>
      </c>
      <c r="C530" s="28">
        <v>0</v>
      </c>
      <c r="D530" s="28">
        <v>2.1</v>
      </c>
      <c r="E530" s="28">
        <v>4.8</v>
      </c>
      <c r="F530" s="28">
        <v>9.5</v>
      </c>
      <c r="G530" s="28">
        <v>13</v>
      </c>
      <c r="H530" s="28">
        <v>16.7</v>
      </c>
      <c r="I530" s="28">
        <v>18.3</v>
      </c>
      <c r="J530" s="28">
        <v>17.3</v>
      </c>
      <c r="K530" s="28">
        <v>15</v>
      </c>
      <c r="L530" s="28">
        <v>10.4</v>
      </c>
      <c r="M530" s="28">
        <v>5</v>
      </c>
      <c r="N530" s="62">
        <v>0.3</v>
      </c>
      <c r="O530" s="62">
        <v>9.4</v>
      </c>
      <c r="P530" s="28">
        <v>3.1</v>
      </c>
      <c r="Q530" s="28">
        <v>4.4000000000000004</v>
      </c>
      <c r="R530" s="28">
        <v>5.6</v>
      </c>
    </row>
    <row r="531" spans="1:18" hidden="1">
      <c r="B531" s="62"/>
      <c r="N531" s="62"/>
      <c r="O531" s="62"/>
    </row>
    <row r="532" spans="1:18" ht="13.15" hidden="1" customHeight="1">
      <c r="A532" s="28" t="s">
        <v>1210</v>
      </c>
      <c r="B532" s="62" t="s">
        <v>250</v>
      </c>
      <c r="C532" s="28">
        <v>114</v>
      </c>
      <c r="D532" s="28">
        <v>166</v>
      </c>
      <c r="E532" s="28">
        <v>294</v>
      </c>
      <c r="F532" s="28">
        <v>439</v>
      </c>
      <c r="G532" s="28">
        <v>534</v>
      </c>
      <c r="H532" s="28">
        <v>593</v>
      </c>
      <c r="I532" s="28">
        <v>626</v>
      </c>
      <c r="J532" s="28">
        <v>511</v>
      </c>
      <c r="K532" s="28">
        <v>380</v>
      </c>
      <c r="L532" s="28">
        <v>255</v>
      </c>
      <c r="M532" s="28">
        <v>123</v>
      </c>
      <c r="N532" s="62">
        <v>95</v>
      </c>
      <c r="O532" s="62">
        <v>4130</v>
      </c>
      <c r="P532" s="28">
        <v>1107</v>
      </c>
      <c r="Q532" s="28">
        <v>1478</v>
      </c>
      <c r="R532" s="28">
        <v>1978</v>
      </c>
    </row>
    <row r="533" spans="1:18" ht="13.15" hidden="1" customHeight="1">
      <c r="A533" s="28" t="s">
        <v>1211</v>
      </c>
      <c r="B533" s="62" t="s">
        <v>250</v>
      </c>
      <c r="C533" s="28">
        <v>181</v>
      </c>
      <c r="D533" s="28">
        <v>217</v>
      </c>
      <c r="E533" s="28">
        <v>276</v>
      </c>
      <c r="F533" s="28">
        <v>307</v>
      </c>
      <c r="G533" s="28">
        <v>283</v>
      </c>
      <c r="H533" s="28">
        <v>279</v>
      </c>
      <c r="I533" s="28">
        <v>307</v>
      </c>
      <c r="J533" s="28">
        <v>327</v>
      </c>
      <c r="K533" s="28">
        <v>342</v>
      </c>
      <c r="L533" s="28">
        <v>306</v>
      </c>
      <c r="M533" s="28">
        <v>197</v>
      </c>
      <c r="N533" s="62">
        <v>178</v>
      </c>
      <c r="O533" s="62">
        <v>3200</v>
      </c>
      <c r="P533" s="28">
        <v>1271</v>
      </c>
      <c r="Q533" s="28">
        <v>1561</v>
      </c>
      <c r="R533" s="28">
        <v>1916</v>
      </c>
    </row>
    <row r="534" spans="1:18" ht="13.15" hidden="1" customHeight="1">
      <c r="A534" s="28" t="s">
        <v>1212</v>
      </c>
      <c r="B534" s="62" t="s">
        <v>250</v>
      </c>
      <c r="C534" s="28">
        <v>70</v>
      </c>
      <c r="D534" s="28">
        <v>96</v>
      </c>
      <c r="E534" s="28">
        <v>168</v>
      </c>
      <c r="F534" s="28">
        <v>237</v>
      </c>
      <c r="G534" s="28">
        <v>283</v>
      </c>
      <c r="H534" s="28">
        <v>308</v>
      </c>
      <c r="I534" s="28">
        <v>319</v>
      </c>
      <c r="J534" s="28">
        <v>276</v>
      </c>
      <c r="K534" s="28">
        <v>209</v>
      </c>
      <c r="L534" s="28">
        <v>143</v>
      </c>
      <c r="M534" s="28">
        <v>73</v>
      </c>
      <c r="N534" s="62">
        <v>62</v>
      </c>
      <c r="O534" s="62">
        <v>2244</v>
      </c>
      <c r="P534" s="28">
        <v>638</v>
      </c>
      <c r="Q534" s="28">
        <v>839</v>
      </c>
      <c r="R534" s="28">
        <v>1108</v>
      </c>
    </row>
    <row r="535" spans="1:18" ht="13.15" hidden="1" customHeight="1">
      <c r="A535" s="28" t="s">
        <v>1213</v>
      </c>
      <c r="B535" s="62" t="s">
        <v>250</v>
      </c>
      <c r="C535" s="28">
        <v>81</v>
      </c>
      <c r="D535" s="28">
        <v>110</v>
      </c>
      <c r="E535" s="28">
        <v>168</v>
      </c>
      <c r="F535" s="28">
        <v>241</v>
      </c>
      <c r="G535" s="28">
        <v>278</v>
      </c>
      <c r="H535" s="28">
        <v>297</v>
      </c>
      <c r="I535" s="28">
        <v>319</v>
      </c>
      <c r="J535" s="28">
        <v>276</v>
      </c>
      <c r="K535" s="28">
        <v>224</v>
      </c>
      <c r="L535" s="28">
        <v>156</v>
      </c>
      <c r="M535" s="28">
        <v>82</v>
      </c>
      <c r="N535" s="62">
        <v>71</v>
      </c>
      <c r="O535" s="62">
        <v>2303</v>
      </c>
      <c r="P535" s="28">
        <v>685</v>
      </c>
      <c r="Q535" s="28">
        <v>891</v>
      </c>
      <c r="R535" s="28">
        <v>1165</v>
      </c>
    </row>
    <row r="536" spans="1:18" ht="13.15" hidden="1" customHeight="1">
      <c r="A536" s="28" t="s">
        <v>1214</v>
      </c>
      <c r="B536" s="62" t="s">
        <v>250</v>
      </c>
      <c r="C536" s="28">
        <v>40</v>
      </c>
      <c r="D536" s="28">
        <v>48</v>
      </c>
      <c r="E536" s="28">
        <v>76</v>
      </c>
      <c r="F536" s="28">
        <v>105</v>
      </c>
      <c r="G536" s="28">
        <v>150</v>
      </c>
      <c r="H536" s="28">
        <v>166</v>
      </c>
      <c r="I536" s="28">
        <v>163</v>
      </c>
      <c r="J536" s="28">
        <v>112</v>
      </c>
      <c r="K536" s="28">
        <v>87</v>
      </c>
      <c r="L536" s="28">
        <v>69</v>
      </c>
      <c r="M536" s="28">
        <v>38</v>
      </c>
      <c r="N536" s="62">
        <v>35</v>
      </c>
      <c r="O536" s="62">
        <v>1089</v>
      </c>
      <c r="P536" s="28">
        <v>316</v>
      </c>
      <c r="Q536" s="28">
        <v>413</v>
      </c>
      <c r="R536" s="28">
        <v>541</v>
      </c>
    </row>
    <row r="537" spans="1:18" hidden="1">
      <c r="B537" s="62"/>
      <c r="N537" s="62"/>
      <c r="O537" s="62"/>
    </row>
    <row r="538" spans="1:18" hidden="1">
      <c r="A538" s="28" t="s">
        <v>1215</v>
      </c>
      <c r="B538" s="62" t="s">
        <v>1808</v>
      </c>
      <c r="C538" s="28">
        <v>31</v>
      </c>
      <c r="D538" s="28">
        <v>28</v>
      </c>
      <c r="E538" s="28">
        <v>29</v>
      </c>
      <c r="F538" s="28">
        <v>16</v>
      </c>
      <c r="G538" s="28">
        <v>6</v>
      </c>
      <c r="H538" s="28">
        <v>1</v>
      </c>
      <c r="I538" s="28">
        <v>0</v>
      </c>
      <c r="J538" s="28">
        <v>0</v>
      </c>
      <c r="K538" s="28">
        <v>1</v>
      </c>
      <c r="L538" s="28">
        <v>13</v>
      </c>
      <c r="M538" s="28">
        <v>27</v>
      </c>
      <c r="N538" s="62">
        <v>30</v>
      </c>
      <c r="O538" s="62"/>
      <c r="P538" s="28">
        <v>182</v>
      </c>
    </row>
    <row r="539" spans="1:18" hidden="1">
      <c r="A539" s="28" t="s">
        <v>1809</v>
      </c>
      <c r="B539" s="62" t="s">
        <v>1810</v>
      </c>
      <c r="C539" s="28">
        <v>557</v>
      </c>
      <c r="D539" s="28">
        <v>442</v>
      </c>
      <c r="E539" s="28">
        <v>394</v>
      </c>
      <c r="F539" s="28">
        <v>185</v>
      </c>
      <c r="G539" s="28">
        <v>60</v>
      </c>
      <c r="H539" s="28">
        <v>10</v>
      </c>
      <c r="I539" s="28">
        <v>1</v>
      </c>
      <c r="J539" s="28">
        <v>0</v>
      </c>
      <c r="K539" s="28">
        <v>12</v>
      </c>
      <c r="L539" s="28">
        <v>147</v>
      </c>
      <c r="M539" s="28">
        <v>371</v>
      </c>
      <c r="N539" s="62">
        <v>541</v>
      </c>
      <c r="O539" s="62"/>
      <c r="P539" s="28">
        <v>2720</v>
      </c>
    </row>
    <row r="540" spans="1:18" hidden="1">
      <c r="B540" s="62"/>
      <c r="N540" s="62"/>
      <c r="O540" s="62"/>
    </row>
    <row r="541" spans="1:18" hidden="1">
      <c r="A541" s="28" t="s">
        <v>1886</v>
      </c>
      <c r="B541" s="62" t="s">
        <v>1808</v>
      </c>
      <c r="C541" s="28">
        <v>31</v>
      </c>
      <c r="D541" s="28">
        <v>28</v>
      </c>
      <c r="E541" s="28">
        <v>30</v>
      </c>
      <c r="F541" s="28">
        <v>23</v>
      </c>
      <c r="G541" s="28">
        <v>12</v>
      </c>
      <c r="H541" s="28">
        <v>3</v>
      </c>
      <c r="I541" s="28">
        <v>1</v>
      </c>
      <c r="J541" s="28">
        <v>1</v>
      </c>
      <c r="K541" s="28">
        <v>5</v>
      </c>
      <c r="L541" s="28">
        <v>20</v>
      </c>
      <c r="M541" s="28">
        <v>29</v>
      </c>
      <c r="N541" s="62">
        <v>31</v>
      </c>
      <c r="O541" s="62"/>
      <c r="Q541" s="28">
        <v>214</v>
      </c>
    </row>
    <row r="542" spans="1:18" hidden="1">
      <c r="A542" s="28" t="s">
        <v>1887</v>
      </c>
      <c r="B542" s="62" t="s">
        <v>1810</v>
      </c>
      <c r="C542" s="28">
        <v>619</v>
      </c>
      <c r="D542" s="28">
        <v>500</v>
      </c>
      <c r="E542" s="28">
        <v>465</v>
      </c>
      <c r="F542" s="28">
        <v>273</v>
      </c>
      <c r="G542" s="28">
        <v>120</v>
      </c>
      <c r="H542" s="28">
        <v>27</v>
      </c>
      <c r="I542" s="28">
        <v>7</v>
      </c>
      <c r="J542" s="28">
        <v>8</v>
      </c>
      <c r="K542" s="28">
        <v>47</v>
      </c>
      <c r="L542" s="28">
        <v>233</v>
      </c>
      <c r="M542" s="28">
        <v>442</v>
      </c>
      <c r="N542" s="62">
        <v>607</v>
      </c>
      <c r="O542" s="62"/>
      <c r="Q542" s="28">
        <v>3348</v>
      </c>
    </row>
    <row r="543" spans="1:18" hidden="1">
      <c r="B543" s="62"/>
      <c r="N543" s="62"/>
      <c r="O543" s="62"/>
    </row>
    <row r="544" spans="1:18" hidden="1">
      <c r="A544" s="28" t="s">
        <v>1434</v>
      </c>
      <c r="B544" s="62" t="s">
        <v>1808</v>
      </c>
      <c r="C544" s="28">
        <v>31</v>
      </c>
      <c r="D544" s="28">
        <v>28</v>
      </c>
      <c r="E544" s="28">
        <v>31</v>
      </c>
      <c r="F544" s="28">
        <v>27</v>
      </c>
      <c r="G544" s="28">
        <v>20</v>
      </c>
      <c r="H544" s="28">
        <v>7</v>
      </c>
      <c r="I544" s="28">
        <v>3</v>
      </c>
      <c r="J544" s="28">
        <v>5</v>
      </c>
      <c r="K544" s="28">
        <v>13</v>
      </c>
      <c r="L544" s="28">
        <v>26</v>
      </c>
      <c r="M544" s="28">
        <v>29</v>
      </c>
      <c r="N544" s="62">
        <v>31</v>
      </c>
      <c r="O544" s="62"/>
      <c r="R544" s="28">
        <v>251</v>
      </c>
    </row>
    <row r="545" spans="1:31" hidden="1">
      <c r="A545" s="28" t="s">
        <v>1435</v>
      </c>
      <c r="B545" s="62" t="s">
        <v>1810</v>
      </c>
      <c r="C545" s="28">
        <v>681</v>
      </c>
      <c r="D545" s="28">
        <v>557</v>
      </c>
      <c r="E545" s="28">
        <v>531</v>
      </c>
      <c r="F545" s="28">
        <v>354</v>
      </c>
      <c r="G545" s="28">
        <v>222</v>
      </c>
      <c r="H545" s="28">
        <v>65</v>
      </c>
      <c r="I545" s="28">
        <v>26</v>
      </c>
      <c r="J545" s="28">
        <v>44</v>
      </c>
      <c r="K545" s="28">
        <v>124</v>
      </c>
      <c r="L545" s="28">
        <v>327</v>
      </c>
      <c r="M545" s="28">
        <v>505</v>
      </c>
      <c r="N545" s="62">
        <v>670</v>
      </c>
      <c r="O545" s="62"/>
      <c r="R545" s="28">
        <v>4106</v>
      </c>
    </row>
    <row r="546" spans="1:31" ht="8.1" hidden="1" customHeight="1"/>
    <row r="547" spans="1:31" ht="8.1" hidden="1" customHeight="1"/>
    <row r="548" spans="1:31" ht="8.1" hidden="1" customHeight="1"/>
    <row r="549" spans="1:31" ht="8.1" hidden="1" customHeight="1"/>
    <row r="550" spans="1:31" ht="8.1" hidden="1" customHeight="1">
      <c r="M550" s="37"/>
    </row>
    <row r="551" spans="1:31" s="34" customFormat="1" ht="15.75" hidden="1">
      <c r="A551" s="61">
        <v>22</v>
      </c>
      <c r="B551" s="129"/>
      <c r="C551" s="129" t="s">
        <v>105</v>
      </c>
      <c r="D551" s="129"/>
      <c r="E551" s="130"/>
      <c r="F551" s="130" t="s">
        <v>352</v>
      </c>
      <c r="G551" s="129">
        <v>589</v>
      </c>
      <c r="H551" s="131" t="s">
        <v>353</v>
      </c>
      <c r="I551" s="129"/>
      <c r="J551" s="129"/>
      <c r="K551" s="130" t="s">
        <v>354</v>
      </c>
      <c r="L551" s="131">
        <v>5</v>
      </c>
      <c r="M551" s="129" t="s">
        <v>355</v>
      </c>
      <c r="N551" s="131" t="s">
        <v>356</v>
      </c>
      <c r="O551" s="130"/>
      <c r="P551" s="130" t="s">
        <v>357</v>
      </c>
      <c r="Q551" s="129">
        <v>-6</v>
      </c>
      <c r="R551" s="131" t="s">
        <v>2324</v>
      </c>
      <c r="S551" s="28"/>
      <c r="U551" s="368"/>
      <c r="V551" s="368"/>
      <c r="W551" s="368"/>
      <c r="X551" s="368"/>
      <c r="Y551" s="368"/>
      <c r="Z551" s="368"/>
      <c r="AA551" s="368"/>
      <c r="AB551" s="368"/>
      <c r="AC551" s="368"/>
      <c r="AD551" s="368"/>
      <c r="AE551" s="510"/>
    </row>
    <row r="552" spans="1:31" hidden="1">
      <c r="B552" s="62"/>
      <c r="N552" s="62"/>
      <c r="O552" s="62"/>
      <c r="P552" s="53" t="s">
        <v>358</v>
      </c>
      <c r="Q552" s="45"/>
      <c r="R552" s="45"/>
    </row>
    <row r="553" spans="1:31" s="34" customFormat="1" hidden="1">
      <c r="B553" s="65"/>
      <c r="C553" s="95" t="s">
        <v>489</v>
      </c>
      <c r="D553" s="95" t="s">
        <v>490</v>
      </c>
      <c r="E553" s="95" t="s">
        <v>491</v>
      </c>
      <c r="F553" s="95" t="s">
        <v>492</v>
      </c>
      <c r="G553" s="95" t="s">
        <v>493</v>
      </c>
      <c r="H553" s="95" t="s">
        <v>494</v>
      </c>
      <c r="I553" s="95" t="s">
        <v>495</v>
      </c>
      <c r="J553" s="95" t="s">
        <v>496</v>
      </c>
      <c r="K553" s="95" t="s">
        <v>497</v>
      </c>
      <c r="L553" s="95" t="s">
        <v>498</v>
      </c>
      <c r="M553" s="95" t="s">
        <v>499</v>
      </c>
      <c r="N553" s="126" t="s">
        <v>500</v>
      </c>
      <c r="O553" s="126" t="s">
        <v>501</v>
      </c>
      <c r="P553" s="132" t="s">
        <v>359</v>
      </c>
      <c r="Q553" s="133" t="s">
        <v>1207</v>
      </c>
      <c r="R553" s="133" t="s">
        <v>1208</v>
      </c>
      <c r="S553" s="28"/>
      <c r="U553" s="368"/>
      <c r="V553" s="368"/>
      <c r="W553" s="368"/>
      <c r="X553" s="368"/>
      <c r="Y553" s="368"/>
      <c r="Z553" s="368"/>
      <c r="AA553" s="368"/>
      <c r="AB553" s="368"/>
      <c r="AC553" s="368"/>
      <c r="AD553" s="368"/>
      <c r="AE553" s="510"/>
    </row>
    <row r="554" spans="1:31" hidden="1">
      <c r="B554" s="62"/>
      <c r="N554" s="62"/>
      <c r="O554" s="62"/>
    </row>
    <row r="555" spans="1:31" hidden="1">
      <c r="A555" s="28" t="s">
        <v>1209</v>
      </c>
      <c r="B555" s="62" t="s">
        <v>2324</v>
      </c>
      <c r="C555" s="28">
        <v>0</v>
      </c>
      <c r="D555" s="28">
        <v>1.9</v>
      </c>
      <c r="E555" s="28">
        <v>4.5999999999999996</v>
      </c>
      <c r="F555" s="28">
        <v>9.3000000000000007</v>
      </c>
      <c r="G555" s="28">
        <v>13</v>
      </c>
      <c r="H555" s="28">
        <v>16.7</v>
      </c>
      <c r="I555" s="28">
        <v>18.8</v>
      </c>
      <c r="J555" s="28">
        <v>17.600000000000001</v>
      </c>
      <c r="K555" s="28">
        <v>15.1</v>
      </c>
      <c r="L555" s="28">
        <v>10.8</v>
      </c>
      <c r="M555" s="28">
        <v>5.0999999999999996</v>
      </c>
      <c r="N555" s="62">
        <v>0.3</v>
      </c>
      <c r="O555" s="62">
        <v>9.5</v>
      </c>
      <c r="P555" s="28">
        <v>3.3</v>
      </c>
      <c r="Q555" s="28">
        <v>4.2</v>
      </c>
      <c r="R555" s="28">
        <v>5.5</v>
      </c>
    </row>
    <row r="556" spans="1:31" hidden="1">
      <c r="B556" s="62"/>
      <c r="N556" s="62"/>
      <c r="O556" s="62"/>
    </row>
    <row r="557" spans="1:31" ht="13.15" hidden="1" customHeight="1">
      <c r="A557" s="28" t="s">
        <v>1210</v>
      </c>
      <c r="B557" s="62" t="s">
        <v>250</v>
      </c>
      <c r="C557" s="28">
        <v>112</v>
      </c>
      <c r="D557" s="28">
        <v>187</v>
      </c>
      <c r="E557" s="28">
        <v>339</v>
      </c>
      <c r="F557" s="28">
        <v>486</v>
      </c>
      <c r="G557" s="28">
        <v>584</v>
      </c>
      <c r="H557" s="28">
        <v>663</v>
      </c>
      <c r="I557" s="28">
        <v>699</v>
      </c>
      <c r="J557" s="28">
        <v>556</v>
      </c>
      <c r="K557" s="28">
        <v>405</v>
      </c>
      <c r="L557" s="28">
        <v>261</v>
      </c>
      <c r="M557" s="28">
        <v>127</v>
      </c>
      <c r="N557" s="62">
        <v>95</v>
      </c>
      <c r="O557" s="62">
        <v>4514</v>
      </c>
      <c r="P557" s="28">
        <v>1244</v>
      </c>
      <c r="Q557" s="28">
        <v>1603</v>
      </c>
      <c r="R557" s="28">
        <v>2120</v>
      </c>
    </row>
    <row r="558" spans="1:31" ht="13.15" hidden="1" customHeight="1">
      <c r="A558" s="28" t="s">
        <v>1211</v>
      </c>
      <c r="B558" s="62" t="s">
        <v>250</v>
      </c>
      <c r="C558" s="28">
        <v>178</v>
      </c>
      <c r="D558" s="28">
        <v>245</v>
      </c>
      <c r="E558" s="28">
        <v>319</v>
      </c>
      <c r="F558" s="28">
        <v>340</v>
      </c>
      <c r="G558" s="28">
        <v>310</v>
      </c>
      <c r="H558" s="28">
        <v>312</v>
      </c>
      <c r="I558" s="28">
        <v>343</v>
      </c>
      <c r="J558" s="28">
        <v>356</v>
      </c>
      <c r="K558" s="28">
        <v>365</v>
      </c>
      <c r="L558" s="28">
        <v>313</v>
      </c>
      <c r="M558" s="28">
        <v>203</v>
      </c>
      <c r="N558" s="62">
        <v>178</v>
      </c>
      <c r="O558" s="62">
        <v>3462</v>
      </c>
      <c r="P558" s="28">
        <v>1397</v>
      </c>
      <c r="Q558" s="28">
        <v>1667</v>
      </c>
      <c r="R558" s="28">
        <v>2040</v>
      </c>
    </row>
    <row r="559" spans="1:31" ht="13.15" hidden="1" customHeight="1">
      <c r="A559" s="28" t="s">
        <v>1212</v>
      </c>
      <c r="B559" s="62" t="s">
        <v>250</v>
      </c>
      <c r="C559" s="28">
        <v>68</v>
      </c>
      <c r="D559" s="28">
        <v>108</v>
      </c>
      <c r="E559" s="28">
        <v>193</v>
      </c>
      <c r="F559" s="28">
        <v>262</v>
      </c>
      <c r="G559" s="28">
        <v>310</v>
      </c>
      <c r="H559" s="28">
        <v>345</v>
      </c>
      <c r="I559" s="28">
        <v>356</v>
      </c>
      <c r="J559" s="28">
        <v>300</v>
      </c>
      <c r="K559" s="28">
        <v>223</v>
      </c>
      <c r="L559" s="28">
        <v>146</v>
      </c>
      <c r="M559" s="28">
        <v>75</v>
      </c>
      <c r="N559" s="62">
        <v>62</v>
      </c>
      <c r="O559" s="62">
        <v>2448</v>
      </c>
      <c r="P559" s="28">
        <v>712</v>
      </c>
      <c r="Q559" s="28">
        <v>906</v>
      </c>
      <c r="R559" s="28">
        <v>1185</v>
      </c>
    </row>
    <row r="560" spans="1:31" ht="13.15" hidden="1" customHeight="1">
      <c r="A560" s="28" t="s">
        <v>1213</v>
      </c>
      <c r="B560" s="62" t="s">
        <v>250</v>
      </c>
      <c r="C560" s="28">
        <v>80</v>
      </c>
      <c r="D560" s="28">
        <v>123</v>
      </c>
      <c r="E560" s="28">
        <v>193</v>
      </c>
      <c r="F560" s="28">
        <v>267</v>
      </c>
      <c r="G560" s="28">
        <v>304</v>
      </c>
      <c r="H560" s="28">
        <v>332</v>
      </c>
      <c r="I560" s="28">
        <v>356</v>
      </c>
      <c r="J560" s="28">
        <v>300</v>
      </c>
      <c r="K560" s="28">
        <v>239</v>
      </c>
      <c r="L560" s="28">
        <v>159</v>
      </c>
      <c r="M560" s="28">
        <v>85</v>
      </c>
      <c r="N560" s="62">
        <v>71</v>
      </c>
      <c r="O560" s="62">
        <v>2509</v>
      </c>
      <c r="P560" s="28">
        <v>763</v>
      </c>
      <c r="Q560" s="28">
        <v>961</v>
      </c>
      <c r="R560" s="28">
        <v>1245</v>
      </c>
    </row>
    <row r="561" spans="1:31" ht="13.15" hidden="1" customHeight="1">
      <c r="A561" s="28" t="s">
        <v>1214</v>
      </c>
      <c r="B561" s="62" t="s">
        <v>250</v>
      </c>
      <c r="C561" s="28">
        <v>39</v>
      </c>
      <c r="D561" s="28">
        <v>54</v>
      </c>
      <c r="E561" s="28">
        <v>88</v>
      </c>
      <c r="F561" s="28">
        <v>117</v>
      </c>
      <c r="G561" s="28">
        <v>164</v>
      </c>
      <c r="H561" s="28">
        <v>186</v>
      </c>
      <c r="I561" s="28">
        <v>182</v>
      </c>
      <c r="J561" s="28">
        <v>122</v>
      </c>
      <c r="K561" s="28">
        <v>93</v>
      </c>
      <c r="L561" s="28">
        <v>70</v>
      </c>
      <c r="M561" s="28">
        <v>39</v>
      </c>
      <c r="N561" s="62">
        <v>35</v>
      </c>
      <c r="O561" s="62">
        <v>1189</v>
      </c>
      <c r="P561" s="28">
        <v>352</v>
      </c>
      <c r="Q561" s="28">
        <v>446</v>
      </c>
      <c r="R561" s="28">
        <v>579</v>
      </c>
    </row>
    <row r="562" spans="1:31" hidden="1">
      <c r="B562" s="62"/>
      <c r="N562" s="62"/>
      <c r="O562" s="62"/>
    </row>
    <row r="563" spans="1:31" hidden="1">
      <c r="A563" s="28" t="s">
        <v>1215</v>
      </c>
      <c r="B563" s="62" t="s">
        <v>1808</v>
      </c>
      <c r="C563" s="28">
        <v>31</v>
      </c>
      <c r="D563" s="28">
        <v>28</v>
      </c>
      <c r="E563" s="28">
        <v>29</v>
      </c>
      <c r="F563" s="28">
        <v>17</v>
      </c>
      <c r="G563" s="28">
        <v>7</v>
      </c>
      <c r="H563" s="28">
        <v>1</v>
      </c>
      <c r="I563" s="28">
        <v>0</v>
      </c>
      <c r="J563" s="28">
        <v>0</v>
      </c>
      <c r="K563" s="28">
        <v>2</v>
      </c>
      <c r="L563" s="28">
        <v>12</v>
      </c>
      <c r="M563" s="28">
        <v>28</v>
      </c>
      <c r="N563" s="62">
        <v>31</v>
      </c>
      <c r="O563" s="62"/>
      <c r="P563" s="28">
        <v>186</v>
      </c>
    </row>
    <row r="564" spans="1:31" hidden="1">
      <c r="A564" s="28" t="s">
        <v>1809</v>
      </c>
      <c r="B564" s="62" t="s">
        <v>1810</v>
      </c>
      <c r="C564" s="28">
        <v>558</v>
      </c>
      <c r="D564" s="28">
        <v>448</v>
      </c>
      <c r="E564" s="28">
        <v>402</v>
      </c>
      <c r="F564" s="28">
        <v>194</v>
      </c>
      <c r="G564" s="28">
        <v>65</v>
      </c>
      <c r="H564" s="28">
        <v>9</v>
      </c>
      <c r="I564" s="28">
        <v>1</v>
      </c>
      <c r="J564" s="28">
        <v>1</v>
      </c>
      <c r="K564" s="28">
        <v>14</v>
      </c>
      <c r="L564" s="28">
        <v>125</v>
      </c>
      <c r="M564" s="28">
        <v>372</v>
      </c>
      <c r="N564" s="62">
        <v>545</v>
      </c>
      <c r="O564" s="62"/>
      <c r="P564" s="28">
        <v>2734</v>
      </c>
    </row>
    <row r="565" spans="1:31" hidden="1">
      <c r="B565" s="62"/>
      <c r="N565" s="62"/>
      <c r="O565" s="62"/>
    </row>
    <row r="566" spans="1:31" hidden="1">
      <c r="A566" s="28" t="s">
        <v>1886</v>
      </c>
      <c r="B566" s="62" t="s">
        <v>1808</v>
      </c>
      <c r="C566" s="28">
        <v>31</v>
      </c>
      <c r="D566" s="28">
        <v>28</v>
      </c>
      <c r="E566" s="28">
        <v>30</v>
      </c>
      <c r="F566" s="28">
        <v>22</v>
      </c>
      <c r="G566" s="28">
        <v>13</v>
      </c>
      <c r="H566" s="28">
        <v>3</v>
      </c>
      <c r="I566" s="28">
        <v>1</v>
      </c>
      <c r="J566" s="28">
        <v>1</v>
      </c>
      <c r="K566" s="28">
        <v>6</v>
      </c>
      <c r="L566" s="28">
        <v>19</v>
      </c>
      <c r="M566" s="28">
        <v>29</v>
      </c>
      <c r="N566" s="62">
        <v>31</v>
      </c>
      <c r="O566" s="62"/>
      <c r="Q566" s="28">
        <v>214</v>
      </c>
    </row>
    <row r="567" spans="1:31" hidden="1">
      <c r="A567" s="28" t="s">
        <v>1887</v>
      </c>
      <c r="B567" s="62" t="s">
        <v>1810</v>
      </c>
      <c r="C567" s="28">
        <v>620</v>
      </c>
      <c r="D567" s="28">
        <v>506</v>
      </c>
      <c r="E567" s="28">
        <v>473</v>
      </c>
      <c r="F567" s="28">
        <v>277</v>
      </c>
      <c r="G567" s="28">
        <v>130</v>
      </c>
      <c r="H567" s="28">
        <v>32</v>
      </c>
      <c r="I567" s="28">
        <v>11</v>
      </c>
      <c r="J567" s="28">
        <v>11</v>
      </c>
      <c r="K567" s="28">
        <v>52</v>
      </c>
      <c r="L567" s="28">
        <v>212</v>
      </c>
      <c r="M567" s="28">
        <v>443</v>
      </c>
      <c r="N567" s="62">
        <v>610</v>
      </c>
      <c r="O567" s="62"/>
      <c r="Q567" s="28">
        <v>3377</v>
      </c>
    </row>
    <row r="568" spans="1:31" hidden="1">
      <c r="B568" s="62"/>
      <c r="N568" s="62"/>
      <c r="O568" s="62"/>
    </row>
    <row r="569" spans="1:31" hidden="1">
      <c r="A569" s="28" t="s">
        <v>1434</v>
      </c>
      <c r="B569" s="62" t="s">
        <v>1808</v>
      </c>
      <c r="C569" s="28">
        <v>31</v>
      </c>
      <c r="D569" s="28">
        <v>28</v>
      </c>
      <c r="E569" s="28">
        <v>31</v>
      </c>
      <c r="F569" s="28">
        <v>26</v>
      </c>
      <c r="G569" s="28">
        <v>20</v>
      </c>
      <c r="H569" s="28">
        <v>7</v>
      </c>
      <c r="I569" s="28">
        <v>3</v>
      </c>
      <c r="J569" s="28">
        <v>5</v>
      </c>
      <c r="K569" s="28">
        <v>12</v>
      </c>
      <c r="L569" s="28">
        <v>26</v>
      </c>
      <c r="M569" s="28">
        <v>30</v>
      </c>
      <c r="N569" s="62">
        <v>31</v>
      </c>
      <c r="O569" s="62"/>
      <c r="R569" s="28">
        <v>250</v>
      </c>
    </row>
    <row r="570" spans="1:31" hidden="1">
      <c r="A570" s="28" t="s">
        <v>1435</v>
      </c>
      <c r="B570" s="62" t="s">
        <v>1810</v>
      </c>
      <c r="C570" s="28">
        <v>682</v>
      </c>
      <c r="D570" s="28">
        <v>562</v>
      </c>
      <c r="E570" s="28">
        <v>539</v>
      </c>
      <c r="F570" s="28">
        <v>360</v>
      </c>
      <c r="G570" s="28">
        <v>218</v>
      </c>
      <c r="H570" s="28">
        <v>74</v>
      </c>
      <c r="I570" s="28">
        <v>29</v>
      </c>
      <c r="J570" s="28">
        <v>45</v>
      </c>
      <c r="K570" s="28">
        <v>118</v>
      </c>
      <c r="L570" s="28">
        <v>316</v>
      </c>
      <c r="M570" s="28">
        <v>506</v>
      </c>
      <c r="N570" s="62">
        <v>672</v>
      </c>
      <c r="O570" s="62"/>
      <c r="R570" s="28">
        <v>4121</v>
      </c>
    </row>
    <row r="571" spans="1:31" ht="8.1" hidden="1" customHeight="1"/>
    <row r="572" spans="1:31" ht="8.1" hidden="1" customHeight="1"/>
    <row r="573" spans="1:31" ht="8.1" hidden="1" customHeight="1"/>
    <row r="574" spans="1:31" ht="8.1" hidden="1" customHeight="1"/>
    <row r="575" spans="1:31" ht="8.1" hidden="1" customHeight="1">
      <c r="M575" s="37"/>
    </row>
    <row r="576" spans="1:31" s="34" customFormat="1" ht="15.75" hidden="1">
      <c r="A576" s="61">
        <v>23</v>
      </c>
      <c r="B576" s="129"/>
      <c r="C576" s="129" t="s">
        <v>1571</v>
      </c>
      <c r="D576" s="129"/>
      <c r="E576" s="130"/>
      <c r="F576" s="130" t="s">
        <v>352</v>
      </c>
      <c r="G576" s="129">
        <v>740</v>
      </c>
      <c r="H576" s="131" t="s">
        <v>353</v>
      </c>
      <c r="I576" s="129"/>
      <c r="J576" s="129"/>
      <c r="K576" s="130" t="s">
        <v>354</v>
      </c>
      <c r="L576" s="131">
        <v>2</v>
      </c>
      <c r="M576" s="129" t="s">
        <v>355</v>
      </c>
      <c r="N576" s="131" t="s">
        <v>101</v>
      </c>
      <c r="O576" s="130"/>
      <c r="P576" s="130" t="s">
        <v>357</v>
      </c>
      <c r="Q576" s="129">
        <v>-9</v>
      </c>
      <c r="R576" s="131" t="s">
        <v>2324</v>
      </c>
      <c r="S576" s="28"/>
      <c r="U576" s="368"/>
      <c r="V576" s="368"/>
      <c r="W576" s="368"/>
      <c r="X576" s="368"/>
      <c r="Y576" s="368"/>
      <c r="Z576" s="368"/>
      <c r="AA576" s="368"/>
      <c r="AB576" s="368"/>
      <c r="AC576" s="368"/>
      <c r="AD576" s="368"/>
      <c r="AE576" s="510"/>
    </row>
    <row r="577" spans="1:31" hidden="1">
      <c r="B577" s="62"/>
      <c r="N577" s="62"/>
      <c r="O577" s="62"/>
      <c r="P577" s="53" t="s">
        <v>358</v>
      </c>
      <c r="Q577" s="45"/>
      <c r="R577" s="45"/>
    </row>
    <row r="578" spans="1:31" s="34" customFormat="1" hidden="1">
      <c r="B578" s="65"/>
      <c r="C578" s="95" t="s">
        <v>489</v>
      </c>
      <c r="D578" s="95" t="s">
        <v>490</v>
      </c>
      <c r="E578" s="95" t="s">
        <v>491</v>
      </c>
      <c r="F578" s="95" t="s">
        <v>492</v>
      </c>
      <c r="G578" s="95" t="s">
        <v>493</v>
      </c>
      <c r="H578" s="95" t="s">
        <v>494</v>
      </c>
      <c r="I578" s="95" t="s">
        <v>495</v>
      </c>
      <c r="J578" s="95" t="s">
        <v>496</v>
      </c>
      <c r="K578" s="95" t="s">
        <v>497</v>
      </c>
      <c r="L578" s="95" t="s">
        <v>498</v>
      </c>
      <c r="M578" s="95" t="s">
        <v>499</v>
      </c>
      <c r="N578" s="126" t="s">
        <v>500</v>
      </c>
      <c r="O578" s="126" t="s">
        <v>501</v>
      </c>
      <c r="P578" s="132" t="s">
        <v>359</v>
      </c>
      <c r="Q578" s="133" t="s">
        <v>1207</v>
      </c>
      <c r="R578" s="133" t="s">
        <v>1208</v>
      </c>
      <c r="S578" s="28"/>
      <c r="U578" s="368"/>
      <c r="V578" s="368"/>
      <c r="W578" s="368"/>
      <c r="X578" s="368"/>
      <c r="Y578" s="368"/>
      <c r="Z578" s="368"/>
      <c r="AA578" s="368"/>
      <c r="AB578" s="368"/>
      <c r="AC578" s="368"/>
      <c r="AD578" s="368"/>
      <c r="AE578" s="510"/>
    </row>
    <row r="579" spans="1:31" hidden="1">
      <c r="B579" s="62"/>
      <c r="N579" s="62"/>
      <c r="O579" s="62"/>
    </row>
    <row r="580" spans="1:31" hidden="1">
      <c r="A580" s="28" t="s">
        <v>1209</v>
      </c>
      <c r="B580" s="62" t="s">
        <v>2324</v>
      </c>
      <c r="C580" s="28">
        <v>-2</v>
      </c>
      <c r="D580" s="28">
        <v>-0.2</v>
      </c>
      <c r="E580" s="28">
        <v>2.1</v>
      </c>
      <c r="F580" s="28">
        <v>7.1</v>
      </c>
      <c r="G580" s="28">
        <v>10.9</v>
      </c>
      <c r="H580" s="28">
        <v>14.7</v>
      </c>
      <c r="I580" s="28">
        <v>16.399999999999999</v>
      </c>
      <c r="J580" s="28">
        <v>15.4</v>
      </c>
      <c r="K580" s="28">
        <v>13.3</v>
      </c>
      <c r="L580" s="28">
        <v>8.8000000000000007</v>
      </c>
      <c r="M580" s="28">
        <v>3.1</v>
      </c>
      <c r="N580" s="62">
        <v>-1.8</v>
      </c>
      <c r="O580" s="62">
        <v>7.4</v>
      </c>
      <c r="P580" s="28">
        <v>2</v>
      </c>
      <c r="Q580" s="28">
        <v>3.5</v>
      </c>
      <c r="R580" s="28">
        <v>4.5999999999999996</v>
      </c>
    </row>
    <row r="581" spans="1:31" hidden="1">
      <c r="B581" s="62"/>
      <c r="N581" s="62"/>
      <c r="O581" s="62"/>
    </row>
    <row r="582" spans="1:31" ht="13.15" hidden="1" customHeight="1">
      <c r="A582" s="28" t="s">
        <v>1210</v>
      </c>
      <c r="B582" s="62" t="s">
        <v>250</v>
      </c>
      <c r="C582" s="28">
        <v>126</v>
      </c>
      <c r="D582" s="28">
        <v>180</v>
      </c>
      <c r="E582" s="28">
        <v>310</v>
      </c>
      <c r="F582" s="28">
        <v>461</v>
      </c>
      <c r="G582" s="28">
        <v>551</v>
      </c>
      <c r="H582" s="28">
        <v>594</v>
      </c>
      <c r="I582" s="28">
        <v>634</v>
      </c>
      <c r="J582" s="28">
        <v>522</v>
      </c>
      <c r="K582" s="28">
        <v>392</v>
      </c>
      <c r="L582" s="28">
        <v>277</v>
      </c>
      <c r="M582" s="28">
        <v>133</v>
      </c>
      <c r="N582" s="62">
        <v>108</v>
      </c>
      <c r="O582" s="62">
        <v>4288</v>
      </c>
      <c r="P582" s="28">
        <v>1535</v>
      </c>
      <c r="Q582" s="28">
        <v>2085</v>
      </c>
      <c r="R582" s="28">
        <v>2594</v>
      </c>
    </row>
    <row r="583" spans="1:31" ht="13.15" hidden="1" customHeight="1">
      <c r="A583" s="28" t="s">
        <v>1211</v>
      </c>
      <c r="B583" s="62" t="s">
        <v>250</v>
      </c>
      <c r="C583" s="28">
        <v>200</v>
      </c>
      <c r="D583" s="28">
        <v>236</v>
      </c>
      <c r="E583" s="28">
        <v>291</v>
      </c>
      <c r="F583" s="28">
        <v>323</v>
      </c>
      <c r="G583" s="28">
        <v>292</v>
      </c>
      <c r="H583" s="28">
        <v>279</v>
      </c>
      <c r="I583" s="28">
        <v>311</v>
      </c>
      <c r="J583" s="28">
        <v>334</v>
      </c>
      <c r="K583" s="28">
        <v>353</v>
      </c>
      <c r="L583" s="28">
        <v>332</v>
      </c>
      <c r="M583" s="28">
        <v>213</v>
      </c>
      <c r="N583" s="62">
        <v>202</v>
      </c>
      <c r="O583" s="62">
        <v>3366</v>
      </c>
      <c r="P583" s="28">
        <v>1652</v>
      </c>
      <c r="Q583" s="28">
        <v>2040</v>
      </c>
      <c r="R583" s="28">
        <v>2376</v>
      </c>
    </row>
    <row r="584" spans="1:31" ht="13.15" hidden="1" customHeight="1">
      <c r="A584" s="28" t="s">
        <v>1212</v>
      </c>
      <c r="B584" s="62" t="s">
        <v>250</v>
      </c>
      <c r="C584" s="28">
        <v>77</v>
      </c>
      <c r="D584" s="28">
        <v>104</v>
      </c>
      <c r="E584" s="28">
        <v>177</v>
      </c>
      <c r="F584" s="28">
        <v>249</v>
      </c>
      <c r="G584" s="28">
        <v>292</v>
      </c>
      <c r="H584" s="28">
        <v>309</v>
      </c>
      <c r="I584" s="28">
        <v>323</v>
      </c>
      <c r="J584" s="28">
        <v>282</v>
      </c>
      <c r="K584" s="28">
        <v>216</v>
      </c>
      <c r="L584" s="28">
        <v>155</v>
      </c>
      <c r="M584" s="28">
        <v>78</v>
      </c>
      <c r="N584" s="62">
        <v>70</v>
      </c>
      <c r="O584" s="62">
        <v>2332</v>
      </c>
      <c r="P584" s="28">
        <v>872</v>
      </c>
      <c r="Q584" s="28">
        <v>1168</v>
      </c>
      <c r="R584" s="28">
        <v>1439</v>
      </c>
    </row>
    <row r="585" spans="1:31" ht="13.15" hidden="1" customHeight="1">
      <c r="A585" s="28" t="s">
        <v>1213</v>
      </c>
      <c r="B585" s="62" t="s">
        <v>250</v>
      </c>
      <c r="C585" s="28">
        <v>89</v>
      </c>
      <c r="D585" s="28">
        <v>119</v>
      </c>
      <c r="E585" s="28">
        <v>177</v>
      </c>
      <c r="F585" s="28">
        <v>254</v>
      </c>
      <c r="G585" s="28">
        <v>287</v>
      </c>
      <c r="H585" s="28">
        <v>297</v>
      </c>
      <c r="I585" s="28">
        <v>323</v>
      </c>
      <c r="J585" s="28">
        <v>282</v>
      </c>
      <c r="K585" s="28">
        <v>231</v>
      </c>
      <c r="L585" s="28">
        <v>169</v>
      </c>
      <c r="M585" s="28">
        <v>89</v>
      </c>
      <c r="N585" s="62">
        <v>81</v>
      </c>
      <c r="O585" s="62">
        <v>2398</v>
      </c>
      <c r="P585" s="28">
        <v>931</v>
      </c>
      <c r="Q585" s="28">
        <v>1231</v>
      </c>
      <c r="R585" s="28">
        <v>1506</v>
      </c>
    </row>
    <row r="586" spans="1:31" ht="13.15" hidden="1" customHeight="1">
      <c r="A586" s="28" t="s">
        <v>1214</v>
      </c>
      <c r="B586" s="62" t="s">
        <v>250</v>
      </c>
      <c r="C586" s="28">
        <v>44</v>
      </c>
      <c r="D586" s="28">
        <v>52</v>
      </c>
      <c r="E586" s="28">
        <v>81</v>
      </c>
      <c r="F586" s="28">
        <v>111</v>
      </c>
      <c r="G586" s="28">
        <v>154</v>
      </c>
      <c r="H586" s="28">
        <v>166</v>
      </c>
      <c r="I586" s="28">
        <v>165</v>
      </c>
      <c r="J586" s="28">
        <v>115</v>
      </c>
      <c r="K586" s="28">
        <v>90</v>
      </c>
      <c r="L586" s="28">
        <v>75</v>
      </c>
      <c r="M586" s="28">
        <v>41</v>
      </c>
      <c r="N586" s="62">
        <v>40</v>
      </c>
      <c r="O586" s="62">
        <v>1134</v>
      </c>
      <c r="P586" s="28">
        <v>432</v>
      </c>
      <c r="Q586" s="28">
        <v>575</v>
      </c>
      <c r="R586" s="28">
        <v>705</v>
      </c>
    </row>
    <row r="587" spans="1:31" hidden="1">
      <c r="B587" s="62"/>
      <c r="N587" s="62"/>
      <c r="O587" s="62"/>
    </row>
    <row r="588" spans="1:31" hidden="1">
      <c r="A588" s="28" t="s">
        <v>1215</v>
      </c>
      <c r="B588" s="62" t="s">
        <v>1808</v>
      </c>
      <c r="C588" s="28">
        <v>31</v>
      </c>
      <c r="D588" s="28">
        <v>28</v>
      </c>
      <c r="E588" s="28">
        <v>30</v>
      </c>
      <c r="F588" s="28">
        <v>22</v>
      </c>
      <c r="G588" s="28">
        <v>12</v>
      </c>
      <c r="H588" s="28">
        <v>2</v>
      </c>
      <c r="I588" s="28">
        <v>1</v>
      </c>
      <c r="J588" s="28">
        <v>1</v>
      </c>
      <c r="K588" s="28">
        <v>5</v>
      </c>
      <c r="L588" s="28">
        <v>19</v>
      </c>
      <c r="M588" s="28">
        <v>29</v>
      </c>
      <c r="N588" s="62">
        <v>31</v>
      </c>
      <c r="O588" s="62"/>
      <c r="P588" s="28">
        <v>211</v>
      </c>
    </row>
    <row r="589" spans="1:31" hidden="1">
      <c r="A589" s="28" t="s">
        <v>1809</v>
      </c>
      <c r="B589" s="62" t="s">
        <v>1810</v>
      </c>
      <c r="C589" s="28">
        <v>620</v>
      </c>
      <c r="D589" s="28">
        <v>510</v>
      </c>
      <c r="E589" s="28">
        <v>487</v>
      </c>
      <c r="F589" s="28">
        <v>281</v>
      </c>
      <c r="G589" s="28">
        <v>129</v>
      </c>
      <c r="H589" s="28">
        <v>24</v>
      </c>
      <c r="I589" s="28">
        <v>7</v>
      </c>
      <c r="J589" s="28">
        <v>9</v>
      </c>
      <c r="K589" s="28">
        <v>46</v>
      </c>
      <c r="L589" s="28">
        <v>212</v>
      </c>
      <c r="M589" s="28">
        <v>442</v>
      </c>
      <c r="N589" s="62">
        <v>611</v>
      </c>
      <c r="O589" s="62"/>
      <c r="P589" s="28">
        <v>3378</v>
      </c>
    </row>
    <row r="590" spans="1:31" hidden="1">
      <c r="B590" s="62"/>
      <c r="N590" s="62"/>
      <c r="O590" s="62"/>
    </row>
    <row r="591" spans="1:31" hidden="1">
      <c r="A591" s="28" t="s">
        <v>1886</v>
      </c>
      <c r="B591" s="62" t="s">
        <v>1808</v>
      </c>
      <c r="C591" s="28">
        <v>31</v>
      </c>
      <c r="D591" s="28">
        <v>28</v>
      </c>
      <c r="E591" s="28">
        <v>31</v>
      </c>
      <c r="F591" s="28">
        <v>27</v>
      </c>
      <c r="G591" s="28">
        <v>21</v>
      </c>
      <c r="H591" s="28">
        <v>7</v>
      </c>
      <c r="I591" s="28">
        <v>3</v>
      </c>
      <c r="J591" s="28">
        <v>4</v>
      </c>
      <c r="K591" s="28">
        <v>12</v>
      </c>
      <c r="L591" s="28">
        <v>25</v>
      </c>
      <c r="M591" s="28">
        <v>30</v>
      </c>
      <c r="N591" s="62">
        <v>31</v>
      </c>
      <c r="O591" s="62"/>
      <c r="Q591" s="28">
        <v>250</v>
      </c>
    </row>
    <row r="592" spans="1:31" hidden="1">
      <c r="A592" s="28" t="s">
        <v>1887</v>
      </c>
      <c r="B592" s="62" t="s">
        <v>1810</v>
      </c>
      <c r="C592" s="28">
        <v>682</v>
      </c>
      <c r="D592" s="28">
        <v>566</v>
      </c>
      <c r="E592" s="28">
        <v>554</v>
      </c>
      <c r="F592" s="28">
        <v>367</v>
      </c>
      <c r="G592" s="28">
        <v>228</v>
      </c>
      <c r="H592" s="28">
        <v>70</v>
      </c>
      <c r="I592" s="28">
        <v>30</v>
      </c>
      <c r="J592" s="28">
        <v>36</v>
      </c>
      <c r="K592" s="28">
        <v>114</v>
      </c>
      <c r="L592" s="28">
        <v>305</v>
      </c>
      <c r="M592" s="28">
        <v>505</v>
      </c>
      <c r="N592" s="62">
        <v>675</v>
      </c>
      <c r="O592" s="62"/>
      <c r="Q592" s="28">
        <v>4132</v>
      </c>
    </row>
    <row r="593" spans="1:31" hidden="1">
      <c r="B593" s="62"/>
      <c r="N593" s="62"/>
      <c r="O593" s="62"/>
    </row>
    <row r="594" spans="1:31" hidden="1">
      <c r="A594" s="28" t="s">
        <v>1434</v>
      </c>
      <c r="B594" s="62" t="s">
        <v>1808</v>
      </c>
      <c r="C594" s="28">
        <v>31</v>
      </c>
      <c r="D594" s="28">
        <v>28</v>
      </c>
      <c r="E594" s="28">
        <v>31</v>
      </c>
      <c r="F594" s="28">
        <v>29</v>
      </c>
      <c r="G594" s="28">
        <v>25</v>
      </c>
      <c r="H594" s="28">
        <v>13</v>
      </c>
      <c r="I594" s="28">
        <v>8</v>
      </c>
      <c r="J594" s="28">
        <v>10</v>
      </c>
      <c r="K594" s="28">
        <v>18</v>
      </c>
      <c r="L594" s="28">
        <v>29</v>
      </c>
      <c r="M594" s="28">
        <v>30</v>
      </c>
      <c r="N594" s="62">
        <v>31</v>
      </c>
      <c r="O594" s="62"/>
      <c r="R594" s="28">
        <v>283</v>
      </c>
    </row>
    <row r="595" spans="1:31" hidden="1">
      <c r="A595" s="28" t="s">
        <v>1435</v>
      </c>
      <c r="B595" s="62" t="s">
        <v>1810</v>
      </c>
      <c r="C595" s="28">
        <v>744</v>
      </c>
      <c r="D595" s="28">
        <v>622</v>
      </c>
      <c r="E595" s="28">
        <v>616</v>
      </c>
      <c r="F595" s="28">
        <v>438</v>
      </c>
      <c r="G595" s="28">
        <v>309</v>
      </c>
      <c r="H595" s="28">
        <v>137</v>
      </c>
      <c r="I595" s="28">
        <v>78</v>
      </c>
      <c r="J595" s="28">
        <v>100</v>
      </c>
      <c r="K595" s="28">
        <v>194</v>
      </c>
      <c r="L595" s="28">
        <v>395</v>
      </c>
      <c r="M595" s="28">
        <v>568</v>
      </c>
      <c r="N595" s="62">
        <v>737</v>
      </c>
      <c r="O595" s="62"/>
      <c r="R595" s="28">
        <v>4938</v>
      </c>
    </row>
    <row r="596" spans="1:31" ht="8.1" hidden="1" customHeight="1"/>
    <row r="597" spans="1:31" ht="8.1" hidden="1" customHeight="1"/>
    <row r="598" spans="1:31" ht="8.1" hidden="1" customHeight="1"/>
    <row r="599" spans="1:31" ht="8.1" hidden="1" customHeight="1"/>
    <row r="600" spans="1:31" ht="8.1" hidden="1" customHeight="1">
      <c r="M600" s="37"/>
    </row>
    <row r="601" spans="1:31" s="34" customFormat="1" ht="15.75" hidden="1">
      <c r="A601" s="61">
        <v>24</v>
      </c>
      <c r="B601" s="129"/>
      <c r="C601" s="129" t="s">
        <v>1572</v>
      </c>
      <c r="D601" s="129"/>
      <c r="E601" s="130"/>
      <c r="F601" s="130" t="s">
        <v>352</v>
      </c>
      <c r="G601" s="129">
        <v>914</v>
      </c>
      <c r="H601" s="131" t="s">
        <v>353</v>
      </c>
      <c r="I601" s="129"/>
      <c r="J601" s="129"/>
      <c r="K601" s="130" t="s">
        <v>354</v>
      </c>
      <c r="L601" s="131">
        <v>7</v>
      </c>
      <c r="M601" s="129" t="s">
        <v>355</v>
      </c>
      <c r="N601" s="131" t="s">
        <v>1585</v>
      </c>
      <c r="O601" s="130"/>
      <c r="P601" s="130" t="s">
        <v>357</v>
      </c>
      <c r="Q601" s="129">
        <v>-10</v>
      </c>
      <c r="R601" s="131" t="s">
        <v>2324</v>
      </c>
      <c r="S601" s="28"/>
      <c r="U601" s="368"/>
      <c r="V601" s="368"/>
      <c r="W601" s="368"/>
      <c r="X601" s="368"/>
      <c r="Y601" s="368"/>
      <c r="Z601" s="368"/>
      <c r="AA601" s="368"/>
      <c r="AB601" s="368"/>
      <c r="AC601" s="368"/>
      <c r="AD601" s="368"/>
      <c r="AE601" s="510"/>
    </row>
    <row r="602" spans="1:31" hidden="1">
      <c r="B602" s="62"/>
      <c r="N602" s="62"/>
      <c r="O602" s="62"/>
      <c r="P602" s="53" t="s">
        <v>358</v>
      </c>
      <c r="Q602" s="45"/>
      <c r="R602" s="45"/>
    </row>
    <row r="603" spans="1:31" s="34" customFormat="1" hidden="1">
      <c r="B603" s="65"/>
      <c r="C603" s="95" t="s">
        <v>489</v>
      </c>
      <c r="D603" s="95" t="s">
        <v>490</v>
      </c>
      <c r="E603" s="95" t="s">
        <v>491</v>
      </c>
      <c r="F603" s="95" t="s">
        <v>492</v>
      </c>
      <c r="G603" s="95" t="s">
        <v>493</v>
      </c>
      <c r="H603" s="95" t="s">
        <v>494</v>
      </c>
      <c r="I603" s="95" t="s">
        <v>495</v>
      </c>
      <c r="J603" s="95" t="s">
        <v>496</v>
      </c>
      <c r="K603" s="95" t="s">
        <v>497</v>
      </c>
      <c r="L603" s="95" t="s">
        <v>498</v>
      </c>
      <c r="M603" s="95" t="s">
        <v>499</v>
      </c>
      <c r="N603" s="126" t="s">
        <v>500</v>
      </c>
      <c r="O603" s="126" t="s">
        <v>501</v>
      </c>
      <c r="P603" s="132" t="s">
        <v>359</v>
      </c>
      <c r="Q603" s="133" t="s">
        <v>1207</v>
      </c>
      <c r="R603" s="133" t="s">
        <v>1208</v>
      </c>
      <c r="S603" s="28"/>
      <c r="U603" s="368"/>
      <c r="V603" s="368"/>
      <c r="W603" s="368"/>
      <c r="X603" s="368"/>
      <c r="Y603" s="368"/>
      <c r="Z603" s="368"/>
      <c r="AA603" s="368"/>
      <c r="AB603" s="368"/>
      <c r="AC603" s="368"/>
      <c r="AD603" s="368"/>
      <c r="AE603" s="510"/>
    </row>
    <row r="604" spans="1:31" hidden="1">
      <c r="B604" s="62"/>
      <c r="N604" s="62"/>
      <c r="O604" s="62"/>
    </row>
    <row r="605" spans="1:31" hidden="1">
      <c r="A605" s="28" t="s">
        <v>1209</v>
      </c>
      <c r="B605" s="62" t="s">
        <v>2324</v>
      </c>
      <c r="C605" s="28">
        <v>-2.9</v>
      </c>
      <c r="D605" s="28">
        <v>-1.3</v>
      </c>
      <c r="E605" s="28">
        <v>0.9</v>
      </c>
      <c r="F605" s="28">
        <v>5.6</v>
      </c>
      <c r="G605" s="28">
        <v>9.6</v>
      </c>
      <c r="H605" s="28">
        <v>13.5</v>
      </c>
      <c r="I605" s="28">
        <v>15.2</v>
      </c>
      <c r="J605" s="28">
        <v>14.2</v>
      </c>
      <c r="K605" s="28">
        <v>12.1</v>
      </c>
      <c r="L605" s="28">
        <v>7.8</v>
      </c>
      <c r="M605" s="28">
        <v>2.9</v>
      </c>
      <c r="N605" s="62">
        <v>-2.7</v>
      </c>
      <c r="O605" s="62">
        <v>6.3</v>
      </c>
      <c r="P605" s="28">
        <v>2</v>
      </c>
      <c r="Q605" s="28">
        <v>2.9</v>
      </c>
      <c r="R605" s="28">
        <v>4.0999999999999996</v>
      </c>
    </row>
    <row r="606" spans="1:31" hidden="1">
      <c r="B606" s="62"/>
      <c r="N606" s="62"/>
      <c r="O606" s="62"/>
    </row>
    <row r="607" spans="1:31" ht="13.15" hidden="1" customHeight="1">
      <c r="A607" s="28" t="s">
        <v>1210</v>
      </c>
      <c r="B607" s="62" t="s">
        <v>250</v>
      </c>
      <c r="C607" s="28">
        <v>122</v>
      </c>
      <c r="D607" s="28">
        <v>187</v>
      </c>
      <c r="E607" s="28">
        <v>320</v>
      </c>
      <c r="F607" s="28">
        <v>464</v>
      </c>
      <c r="G607" s="28">
        <v>562</v>
      </c>
      <c r="H607" s="28">
        <v>583</v>
      </c>
      <c r="I607" s="28">
        <v>626</v>
      </c>
      <c r="J607" s="28">
        <v>500</v>
      </c>
      <c r="K607" s="28">
        <v>385</v>
      </c>
      <c r="L607" s="28">
        <v>270</v>
      </c>
      <c r="M607" s="28">
        <v>137</v>
      </c>
      <c r="N607" s="62">
        <v>101</v>
      </c>
      <c r="O607" s="62">
        <v>4257</v>
      </c>
      <c r="P607" s="28">
        <v>1920</v>
      </c>
      <c r="Q607" s="28">
        <v>2327</v>
      </c>
      <c r="R607" s="28">
        <v>2920</v>
      </c>
    </row>
    <row r="608" spans="1:31" ht="13.15" hidden="1" customHeight="1">
      <c r="A608" s="28" t="s">
        <v>1211</v>
      </c>
      <c r="B608" s="62" t="s">
        <v>250</v>
      </c>
      <c r="C608" s="28">
        <v>194</v>
      </c>
      <c r="D608" s="28">
        <v>245</v>
      </c>
      <c r="E608" s="28">
        <v>301</v>
      </c>
      <c r="F608" s="28">
        <v>325</v>
      </c>
      <c r="G608" s="28">
        <v>298</v>
      </c>
      <c r="H608" s="28">
        <v>274</v>
      </c>
      <c r="I608" s="28">
        <v>307</v>
      </c>
      <c r="J608" s="28">
        <v>320</v>
      </c>
      <c r="K608" s="28">
        <v>347</v>
      </c>
      <c r="L608" s="28">
        <v>324</v>
      </c>
      <c r="M608" s="28">
        <v>219</v>
      </c>
      <c r="N608" s="62">
        <v>189</v>
      </c>
      <c r="O608" s="62">
        <v>3343</v>
      </c>
      <c r="P608" s="28">
        <v>1913</v>
      </c>
      <c r="Q608" s="28">
        <v>2198</v>
      </c>
      <c r="R608" s="28">
        <v>2574</v>
      </c>
    </row>
    <row r="609" spans="1:18" ht="13.15" hidden="1" customHeight="1">
      <c r="A609" s="28" t="s">
        <v>1212</v>
      </c>
      <c r="B609" s="62" t="s">
        <v>250</v>
      </c>
      <c r="C609" s="28">
        <v>74</v>
      </c>
      <c r="D609" s="28">
        <v>108</v>
      </c>
      <c r="E609" s="28">
        <v>182</v>
      </c>
      <c r="F609" s="28">
        <v>251</v>
      </c>
      <c r="G609" s="28">
        <v>298</v>
      </c>
      <c r="H609" s="28">
        <v>303</v>
      </c>
      <c r="I609" s="28">
        <v>319</v>
      </c>
      <c r="J609" s="28">
        <v>270</v>
      </c>
      <c r="K609" s="28">
        <v>212</v>
      </c>
      <c r="L609" s="28">
        <v>151</v>
      </c>
      <c r="M609" s="28">
        <v>81</v>
      </c>
      <c r="N609" s="62">
        <v>66</v>
      </c>
      <c r="O609" s="62">
        <v>2315</v>
      </c>
      <c r="P609" s="28">
        <v>1079</v>
      </c>
      <c r="Q609" s="28">
        <v>1297</v>
      </c>
      <c r="R609" s="28">
        <v>1613</v>
      </c>
    </row>
    <row r="610" spans="1:18" ht="13.15" hidden="1" customHeight="1">
      <c r="A610" s="28" t="s">
        <v>1213</v>
      </c>
      <c r="B610" s="62" t="s">
        <v>250</v>
      </c>
      <c r="C610" s="28">
        <v>87</v>
      </c>
      <c r="D610" s="28">
        <v>123</v>
      </c>
      <c r="E610" s="28">
        <v>182</v>
      </c>
      <c r="F610" s="28">
        <v>255</v>
      </c>
      <c r="G610" s="28">
        <v>292</v>
      </c>
      <c r="H610" s="28">
        <v>292</v>
      </c>
      <c r="I610" s="28">
        <v>319</v>
      </c>
      <c r="J610" s="28">
        <v>270</v>
      </c>
      <c r="K610" s="28">
        <v>227</v>
      </c>
      <c r="L610" s="28">
        <v>165</v>
      </c>
      <c r="M610" s="28">
        <v>92</v>
      </c>
      <c r="N610" s="62">
        <v>76</v>
      </c>
      <c r="O610" s="62">
        <v>2380</v>
      </c>
      <c r="P610" s="28">
        <v>1139</v>
      </c>
      <c r="Q610" s="28">
        <v>1361</v>
      </c>
      <c r="R610" s="28">
        <v>1678</v>
      </c>
    </row>
    <row r="611" spans="1:18" ht="13.15" hidden="1" customHeight="1">
      <c r="A611" s="28" t="s">
        <v>1214</v>
      </c>
      <c r="B611" s="62" t="s">
        <v>250</v>
      </c>
      <c r="C611" s="28">
        <v>43</v>
      </c>
      <c r="D611" s="28">
        <v>54</v>
      </c>
      <c r="E611" s="28">
        <v>83</v>
      </c>
      <c r="F611" s="28">
        <v>111</v>
      </c>
      <c r="G611" s="28">
        <v>157</v>
      </c>
      <c r="H611" s="28">
        <v>163</v>
      </c>
      <c r="I611" s="28">
        <v>163</v>
      </c>
      <c r="J611" s="28">
        <v>110</v>
      </c>
      <c r="K611" s="28">
        <v>89</v>
      </c>
      <c r="L611" s="28">
        <v>73</v>
      </c>
      <c r="M611" s="28">
        <v>42</v>
      </c>
      <c r="N611" s="62">
        <v>37</v>
      </c>
      <c r="O611" s="62">
        <v>1125</v>
      </c>
      <c r="P611" s="28">
        <v>529</v>
      </c>
      <c r="Q611" s="28">
        <v>635</v>
      </c>
      <c r="R611" s="28">
        <v>786</v>
      </c>
    </row>
    <row r="612" spans="1:18" hidden="1">
      <c r="B612" s="62"/>
      <c r="N612" s="62"/>
      <c r="O612" s="62"/>
    </row>
    <row r="613" spans="1:18" hidden="1">
      <c r="A613" s="28" t="s">
        <v>1215</v>
      </c>
      <c r="B613" s="62" t="s">
        <v>1808</v>
      </c>
      <c r="C613" s="28">
        <v>31</v>
      </c>
      <c r="D613" s="28">
        <v>28</v>
      </c>
      <c r="E613" s="28">
        <v>31</v>
      </c>
      <c r="F613" s="28">
        <v>27</v>
      </c>
      <c r="G613" s="28">
        <v>18</v>
      </c>
      <c r="H613" s="28">
        <v>5</v>
      </c>
      <c r="I613" s="28">
        <v>3</v>
      </c>
      <c r="J613" s="28">
        <v>3</v>
      </c>
      <c r="K613" s="28">
        <v>8</v>
      </c>
      <c r="L613" s="28">
        <v>23</v>
      </c>
      <c r="M613" s="28">
        <v>29</v>
      </c>
      <c r="N613" s="62">
        <v>31</v>
      </c>
      <c r="O613" s="62"/>
      <c r="P613" s="28">
        <v>237</v>
      </c>
    </row>
    <row r="614" spans="1:18" hidden="1">
      <c r="A614" s="28" t="s">
        <v>1809</v>
      </c>
      <c r="B614" s="62" t="s">
        <v>1810</v>
      </c>
      <c r="C614" s="28">
        <v>648</v>
      </c>
      <c r="D614" s="28">
        <v>542</v>
      </c>
      <c r="E614" s="28">
        <v>529</v>
      </c>
      <c r="F614" s="28">
        <v>353</v>
      </c>
      <c r="G614" s="28">
        <v>192</v>
      </c>
      <c r="H614" s="28">
        <v>55</v>
      </c>
      <c r="I614" s="28">
        <v>24</v>
      </c>
      <c r="J614" s="28">
        <v>23</v>
      </c>
      <c r="K614" s="28">
        <v>79</v>
      </c>
      <c r="L614" s="28">
        <v>264</v>
      </c>
      <c r="M614" s="28">
        <v>446</v>
      </c>
      <c r="N614" s="62">
        <v>639</v>
      </c>
      <c r="O614" s="62"/>
      <c r="P614" s="28">
        <v>3794</v>
      </c>
    </row>
    <row r="615" spans="1:18" hidden="1">
      <c r="B615" s="62"/>
      <c r="N615" s="62"/>
      <c r="O615" s="62"/>
    </row>
    <row r="616" spans="1:18" hidden="1">
      <c r="A616" s="28" t="s">
        <v>1886</v>
      </c>
      <c r="B616" s="62" t="s">
        <v>1808</v>
      </c>
      <c r="C616" s="28">
        <v>31</v>
      </c>
      <c r="D616" s="28">
        <v>28</v>
      </c>
      <c r="E616" s="28">
        <v>31</v>
      </c>
      <c r="F616" s="28">
        <v>28</v>
      </c>
      <c r="G616" s="28">
        <v>23</v>
      </c>
      <c r="H616" s="28">
        <v>10</v>
      </c>
      <c r="I616" s="28">
        <v>5</v>
      </c>
      <c r="J616" s="28">
        <v>7</v>
      </c>
      <c r="K616" s="28">
        <v>15</v>
      </c>
      <c r="L616" s="28">
        <v>27</v>
      </c>
      <c r="M616" s="28">
        <v>30</v>
      </c>
      <c r="N616" s="62">
        <v>31</v>
      </c>
      <c r="O616" s="62"/>
      <c r="Q616" s="28">
        <v>266</v>
      </c>
    </row>
    <row r="617" spans="1:18" hidden="1">
      <c r="A617" s="28" t="s">
        <v>1887</v>
      </c>
      <c r="B617" s="62" t="s">
        <v>1810</v>
      </c>
      <c r="C617" s="28">
        <v>710</v>
      </c>
      <c r="D617" s="28">
        <v>598</v>
      </c>
      <c r="E617" s="28">
        <v>591</v>
      </c>
      <c r="F617" s="28">
        <v>421</v>
      </c>
      <c r="G617" s="28">
        <v>276</v>
      </c>
      <c r="H617" s="28">
        <v>103</v>
      </c>
      <c r="I617" s="28">
        <v>54</v>
      </c>
      <c r="J617" s="28">
        <v>68</v>
      </c>
      <c r="K617" s="28">
        <v>156</v>
      </c>
      <c r="L617" s="28">
        <v>349</v>
      </c>
      <c r="M617" s="28">
        <v>511</v>
      </c>
      <c r="N617" s="62">
        <v>703</v>
      </c>
      <c r="O617" s="62"/>
      <c r="Q617" s="28">
        <v>4540</v>
      </c>
    </row>
    <row r="618" spans="1:18" hidden="1">
      <c r="B618" s="62"/>
      <c r="N618" s="62"/>
      <c r="O618" s="62"/>
    </row>
    <row r="619" spans="1:18" hidden="1">
      <c r="A619" s="28" t="s">
        <v>1434</v>
      </c>
      <c r="B619" s="62" t="s">
        <v>1808</v>
      </c>
      <c r="C619" s="28">
        <v>31</v>
      </c>
      <c r="D619" s="28">
        <v>28</v>
      </c>
      <c r="E619" s="28">
        <v>31</v>
      </c>
      <c r="F619" s="28">
        <v>30</v>
      </c>
      <c r="G619" s="28">
        <v>27</v>
      </c>
      <c r="H619" s="28">
        <v>17</v>
      </c>
      <c r="I619" s="28">
        <v>11</v>
      </c>
      <c r="J619" s="28">
        <v>15</v>
      </c>
      <c r="K619" s="28">
        <v>21</v>
      </c>
      <c r="L619" s="28">
        <v>30</v>
      </c>
      <c r="M619" s="28">
        <v>30</v>
      </c>
      <c r="N619" s="62">
        <v>31</v>
      </c>
      <c r="O619" s="62"/>
      <c r="R619" s="28">
        <v>302</v>
      </c>
    </row>
    <row r="620" spans="1:18" hidden="1">
      <c r="A620" s="28" t="s">
        <v>1435</v>
      </c>
      <c r="B620" s="62" t="s">
        <v>1810</v>
      </c>
      <c r="C620" s="28">
        <v>772</v>
      </c>
      <c r="D620" s="28">
        <v>654</v>
      </c>
      <c r="E620" s="28">
        <v>653</v>
      </c>
      <c r="F620" s="28">
        <v>489</v>
      </c>
      <c r="G620" s="28">
        <v>359</v>
      </c>
      <c r="H620" s="28">
        <v>188</v>
      </c>
      <c r="I620" s="28">
        <v>118</v>
      </c>
      <c r="J620" s="28">
        <v>158</v>
      </c>
      <c r="K620" s="28">
        <v>243</v>
      </c>
      <c r="L620" s="28">
        <v>434</v>
      </c>
      <c r="M620" s="28">
        <v>572</v>
      </c>
      <c r="N620" s="62">
        <v>765</v>
      </c>
      <c r="O620" s="62"/>
      <c r="R620" s="28">
        <v>5405</v>
      </c>
    </row>
    <row r="621" spans="1:18" ht="8.1" hidden="1" customHeight="1"/>
    <row r="622" spans="1:18" ht="8.1" hidden="1" customHeight="1"/>
    <row r="623" spans="1:18" ht="8.1" hidden="1" customHeight="1"/>
    <row r="624" spans="1:18" ht="8.1" hidden="1" customHeight="1"/>
    <row r="625" spans="1:31" ht="8.1" hidden="1" customHeight="1">
      <c r="M625" s="37"/>
    </row>
    <row r="626" spans="1:31" s="34" customFormat="1" ht="15.75" hidden="1">
      <c r="A626" s="61">
        <v>25</v>
      </c>
      <c r="B626" s="129"/>
      <c r="C626" s="129" t="s">
        <v>1573</v>
      </c>
      <c r="D626" s="129"/>
      <c r="E626" s="130"/>
      <c r="F626" s="130" t="s">
        <v>352</v>
      </c>
      <c r="G626" s="129">
        <v>677</v>
      </c>
      <c r="H626" s="131" t="s">
        <v>353</v>
      </c>
      <c r="I626" s="129"/>
      <c r="J626" s="129"/>
      <c r="K626" s="130" t="s">
        <v>354</v>
      </c>
      <c r="L626" s="131">
        <v>5</v>
      </c>
      <c r="M626" s="129" t="s">
        <v>355</v>
      </c>
      <c r="N626" s="131" t="s">
        <v>1439</v>
      </c>
      <c r="O626" s="130"/>
      <c r="P626" s="130" t="s">
        <v>357</v>
      </c>
      <c r="Q626" s="129">
        <v>-9</v>
      </c>
      <c r="R626" s="131" t="s">
        <v>2324</v>
      </c>
      <c r="S626" s="28"/>
      <c r="U626" s="368"/>
      <c r="V626" s="368"/>
      <c r="W626" s="368"/>
      <c r="X626" s="368"/>
      <c r="Y626" s="368"/>
      <c r="Z626" s="368"/>
      <c r="AA626" s="368"/>
      <c r="AB626" s="368"/>
      <c r="AC626" s="368"/>
      <c r="AD626" s="368"/>
      <c r="AE626" s="510"/>
    </row>
    <row r="627" spans="1:31" hidden="1">
      <c r="B627" s="62"/>
      <c r="N627" s="62"/>
      <c r="O627" s="62"/>
      <c r="P627" s="53" t="s">
        <v>358</v>
      </c>
      <c r="Q627" s="45"/>
      <c r="R627" s="45"/>
    </row>
    <row r="628" spans="1:31" s="34" customFormat="1" hidden="1">
      <c r="B628" s="65"/>
      <c r="C628" s="95" t="s">
        <v>489</v>
      </c>
      <c r="D628" s="95" t="s">
        <v>490</v>
      </c>
      <c r="E628" s="95" t="s">
        <v>491</v>
      </c>
      <c r="F628" s="95" t="s">
        <v>492</v>
      </c>
      <c r="G628" s="95" t="s">
        <v>493</v>
      </c>
      <c r="H628" s="95" t="s">
        <v>494</v>
      </c>
      <c r="I628" s="95" t="s">
        <v>495</v>
      </c>
      <c r="J628" s="95" t="s">
        <v>496</v>
      </c>
      <c r="K628" s="95" t="s">
        <v>497</v>
      </c>
      <c r="L628" s="95" t="s">
        <v>498</v>
      </c>
      <c r="M628" s="95" t="s">
        <v>499</v>
      </c>
      <c r="N628" s="126" t="s">
        <v>500</v>
      </c>
      <c r="O628" s="126" t="s">
        <v>501</v>
      </c>
      <c r="P628" s="132" t="s">
        <v>359</v>
      </c>
      <c r="Q628" s="133" t="s">
        <v>1207</v>
      </c>
      <c r="R628" s="133" t="s">
        <v>1208</v>
      </c>
      <c r="S628" s="28"/>
      <c r="U628" s="368"/>
      <c r="V628" s="368"/>
      <c r="W628" s="368"/>
      <c r="X628" s="368"/>
      <c r="Y628" s="368"/>
      <c r="Z628" s="368"/>
      <c r="AA628" s="368"/>
      <c r="AB628" s="368"/>
      <c r="AC628" s="368"/>
      <c r="AD628" s="368"/>
      <c r="AE628" s="510"/>
    </row>
    <row r="629" spans="1:31" hidden="1">
      <c r="B629" s="62"/>
      <c r="N629" s="62"/>
      <c r="O629" s="62"/>
    </row>
    <row r="630" spans="1:31" hidden="1">
      <c r="A630" s="28" t="s">
        <v>1209</v>
      </c>
      <c r="B630" s="62" t="s">
        <v>2324</v>
      </c>
      <c r="C630" s="28">
        <v>-1.5</v>
      </c>
      <c r="D630" s="28">
        <v>0.6</v>
      </c>
      <c r="E630" s="28">
        <v>3.2</v>
      </c>
      <c r="F630" s="28">
        <v>7.9</v>
      </c>
      <c r="G630" s="28">
        <v>11.7</v>
      </c>
      <c r="H630" s="28">
        <v>15.5</v>
      </c>
      <c r="I630" s="28">
        <v>17.3</v>
      </c>
      <c r="J630" s="28">
        <v>16.100000000000001</v>
      </c>
      <c r="K630" s="28">
        <v>13.8</v>
      </c>
      <c r="L630" s="28">
        <v>9.3000000000000007</v>
      </c>
      <c r="M630" s="28">
        <v>3.6</v>
      </c>
      <c r="N630" s="62">
        <v>-1.1000000000000001</v>
      </c>
      <c r="O630" s="62">
        <v>8.1</v>
      </c>
      <c r="P630" s="28">
        <v>2.5</v>
      </c>
      <c r="Q630" s="28">
        <v>3.7</v>
      </c>
      <c r="R630" s="28">
        <v>4.8</v>
      </c>
    </row>
    <row r="631" spans="1:31" hidden="1">
      <c r="B631" s="62"/>
      <c r="N631" s="62"/>
      <c r="O631" s="62"/>
    </row>
    <row r="632" spans="1:31" ht="13.15" hidden="1" customHeight="1">
      <c r="A632" s="28" t="s">
        <v>1210</v>
      </c>
      <c r="B632" s="62" t="s">
        <v>250</v>
      </c>
      <c r="C632" s="28">
        <v>111</v>
      </c>
      <c r="D632" s="28">
        <v>177</v>
      </c>
      <c r="E632" s="28">
        <v>311</v>
      </c>
      <c r="F632" s="28">
        <v>472</v>
      </c>
      <c r="G632" s="28">
        <v>572</v>
      </c>
      <c r="H632" s="28">
        <v>641</v>
      </c>
      <c r="I632" s="28">
        <v>683</v>
      </c>
      <c r="J632" s="28">
        <v>547</v>
      </c>
      <c r="K632" s="28">
        <v>399</v>
      </c>
      <c r="L632" s="28">
        <v>260</v>
      </c>
      <c r="M632" s="28">
        <v>126</v>
      </c>
      <c r="N632" s="62">
        <v>93</v>
      </c>
      <c r="O632" s="62">
        <v>4392</v>
      </c>
      <c r="P632" s="28">
        <v>1408</v>
      </c>
      <c r="Q632" s="28">
        <v>1880</v>
      </c>
      <c r="R632" s="28">
        <v>2386</v>
      </c>
    </row>
    <row r="633" spans="1:31" ht="13.15" hidden="1" customHeight="1">
      <c r="A633" s="28" t="s">
        <v>1211</v>
      </c>
      <c r="B633" s="62" t="s">
        <v>250</v>
      </c>
      <c r="C633" s="28">
        <v>176</v>
      </c>
      <c r="D633" s="28">
        <v>232</v>
      </c>
      <c r="E633" s="28">
        <v>292</v>
      </c>
      <c r="F633" s="28">
        <v>330</v>
      </c>
      <c r="G633" s="28">
        <v>303</v>
      </c>
      <c r="H633" s="28">
        <v>301</v>
      </c>
      <c r="I633" s="28">
        <v>335</v>
      </c>
      <c r="J633" s="28">
        <v>350</v>
      </c>
      <c r="K633" s="28">
        <v>359</v>
      </c>
      <c r="L633" s="28">
        <v>312</v>
      </c>
      <c r="M633" s="28">
        <v>202</v>
      </c>
      <c r="N633" s="62">
        <v>174</v>
      </c>
      <c r="O633" s="62">
        <v>3366</v>
      </c>
      <c r="P633" s="28">
        <v>1513</v>
      </c>
      <c r="Q633" s="28">
        <v>1856</v>
      </c>
      <c r="R633" s="28">
        <v>2194</v>
      </c>
    </row>
    <row r="634" spans="1:31" ht="13.15" hidden="1" customHeight="1">
      <c r="A634" s="28" t="s">
        <v>1212</v>
      </c>
      <c r="B634" s="62" t="s">
        <v>250</v>
      </c>
      <c r="C634" s="28">
        <v>68</v>
      </c>
      <c r="D634" s="28">
        <v>103</v>
      </c>
      <c r="E634" s="28">
        <v>177</v>
      </c>
      <c r="F634" s="28">
        <v>255</v>
      </c>
      <c r="G634" s="28">
        <v>303</v>
      </c>
      <c r="H634" s="28">
        <v>333</v>
      </c>
      <c r="I634" s="28">
        <v>348</v>
      </c>
      <c r="J634" s="28">
        <v>295</v>
      </c>
      <c r="K634" s="28">
        <v>219</v>
      </c>
      <c r="L634" s="28">
        <v>146</v>
      </c>
      <c r="M634" s="28">
        <v>74</v>
      </c>
      <c r="N634" s="62">
        <v>60</v>
      </c>
      <c r="O634" s="62">
        <v>2381</v>
      </c>
      <c r="P634" s="28">
        <v>801</v>
      </c>
      <c r="Q634" s="28">
        <v>1055</v>
      </c>
      <c r="R634" s="28">
        <v>1325</v>
      </c>
    </row>
    <row r="635" spans="1:31" ht="13.15" hidden="1" customHeight="1">
      <c r="A635" s="28" t="s">
        <v>1213</v>
      </c>
      <c r="B635" s="62" t="s">
        <v>250</v>
      </c>
      <c r="C635" s="28">
        <v>79</v>
      </c>
      <c r="D635" s="28">
        <v>117</v>
      </c>
      <c r="E635" s="28">
        <v>177</v>
      </c>
      <c r="F635" s="28">
        <v>260</v>
      </c>
      <c r="G635" s="28">
        <v>297</v>
      </c>
      <c r="H635" s="28">
        <v>321</v>
      </c>
      <c r="I635" s="28">
        <v>348</v>
      </c>
      <c r="J635" s="28">
        <v>295</v>
      </c>
      <c r="K635" s="28">
        <v>235</v>
      </c>
      <c r="L635" s="28">
        <v>159</v>
      </c>
      <c r="M635" s="28">
        <v>84</v>
      </c>
      <c r="N635" s="62">
        <v>70</v>
      </c>
      <c r="O635" s="62">
        <v>2442</v>
      </c>
      <c r="P635" s="28">
        <v>853</v>
      </c>
      <c r="Q635" s="28">
        <v>1112</v>
      </c>
      <c r="R635" s="28">
        <v>1386</v>
      </c>
    </row>
    <row r="636" spans="1:31" ht="13.15" hidden="1" customHeight="1">
      <c r="A636" s="28" t="s">
        <v>1214</v>
      </c>
      <c r="B636" s="62" t="s">
        <v>250</v>
      </c>
      <c r="C636" s="28">
        <v>39</v>
      </c>
      <c r="D636" s="28">
        <v>51</v>
      </c>
      <c r="E636" s="28">
        <v>81</v>
      </c>
      <c r="F636" s="28">
        <v>113</v>
      </c>
      <c r="G636" s="28">
        <v>160</v>
      </c>
      <c r="H636" s="28">
        <v>179</v>
      </c>
      <c r="I636" s="28">
        <v>178</v>
      </c>
      <c r="J636" s="28">
        <v>120</v>
      </c>
      <c r="K636" s="28">
        <v>92</v>
      </c>
      <c r="L636" s="28">
        <v>70</v>
      </c>
      <c r="M636" s="28">
        <v>39</v>
      </c>
      <c r="N636" s="62">
        <v>34</v>
      </c>
      <c r="O636" s="62">
        <v>1156</v>
      </c>
      <c r="P636" s="28">
        <v>394</v>
      </c>
      <c r="Q636" s="28">
        <v>517</v>
      </c>
      <c r="R636" s="28">
        <v>646</v>
      </c>
    </row>
    <row r="637" spans="1:31" hidden="1">
      <c r="B637" s="62"/>
      <c r="N637" s="62"/>
      <c r="O637" s="62"/>
    </row>
    <row r="638" spans="1:31" hidden="1">
      <c r="A638" s="28" t="s">
        <v>1215</v>
      </c>
      <c r="B638" s="62" t="s">
        <v>1808</v>
      </c>
      <c r="C638" s="28">
        <v>31</v>
      </c>
      <c r="D638" s="28">
        <v>28</v>
      </c>
      <c r="E638" s="28">
        <v>30</v>
      </c>
      <c r="F638" s="28">
        <v>20</v>
      </c>
      <c r="G638" s="28">
        <v>10</v>
      </c>
      <c r="H638" s="28">
        <v>2</v>
      </c>
      <c r="I638" s="28">
        <v>1</v>
      </c>
      <c r="J638" s="28">
        <v>1</v>
      </c>
      <c r="K638" s="28">
        <v>4</v>
      </c>
      <c r="L638" s="28">
        <v>17</v>
      </c>
      <c r="M638" s="28">
        <v>29</v>
      </c>
      <c r="N638" s="62">
        <v>31</v>
      </c>
      <c r="O638" s="62"/>
      <c r="P638" s="28">
        <v>204</v>
      </c>
    </row>
    <row r="639" spans="1:31" hidden="1">
      <c r="A639" s="28" t="s">
        <v>1809</v>
      </c>
      <c r="B639" s="62" t="s">
        <v>1810</v>
      </c>
      <c r="C639" s="28">
        <v>604</v>
      </c>
      <c r="D639" s="28">
        <v>487</v>
      </c>
      <c r="E639" s="28">
        <v>452</v>
      </c>
      <c r="F639" s="28">
        <v>244</v>
      </c>
      <c r="G639" s="28">
        <v>101</v>
      </c>
      <c r="H639" s="28">
        <v>20</v>
      </c>
      <c r="I639" s="28">
        <v>8</v>
      </c>
      <c r="J639" s="28">
        <v>6</v>
      </c>
      <c r="K639" s="28">
        <v>40</v>
      </c>
      <c r="L639" s="28">
        <v>192</v>
      </c>
      <c r="M639" s="28">
        <v>423</v>
      </c>
      <c r="N639" s="62">
        <v>589</v>
      </c>
      <c r="O639" s="62"/>
      <c r="P639" s="28">
        <v>3166</v>
      </c>
    </row>
    <row r="640" spans="1:31" hidden="1">
      <c r="B640" s="62"/>
      <c r="N640" s="62"/>
      <c r="O640" s="62"/>
    </row>
    <row r="641" spans="1:31" hidden="1">
      <c r="A641" s="28" t="s">
        <v>1886</v>
      </c>
      <c r="B641" s="62" t="s">
        <v>1808</v>
      </c>
      <c r="C641" s="28">
        <v>31</v>
      </c>
      <c r="D641" s="28">
        <v>28</v>
      </c>
      <c r="E641" s="28">
        <v>31</v>
      </c>
      <c r="F641" s="28">
        <v>26</v>
      </c>
      <c r="G641" s="28">
        <v>17</v>
      </c>
      <c r="H641" s="28">
        <v>6</v>
      </c>
      <c r="I641" s="28">
        <v>2</v>
      </c>
      <c r="J641" s="28">
        <v>3</v>
      </c>
      <c r="K641" s="28">
        <v>9</v>
      </c>
      <c r="L641" s="28">
        <v>24</v>
      </c>
      <c r="M641" s="28">
        <v>30</v>
      </c>
      <c r="N641" s="62">
        <v>31</v>
      </c>
      <c r="O641" s="62"/>
      <c r="Q641" s="28">
        <v>238</v>
      </c>
    </row>
    <row r="642" spans="1:31" hidden="1">
      <c r="A642" s="28" t="s">
        <v>1887</v>
      </c>
      <c r="B642" s="62" t="s">
        <v>1810</v>
      </c>
      <c r="C642" s="28">
        <v>666</v>
      </c>
      <c r="D642" s="28">
        <v>544</v>
      </c>
      <c r="E642" s="28">
        <v>521</v>
      </c>
      <c r="F642" s="28">
        <v>337</v>
      </c>
      <c r="G642" s="28">
        <v>181</v>
      </c>
      <c r="H642" s="28">
        <v>59</v>
      </c>
      <c r="I642" s="28">
        <v>21</v>
      </c>
      <c r="J642" s="28">
        <v>29</v>
      </c>
      <c r="K642" s="28">
        <v>87</v>
      </c>
      <c r="L642" s="28">
        <v>283</v>
      </c>
      <c r="M642" s="28">
        <v>490</v>
      </c>
      <c r="N642" s="62">
        <v>654</v>
      </c>
      <c r="O642" s="62"/>
      <c r="Q642" s="28">
        <v>3872</v>
      </c>
    </row>
    <row r="643" spans="1:31" hidden="1">
      <c r="B643" s="62"/>
      <c r="N643" s="62"/>
      <c r="O643" s="62"/>
    </row>
    <row r="644" spans="1:31" hidden="1">
      <c r="A644" s="28" t="s">
        <v>1434</v>
      </c>
      <c r="B644" s="62" t="s">
        <v>1808</v>
      </c>
      <c r="C644" s="28">
        <v>31</v>
      </c>
      <c r="D644" s="28">
        <v>28</v>
      </c>
      <c r="E644" s="28">
        <v>31</v>
      </c>
      <c r="F644" s="28">
        <v>28</v>
      </c>
      <c r="G644" s="28">
        <v>23</v>
      </c>
      <c r="H644" s="28">
        <v>10</v>
      </c>
      <c r="I644" s="28">
        <v>6</v>
      </c>
      <c r="J644" s="28">
        <v>9</v>
      </c>
      <c r="K644" s="28">
        <v>16</v>
      </c>
      <c r="L644" s="28">
        <v>28</v>
      </c>
      <c r="M644" s="28">
        <v>30</v>
      </c>
      <c r="N644" s="62">
        <v>31</v>
      </c>
      <c r="O644" s="62"/>
      <c r="R644" s="28">
        <v>271</v>
      </c>
    </row>
    <row r="645" spans="1:31" hidden="1">
      <c r="A645" s="28" t="s">
        <v>1435</v>
      </c>
      <c r="B645" s="62" t="s">
        <v>1810</v>
      </c>
      <c r="C645" s="28">
        <v>728</v>
      </c>
      <c r="D645" s="28">
        <v>600</v>
      </c>
      <c r="E645" s="28">
        <v>584</v>
      </c>
      <c r="F645" s="28">
        <v>409</v>
      </c>
      <c r="G645" s="28">
        <v>275</v>
      </c>
      <c r="H645" s="28">
        <v>107</v>
      </c>
      <c r="I645" s="28">
        <v>57</v>
      </c>
      <c r="J645" s="28">
        <v>83</v>
      </c>
      <c r="K645" s="28">
        <v>173</v>
      </c>
      <c r="L645" s="28">
        <v>375</v>
      </c>
      <c r="M645" s="28">
        <v>550</v>
      </c>
      <c r="N645" s="62">
        <v>716</v>
      </c>
      <c r="O645" s="62"/>
      <c r="R645" s="28">
        <v>4657</v>
      </c>
    </row>
    <row r="646" spans="1:31" ht="8.1" hidden="1" customHeight="1"/>
    <row r="647" spans="1:31" ht="8.1" hidden="1" customHeight="1"/>
    <row r="648" spans="1:31" ht="8.1" hidden="1" customHeight="1"/>
    <row r="649" spans="1:31" ht="8.1" hidden="1" customHeight="1"/>
    <row r="650" spans="1:31" ht="8.1" hidden="1" customHeight="1">
      <c r="M650" s="37"/>
    </row>
    <row r="651" spans="1:31" s="34" customFormat="1" ht="15.75" hidden="1">
      <c r="A651" s="61">
        <v>26</v>
      </c>
      <c r="B651" s="129"/>
      <c r="C651" s="129" t="s">
        <v>1574</v>
      </c>
      <c r="D651" s="129"/>
      <c r="E651" s="130"/>
      <c r="F651" s="130" t="s">
        <v>352</v>
      </c>
      <c r="G651" s="129">
        <v>549</v>
      </c>
      <c r="H651" s="131" t="s">
        <v>353</v>
      </c>
      <c r="I651" s="129"/>
      <c r="J651" s="129"/>
      <c r="K651" s="130" t="s">
        <v>354</v>
      </c>
      <c r="L651" s="131">
        <v>10</v>
      </c>
      <c r="M651" s="129" t="s">
        <v>355</v>
      </c>
      <c r="N651" s="131" t="s">
        <v>1439</v>
      </c>
      <c r="O651" s="130"/>
      <c r="P651" s="130" t="s">
        <v>357</v>
      </c>
      <c r="Q651" s="129">
        <v>-7</v>
      </c>
      <c r="R651" s="131" t="s">
        <v>2324</v>
      </c>
      <c r="S651" s="28"/>
      <c r="U651" s="368"/>
      <c r="V651" s="368"/>
      <c r="W651" s="368"/>
      <c r="X651" s="368"/>
      <c r="Y651" s="368"/>
      <c r="Z651" s="368"/>
      <c r="AA651" s="368"/>
      <c r="AB651" s="368"/>
      <c r="AC651" s="368"/>
      <c r="AD651" s="368"/>
      <c r="AE651" s="510"/>
    </row>
    <row r="652" spans="1:31" hidden="1">
      <c r="B652" s="62"/>
      <c r="N652" s="62"/>
      <c r="O652" s="62"/>
      <c r="P652" s="53" t="s">
        <v>358</v>
      </c>
      <c r="Q652" s="45"/>
      <c r="R652" s="45"/>
    </row>
    <row r="653" spans="1:31" s="34" customFormat="1" hidden="1">
      <c r="B653" s="65"/>
      <c r="C653" s="95" t="s">
        <v>489</v>
      </c>
      <c r="D653" s="95" t="s">
        <v>490</v>
      </c>
      <c r="E653" s="95" t="s">
        <v>491</v>
      </c>
      <c r="F653" s="95" t="s">
        <v>492</v>
      </c>
      <c r="G653" s="95" t="s">
        <v>493</v>
      </c>
      <c r="H653" s="95" t="s">
        <v>494</v>
      </c>
      <c r="I653" s="95" t="s">
        <v>495</v>
      </c>
      <c r="J653" s="95" t="s">
        <v>496</v>
      </c>
      <c r="K653" s="95" t="s">
        <v>497</v>
      </c>
      <c r="L653" s="95" t="s">
        <v>498</v>
      </c>
      <c r="M653" s="95" t="s">
        <v>499</v>
      </c>
      <c r="N653" s="126" t="s">
        <v>500</v>
      </c>
      <c r="O653" s="126" t="s">
        <v>501</v>
      </c>
      <c r="P653" s="132" t="s">
        <v>359</v>
      </c>
      <c r="Q653" s="133" t="s">
        <v>1207</v>
      </c>
      <c r="R653" s="133" t="s">
        <v>1208</v>
      </c>
      <c r="S653" s="28"/>
      <c r="U653" s="368"/>
      <c r="V653" s="368"/>
      <c r="W653" s="368"/>
      <c r="X653" s="368"/>
      <c r="Y653" s="368"/>
      <c r="Z653" s="368"/>
      <c r="AA653" s="368"/>
      <c r="AB653" s="368"/>
      <c r="AC653" s="368"/>
      <c r="AD653" s="368"/>
      <c r="AE653" s="510"/>
    </row>
    <row r="654" spans="1:31" hidden="1">
      <c r="B654" s="62"/>
      <c r="N654" s="62"/>
      <c r="O654" s="62"/>
    </row>
    <row r="655" spans="1:31" hidden="1">
      <c r="A655" s="28" t="s">
        <v>1209</v>
      </c>
      <c r="B655" s="62" t="s">
        <v>2324</v>
      </c>
      <c r="C655" s="28">
        <v>-0.6</v>
      </c>
      <c r="D655" s="28">
        <v>2.1</v>
      </c>
      <c r="E655" s="28">
        <v>5.5</v>
      </c>
      <c r="F655" s="28">
        <v>10.4</v>
      </c>
      <c r="G655" s="28">
        <v>14.3</v>
      </c>
      <c r="H655" s="28">
        <v>18</v>
      </c>
      <c r="I655" s="28">
        <v>19.5</v>
      </c>
      <c r="J655" s="28">
        <v>18</v>
      </c>
      <c r="K655" s="28">
        <v>15.7</v>
      </c>
      <c r="L655" s="28">
        <v>10.8</v>
      </c>
      <c r="M655" s="28">
        <v>4.9000000000000004</v>
      </c>
      <c r="N655" s="62">
        <v>-0.4</v>
      </c>
      <c r="O655" s="62">
        <v>9.9</v>
      </c>
      <c r="P655" s="28">
        <v>3</v>
      </c>
      <c r="Q655" s="28">
        <v>4</v>
      </c>
      <c r="R655" s="28">
        <v>5.2</v>
      </c>
    </row>
    <row r="656" spans="1:31" hidden="1">
      <c r="B656" s="62"/>
      <c r="N656" s="62"/>
      <c r="O656" s="62"/>
    </row>
    <row r="657" spans="1:18" ht="13.15" hidden="1" customHeight="1">
      <c r="A657" s="28" t="s">
        <v>1210</v>
      </c>
      <c r="B657" s="62" t="s">
        <v>250</v>
      </c>
      <c r="C657" s="28">
        <v>148</v>
      </c>
      <c r="D657" s="28">
        <v>219</v>
      </c>
      <c r="E657" s="28">
        <v>383</v>
      </c>
      <c r="F657" s="28">
        <v>521</v>
      </c>
      <c r="G657" s="28">
        <v>611</v>
      </c>
      <c r="H657" s="28">
        <v>665</v>
      </c>
      <c r="I657" s="28">
        <v>715</v>
      </c>
      <c r="J657" s="28">
        <v>582</v>
      </c>
      <c r="K657" s="28">
        <v>447</v>
      </c>
      <c r="L657" s="28">
        <v>319</v>
      </c>
      <c r="M657" s="28">
        <v>163</v>
      </c>
      <c r="N657" s="62">
        <v>135</v>
      </c>
      <c r="O657" s="62">
        <v>4908</v>
      </c>
      <c r="P657" s="28">
        <v>1328</v>
      </c>
      <c r="Q657" s="28">
        <v>1653</v>
      </c>
      <c r="R657" s="28">
        <v>2124</v>
      </c>
    </row>
    <row r="658" spans="1:18" ht="13.15" hidden="1" customHeight="1">
      <c r="A658" s="28" t="s">
        <v>1211</v>
      </c>
      <c r="B658" s="62" t="s">
        <v>250</v>
      </c>
      <c r="C658" s="28">
        <v>235</v>
      </c>
      <c r="D658" s="28">
        <v>287</v>
      </c>
      <c r="E658" s="28">
        <v>360</v>
      </c>
      <c r="F658" s="28">
        <v>365</v>
      </c>
      <c r="G658" s="28">
        <v>324</v>
      </c>
      <c r="H658" s="28">
        <v>313</v>
      </c>
      <c r="I658" s="28">
        <v>350</v>
      </c>
      <c r="J658" s="28">
        <v>372</v>
      </c>
      <c r="K658" s="28">
        <v>402</v>
      </c>
      <c r="L658" s="28">
        <v>383</v>
      </c>
      <c r="M658" s="28">
        <v>261</v>
      </c>
      <c r="N658" s="62">
        <v>252</v>
      </c>
      <c r="O658" s="62">
        <v>3904</v>
      </c>
      <c r="P658" s="28">
        <v>1604</v>
      </c>
      <c r="Q658" s="28">
        <v>1882</v>
      </c>
      <c r="R658" s="28">
        <v>2238</v>
      </c>
    </row>
    <row r="659" spans="1:18" ht="13.15" hidden="1" customHeight="1">
      <c r="A659" s="28" t="s">
        <v>1212</v>
      </c>
      <c r="B659" s="62" t="s">
        <v>250</v>
      </c>
      <c r="C659" s="28">
        <v>90</v>
      </c>
      <c r="D659" s="28">
        <v>127</v>
      </c>
      <c r="E659" s="28">
        <v>218</v>
      </c>
      <c r="F659" s="28">
        <v>281</v>
      </c>
      <c r="G659" s="28">
        <v>324</v>
      </c>
      <c r="H659" s="28">
        <v>346</v>
      </c>
      <c r="I659" s="28">
        <v>365</v>
      </c>
      <c r="J659" s="28">
        <v>314</v>
      </c>
      <c r="K659" s="28">
        <v>246</v>
      </c>
      <c r="L659" s="28">
        <v>179</v>
      </c>
      <c r="M659" s="28">
        <v>96</v>
      </c>
      <c r="N659" s="62">
        <v>88</v>
      </c>
      <c r="O659" s="62">
        <v>2674</v>
      </c>
      <c r="P659" s="28">
        <v>769</v>
      </c>
      <c r="Q659" s="28">
        <v>947</v>
      </c>
      <c r="R659" s="28">
        <v>1202</v>
      </c>
    </row>
    <row r="660" spans="1:18" ht="13.15" hidden="1" customHeight="1">
      <c r="A660" s="28" t="s">
        <v>1213</v>
      </c>
      <c r="B660" s="62" t="s">
        <v>250</v>
      </c>
      <c r="C660" s="28">
        <v>105</v>
      </c>
      <c r="D660" s="28">
        <v>145</v>
      </c>
      <c r="E660" s="28">
        <v>218</v>
      </c>
      <c r="F660" s="28">
        <v>287</v>
      </c>
      <c r="G660" s="28">
        <v>318</v>
      </c>
      <c r="H660" s="28">
        <v>333</v>
      </c>
      <c r="I660" s="28">
        <v>365</v>
      </c>
      <c r="J660" s="28">
        <v>314</v>
      </c>
      <c r="K660" s="28">
        <v>264</v>
      </c>
      <c r="L660" s="28">
        <v>195</v>
      </c>
      <c r="M660" s="28">
        <v>109</v>
      </c>
      <c r="N660" s="62">
        <v>101</v>
      </c>
      <c r="O660" s="62">
        <v>2754</v>
      </c>
      <c r="P660" s="28">
        <v>834</v>
      </c>
      <c r="Q660" s="28">
        <v>1018</v>
      </c>
      <c r="R660" s="28">
        <v>1279</v>
      </c>
    </row>
    <row r="661" spans="1:18" ht="13.15" hidden="1" customHeight="1">
      <c r="A661" s="28" t="s">
        <v>1214</v>
      </c>
      <c r="B661" s="62" t="s">
        <v>250</v>
      </c>
      <c r="C661" s="28">
        <v>52</v>
      </c>
      <c r="D661" s="28">
        <v>64</v>
      </c>
      <c r="E661" s="28">
        <v>100</v>
      </c>
      <c r="F661" s="28">
        <v>125</v>
      </c>
      <c r="G661" s="28">
        <v>171</v>
      </c>
      <c r="H661" s="28">
        <v>186</v>
      </c>
      <c r="I661" s="28">
        <v>186</v>
      </c>
      <c r="J661" s="28">
        <v>128</v>
      </c>
      <c r="K661" s="28">
        <v>103</v>
      </c>
      <c r="L661" s="28">
        <v>86</v>
      </c>
      <c r="M661" s="28">
        <v>51</v>
      </c>
      <c r="N661" s="62">
        <v>50</v>
      </c>
      <c r="O661" s="62">
        <v>1302</v>
      </c>
      <c r="P661" s="28">
        <v>387</v>
      </c>
      <c r="Q661" s="28">
        <v>471</v>
      </c>
      <c r="R661" s="28">
        <v>592</v>
      </c>
    </row>
    <row r="662" spans="1:18" hidden="1">
      <c r="B662" s="62"/>
      <c r="N662" s="62"/>
      <c r="O662" s="62"/>
    </row>
    <row r="663" spans="1:18" hidden="1">
      <c r="A663" s="28" t="s">
        <v>1215</v>
      </c>
      <c r="B663" s="62" t="s">
        <v>1808</v>
      </c>
      <c r="C663" s="28">
        <v>31</v>
      </c>
      <c r="D663" s="28">
        <v>28</v>
      </c>
      <c r="E663" s="28">
        <v>28</v>
      </c>
      <c r="F663" s="28">
        <v>14</v>
      </c>
      <c r="G663" s="28">
        <v>3</v>
      </c>
      <c r="H663" s="28">
        <v>1</v>
      </c>
      <c r="I663" s="28">
        <v>0</v>
      </c>
      <c r="J663" s="28">
        <v>0</v>
      </c>
      <c r="K663" s="28">
        <v>1</v>
      </c>
      <c r="L663" s="28">
        <v>12</v>
      </c>
      <c r="M663" s="28">
        <v>28</v>
      </c>
      <c r="N663" s="62">
        <v>31</v>
      </c>
      <c r="O663" s="62"/>
      <c r="P663" s="28">
        <v>177</v>
      </c>
    </row>
    <row r="664" spans="1:18" hidden="1">
      <c r="A664" s="28" t="s">
        <v>1809</v>
      </c>
      <c r="B664" s="62" t="s">
        <v>1810</v>
      </c>
      <c r="C664" s="28">
        <v>577</v>
      </c>
      <c r="D664" s="28">
        <v>443</v>
      </c>
      <c r="E664" s="28">
        <v>367</v>
      </c>
      <c r="F664" s="28">
        <v>149</v>
      </c>
      <c r="G664" s="28">
        <v>28</v>
      </c>
      <c r="H664" s="28">
        <v>5</v>
      </c>
      <c r="I664" s="28">
        <v>0</v>
      </c>
      <c r="J664" s="28">
        <v>0</v>
      </c>
      <c r="K664" s="28">
        <v>7</v>
      </c>
      <c r="L664" s="28">
        <v>130</v>
      </c>
      <c r="M664" s="28">
        <v>378</v>
      </c>
      <c r="N664" s="62">
        <v>571</v>
      </c>
      <c r="O664" s="62"/>
      <c r="P664" s="28">
        <v>2655</v>
      </c>
    </row>
    <row r="665" spans="1:18" hidden="1">
      <c r="B665" s="62"/>
      <c r="N665" s="62"/>
      <c r="O665" s="62"/>
    </row>
    <row r="666" spans="1:18" hidden="1">
      <c r="A666" s="28" t="s">
        <v>1886</v>
      </c>
      <c r="B666" s="62" t="s">
        <v>1808</v>
      </c>
      <c r="C666" s="28">
        <v>31</v>
      </c>
      <c r="D666" s="28">
        <v>28</v>
      </c>
      <c r="E666" s="28">
        <v>30</v>
      </c>
      <c r="F666" s="28">
        <v>19</v>
      </c>
      <c r="G666" s="28">
        <v>8</v>
      </c>
      <c r="H666" s="28">
        <v>1</v>
      </c>
      <c r="I666" s="28">
        <v>0</v>
      </c>
      <c r="J666" s="28">
        <v>1</v>
      </c>
      <c r="K666" s="28">
        <v>4</v>
      </c>
      <c r="L666" s="28">
        <v>19</v>
      </c>
      <c r="M666" s="28">
        <v>30</v>
      </c>
      <c r="N666" s="62">
        <v>31</v>
      </c>
      <c r="O666" s="62"/>
      <c r="Q666" s="28">
        <v>202</v>
      </c>
    </row>
    <row r="667" spans="1:18" hidden="1">
      <c r="A667" s="28" t="s">
        <v>1887</v>
      </c>
      <c r="B667" s="62" t="s">
        <v>1810</v>
      </c>
      <c r="C667" s="28">
        <v>639</v>
      </c>
      <c r="D667" s="28">
        <v>502</v>
      </c>
      <c r="E667" s="28">
        <v>445</v>
      </c>
      <c r="F667" s="28">
        <v>227</v>
      </c>
      <c r="G667" s="28">
        <v>74</v>
      </c>
      <c r="H667" s="28">
        <v>11</v>
      </c>
      <c r="I667" s="28">
        <v>2</v>
      </c>
      <c r="J667" s="28">
        <v>4</v>
      </c>
      <c r="K667" s="28">
        <v>34</v>
      </c>
      <c r="L667" s="28">
        <v>215</v>
      </c>
      <c r="M667" s="28">
        <v>451</v>
      </c>
      <c r="N667" s="62">
        <v>633</v>
      </c>
      <c r="O667" s="62"/>
      <c r="Q667" s="28">
        <v>3237</v>
      </c>
    </row>
    <row r="668" spans="1:18" hidden="1">
      <c r="B668" s="62"/>
      <c r="N668" s="62"/>
      <c r="O668" s="62"/>
    </row>
    <row r="669" spans="1:18" hidden="1">
      <c r="A669" s="28" t="s">
        <v>1434</v>
      </c>
      <c r="B669" s="62" t="s">
        <v>1808</v>
      </c>
      <c r="C669" s="28">
        <v>31</v>
      </c>
      <c r="D669" s="28">
        <v>28</v>
      </c>
      <c r="E669" s="28">
        <v>31</v>
      </c>
      <c r="F669" s="28">
        <v>25</v>
      </c>
      <c r="G669" s="28">
        <v>14</v>
      </c>
      <c r="H669" s="28">
        <v>4</v>
      </c>
      <c r="I669" s="28">
        <v>1</v>
      </c>
      <c r="J669" s="28">
        <v>3</v>
      </c>
      <c r="K669" s="28">
        <v>9</v>
      </c>
      <c r="L669" s="28">
        <v>26</v>
      </c>
      <c r="M669" s="28">
        <v>30</v>
      </c>
      <c r="N669" s="62">
        <v>31</v>
      </c>
      <c r="O669" s="62"/>
      <c r="R669" s="28">
        <v>233</v>
      </c>
    </row>
    <row r="670" spans="1:18" hidden="1">
      <c r="A670" s="28" t="s">
        <v>1435</v>
      </c>
      <c r="B670" s="62" t="s">
        <v>1810</v>
      </c>
      <c r="C670" s="28">
        <v>701</v>
      </c>
      <c r="D670" s="28">
        <v>558</v>
      </c>
      <c r="E670" s="28">
        <v>510</v>
      </c>
      <c r="F670" s="28">
        <v>314</v>
      </c>
      <c r="G670" s="28">
        <v>147</v>
      </c>
      <c r="H670" s="28">
        <v>41</v>
      </c>
      <c r="I670" s="28">
        <v>12</v>
      </c>
      <c r="J670" s="28">
        <v>30</v>
      </c>
      <c r="K670" s="28">
        <v>84</v>
      </c>
      <c r="L670" s="28">
        <v>312</v>
      </c>
      <c r="M670" s="28">
        <v>512</v>
      </c>
      <c r="N670" s="62">
        <v>695</v>
      </c>
      <c r="O670" s="62"/>
      <c r="R670" s="28">
        <v>3916</v>
      </c>
    </row>
    <row r="671" spans="1:18" ht="8.1" hidden="1" customHeight="1"/>
    <row r="672" spans="1:18" ht="8.1" hidden="1" customHeight="1"/>
    <row r="673" spans="1:31" ht="8.1" hidden="1" customHeight="1"/>
    <row r="674" spans="1:31" ht="8.1" hidden="1" customHeight="1"/>
    <row r="675" spans="1:31" ht="8.1" hidden="1" customHeight="1">
      <c r="M675" s="37"/>
    </row>
    <row r="676" spans="1:31" s="34" customFormat="1" ht="15.75" hidden="1">
      <c r="A676" s="61">
        <v>27</v>
      </c>
      <c r="B676" s="129"/>
      <c r="C676" s="129" t="s">
        <v>1575</v>
      </c>
      <c r="D676" s="129"/>
      <c r="E676" s="130"/>
      <c r="F676" s="130" t="s">
        <v>352</v>
      </c>
      <c r="G676" s="129">
        <v>780</v>
      </c>
      <c r="H676" s="131" t="s">
        <v>353</v>
      </c>
      <c r="I676" s="129"/>
      <c r="J676" s="129"/>
      <c r="K676" s="130" t="s">
        <v>354</v>
      </c>
      <c r="L676" s="131">
        <v>10</v>
      </c>
      <c r="M676" s="129" t="s">
        <v>355</v>
      </c>
      <c r="N676" s="131" t="s">
        <v>1576</v>
      </c>
      <c r="O676" s="130"/>
      <c r="P676" s="130" t="s">
        <v>357</v>
      </c>
      <c r="Q676" s="129">
        <v>-9</v>
      </c>
      <c r="R676" s="131" t="s">
        <v>2324</v>
      </c>
      <c r="S676" s="28"/>
      <c r="T676" s="28"/>
      <c r="U676" s="368"/>
      <c r="V676" s="368"/>
      <c r="W676" s="368"/>
      <c r="X676" s="368"/>
      <c r="Y676" s="368"/>
      <c r="Z676" s="368"/>
      <c r="AA676" s="368"/>
      <c r="AB676" s="368"/>
      <c r="AC676" s="368"/>
      <c r="AD676" s="368"/>
      <c r="AE676" s="510"/>
    </row>
    <row r="677" spans="1:31" hidden="1">
      <c r="B677" s="62"/>
      <c r="N677" s="62"/>
      <c r="O677" s="62"/>
      <c r="P677" s="53" t="s">
        <v>358</v>
      </c>
      <c r="Q677" s="45"/>
      <c r="R677" s="45"/>
    </row>
    <row r="678" spans="1:31" s="34" customFormat="1" hidden="1">
      <c r="B678" s="65"/>
      <c r="C678" s="95" t="s">
        <v>489</v>
      </c>
      <c r="D678" s="95" t="s">
        <v>490</v>
      </c>
      <c r="E678" s="95" t="s">
        <v>491</v>
      </c>
      <c r="F678" s="95" t="s">
        <v>492</v>
      </c>
      <c r="G678" s="95" t="s">
        <v>493</v>
      </c>
      <c r="H678" s="95" t="s">
        <v>494</v>
      </c>
      <c r="I678" s="95" t="s">
        <v>495</v>
      </c>
      <c r="J678" s="95" t="s">
        <v>496</v>
      </c>
      <c r="K678" s="95" t="s">
        <v>497</v>
      </c>
      <c r="L678" s="95" t="s">
        <v>498</v>
      </c>
      <c r="M678" s="95" t="s">
        <v>499</v>
      </c>
      <c r="N678" s="126" t="s">
        <v>500</v>
      </c>
      <c r="O678" s="126" t="s">
        <v>501</v>
      </c>
      <c r="P678" s="132" t="s">
        <v>359</v>
      </c>
      <c r="Q678" s="133" t="s">
        <v>1207</v>
      </c>
      <c r="R678" s="133" t="s">
        <v>1208</v>
      </c>
      <c r="S678" s="28"/>
      <c r="T678" s="28"/>
      <c r="U678" s="368"/>
      <c r="V678" s="368"/>
      <c r="W678" s="368"/>
      <c r="X678" s="368"/>
      <c r="Y678" s="368"/>
      <c r="Z678" s="368"/>
      <c r="AA678" s="368"/>
      <c r="AB678" s="368"/>
      <c r="AC678" s="368"/>
      <c r="AD678" s="368"/>
      <c r="AE678" s="510"/>
    </row>
    <row r="679" spans="1:31" hidden="1">
      <c r="B679" s="62"/>
      <c r="N679" s="62"/>
      <c r="O679" s="62"/>
    </row>
    <row r="680" spans="1:31" hidden="1">
      <c r="A680" s="28" t="s">
        <v>1209</v>
      </c>
      <c r="B680" s="62" t="s">
        <v>2324</v>
      </c>
      <c r="C680" s="28">
        <v>-1.2</v>
      </c>
      <c r="D680" s="28">
        <v>0.7</v>
      </c>
      <c r="E680" s="28">
        <v>3.5</v>
      </c>
      <c r="F680" s="28">
        <v>8.1</v>
      </c>
      <c r="G680" s="28">
        <v>12.1</v>
      </c>
      <c r="H680" s="28">
        <v>15.7</v>
      </c>
      <c r="I680" s="28">
        <v>17.600000000000001</v>
      </c>
      <c r="J680" s="28">
        <v>16.2</v>
      </c>
      <c r="K680" s="28">
        <v>13.9</v>
      </c>
      <c r="L680" s="28">
        <v>9.6</v>
      </c>
      <c r="M680" s="28">
        <v>4</v>
      </c>
      <c r="N680" s="62">
        <v>-0.8</v>
      </c>
      <c r="O680" s="62">
        <v>8.3000000000000007</v>
      </c>
      <c r="P680" s="28">
        <v>2.5</v>
      </c>
      <c r="Q680" s="28">
        <v>3.8</v>
      </c>
      <c r="R680" s="28">
        <v>5</v>
      </c>
    </row>
    <row r="681" spans="1:31" hidden="1">
      <c r="B681" s="62"/>
      <c r="N681" s="62"/>
      <c r="O681" s="62"/>
    </row>
    <row r="682" spans="1:31" ht="13.15" hidden="1" customHeight="1">
      <c r="A682" s="28" t="s">
        <v>1210</v>
      </c>
      <c r="B682" s="62" t="s">
        <v>250</v>
      </c>
      <c r="C682" s="28">
        <v>151</v>
      </c>
      <c r="D682" s="28">
        <v>224</v>
      </c>
      <c r="E682" s="28">
        <v>401</v>
      </c>
      <c r="F682" s="28">
        <v>542</v>
      </c>
      <c r="G682" s="28">
        <v>625</v>
      </c>
      <c r="H682" s="28">
        <v>688</v>
      </c>
      <c r="I682" s="28">
        <v>734</v>
      </c>
      <c r="J682" s="28">
        <v>586</v>
      </c>
      <c r="K682" s="28">
        <v>453</v>
      </c>
      <c r="L682" s="28">
        <v>326</v>
      </c>
      <c r="M682" s="28">
        <v>169</v>
      </c>
      <c r="N682" s="62">
        <v>136</v>
      </c>
      <c r="O682" s="62">
        <v>5035</v>
      </c>
      <c r="P682" s="28">
        <v>1695</v>
      </c>
      <c r="Q682" s="28">
        <v>2200</v>
      </c>
      <c r="R682" s="28">
        <v>2798</v>
      </c>
    </row>
    <row r="683" spans="1:31" ht="13.15" hidden="1" customHeight="1">
      <c r="A683" s="28" t="s">
        <v>1211</v>
      </c>
      <c r="B683" s="62" t="s">
        <v>250</v>
      </c>
      <c r="C683" s="28">
        <v>240</v>
      </c>
      <c r="D683" s="28">
        <v>293</v>
      </c>
      <c r="E683" s="28">
        <v>377</v>
      </c>
      <c r="F683" s="28">
        <v>379</v>
      </c>
      <c r="G683" s="28">
        <v>331</v>
      </c>
      <c r="H683" s="28">
        <v>323</v>
      </c>
      <c r="I683" s="28">
        <v>360</v>
      </c>
      <c r="J683" s="28">
        <v>375</v>
      </c>
      <c r="K683" s="28">
        <v>408</v>
      </c>
      <c r="L683" s="28">
        <v>391</v>
      </c>
      <c r="M683" s="28">
        <v>270</v>
      </c>
      <c r="N683" s="62">
        <v>254</v>
      </c>
      <c r="O683" s="62">
        <v>4001</v>
      </c>
      <c r="P683" s="28">
        <v>1892</v>
      </c>
      <c r="Q683" s="28">
        <v>2278</v>
      </c>
      <c r="R683" s="28">
        <v>2688</v>
      </c>
    </row>
    <row r="684" spans="1:31" ht="13.15" hidden="1" customHeight="1">
      <c r="A684" s="28" t="s">
        <v>1212</v>
      </c>
      <c r="B684" s="62" t="s">
        <v>250</v>
      </c>
      <c r="C684" s="28">
        <v>92</v>
      </c>
      <c r="D684" s="28">
        <v>130</v>
      </c>
      <c r="E684" s="28">
        <v>229</v>
      </c>
      <c r="F684" s="28">
        <v>293</v>
      </c>
      <c r="G684" s="28">
        <v>331</v>
      </c>
      <c r="H684" s="28">
        <v>358</v>
      </c>
      <c r="I684" s="28">
        <v>374</v>
      </c>
      <c r="J684" s="28">
        <v>316</v>
      </c>
      <c r="K684" s="28">
        <v>249</v>
      </c>
      <c r="L684" s="28">
        <v>183</v>
      </c>
      <c r="M684" s="28">
        <v>100</v>
      </c>
      <c r="N684" s="62">
        <v>99</v>
      </c>
      <c r="O684" s="62">
        <v>2743</v>
      </c>
      <c r="P684" s="28">
        <v>971</v>
      </c>
      <c r="Q684" s="28">
        <v>1244</v>
      </c>
      <c r="R684" s="28">
        <v>1565</v>
      </c>
    </row>
    <row r="685" spans="1:31" ht="13.15" hidden="1" customHeight="1">
      <c r="A685" s="28" t="s">
        <v>1213</v>
      </c>
      <c r="B685" s="62" t="s">
        <v>250</v>
      </c>
      <c r="C685" s="28">
        <v>107</v>
      </c>
      <c r="D685" s="28">
        <v>148</v>
      </c>
      <c r="E685" s="28">
        <v>229</v>
      </c>
      <c r="F685" s="28">
        <v>298</v>
      </c>
      <c r="G685" s="28">
        <v>325</v>
      </c>
      <c r="H685" s="28">
        <v>344</v>
      </c>
      <c r="I685" s="28">
        <v>374</v>
      </c>
      <c r="J685" s="28">
        <v>316</v>
      </c>
      <c r="K685" s="28">
        <v>267</v>
      </c>
      <c r="L685" s="28">
        <v>199</v>
      </c>
      <c r="M685" s="28">
        <v>113</v>
      </c>
      <c r="N685" s="62">
        <v>102</v>
      </c>
      <c r="O685" s="62">
        <v>2822</v>
      </c>
      <c r="P685" s="28">
        <v>1039</v>
      </c>
      <c r="Q685" s="28">
        <v>1319</v>
      </c>
      <c r="R685" s="28">
        <v>1644</v>
      </c>
    </row>
    <row r="686" spans="1:31" ht="13.15" hidden="1" customHeight="1">
      <c r="A686" s="28" t="s">
        <v>1214</v>
      </c>
      <c r="B686" s="62" t="s">
        <v>250</v>
      </c>
      <c r="C686" s="28">
        <v>53</v>
      </c>
      <c r="D686" s="28">
        <v>65</v>
      </c>
      <c r="E686" s="28">
        <v>104</v>
      </c>
      <c r="F686" s="28">
        <v>130</v>
      </c>
      <c r="G686" s="28">
        <v>175</v>
      </c>
      <c r="H686" s="28">
        <v>193</v>
      </c>
      <c r="I686" s="28">
        <v>191</v>
      </c>
      <c r="J686" s="28">
        <v>129</v>
      </c>
      <c r="K686" s="28">
        <v>104</v>
      </c>
      <c r="L686" s="28">
        <v>88</v>
      </c>
      <c r="M686" s="28">
        <v>52</v>
      </c>
      <c r="N686" s="62">
        <v>50</v>
      </c>
      <c r="O686" s="62">
        <v>1334</v>
      </c>
      <c r="P686" s="28">
        <v>480</v>
      </c>
      <c r="Q686" s="28">
        <v>610</v>
      </c>
      <c r="R686" s="28">
        <v>764</v>
      </c>
    </row>
    <row r="687" spans="1:31" hidden="1">
      <c r="B687" s="62"/>
      <c r="N687" s="62"/>
      <c r="O687" s="62"/>
    </row>
    <row r="688" spans="1:31" hidden="1">
      <c r="A688" s="28" t="s">
        <v>1215</v>
      </c>
      <c r="B688" s="62" t="s">
        <v>1808</v>
      </c>
      <c r="C688" s="28">
        <v>31</v>
      </c>
      <c r="D688" s="28">
        <v>28</v>
      </c>
      <c r="E688" s="28">
        <v>30</v>
      </c>
      <c r="F688" s="28">
        <v>20</v>
      </c>
      <c r="G688" s="28">
        <v>9</v>
      </c>
      <c r="H688" s="28">
        <v>2</v>
      </c>
      <c r="I688" s="28">
        <v>0</v>
      </c>
      <c r="J688" s="28">
        <v>0</v>
      </c>
      <c r="K688" s="28">
        <v>4</v>
      </c>
      <c r="L688" s="28">
        <v>16</v>
      </c>
      <c r="M688" s="28">
        <v>28</v>
      </c>
      <c r="N688" s="62">
        <v>31</v>
      </c>
      <c r="O688" s="62"/>
      <c r="P688" s="28">
        <v>199</v>
      </c>
    </row>
    <row r="689" spans="1:31" hidden="1">
      <c r="A689" s="28" t="s">
        <v>1809</v>
      </c>
      <c r="B689" s="62" t="s">
        <v>1810</v>
      </c>
      <c r="C689" s="28">
        <v>594</v>
      </c>
      <c r="D689" s="28">
        <v>482</v>
      </c>
      <c r="E689" s="28">
        <v>442</v>
      </c>
      <c r="F689" s="28">
        <v>243</v>
      </c>
      <c r="G689" s="28">
        <v>88</v>
      </c>
      <c r="H689" s="28">
        <v>21</v>
      </c>
      <c r="I689" s="28">
        <v>3</v>
      </c>
      <c r="J689" s="28">
        <v>3</v>
      </c>
      <c r="K689" s="28">
        <v>36</v>
      </c>
      <c r="L689" s="28">
        <v>181</v>
      </c>
      <c r="M689" s="28">
        <v>408</v>
      </c>
      <c r="N689" s="62">
        <v>583</v>
      </c>
      <c r="O689" s="62"/>
      <c r="P689" s="28">
        <v>3084</v>
      </c>
    </row>
    <row r="690" spans="1:31" hidden="1">
      <c r="B690" s="62"/>
      <c r="N690" s="62"/>
      <c r="O690" s="62"/>
    </row>
    <row r="691" spans="1:31" hidden="1">
      <c r="A691" s="28" t="s">
        <v>1886</v>
      </c>
      <c r="B691" s="62" t="s">
        <v>1808</v>
      </c>
      <c r="C691" s="28">
        <v>31</v>
      </c>
      <c r="D691" s="28">
        <v>28</v>
      </c>
      <c r="E691" s="28">
        <v>31</v>
      </c>
      <c r="F691" s="28">
        <v>25</v>
      </c>
      <c r="G691" s="28">
        <v>15</v>
      </c>
      <c r="H691" s="28">
        <v>5</v>
      </c>
      <c r="I691" s="28">
        <v>2</v>
      </c>
      <c r="J691" s="28">
        <v>3</v>
      </c>
      <c r="K691" s="28">
        <v>9</v>
      </c>
      <c r="L691" s="28">
        <v>23</v>
      </c>
      <c r="M691" s="28">
        <v>30</v>
      </c>
      <c r="N691" s="62">
        <v>31</v>
      </c>
      <c r="O691" s="62"/>
      <c r="Q691" s="28">
        <v>233</v>
      </c>
    </row>
    <row r="692" spans="1:31" hidden="1">
      <c r="A692" s="28" t="s">
        <v>1887</v>
      </c>
      <c r="B692" s="62" t="s">
        <v>1810</v>
      </c>
      <c r="C692" s="28">
        <v>657</v>
      </c>
      <c r="D692" s="28">
        <v>539</v>
      </c>
      <c r="E692" s="28">
        <v>508</v>
      </c>
      <c r="F692" s="28">
        <v>329</v>
      </c>
      <c r="G692" s="28">
        <v>164</v>
      </c>
      <c r="H692" s="28">
        <v>51</v>
      </c>
      <c r="I692" s="28">
        <v>17</v>
      </c>
      <c r="J692" s="28">
        <v>31</v>
      </c>
      <c r="K692" s="28">
        <v>89</v>
      </c>
      <c r="L692" s="28">
        <v>274</v>
      </c>
      <c r="M692" s="28">
        <v>476</v>
      </c>
      <c r="N692" s="62">
        <v>645</v>
      </c>
      <c r="O692" s="62"/>
      <c r="Q692" s="28">
        <v>3780</v>
      </c>
    </row>
    <row r="693" spans="1:31" hidden="1">
      <c r="B693" s="62"/>
      <c r="N693" s="62"/>
      <c r="O693" s="62"/>
    </row>
    <row r="694" spans="1:31" hidden="1">
      <c r="A694" s="28" t="s">
        <v>1434</v>
      </c>
      <c r="B694" s="62" t="s">
        <v>1808</v>
      </c>
      <c r="C694" s="28">
        <v>31</v>
      </c>
      <c r="D694" s="28">
        <v>28</v>
      </c>
      <c r="E694" s="28">
        <v>31</v>
      </c>
      <c r="F694" s="28">
        <v>28</v>
      </c>
      <c r="G694" s="28">
        <v>22</v>
      </c>
      <c r="H694" s="28">
        <v>10</v>
      </c>
      <c r="I694" s="28">
        <v>5</v>
      </c>
      <c r="J694" s="28">
        <v>8</v>
      </c>
      <c r="K694" s="28">
        <v>16</v>
      </c>
      <c r="L694" s="28">
        <v>28</v>
      </c>
      <c r="M694" s="28">
        <v>30</v>
      </c>
      <c r="N694" s="62">
        <v>31</v>
      </c>
      <c r="O694" s="62"/>
      <c r="R694" s="28">
        <v>268</v>
      </c>
    </row>
    <row r="695" spans="1:31" hidden="1">
      <c r="A695" s="28" t="s">
        <v>1435</v>
      </c>
      <c r="B695" s="62" t="s">
        <v>1810</v>
      </c>
      <c r="C695" s="28">
        <v>719</v>
      </c>
      <c r="D695" s="28">
        <v>595</v>
      </c>
      <c r="E695" s="28">
        <v>572</v>
      </c>
      <c r="F695" s="28">
        <v>405</v>
      </c>
      <c r="G695" s="28">
        <v>257</v>
      </c>
      <c r="H695" s="28">
        <v>102</v>
      </c>
      <c r="I695" s="28">
        <v>44</v>
      </c>
      <c r="J695" s="28">
        <v>80</v>
      </c>
      <c r="K695" s="28">
        <v>169</v>
      </c>
      <c r="L695" s="28">
        <v>365</v>
      </c>
      <c r="M695" s="28">
        <v>539</v>
      </c>
      <c r="N695" s="62">
        <v>707</v>
      </c>
      <c r="O695" s="62"/>
      <c r="R695" s="28">
        <v>4554</v>
      </c>
    </row>
    <row r="696" spans="1:31" ht="8.1" hidden="1" customHeight="1"/>
    <row r="697" spans="1:31" ht="8.1" hidden="1" customHeight="1"/>
    <row r="698" spans="1:31" ht="8.1" hidden="1" customHeight="1"/>
    <row r="699" spans="1:31" ht="8.1" hidden="1" customHeight="1"/>
    <row r="700" spans="1:31" ht="8.1" hidden="1" customHeight="1">
      <c r="M700" s="37"/>
    </row>
    <row r="701" spans="1:31" s="34" customFormat="1" ht="15.75" hidden="1">
      <c r="A701" s="61">
        <v>28</v>
      </c>
      <c r="B701" s="129"/>
      <c r="C701" s="129" t="s">
        <v>1577</v>
      </c>
      <c r="D701" s="129"/>
      <c r="E701" s="130"/>
      <c r="F701" s="130" t="s">
        <v>352</v>
      </c>
      <c r="G701" s="129">
        <v>1509</v>
      </c>
      <c r="H701" s="131" t="s">
        <v>353</v>
      </c>
      <c r="I701" s="129"/>
      <c r="J701" s="129"/>
      <c r="K701" s="130" t="s">
        <v>354</v>
      </c>
      <c r="L701" s="131">
        <v>10</v>
      </c>
      <c r="M701" s="129" t="s">
        <v>355</v>
      </c>
      <c r="N701" s="131" t="s">
        <v>356</v>
      </c>
      <c r="O701" s="130"/>
      <c r="P701" s="130" t="s">
        <v>357</v>
      </c>
      <c r="Q701" s="129">
        <v>-9</v>
      </c>
      <c r="R701" s="131" t="s">
        <v>2324</v>
      </c>
      <c r="S701" s="28"/>
      <c r="T701" s="28"/>
      <c r="U701" s="368"/>
      <c r="V701" s="368"/>
      <c r="W701" s="368"/>
      <c r="X701" s="368"/>
      <c r="Y701" s="368"/>
      <c r="Z701" s="368"/>
      <c r="AA701" s="368"/>
      <c r="AB701" s="368"/>
      <c r="AC701" s="368"/>
      <c r="AD701" s="368"/>
      <c r="AE701" s="510"/>
    </row>
    <row r="702" spans="1:31" hidden="1">
      <c r="B702" s="62"/>
      <c r="N702" s="62"/>
      <c r="O702" s="62"/>
      <c r="P702" s="53" t="s">
        <v>358</v>
      </c>
      <c r="Q702" s="45"/>
      <c r="R702" s="45"/>
    </row>
    <row r="703" spans="1:31" s="34" customFormat="1" hidden="1">
      <c r="B703" s="65"/>
      <c r="C703" s="95" t="s">
        <v>489</v>
      </c>
      <c r="D703" s="95" t="s">
        <v>490</v>
      </c>
      <c r="E703" s="95" t="s">
        <v>491</v>
      </c>
      <c r="F703" s="95" t="s">
        <v>492</v>
      </c>
      <c r="G703" s="95" t="s">
        <v>493</v>
      </c>
      <c r="H703" s="95" t="s">
        <v>494</v>
      </c>
      <c r="I703" s="95" t="s">
        <v>495</v>
      </c>
      <c r="J703" s="95" t="s">
        <v>496</v>
      </c>
      <c r="K703" s="95" t="s">
        <v>497</v>
      </c>
      <c r="L703" s="95" t="s">
        <v>498</v>
      </c>
      <c r="M703" s="95" t="s">
        <v>499</v>
      </c>
      <c r="N703" s="126" t="s">
        <v>500</v>
      </c>
      <c r="O703" s="126" t="s">
        <v>501</v>
      </c>
      <c r="P703" s="132" t="s">
        <v>359</v>
      </c>
      <c r="Q703" s="133" t="s">
        <v>1207</v>
      </c>
      <c r="R703" s="133" t="s">
        <v>1208</v>
      </c>
      <c r="S703" s="28"/>
      <c r="T703" s="28"/>
      <c r="U703" s="368"/>
      <c r="V703" s="368"/>
      <c r="W703" s="368"/>
      <c r="X703" s="368"/>
      <c r="Y703" s="368"/>
      <c r="Z703" s="368"/>
      <c r="AA703" s="368"/>
      <c r="AB703" s="368"/>
      <c r="AC703" s="368"/>
      <c r="AD703" s="368"/>
      <c r="AE703" s="510"/>
    </row>
    <row r="704" spans="1:31" hidden="1">
      <c r="B704" s="62"/>
      <c r="N704" s="62"/>
      <c r="O704" s="62"/>
    </row>
    <row r="705" spans="1:18" hidden="1">
      <c r="A705" s="28" t="s">
        <v>1209</v>
      </c>
      <c r="B705" s="62" t="s">
        <v>2324</v>
      </c>
      <c r="C705" s="28">
        <v>-2.4</v>
      </c>
      <c r="D705" s="28">
        <v>-1.8</v>
      </c>
      <c r="E705" s="28">
        <v>0.6</v>
      </c>
      <c r="F705" s="28">
        <v>4.7</v>
      </c>
      <c r="G705" s="28">
        <v>8.6999999999999993</v>
      </c>
      <c r="H705" s="28">
        <v>12.5</v>
      </c>
      <c r="I705" s="28">
        <v>14.3</v>
      </c>
      <c r="J705" s="28">
        <v>13.3</v>
      </c>
      <c r="K705" s="28">
        <v>11.7</v>
      </c>
      <c r="L705" s="28">
        <v>7.9</v>
      </c>
      <c r="M705" s="28">
        <v>2.1</v>
      </c>
      <c r="N705" s="62">
        <v>-2</v>
      </c>
      <c r="O705" s="62">
        <v>5.8</v>
      </c>
      <c r="P705" s="28">
        <v>1.9</v>
      </c>
      <c r="Q705" s="28">
        <v>3.1</v>
      </c>
      <c r="R705" s="28">
        <v>4.2</v>
      </c>
    </row>
    <row r="706" spans="1:18" hidden="1">
      <c r="B706" s="62"/>
      <c r="N706" s="62"/>
      <c r="O706" s="62"/>
    </row>
    <row r="707" spans="1:18" ht="13.15" hidden="1" customHeight="1">
      <c r="A707" s="28" t="s">
        <v>1210</v>
      </c>
      <c r="B707" s="62" t="s">
        <v>250</v>
      </c>
      <c r="C707" s="28">
        <v>170</v>
      </c>
      <c r="D707" s="28">
        <v>241</v>
      </c>
      <c r="E707" s="28">
        <v>414</v>
      </c>
      <c r="F707" s="28">
        <v>566</v>
      </c>
      <c r="G707" s="28">
        <v>665</v>
      </c>
      <c r="H707" s="28">
        <v>701</v>
      </c>
      <c r="I707" s="28">
        <v>758</v>
      </c>
      <c r="J707" s="28">
        <v>599</v>
      </c>
      <c r="K707" s="28">
        <v>466</v>
      </c>
      <c r="L707" s="28">
        <v>343</v>
      </c>
      <c r="M707" s="28">
        <v>183</v>
      </c>
      <c r="N707" s="62">
        <v>153</v>
      </c>
      <c r="O707" s="62">
        <v>5259</v>
      </c>
      <c r="P707" s="28">
        <v>2600</v>
      </c>
      <c r="Q707" s="28">
        <v>3271</v>
      </c>
      <c r="R707" s="28">
        <v>3938</v>
      </c>
    </row>
    <row r="708" spans="1:18" ht="13.15" hidden="1" customHeight="1">
      <c r="A708" s="28" t="s">
        <v>1211</v>
      </c>
      <c r="B708" s="62" t="s">
        <v>250</v>
      </c>
      <c r="C708" s="28">
        <v>270</v>
      </c>
      <c r="D708" s="28">
        <v>316</v>
      </c>
      <c r="E708" s="28">
        <v>389</v>
      </c>
      <c r="F708" s="28">
        <v>396</v>
      </c>
      <c r="G708" s="28">
        <v>352</v>
      </c>
      <c r="H708" s="28">
        <v>329</v>
      </c>
      <c r="I708" s="28">
        <v>371</v>
      </c>
      <c r="J708" s="28">
        <v>383</v>
      </c>
      <c r="K708" s="28">
        <v>419</v>
      </c>
      <c r="L708" s="28">
        <v>412</v>
      </c>
      <c r="M708" s="28">
        <v>293</v>
      </c>
      <c r="N708" s="62">
        <v>286</v>
      </c>
      <c r="O708" s="62">
        <v>4216</v>
      </c>
      <c r="P708" s="28">
        <v>2566</v>
      </c>
      <c r="Q708" s="28">
        <v>3025</v>
      </c>
      <c r="R708" s="28">
        <v>3460</v>
      </c>
    </row>
    <row r="709" spans="1:18" ht="13.15" hidden="1" customHeight="1">
      <c r="A709" s="28" t="s">
        <v>1212</v>
      </c>
      <c r="B709" s="62" t="s">
        <v>250</v>
      </c>
      <c r="C709" s="28">
        <v>104</v>
      </c>
      <c r="D709" s="28">
        <v>140</v>
      </c>
      <c r="E709" s="28">
        <v>236</v>
      </c>
      <c r="F709" s="28">
        <v>306</v>
      </c>
      <c r="G709" s="28">
        <v>352</v>
      </c>
      <c r="H709" s="28">
        <v>365</v>
      </c>
      <c r="I709" s="28">
        <v>387</v>
      </c>
      <c r="J709" s="28">
        <v>323</v>
      </c>
      <c r="K709" s="28">
        <v>256</v>
      </c>
      <c r="L709" s="28">
        <v>192</v>
      </c>
      <c r="M709" s="28">
        <v>108</v>
      </c>
      <c r="N709" s="62">
        <v>99</v>
      </c>
      <c r="O709" s="62">
        <v>2868</v>
      </c>
      <c r="P709" s="28">
        <v>1461</v>
      </c>
      <c r="Q709" s="28">
        <v>1819</v>
      </c>
      <c r="R709" s="28">
        <v>2174</v>
      </c>
    </row>
    <row r="710" spans="1:18" ht="13.15" hidden="1" customHeight="1">
      <c r="A710" s="28" t="s">
        <v>1213</v>
      </c>
      <c r="B710" s="62" t="s">
        <v>250</v>
      </c>
      <c r="C710" s="28">
        <v>121</v>
      </c>
      <c r="D710" s="28">
        <v>159</v>
      </c>
      <c r="E710" s="28">
        <v>236</v>
      </c>
      <c r="F710" s="28">
        <v>311</v>
      </c>
      <c r="G710" s="28">
        <v>346</v>
      </c>
      <c r="H710" s="28">
        <v>351</v>
      </c>
      <c r="I710" s="28">
        <v>387</v>
      </c>
      <c r="J710" s="28">
        <v>323</v>
      </c>
      <c r="K710" s="28">
        <v>275</v>
      </c>
      <c r="L710" s="28">
        <v>209</v>
      </c>
      <c r="M710" s="28">
        <v>123</v>
      </c>
      <c r="N710" s="62">
        <v>115</v>
      </c>
      <c r="O710" s="62">
        <v>2956</v>
      </c>
      <c r="P710" s="28">
        <v>1540</v>
      </c>
      <c r="Q710" s="28">
        <v>1904</v>
      </c>
      <c r="R710" s="28">
        <v>2262</v>
      </c>
    </row>
    <row r="711" spans="1:18" ht="13.15" hidden="1" customHeight="1">
      <c r="A711" s="28" t="s">
        <v>1214</v>
      </c>
      <c r="B711" s="62" t="s">
        <v>250</v>
      </c>
      <c r="C711" s="28">
        <v>59</v>
      </c>
      <c r="D711" s="28">
        <v>70</v>
      </c>
      <c r="E711" s="28">
        <v>108</v>
      </c>
      <c r="F711" s="28">
        <v>136</v>
      </c>
      <c r="G711" s="28">
        <v>186</v>
      </c>
      <c r="H711" s="28">
        <v>196</v>
      </c>
      <c r="I711" s="28">
        <v>197</v>
      </c>
      <c r="J711" s="28">
        <v>132</v>
      </c>
      <c r="K711" s="28">
        <v>107</v>
      </c>
      <c r="L711" s="28">
        <v>93</v>
      </c>
      <c r="M711" s="28">
        <v>57</v>
      </c>
      <c r="N711" s="62">
        <v>57</v>
      </c>
      <c r="O711" s="62">
        <v>1398</v>
      </c>
      <c r="P711" s="28">
        <v>721</v>
      </c>
      <c r="Q711" s="28">
        <v>894</v>
      </c>
      <c r="R711" s="28">
        <v>1064</v>
      </c>
    </row>
    <row r="712" spans="1:18" hidden="1">
      <c r="B712" s="62"/>
      <c r="N712" s="62"/>
      <c r="O712" s="62"/>
    </row>
    <row r="713" spans="1:18" hidden="1">
      <c r="A713" s="28" t="s">
        <v>1215</v>
      </c>
      <c r="B713" s="62" t="s">
        <v>1808</v>
      </c>
      <c r="C713" s="28">
        <v>31</v>
      </c>
      <c r="D713" s="28">
        <v>28</v>
      </c>
      <c r="E713" s="28">
        <v>31</v>
      </c>
      <c r="F713" s="28">
        <v>27</v>
      </c>
      <c r="G713" s="28">
        <v>20</v>
      </c>
      <c r="H713" s="28">
        <v>8</v>
      </c>
      <c r="I713" s="28">
        <v>4</v>
      </c>
      <c r="J713" s="28">
        <v>6</v>
      </c>
      <c r="K713" s="28">
        <v>10</v>
      </c>
      <c r="L713" s="28">
        <v>21</v>
      </c>
      <c r="M713" s="28">
        <v>29</v>
      </c>
      <c r="N713" s="62">
        <v>31</v>
      </c>
      <c r="O713" s="62"/>
      <c r="P713" s="28">
        <v>246</v>
      </c>
    </row>
    <row r="714" spans="1:18" hidden="1">
      <c r="A714" s="28" t="s">
        <v>1809</v>
      </c>
      <c r="B714" s="62" t="s">
        <v>1810</v>
      </c>
      <c r="C714" s="28">
        <v>631</v>
      </c>
      <c r="D714" s="28">
        <v>554</v>
      </c>
      <c r="E714" s="28">
        <v>539</v>
      </c>
      <c r="F714" s="28">
        <v>378</v>
      </c>
      <c r="G714" s="28">
        <v>229</v>
      </c>
      <c r="H714" s="28">
        <v>78</v>
      </c>
      <c r="I714" s="28">
        <v>36</v>
      </c>
      <c r="J714" s="28">
        <v>58</v>
      </c>
      <c r="K714" s="28">
        <v>100</v>
      </c>
      <c r="L714" s="28">
        <v>254</v>
      </c>
      <c r="M714" s="28">
        <v>472</v>
      </c>
      <c r="N714" s="62">
        <v>620</v>
      </c>
      <c r="O714" s="62"/>
      <c r="P714" s="28">
        <v>3949</v>
      </c>
    </row>
    <row r="715" spans="1:18" hidden="1">
      <c r="B715" s="62"/>
      <c r="N715" s="62"/>
      <c r="O715" s="62"/>
    </row>
    <row r="716" spans="1:18" hidden="1">
      <c r="A716" s="28" t="s">
        <v>1886</v>
      </c>
      <c r="B716" s="62" t="s">
        <v>1808</v>
      </c>
      <c r="C716" s="28">
        <v>31</v>
      </c>
      <c r="D716" s="28">
        <v>28</v>
      </c>
      <c r="E716" s="28">
        <v>31</v>
      </c>
      <c r="F716" s="28">
        <v>29</v>
      </c>
      <c r="G716" s="28">
        <v>25</v>
      </c>
      <c r="H716" s="28">
        <v>14</v>
      </c>
      <c r="I716" s="28">
        <v>9</v>
      </c>
      <c r="J716" s="28">
        <v>12</v>
      </c>
      <c r="K716" s="28">
        <v>16</v>
      </c>
      <c r="L716" s="28">
        <v>27</v>
      </c>
      <c r="M716" s="28">
        <v>30</v>
      </c>
      <c r="N716" s="62">
        <v>31</v>
      </c>
      <c r="O716" s="62"/>
      <c r="Q716" s="28">
        <v>283</v>
      </c>
    </row>
    <row r="717" spans="1:18" hidden="1">
      <c r="A717" s="28" t="s">
        <v>1887</v>
      </c>
      <c r="B717" s="62" t="s">
        <v>1810</v>
      </c>
      <c r="C717" s="28">
        <v>693</v>
      </c>
      <c r="D717" s="28">
        <v>610</v>
      </c>
      <c r="E717" s="28">
        <v>601</v>
      </c>
      <c r="F717" s="28">
        <v>453</v>
      </c>
      <c r="G717" s="28">
        <v>316</v>
      </c>
      <c r="H717" s="28">
        <v>154</v>
      </c>
      <c r="I717" s="28">
        <v>89</v>
      </c>
      <c r="J717" s="28">
        <v>121</v>
      </c>
      <c r="K717" s="28">
        <v>173</v>
      </c>
      <c r="L717" s="28">
        <v>351</v>
      </c>
      <c r="M717" s="28">
        <v>536</v>
      </c>
      <c r="N717" s="62">
        <v>682</v>
      </c>
      <c r="O717" s="62"/>
      <c r="Q717" s="28">
        <v>4779</v>
      </c>
    </row>
    <row r="718" spans="1:18" hidden="1">
      <c r="B718" s="62"/>
      <c r="N718" s="62"/>
      <c r="O718" s="62"/>
    </row>
    <row r="719" spans="1:18" hidden="1">
      <c r="A719" s="28" t="s">
        <v>1434</v>
      </c>
      <c r="B719" s="62" t="s">
        <v>1808</v>
      </c>
      <c r="C719" s="28">
        <v>31</v>
      </c>
      <c r="D719" s="28">
        <v>28</v>
      </c>
      <c r="E719" s="28">
        <v>31</v>
      </c>
      <c r="F719" s="28">
        <v>30</v>
      </c>
      <c r="G719" s="28">
        <v>28</v>
      </c>
      <c r="H719" s="28">
        <v>20</v>
      </c>
      <c r="I719" s="28">
        <v>15</v>
      </c>
      <c r="J719" s="28">
        <v>18</v>
      </c>
      <c r="K719" s="28">
        <v>22</v>
      </c>
      <c r="L719" s="28">
        <v>31</v>
      </c>
      <c r="M719" s="28">
        <v>30</v>
      </c>
      <c r="N719" s="62">
        <v>31</v>
      </c>
      <c r="O719" s="62"/>
      <c r="R719" s="28">
        <v>315</v>
      </c>
    </row>
    <row r="720" spans="1:18" hidden="1">
      <c r="A720" s="28" t="s">
        <v>1435</v>
      </c>
      <c r="B720" s="62" t="s">
        <v>1810</v>
      </c>
      <c r="C720" s="28">
        <v>755</v>
      </c>
      <c r="D720" s="28">
        <v>666</v>
      </c>
      <c r="E720" s="28">
        <v>663</v>
      </c>
      <c r="F720" s="28">
        <v>517</v>
      </c>
      <c r="G720" s="28">
        <v>393</v>
      </c>
      <c r="H720" s="28">
        <v>229</v>
      </c>
      <c r="I720" s="28">
        <v>159</v>
      </c>
      <c r="J720" s="28">
        <v>198</v>
      </c>
      <c r="K720" s="28">
        <v>266</v>
      </c>
      <c r="L720" s="28">
        <v>436</v>
      </c>
      <c r="M720" s="28">
        <v>596</v>
      </c>
      <c r="N720" s="62">
        <v>744</v>
      </c>
      <c r="O720" s="62"/>
      <c r="R720" s="28">
        <v>5622</v>
      </c>
    </row>
    <row r="721" spans="1:31" ht="8.1" hidden="1" customHeight="1"/>
    <row r="722" spans="1:31" ht="8.1" hidden="1" customHeight="1"/>
    <row r="723" spans="1:31" ht="8.1" hidden="1" customHeight="1"/>
    <row r="724" spans="1:31" ht="8.1" hidden="1" customHeight="1"/>
    <row r="725" spans="1:31" ht="8.1" hidden="1" customHeight="1">
      <c r="M725" s="37"/>
    </row>
    <row r="726" spans="1:31" s="34" customFormat="1" ht="15.75" hidden="1">
      <c r="A726" s="61">
        <v>29</v>
      </c>
      <c r="B726" s="129"/>
      <c r="C726" s="129" t="s">
        <v>1578</v>
      </c>
      <c r="D726" s="129"/>
      <c r="E726" s="130"/>
      <c r="F726" s="130" t="s">
        <v>352</v>
      </c>
      <c r="G726" s="129">
        <v>416</v>
      </c>
      <c r="H726" s="131" t="s">
        <v>353</v>
      </c>
      <c r="I726" s="129"/>
      <c r="J726" s="129"/>
      <c r="K726" s="130" t="s">
        <v>354</v>
      </c>
      <c r="L726" s="131">
        <v>2</v>
      </c>
      <c r="M726" s="129" t="s">
        <v>355</v>
      </c>
      <c r="N726" s="131" t="s">
        <v>1585</v>
      </c>
      <c r="O726" s="130"/>
      <c r="P726" s="130" t="s">
        <v>357</v>
      </c>
      <c r="Q726" s="129">
        <v>-7</v>
      </c>
      <c r="R726" s="131" t="s">
        <v>2324</v>
      </c>
      <c r="S726" s="28"/>
      <c r="U726" s="368"/>
      <c r="V726" s="368"/>
      <c r="W726" s="368"/>
      <c r="X726" s="368"/>
      <c r="Y726" s="368"/>
      <c r="Z726" s="368"/>
      <c r="AA726" s="368"/>
      <c r="AB726" s="368"/>
      <c r="AC726" s="368"/>
      <c r="AD726" s="368"/>
      <c r="AE726" s="510"/>
    </row>
    <row r="727" spans="1:31" hidden="1">
      <c r="B727" s="62"/>
      <c r="N727" s="62"/>
      <c r="O727" s="62"/>
      <c r="P727" s="53" t="s">
        <v>358</v>
      </c>
      <c r="Q727" s="45"/>
      <c r="R727" s="45"/>
    </row>
    <row r="728" spans="1:31" s="34" customFormat="1" hidden="1">
      <c r="B728" s="65"/>
      <c r="C728" s="95" t="s">
        <v>489</v>
      </c>
      <c r="D728" s="95" t="s">
        <v>490</v>
      </c>
      <c r="E728" s="95" t="s">
        <v>491</v>
      </c>
      <c r="F728" s="95" t="s">
        <v>492</v>
      </c>
      <c r="G728" s="95" t="s">
        <v>493</v>
      </c>
      <c r="H728" s="95" t="s">
        <v>494</v>
      </c>
      <c r="I728" s="95" t="s">
        <v>495</v>
      </c>
      <c r="J728" s="95" t="s">
        <v>496</v>
      </c>
      <c r="K728" s="95" t="s">
        <v>497</v>
      </c>
      <c r="L728" s="95" t="s">
        <v>498</v>
      </c>
      <c r="M728" s="95" t="s">
        <v>499</v>
      </c>
      <c r="N728" s="126" t="s">
        <v>500</v>
      </c>
      <c r="O728" s="126" t="s">
        <v>501</v>
      </c>
      <c r="P728" s="132" t="s">
        <v>359</v>
      </c>
      <c r="Q728" s="133" t="s">
        <v>1207</v>
      </c>
      <c r="R728" s="133" t="s">
        <v>1208</v>
      </c>
      <c r="S728" s="28"/>
      <c r="U728" s="368"/>
      <c r="V728" s="368"/>
      <c r="W728" s="368"/>
      <c r="X728" s="368"/>
      <c r="Y728" s="368"/>
      <c r="Z728" s="368"/>
      <c r="AA728" s="368"/>
      <c r="AB728" s="368"/>
      <c r="AC728" s="368"/>
      <c r="AD728" s="368"/>
      <c r="AE728" s="510"/>
    </row>
    <row r="729" spans="1:31" hidden="1">
      <c r="B729" s="62"/>
      <c r="N729" s="62"/>
      <c r="O729" s="62"/>
    </row>
    <row r="730" spans="1:31" hidden="1">
      <c r="A730" s="28" t="s">
        <v>1209</v>
      </c>
      <c r="B730" s="62" t="s">
        <v>2324</v>
      </c>
      <c r="C730" s="28">
        <v>-1</v>
      </c>
      <c r="D730" s="28">
        <v>1.1000000000000001</v>
      </c>
      <c r="E730" s="28">
        <v>3.7</v>
      </c>
      <c r="F730" s="28">
        <v>8.1999999999999993</v>
      </c>
      <c r="G730" s="28">
        <v>11.9</v>
      </c>
      <c r="H730" s="28">
        <v>15.7</v>
      </c>
      <c r="I730" s="28">
        <v>17.2</v>
      </c>
      <c r="J730" s="28">
        <v>16.399999999999999</v>
      </c>
      <c r="K730" s="28">
        <v>14.1</v>
      </c>
      <c r="L730" s="28">
        <v>9.9</v>
      </c>
      <c r="M730" s="28">
        <v>4.3</v>
      </c>
      <c r="N730" s="62">
        <v>-0.6</v>
      </c>
      <c r="O730" s="62">
        <v>8.4</v>
      </c>
      <c r="P730" s="28">
        <v>2.7</v>
      </c>
      <c r="Q730" s="28">
        <v>3.9</v>
      </c>
      <c r="R730" s="28">
        <v>5.0999999999999996</v>
      </c>
    </row>
    <row r="731" spans="1:31" hidden="1">
      <c r="B731" s="62"/>
      <c r="N731" s="62"/>
      <c r="O731" s="62"/>
    </row>
    <row r="732" spans="1:31" ht="13.15" hidden="1" customHeight="1">
      <c r="A732" s="28" t="s">
        <v>1210</v>
      </c>
      <c r="B732" s="62" t="s">
        <v>250</v>
      </c>
      <c r="C732" s="28">
        <v>103</v>
      </c>
      <c r="D732" s="28">
        <v>166</v>
      </c>
      <c r="E732" s="28">
        <v>294</v>
      </c>
      <c r="F732" s="28">
        <v>445</v>
      </c>
      <c r="G732" s="28">
        <v>556</v>
      </c>
      <c r="H732" s="28">
        <v>581</v>
      </c>
      <c r="I732" s="28">
        <v>614</v>
      </c>
      <c r="J732" s="28">
        <v>484</v>
      </c>
      <c r="K732" s="28">
        <v>364</v>
      </c>
      <c r="L732" s="28">
        <v>233</v>
      </c>
      <c r="M732" s="28">
        <v>115</v>
      </c>
      <c r="N732" s="62">
        <v>81</v>
      </c>
      <c r="O732" s="62">
        <v>4036</v>
      </c>
      <c r="P732" s="28">
        <v>1244</v>
      </c>
      <c r="Q732" s="28">
        <v>1651</v>
      </c>
      <c r="R732" s="28">
        <v>2140</v>
      </c>
    </row>
    <row r="733" spans="1:31" ht="13.15" hidden="1" customHeight="1">
      <c r="A733" s="28" t="s">
        <v>1211</v>
      </c>
      <c r="B733" s="62" t="s">
        <v>250</v>
      </c>
      <c r="C733" s="28">
        <v>164</v>
      </c>
      <c r="D733" s="28">
        <v>217</v>
      </c>
      <c r="E733" s="28">
        <v>276</v>
      </c>
      <c r="F733" s="28">
        <v>312</v>
      </c>
      <c r="G733" s="28">
        <v>295</v>
      </c>
      <c r="H733" s="28">
        <v>273</v>
      </c>
      <c r="I733" s="28">
        <v>301</v>
      </c>
      <c r="J733" s="28">
        <v>310</v>
      </c>
      <c r="K733" s="28">
        <v>328</v>
      </c>
      <c r="L733" s="28">
        <v>280</v>
      </c>
      <c r="M733" s="28">
        <v>184</v>
      </c>
      <c r="N733" s="62">
        <v>151</v>
      </c>
      <c r="O733" s="62">
        <v>3091</v>
      </c>
      <c r="P733" s="28">
        <v>1338</v>
      </c>
      <c r="Q733" s="28">
        <v>1638</v>
      </c>
      <c r="R733" s="28">
        <v>1961</v>
      </c>
    </row>
    <row r="734" spans="1:31" ht="13.15" hidden="1" customHeight="1">
      <c r="A734" s="28" t="s">
        <v>1212</v>
      </c>
      <c r="B734" s="62" t="s">
        <v>250</v>
      </c>
      <c r="C734" s="28">
        <v>63</v>
      </c>
      <c r="D734" s="28">
        <v>96</v>
      </c>
      <c r="E734" s="28">
        <v>168</v>
      </c>
      <c r="F734" s="28">
        <v>240</v>
      </c>
      <c r="G734" s="28">
        <v>295</v>
      </c>
      <c r="H734" s="28">
        <v>302</v>
      </c>
      <c r="I734" s="28">
        <v>313</v>
      </c>
      <c r="J734" s="28">
        <v>261</v>
      </c>
      <c r="K734" s="28">
        <v>200</v>
      </c>
      <c r="L734" s="28">
        <v>130</v>
      </c>
      <c r="M734" s="28">
        <v>68</v>
      </c>
      <c r="N734" s="62">
        <v>53</v>
      </c>
      <c r="O734" s="62">
        <v>2189</v>
      </c>
      <c r="P734" s="28">
        <v>708</v>
      </c>
      <c r="Q734" s="28">
        <v>928</v>
      </c>
      <c r="R734" s="28">
        <v>1189</v>
      </c>
    </row>
    <row r="735" spans="1:31" ht="13.15" hidden="1" customHeight="1">
      <c r="A735" s="28" t="s">
        <v>1213</v>
      </c>
      <c r="B735" s="62" t="s">
        <v>250</v>
      </c>
      <c r="C735" s="28">
        <v>73</v>
      </c>
      <c r="D735" s="28">
        <v>110</v>
      </c>
      <c r="E735" s="28">
        <v>168</v>
      </c>
      <c r="F735" s="28">
        <v>245</v>
      </c>
      <c r="G735" s="28">
        <v>289</v>
      </c>
      <c r="H735" s="28">
        <v>291</v>
      </c>
      <c r="I735" s="28">
        <v>313</v>
      </c>
      <c r="J735" s="28">
        <v>261</v>
      </c>
      <c r="K735" s="28">
        <v>215</v>
      </c>
      <c r="L735" s="28">
        <v>142</v>
      </c>
      <c r="M735" s="28">
        <v>77</v>
      </c>
      <c r="N735" s="62">
        <v>61</v>
      </c>
      <c r="O735" s="62">
        <v>2245</v>
      </c>
      <c r="P735" s="28">
        <v>755</v>
      </c>
      <c r="Q735" s="28">
        <v>980</v>
      </c>
      <c r="R735" s="28">
        <v>1243</v>
      </c>
    </row>
    <row r="736" spans="1:31" ht="13.15" hidden="1" customHeight="1">
      <c r="A736" s="28" t="s">
        <v>1214</v>
      </c>
      <c r="B736" s="62" t="s">
        <v>250</v>
      </c>
      <c r="C736" s="28">
        <v>36</v>
      </c>
      <c r="D736" s="28">
        <v>48</v>
      </c>
      <c r="E736" s="28">
        <v>76</v>
      </c>
      <c r="F736" s="28">
        <v>107</v>
      </c>
      <c r="G736" s="28">
        <v>156</v>
      </c>
      <c r="H736" s="28">
        <v>163</v>
      </c>
      <c r="I736" s="28">
        <v>160</v>
      </c>
      <c r="J736" s="28">
        <v>106</v>
      </c>
      <c r="K736" s="28">
        <v>84</v>
      </c>
      <c r="L736" s="28">
        <v>63</v>
      </c>
      <c r="M736" s="28">
        <v>36</v>
      </c>
      <c r="N736" s="62">
        <v>30</v>
      </c>
      <c r="O736" s="62">
        <v>1065</v>
      </c>
      <c r="P736" s="28">
        <v>349</v>
      </c>
      <c r="Q736" s="28">
        <v>455</v>
      </c>
      <c r="R736" s="28">
        <v>582</v>
      </c>
    </row>
    <row r="737" spans="1:31" hidden="1">
      <c r="B737" s="62"/>
      <c r="N737" s="62"/>
      <c r="O737" s="62"/>
    </row>
    <row r="738" spans="1:31" hidden="1">
      <c r="A738" s="28" t="s">
        <v>1215</v>
      </c>
      <c r="B738" s="62" t="s">
        <v>1808</v>
      </c>
      <c r="C738" s="28">
        <v>31</v>
      </c>
      <c r="D738" s="28">
        <v>28</v>
      </c>
      <c r="E738" s="28">
        <v>30</v>
      </c>
      <c r="F738" s="28">
        <v>20</v>
      </c>
      <c r="G738" s="28">
        <v>9</v>
      </c>
      <c r="H738" s="28">
        <v>2</v>
      </c>
      <c r="I738" s="28">
        <v>0</v>
      </c>
      <c r="J738" s="28">
        <v>0</v>
      </c>
      <c r="K738" s="28">
        <v>3</v>
      </c>
      <c r="L738" s="28">
        <v>16</v>
      </c>
      <c r="M738" s="28">
        <v>27</v>
      </c>
      <c r="N738" s="62">
        <v>30</v>
      </c>
      <c r="O738" s="62"/>
      <c r="P738" s="28">
        <v>196</v>
      </c>
    </row>
    <row r="739" spans="1:31" hidden="1">
      <c r="A739" s="28" t="s">
        <v>1809</v>
      </c>
      <c r="B739" s="62" t="s">
        <v>1810</v>
      </c>
      <c r="C739" s="28">
        <v>588</v>
      </c>
      <c r="D739" s="28">
        <v>471</v>
      </c>
      <c r="E739" s="28">
        <v>434</v>
      </c>
      <c r="F739" s="28">
        <v>238</v>
      </c>
      <c r="G739" s="28">
        <v>93</v>
      </c>
      <c r="H739" s="28">
        <v>15</v>
      </c>
      <c r="I739" s="28">
        <v>0</v>
      </c>
      <c r="J739" s="28">
        <v>2</v>
      </c>
      <c r="K739" s="28">
        <v>24</v>
      </c>
      <c r="L739" s="28">
        <v>174</v>
      </c>
      <c r="M739" s="28">
        <v>394</v>
      </c>
      <c r="N739" s="62">
        <v>570</v>
      </c>
      <c r="O739" s="62"/>
      <c r="P739" s="28">
        <v>3003</v>
      </c>
    </row>
    <row r="740" spans="1:31" hidden="1">
      <c r="B740" s="62"/>
      <c r="N740" s="62"/>
      <c r="O740" s="62"/>
    </row>
    <row r="741" spans="1:31" hidden="1">
      <c r="A741" s="28" t="s">
        <v>1886</v>
      </c>
      <c r="B741" s="62" t="s">
        <v>1808</v>
      </c>
      <c r="C741" s="28">
        <v>31</v>
      </c>
      <c r="D741" s="28">
        <v>28</v>
      </c>
      <c r="E741" s="28">
        <v>31</v>
      </c>
      <c r="F741" s="28">
        <v>26</v>
      </c>
      <c r="G741" s="28">
        <v>16</v>
      </c>
      <c r="H741" s="28">
        <v>4</v>
      </c>
      <c r="I741" s="28">
        <v>2</v>
      </c>
      <c r="J741" s="28">
        <v>2</v>
      </c>
      <c r="K741" s="28">
        <v>8</v>
      </c>
      <c r="L741" s="28">
        <v>21</v>
      </c>
      <c r="M741" s="28">
        <v>29</v>
      </c>
      <c r="N741" s="62">
        <v>31</v>
      </c>
      <c r="O741" s="62"/>
      <c r="Q741" s="28">
        <v>229</v>
      </c>
    </row>
    <row r="742" spans="1:31" hidden="1">
      <c r="A742" s="28" t="s">
        <v>1887</v>
      </c>
      <c r="B742" s="62" t="s">
        <v>1810</v>
      </c>
      <c r="C742" s="28">
        <v>650</v>
      </c>
      <c r="D742" s="28">
        <v>529</v>
      </c>
      <c r="E742" s="28">
        <v>505</v>
      </c>
      <c r="F742" s="28">
        <v>327</v>
      </c>
      <c r="G742" s="28">
        <v>172</v>
      </c>
      <c r="H742" s="28">
        <v>36</v>
      </c>
      <c r="I742" s="28">
        <v>14</v>
      </c>
      <c r="J742" s="28">
        <v>17</v>
      </c>
      <c r="K742" s="28">
        <v>78</v>
      </c>
      <c r="L742" s="28">
        <v>254</v>
      </c>
      <c r="M742" s="28">
        <v>464</v>
      </c>
      <c r="N742" s="62">
        <v>637</v>
      </c>
      <c r="O742" s="62"/>
      <c r="Q742" s="28">
        <v>3683</v>
      </c>
    </row>
    <row r="743" spans="1:31" hidden="1">
      <c r="B743" s="62"/>
      <c r="N743" s="62"/>
      <c r="O743" s="62"/>
    </row>
    <row r="744" spans="1:31" hidden="1">
      <c r="A744" s="28" t="s">
        <v>1434</v>
      </c>
      <c r="B744" s="62" t="s">
        <v>1808</v>
      </c>
      <c r="C744" s="28">
        <v>31</v>
      </c>
      <c r="D744" s="28">
        <v>28</v>
      </c>
      <c r="E744" s="28">
        <v>31</v>
      </c>
      <c r="F744" s="28">
        <v>28</v>
      </c>
      <c r="G744" s="28">
        <v>23</v>
      </c>
      <c r="H744" s="28">
        <v>10</v>
      </c>
      <c r="I744" s="28">
        <v>5</v>
      </c>
      <c r="J744" s="28">
        <v>7</v>
      </c>
      <c r="K744" s="28">
        <v>15</v>
      </c>
      <c r="L744" s="28">
        <v>26</v>
      </c>
      <c r="M744" s="28">
        <v>29</v>
      </c>
      <c r="N744" s="62">
        <v>31</v>
      </c>
      <c r="O744" s="62"/>
      <c r="R744" s="28">
        <v>264</v>
      </c>
    </row>
    <row r="745" spans="1:31" hidden="1">
      <c r="A745" s="28" t="s">
        <v>1435</v>
      </c>
      <c r="B745" s="62" t="s">
        <v>1810</v>
      </c>
      <c r="C745" s="28">
        <v>712</v>
      </c>
      <c r="D745" s="28">
        <v>585</v>
      </c>
      <c r="E745" s="28">
        <v>567</v>
      </c>
      <c r="F745" s="28">
        <v>403</v>
      </c>
      <c r="G745" s="28">
        <v>269</v>
      </c>
      <c r="H745" s="28">
        <v>97</v>
      </c>
      <c r="I745" s="28">
        <v>45</v>
      </c>
      <c r="J745" s="28">
        <v>62</v>
      </c>
      <c r="K745" s="28">
        <v>154</v>
      </c>
      <c r="L745" s="28">
        <v>343</v>
      </c>
      <c r="M745" s="28">
        <v>527</v>
      </c>
      <c r="N745" s="62">
        <v>701</v>
      </c>
      <c r="O745" s="62"/>
      <c r="R745" s="28">
        <v>4465</v>
      </c>
    </row>
    <row r="746" spans="1:31" ht="8.1" hidden="1" customHeight="1"/>
    <row r="747" spans="1:31" ht="8.1" hidden="1" customHeight="1"/>
    <row r="748" spans="1:31" ht="8.1" hidden="1" customHeight="1"/>
    <row r="749" spans="1:31" ht="8.1" hidden="1" customHeight="1"/>
    <row r="750" spans="1:31" ht="8.1" hidden="1" customHeight="1">
      <c r="M750" s="37"/>
    </row>
    <row r="751" spans="1:31" s="34" customFormat="1" ht="15.75" hidden="1">
      <c r="A751" s="61">
        <v>30</v>
      </c>
      <c r="B751" s="129"/>
      <c r="C751" s="129" t="s">
        <v>900</v>
      </c>
      <c r="D751" s="129"/>
      <c r="E751" s="130"/>
      <c r="F751" s="130" t="s">
        <v>352</v>
      </c>
      <c r="G751" s="129">
        <v>990</v>
      </c>
      <c r="H751" s="131" t="s">
        <v>353</v>
      </c>
      <c r="I751" s="129"/>
      <c r="J751" s="129"/>
      <c r="K751" s="130" t="s">
        <v>354</v>
      </c>
      <c r="L751" s="131">
        <v>2</v>
      </c>
      <c r="M751" s="129" t="s">
        <v>355</v>
      </c>
      <c r="N751" s="131" t="s">
        <v>1579</v>
      </c>
      <c r="O751" s="130"/>
      <c r="P751" s="130" t="s">
        <v>357</v>
      </c>
      <c r="Q751" s="129">
        <v>-10</v>
      </c>
      <c r="R751" s="131" t="s">
        <v>2324</v>
      </c>
      <c r="S751" s="28"/>
      <c r="T751" s="28"/>
      <c r="U751" s="378"/>
      <c r="V751" s="368"/>
      <c r="W751" s="368"/>
      <c r="X751" s="368"/>
      <c r="Y751" s="368"/>
      <c r="Z751" s="368"/>
      <c r="AA751" s="368"/>
      <c r="AB751" s="368"/>
      <c r="AC751" s="368"/>
      <c r="AD751" s="368"/>
      <c r="AE751" s="510"/>
    </row>
    <row r="752" spans="1:31" hidden="1">
      <c r="B752" s="62"/>
      <c r="N752" s="62"/>
      <c r="O752" s="62"/>
      <c r="P752" s="53" t="s">
        <v>358</v>
      </c>
      <c r="Q752" s="45"/>
      <c r="R752" s="45"/>
    </row>
    <row r="753" spans="1:31" s="34" customFormat="1" hidden="1">
      <c r="B753" s="65"/>
      <c r="C753" s="95" t="s">
        <v>489</v>
      </c>
      <c r="D753" s="95" t="s">
        <v>490</v>
      </c>
      <c r="E753" s="95" t="s">
        <v>491</v>
      </c>
      <c r="F753" s="95" t="s">
        <v>492</v>
      </c>
      <c r="G753" s="95" t="s">
        <v>493</v>
      </c>
      <c r="H753" s="95" t="s">
        <v>494</v>
      </c>
      <c r="I753" s="95" t="s">
        <v>495</v>
      </c>
      <c r="J753" s="95" t="s">
        <v>496</v>
      </c>
      <c r="K753" s="95" t="s">
        <v>497</v>
      </c>
      <c r="L753" s="95" t="s">
        <v>498</v>
      </c>
      <c r="M753" s="95" t="s">
        <v>499</v>
      </c>
      <c r="N753" s="126" t="s">
        <v>500</v>
      </c>
      <c r="O753" s="126" t="s">
        <v>501</v>
      </c>
      <c r="P753" s="132" t="s">
        <v>359</v>
      </c>
      <c r="Q753" s="133" t="s">
        <v>1207</v>
      </c>
      <c r="R753" s="133" t="s">
        <v>1208</v>
      </c>
      <c r="S753" s="28"/>
      <c r="T753" s="28"/>
      <c r="U753" s="378"/>
      <c r="V753" s="368"/>
      <c r="W753" s="368"/>
      <c r="X753" s="368"/>
      <c r="Y753" s="368"/>
      <c r="Z753" s="368"/>
      <c r="AA753" s="368"/>
      <c r="AB753" s="368"/>
      <c r="AC753" s="368"/>
      <c r="AD753" s="368"/>
      <c r="AE753" s="510"/>
    </row>
    <row r="754" spans="1:31" hidden="1">
      <c r="B754" s="62"/>
      <c r="N754" s="62"/>
      <c r="O754" s="62"/>
    </row>
    <row r="755" spans="1:31" hidden="1">
      <c r="A755" s="28" t="s">
        <v>1209</v>
      </c>
      <c r="B755" s="62" t="s">
        <v>2324</v>
      </c>
      <c r="C755" s="28">
        <v>-1.3</v>
      </c>
      <c r="D755" s="28">
        <v>0</v>
      </c>
      <c r="E755" s="28">
        <v>2</v>
      </c>
      <c r="F755" s="28">
        <v>6.5</v>
      </c>
      <c r="G755" s="28">
        <v>10.199999999999999</v>
      </c>
      <c r="H755" s="28">
        <v>13.9</v>
      </c>
      <c r="I755" s="28">
        <v>15.7</v>
      </c>
      <c r="J755" s="28">
        <v>14.7</v>
      </c>
      <c r="K755" s="28">
        <v>12.8</v>
      </c>
      <c r="L755" s="28">
        <v>9</v>
      </c>
      <c r="M755" s="28">
        <v>3.6</v>
      </c>
      <c r="N755" s="62">
        <v>-1</v>
      </c>
      <c r="O755" s="62">
        <v>7.2</v>
      </c>
      <c r="P755" s="28">
        <v>2.7</v>
      </c>
      <c r="Q755" s="28">
        <v>3.8</v>
      </c>
      <c r="R755" s="28">
        <v>4.8</v>
      </c>
    </row>
    <row r="756" spans="1:31" hidden="1">
      <c r="B756" s="62"/>
      <c r="N756" s="62"/>
      <c r="O756" s="62"/>
    </row>
    <row r="757" spans="1:31" ht="13.15" hidden="1" customHeight="1">
      <c r="A757" s="28" t="s">
        <v>1210</v>
      </c>
      <c r="B757" s="62" t="s">
        <v>250</v>
      </c>
      <c r="C757" s="28">
        <v>136</v>
      </c>
      <c r="D757" s="28">
        <v>198</v>
      </c>
      <c r="E757" s="28">
        <v>329</v>
      </c>
      <c r="F757" s="28">
        <v>484</v>
      </c>
      <c r="G757" s="28">
        <v>559</v>
      </c>
      <c r="H757" s="28">
        <v>605</v>
      </c>
      <c r="I757" s="28">
        <v>649</v>
      </c>
      <c r="J757" s="28">
        <v>532</v>
      </c>
      <c r="K757" s="28">
        <v>401</v>
      </c>
      <c r="L757" s="28">
        <v>291</v>
      </c>
      <c r="M757" s="28">
        <v>141</v>
      </c>
      <c r="N757" s="62">
        <v>120</v>
      </c>
      <c r="O757" s="62">
        <v>4448</v>
      </c>
      <c r="P757" s="28">
        <v>1839</v>
      </c>
      <c r="Q757" s="28">
        <v>2325</v>
      </c>
      <c r="R757" s="28">
        <v>2895</v>
      </c>
    </row>
    <row r="758" spans="1:31" ht="13.15" hidden="1" customHeight="1">
      <c r="A758" s="28" t="s">
        <v>1211</v>
      </c>
      <c r="B758" s="62" t="s">
        <v>250</v>
      </c>
      <c r="C758" s="28">
        <v>216</v>
      </c>
      <c r="D758" s="28">
        <v>259</v>
      </c>
      <c r="E758" s="28">
        <v>309</v>
      </c>
      <c r="F758" s="28">
        <v>341</v>
      </c>
      <c r="G758" s="28">
        <v>296</v>
      </c>
      <c r="H758" s="28">
        <v>284</v>
      </c>
      <c r="I758" s="28">
        <v>318</v>
      </c>
      <c r="J758" s="28">
        <v>340</v>
      </c>
      <c r="K758" s="28">
        <v>361</v>
      </c>
      <c r="L758" s="28">
        <v>349</v>
      </c>
      <c r="M758" s="28">
        <v>226</v>
      </c>
      <c r="N758" s="62">
        <v>224</v>
      </c>
      <c r="O758" s="62">
        <v>3523</v>
      </c>
      <c r="P758" s="28">
        <v>1888</v>
      </c>
      <c r="Q758" s="28">
        <v>2239</v>
      </c>
      <c r="R758" s="28">
        <v>2612</v>
      </c>
    </row>
    <row r="759" spans="1:31" ht="13.15" hidden="1" customHeight="1">
      <c r="A759" s="28" t="s">
        <v>1212</v>
      </c>
      <c r="B759" s="62" t="s">
        <v>250</v>
      </c>
      <c r="C759" s="28">
        <v>83</v>
      </c>
      <c r="D759" s="28">
        <v>115</v>
      </c>
      <c r="E759" s="28">
        <v>188</v>
      </c>
      <c r="F759" s="28">
        <v>263</v>
      </c>
      <c r="G759" s="28">
        <v>296</v>
      </c>
      <c r="H759" s="28">
        <v>315</v>
      </c>
      <c r="I759" s="28">
        <v>331</v>
      </c>
      <c r="J759" s="28">
        <v>287</v>
      </c>
      <c r="K759" s="28">
        <v>221</v>
      </c>
      <c r="L759" s="28">
        <v>163</v>
      </c>
      <c r="M759" s="28">
        <v>83</v>
      </c>
      <c r="N759" s="62">
        <v>78</v>
      </c>
      <c r="O759" s="62">
        <v>2423</v>
      </c>
      <c r="P759" s="28">
        <v>1040</v>
      </c>
      <c r="Q759" s="28">
        <v>1301</v>
      </c>
      <c r="R759" s="28">
        <v>1605</v>
      </c>
    </row>
    <row r="760" spans="1:31" ht="13.15" hidden="1" customHeight="1">
      <c r="A760" s="28" t="s">
        <v>1213</v>
      </c>
      <c r="B760" s="62" t="s">
        <v>250</v>
      </c>
      <c r="C760" s="28">
        <v>97</v>
      </c>
      <c r="D760" s="28">
        <v>131</v>
      </c>
      <c r="E760" s="28">
        <v>188</v>
      </c>
      <c r="F760" s="28">
        <v>268</v>
      </c>
      <c r="G760" s="28">
        <v>291</v>
      </c>
      <c r="H760" s="28">
        <v>303</v>
      </c>
      <c r="I760" s="28">
        <v>331</v>
      </c>
      <c r="J760" s="28">
        <v>287</v>
      </c>
      <c r="K760" s="28">
        <v>237</v>
      </c>
      <c r="L760" s="28">
        <v>178</v>
      </c>
      <c r="M760" s="28">
        <v>94</v>
      </c>
      <c r="N760" s="62">
        <v>90</v>
      </c>
      <c r="O760" s="62">
        <v>2495</v>
      </c>
      <c r="P760" s="28">
        <v>1102</v>
      </c>
      <c r="Q760" s="28">
        <v>1369</v>
      </c>
      <c r="R760" s="28">
        <v>1676</v>
      </c>
    </row>
    <row r="761" spans="1:31" ht="13.15" hidden="1" customHeight="1">
      <c r="A761" s="28" t="s">
        <v>1214</v>
      </c>
      <c r="B761" s="62" t="s">
        <v>250</v>
      </c>
      <c r="C761" s="28">
        <v>48</v>
      </c>
      <c r="D761" s="28">
        <v>57</v>
      </c>
      <c r="E761" s="28">
        <v>86</v>
      </c>
      <c r="F761" s="28">
        <v>117</v>
      </c>
      <c r="G761" s="28">
        <v>157</v>
      </c>
      <c r="H761" s="28">
        <v>169</v>
      </c>
      <c r="I761" s="28">
        <v>169</v>
      </c>
      <c r="J761" s="28">
        <v>117</v>
      </c>
      <c r="K761" s="28">
        <v>92</v>
      </c>
      <c r="L761" s="28">
        <v>79</v>
      </c>
      <c r="M761" s="28">
        <v>44</v>
      </c>
      <c r="N761" s="62">
        <v>44</v>
      </c>
      <c r="O761" s="62">
        <v>1179</v>
      </c>
      <c r="P761" s="28">
        <v>514</v>
      </c>
      <c r="Q761" s="28">
        <v>640</v>
      </c>
      <c r="R761" s="28">
        <v>786</v>
      </c>
    </row>
    <row r="762" spans="1:31" hidden="1">
      <c r="B762" s="62"/>
      <c r="N762" s="62"/>
      <c r="O762" s="62"/>
    </row>
    <row r="763" spans="1:31" hidden="1">
      <c r="A763" s="28" t="s">
        <v>1215</v>
      </c>
      <c r="B763" s="62" t="s">
        <v>1808</v>
      </c>
      <c r="C763" s="28">
        <v>31</v>
      </c>
      <c r="D763" s="28">
        <v>28</v>
      </c>
      <c r="E763" s="28">
        <v>31</v>
      </c>
      <c r="F763" s="28">
        <v>25</v>
      </c>
      <c r="G763" s="28">
        <v>16</v>
      </c>
      <c r="H763" s="28">
        <v>5</v>
      </c>
      <c r="I763" s="28">
        <v>2</v>
      </c>
      <c r="J763" s="28">
        <v>2</v>
      </c>
      <c r="K763" s="28">
        <v>6</v>
      </c>
      <c r="L763" s="28">
        <v>18</v>
      </c>
      <c r="M763" s="28">
        <v>29</v>
      </c>
      <c r="N763" s="62">
        <v>31</v>
      </c>
      <c r="O763" s="62"/>
      <c r="P763" s="28">
        <v>224</v>
      </c>
    </row>
    <row r="764" spans="1:31" hidden="1">
      <c r="A764" s="28" t="s">
        <v>1809</v>
      </c>
      <c r="B764" s="62" t="s">
        <v>1810</v>
      </c>
      <c r="C764" s="28">
        <v>596</v>
      </c>
      <c r="D764" s="28">
        <v>503</v>
      </c>
      <c r="E764" s="28">
        <v>494</v>
      </c>
      <c r="F764" s="28">
        <v>316</v>
      </c>
      <c r="G764" s="28">
        <v>167</v>
      </c>
      <c r="H764" s="28">
        <v>50</v>
      </c>
      <c r="I764" s="28">
        <v>15</v>
      </c>
      <c r="J764" s="28">
        <v>17</v>
      </c>
      <c r="K764" s="28">
        <v>59</v>
      </c>
      <c r="L764" s="28">
        <v>203</v>
      </c>
      <c r="M764" s="28">
        <v>422</v>
      </c>
      <c r="N764" s="62">
        <v>587</v>
      </c>
      <c r="O764" s="62"/>
      <c r="P764" s="28">
        <v>3429</v>
      </c>
    </row>
    <row r="765" spans="1:31" hidden="1">
      <c r="B765" s="62"/>
      <c r="N765" s="62"/>
      <c r="O765" s="62"/>
    </row>
    <row r="766" spans="1:31" hidden="1">
      <c r="A766" s="28" t="s">
        <v>1886</v>
      </c>
      <c r="B766" s="62" t="s">
        <v>1808</v>
      </c>
      <c r="C766" s="28">
        <v>31</v>
      </c>
      <c r="D766" s="28">
        <v>28</v>
      </c>
      <c r="E766" s="28">
        <v>31</v>
      </c>
      <c r="F766" s="28">
        <v>28</v>
      </c>
      <c r="G766" s="28">
        <v>22</v>
      </c>
      <c r="H766" s="28">
        <v>9</v>
      </c>
      <c r="I766" s="28">
        <v>5</v>
      </c>
      <c r="J766" s="28">
        <v>6</v>
      </c>
      <c r="K766" s="28">
        <v>12</v>
      </c>
      <c r="L766" s="28">
        <v>25</v>
      </c>
      <c r="M766" s="28">
        <v>30</v>
      </c>
      <c r="N766" s="62">
        <v>31</v>
      </c>
      <c r="O766" s="62"/>
      <c r="Q766" s="28">
        <v>258</v>
      </c>
    </row>
    <row r="767" spans="1:31" hidden="1">
      <c r="A767" s="28" t="s">
        <v>1887</v>
      </c>
      <c r="B767" s="62" t="s">
        <v>1810</v>
      </c>
      <c r="C767" s="28">
        <v>659</v>
      </c>
      <c r="D767" s="28">
        <v>559</v>
      </c>
      <c r="E767" s="28">
        <v>557</v>
      </c>
      <c r="F767" s="28">
        <v>390</v>
      </c>
      <c r="G767" s="28">
        <v>257</v>
      </c>
      <c r="H767" s="28">
        <v>97</v>
      </c>
      <c r="I767" s="28">
        <v>46</v>
      </c>
      <c r="J767" s="28">
        <v>59</v>
      </c>
      <c r="K767" s="28">
        <v>120</v>
      </c>
      <c r="L767" s="28">
        <v>302</v>
      </c>
      <c r="M767" s="28">
        <v>489</v>
      </c>
      <c r="N767" s="62">
        <v>650</v>
      </c>
      <c r="O767" s="62"/>
      <c r="Q767" s="28">
        <v>4185</v>
      </c>
    </row>
    <row r="768" spans="1:31" hidden="1">
      <c r="B768" s="62"/>
      <c r="N768" s="62"/>
      <c r="O768" s="62"/>
    </row>
    <row r="769" spans="1:31" hidden="1">
      <c r="A769" s="28" t="s">
        <v>1434</v>
      </c>
      <c r="B769" s="62" t="s">
        <v>1808</v>
      </c>
      <c r="C769" s="28">
        <v>31</v>
      </c>
      <c r="D769" s="28">
        <v>28</v>
      </c>
      <c r="E769" s="28">
        <v>31</v>
      </c>
      <c r="F769" s="28">
        <v>29</v>
      </c>
      <c r="G769" s="28">
        <v>26</v>
      </c>
      <c r="H769" s="28">
        <v>16</v>
      </c>
      <c r="I769" s="28">
        <v>10</v>
      </c>
      <c r="J769" s="28">
        <v>13</v>
      </c>
      <c r="K769" s="28">
        <v>19</v>
      </c>
      <c r="L769" s="28">
        <v>29</v>
      </c>
      <c r="M769" s="28">
        <v>30</v>
      </c>
      <c r="N769" s="62">
        <v>31</v>
      </c>
      <c r="O769" s="62"/>
      <c r="R769" s="28">
        <v>293</v>
      </c>
    </row>
    <row r="770" spans="1:31" hidden="1">
      <c r="A770" s="28" t="s">
        <v>1435</v>
      </c>
      <c r="B770" s="62" t="s">
        <v>1810</v>
      </c>
      <c r="C770" s="28">
        <v>721</v>
      </c>
      <c r="D770" s="28">
        <v>615</v>
      </c>
      <c r="E770" s="28">
        <v>619</v>
      </c>
      <c r="F770" s="28">
        <v>460</v>
      </c>
      <c r="G770" s="28">
        <v>333</v>
      </c>
      <c r="H770" s="28">
        <v>175</v>
      </c>
      <c r="I770" s="28">
        <v>106</v>
      </c>
      <c r="J770" s="28">
        <v>136</v>
      </c>
      <c r="K770" s="28">
        <v>213</v>
      </c>
      <c r="L770" s="28">
        <v>393</v>
      </c>
      <c r="M770" s="28">
        <v>551</v>
      </c>
      <c r="N770" s="62">
        <v>712</v>
      </c>
      <c r="O770" s="62"/>
      <c r="R770" s="28">
        <v>5034</v>
      </c>
    </row>
    <row r="771" spans="1:31" ht="8.1" hidden="1" customHeight="1"/>
    <row r="772" spans="1:31" ht="8.1" hidden="1" customHeight="1"/>
    <row r="773" spans="1:31" ht="8.1" hidden="1" customHeight="1"/>
    <row r="774" spans="1:31" ht="8.1" hidden="1" customHeight="1"/>
    <row r="775" spans="1:31" ht="8.1" hidden="1" customHeight="1">
      <c r="M775" s="37"/>
    </row>
    <row r="776" spans="1:31" s="34" customFormat="1" ht="15.75" hidden="1">
      <c r="A776" s="61">
        <v>31</v>
      </c>
      <c r="B776" s="129"/>
      <c r="C776" s="129" t="s">
        <v>1580</v>
      </c>
      <c r="D776" s="129"/>
      <c r="E776" s="130"/>
      <c r="F776" s="130" t="s">
        <v>352</v>
      </c>
      <c r="G776" s="129">
        <v>487</v>
      </c>
      <c r="H776" s="131" t="s">
        <v>353</v>
      </c>
      <c r="I776" s="129"/>
      <c r="J776" s="129"/>
      <c r="K776" s="130" t="s">
        <v>354</v>
      </c>
      <c r="L776" s="131">
        <v>5</v>
      </c>
      <c r="M776" s="129" t="s">
        <v>355</v>
      </c>
      <c r="N776" s="131" t="s">
        <v>1439</v>
      </c>
      <c r="O776" s="130"/>
      <c r="P776" s="130" t="s">
        <v>357</v>
      </c>
      <c r="Q776" s="129">
        <v>-7</v>
      </c>
      <c r="R776" s="131" t="s">
        <v>2324</v>
      </c>
      <c r="S776" s="28"/>
      <c r="T776" s="28"/>
      <c r="U776" s="378"/>
      <c r="V776" s="368"/>
      <c r="W776" s="368"/>
      <c r="X776" s="368"/>
      <c r="Y776" s="368"/>
      <c r="Z776" s="368"/>
      <c r="AA776" s="368"/>
      <c r="AB776" s="368"/>
      <c r="AC776" s="368"/>
      <c r="AD776" s="368"/>
      <c r="AE776" s="510"/>
    </row>
    <row r="777" spans="1:31" hidden="1">
      <c r="B777" s="62"/>
      <c r="N777" s="62"/>
      <c r="O777" s="62"/>
      <c r="P777" s="53" t="s">
        <v>358</v>
      </c>
      <c r="Q777" s="45"/>
      <c r="R777" s="45"/>
    </row>
    <row r="778" spans="1:31" s="34" customFormat="1" hidden="1">
      <c r="B778" s="65"/>
      <c r="C778" s="95" t="s">
        <v>489</v>
      </c>
      <c r="D778" s="95" t="s">
        <v>490</v>
      </c>
      <c r="E778" s="95" t="s">
        <v>491</v>
      </c>
      <c r="F778" s="95" t="s">
        <v>492</v>
      </c>
      <c r="G778" s="95" t="s">
        <v>493</v>
      </c>
      <c r="H778" s="95" t="s">
        <v>494</v>
      </c>
      <c r="I778" s="95" t="s">
        <v>495</v>
      </c>
      <c r="J778" s="95" t="s">
        <v>496</v>
      </c>
      <c r="K778" s="95" t="s">
        <v>497</v>
      </c>
      <c r="L778" s="95" t="s">
        <v>498</v>
      </c>
      <c r="M778" s="95" t="s">
        <v>499</v>
      </c>
      <c r="N778" s="126" t="s">
        <v>500</v>
      </c>
      <c r="O778" s="126" t="s">
        <v>501</v>
      </c>
      <c r="P778" s="132" t="s">
        <v>359</v>
      </c>
      <c r="Q778" s="133" t="s">
        <v>1207</v>
      </c>
      <c r="R778" s="133" t="s">
        <v>1208</v>
      </c>
      <c r="S778" s="28"/>
      <c r="T778" s="28"/>
      <c r="U778" s="378"/>
      <c r="V778" s="368"/>
      <c r="W778" s="368"/>
      <c r="X778" s="368"/>
      <c r="Y778" s="368"/>
      <c r="Z778" s="368"/>
      <c r="AA778" s="368"/>
      <c r="AB778" s="368"/>
      <c r="AC778" s="368"/>
      <c r="AD778" s="368"/>
      <c r="AE778" s="510"/>
    </row>
    <row r="779" spans="1:31" hidden="1">
      <c r="B779" s="62"/>
      <c r="N779" s="62"/>
      <c r="O779" s="62"/>
    </row>
    <row r="780" spans="1:31" hidden="1">
      <c r="A780" s="28" t="s">
        <v>1209</v>
      </c>
      <c r="B780" s="62" t="s">
        <v>2324</v>
      </c>
      <c r="C780" s="28">
        <v>-0.4</v>
      </c>
      <c r="D780" s="28">
        <v>1.5</v>
      </c>
      <c r="E780" s="28">
        <v>4.4000000000000004</v>
      </c>
      <c r="F780" s="28">
        <v>9.1999999999999993</v>
      </c>
      <c r="G780" s="28">
        <v>13</v>
      </c>
      <c r="H780" s="28">
        <v>16.899999999999999</v>
      </c>
      <c r="I780" s="28">
        <v>18.8</v>
      </c>
      <c r="J780" s="28">
        <v>17.7</v>
      </c>
      <c r="K780" s="28">
        <v>15.3</v>
      </c>
      <c r="L780" s="28">
        <v>10.5</v>
      </c>
      <c r="M780" s="28">
        <v>4.9000000000000004</v>
      </c>
      <c r="N780" s="62">
        <v>0.3</v>
      </c>
      <c r="O780" s="62">
        <v>9.4</v>
      </c>
      <c r="P780" s="28">
        <v>3</v>
      </c>
      <c r="Q780" s="28">
        <v>4.2</v>
      </c>
      <c r="R780" s="28">
        <v>5.3</v>
      </c>
    </row>
    <row r="781" spans="1:31" hidden="1">
      <c r="B781" s="62"/>
      <c r="N781" s="62"/>
      <c r="O781" s="62"/>
    </row>
    <row r="782" spans="1:31" ht="12.6" hidden="1" customHeight="1">
      <c r="A782" s="28" t="s">
        <v>1210</v>
      </c>
      <c r="B782" s="62" t="s">
        <v>250</v>
      </c>
      <c r="C782" s="28">
        <v>95</v>
      </c>
      <c r="D782" s="28">
        <v>165</v>
      </c>
      <c r="E782" s="28">
        <v>310</v>
      </c>
      <c r="F782" s="28">
        <v>475</v>
      </c>
      <c r="G782" s="28">
        <v>574</v>
      </c>
      <c r="H782" s="28">
        <v>650</v>
      </c>
      <c r="I782" s="28">
        <v>671</v>
      </c>
      <c r="J782" s="28">
        <v>541</v>
      </c>
      <c r="K782" s="28">
        <v>386</v>
      </c>
      <c r="L782" s="28">
        <v>230</v>
      </c>
      <c r="M782" s="28">
        <v>107</v>
      </c>
      <c r="N782" s="62">
        <v>79</v>
      </c>
      <c r="O782" s="62">
        <v>4283</v>
      </c>
      <c r="P782" s="28">
        <v>1112</v>
      </c>
      <c r="Q782" s="28">
        <v>1489</v>
      </c>
      <c r="R782" s="28">
        <v>1934</v>
      </c>
    </row>
    <row r="783" spans="1:31" ht="12.6" hidden="1" customHeight="1">
      <c r="A783" s="28" t="s">
        <v>1211</v>
      </c>
      <c r="B783" s="62" t="s">
        <v>250</v>
      </c>
      <c r="C783" s="28">
        <v>151</v>
      </c>
      <c r="D783" s="28">
        <v>216</v>
      </c>
      <c r="E783" s="28">
        <v>291</v>
      </c>
      <c r="F783" s="28">
        <v>333</v>
      </c>
      <c r="G783" s="28">
        <v>304</v>
      </c>
      <c r="H783" s="28">
        <v>306</v>
      </c>
      <c r="I783" s="28">
        <v>329</v>
      </c>
      <c r="J783" s="28">
        <v>346</v>
      </c>
      <c r="K783" s="28">
        <v>347</v>
      </c>
      <c r="L783" s="28">
        <v>276</v>
      </c>
      <c r="M783" s="28">
        <v>171</v>
      </c>
      <c r="N783" s="62">
        <v>148</v>
      </c>
      <c r="O783" s="62">
        <v>3218</v>
      </c>
      <c r="P783" s="28">
        <v>1234</v>
      </c>
      <c r="Q783" s="28">
        <v>1523</v>
      </c>
      <c r="R783" s="28">
        <v>1825</v>
      </c>
    </row>
    <row r="784" spans="1:31" ht="12.6" hidden="1" customHeight="1">
      <c r="A784" s="28" t="s">
        <v>1212</v>
      </c>
      <c r="B784" s="62" t="s">
        <v>250</v>
      </c>
      <c r="C784" s="28">
        <v>58</v>
      </c>
      <c r="D784" s="28">
        <v>96</v>
      </c>
      <c r="E784" s="28">
        <v>177</v>
      </c>
      <c r="F784" s="28">
        <v>257</v>
      </c>
      <c r="G784" s="28">
        <v>304</v>
      </c>
      <c r="H784" s="28">
        <v>338</v>
      </c>
      <c r="I784" s="28">
        <v>342</v>
      </c>
      <c r="J784" s="28">
        <v>292</v>
      </c>
      <c r="K784" s="28">
        <v>212</v>
      </c>
      <c r="L784" s="28">
        <v>129</v>
      </c>
      <c r="M784" s="28">
        <v>63</v>
      </c>
      <c r="N784" s="62">
        <v>51</v>
      </c>
      <c r="O784" s="62">
        <v>2319</v>
      </c>
      <c r="P784" s="28">
        <v>637</v>
      </c>
      <c r="Q784" s="28">
        <v>841</v>
      </c>
      <c r="R784" s="28">
        <v>1080</v>
      </c>
    </row>
    <row r="785" spans="1:18" ht="12.6" hidden="1" customHeight="1">
      <c r="A785" s="28" t="s">
        <v>1213</v>
      </c>
      <c r="B785" s="62" t="s">
        <v>250</v>
      </c>
      <c r="C785" s="28">
        <v>67</v>
      </c>
      <c r="D785" s="28">
        <v>109</v>
      </c>
      <c r="E785" s="28">
        <v>177</v>
      </c>
      <c r="F785" s="28">
        <v>261</v>
      </c>
      <c r="G785" s="28">
        <v>298</v>
      </c>
      <c r="H785" s="28">
        <v>325</v>
      </c>
      <c r="I785" s="28">
        <v>342</v>
      </c>
      <c r="J785" s="28">
        <v>292</v>
      </c>
      <c r="K785" s="28">
        <v>228</v>
      </c>
      <c r="L785" s="28">
        <v>140</v>
      </c>
      <c r="M785" s="28">
        <v>72</v>
      </c>
      <c r="N785" s="62">
        <v>59</v>
      </c>
      <c r="O785" s="62">
        <v>2370</v>
      </c>
      <c r="P785" s="28">
        <v>679</v>
      </c>
      <c r="Q785" s="28">
        <v>888</v>
      </c>
      <c r="R785" s="28">
        <v>1130</v>
      </c>
    </row>
    <row r="786" spans="1:18" ht="12.6" hidden="1" customHeight="1">
      <c r="A786" s="28" t="s">
        <v>1214</v>
      </c>
      <c r="B786" s="62" t="s">
        <v>250</v>
      </c>
      <c r="C786" s="28">
        <v>33</v>
      </c>
      <c r="D786" s="28">
        <v>48</v>
      </c>
      <c r="E786" s="28">
        <v>81</v>
      </c>
      <c r="F786" s="28">
        <v>114</v>
      </c>
      <c r="G786" s="28">
        <v>161</v>
      </c>
      <c r="H786" s="28">
        <v>182</v>
      </c>
      <c r="I786" s="28">
        <v>174</v>
      </c>
      <c r="J786" s="28">
        <v>119</v>
      </c>
      <c r="K786" s="28">
        <v>89</v>
      </c>
      <c r="L786" s="28">
        <v>62</v>
      </c>
      <c r="M786" s="28">
        <v>33</v>
      </c>
      <c r="N786" s="62">
        <v>29</v>
      </c>
      <c r="O786" s="62">
        <v>1125</v>
      </c>
      <c r="P786" s="28">
        <v>314</v>
      </c>
      <c r="Q786" s="28">
        <v>412</v>
      </c>
      <c r="R786" s="28">
        <v>528</v>
      </c>
    </row>
    <row r="787" spans="1:18" hidden="1">
      <c r="B787" s="62"/>
      <c r="N787" s="62"/>
      <c r="O787" s="62"/>
    </row>
    <row r="788" spans="1:18" hidden="1">
      <c r="A788" s="28" t="s">
        <v>1215</v>
      </c>
      <c r="B788" s="62" t="s">
        <v>1808</v>
      </c>
      <c r="C788" s="28">
        <v>31</v>
      </c>
      <c r="D788" s="28">
        <v>28</v>
      </c>
      <c r="E788" s="28">
        <v>29</v>
      </c>
      <c r="F788" s="28">
        <v>17</v>
      </c>
      <c r="G788" s="28">
        <v>6</v>
      </c>
      <c r="H788" s="28">
        <v>1</v>
      </c>
      <c r="I788" s="28">
        <v>0</v>
      </c>
      <c r="J788" s="28">
        <v>0</v>
      </c>
      <c r="K788" s="28">
        <v>1</v>
      </c>
      <c r="L788" s="28">
        <v>13</v>
      </c>
      <c r="M788" s="28">
        <v>28</v>
      </c>
      <c r="N788" s="62">
        <v>31</v>
      </c>
      <c r="O788" s="62"/>
      <c r="P788" s="28">
        <v>185</v>
      </c>
    </row>
    <row r="789" spans="1:18" hidden="1">
      <c r="A789" s="28" t="s">
        <v>1809</v>
      </c>
      <c r="B789" s="62" t="s">
        <v>1810</v>
      </c>
      <c r="C789" s="28">
        <v>571</v>
      </c>
      <c r="D789" s="28">
        <v>460</v>
      </c>
      <c r="E789" s="28">
        <v>412</v>
      </c>
      <c r="F789" s="28">
        <v>196</v>
      </c>
      <c r="G789" s="28">
        <v>56</v>
      </c>
      <c r="H789" s="28">
        <v>7</v>
      </c>
      <c r="I789" s="28">
        <v>0</v>
      </c>
      <c r="J789" s="28">
        <v>0</v>
      </c>
      <c r="K789" s="28">
        <v>10</v>
      </c>
      <c r="L789" s="28">
        <v>138</v>
      </c>
      <c r="M789" s="28">
        <v>377</v>
      </c>
      <c r="N789" s="62">
        <v>546</v>
      </c>
      <c r="O789" s="62"/>
      <c r="P789" s="28">
        <v>2773</v>
      </c>
    </row>
    <row r="790" spans="1:18" hidden="1">
      <c r="B790" s="62"/>
      <c r="N790" s="62"/>
      <c r="O790" s="62"/>
    </row>
    <row r="791" spans="1:18" hidden="1">
      <c r="A791" s="28" t="s">
        <v>1886</v>
      </c>
      <c r="B791" s="62" t="s">
        <v>1808</v>
      </c>
      <c r="C791" s="28">
        <v>31</v>
      </c>
      <c r="D791" s="28">
        <v>28</v>
      </c>
      <c r="E791" s="28">
        <v>31</v>
      </c>
      <c r="F791" s="28">
        <v>23</v>
      </c>
      <c r="G791" s="28">
        <v>12</v>
      </c>
      <c r="H791" s="28">
        <v>3</v>
      </c>
      <c r="I791" s="28">
        <v>1</v>
      </c>
      <c r="J791" s="28">
        <v>1</v>
      </c>
      <c r="K791" s="28">
        <v>4</v>
      </c>
      <c r="L791" s="28">
        <v>21</v>
      </c>
      <c r="M791" s="28">
        <v>30</v>
      </c>
      <c r="N791" s="62">
        <v>31</v>
      </c>
      <c r="O791" s="62"/>
      <c r="Q791" s="28">
        <v>216</v>
      </c>
    </row>
    <row r="792" spans="1:18" hidden="1">
      <c r="A792" s="28" t="s">
        <v>1887</v>
      </c>
      <c r="B792" s="62" t="s">
        <v>1810</v>
      </c>
      <c r="C792" s="28">
        <v>633</v>
      </c>
      <c r="D792" s="28">
        <v>517</v>
      </c>
      <c r="E792" s="28">
        <v>481</v>
      </c>
      <c r="F792" s="28">
        <v>280</v>
      </c>
      <c r="G792" s="28">
        <v>127</v>
      </c>
      <c r="H792" s="28">
        <v>28</v>
      </c>
      <c r="I792" s="28">
        <v>6</v>
      </c>
      <c r="J792" s="28">
        <v>8</v>
      </c>
      <c r="K792" s="28">
        <v>41</v>
      </c>
      <c r="L792" s="28">
        <v>232</v>
      </c>
      <c r="M792" s="28">
        <v>450</v>
      </c>
      <c r="N792" s="62">
        <v>611</v>
      </c>
      <c r="O792" s="62"/>
      <c r="Q792" s="28">
        <v>3414</v>
      </c>
    </row>
    <row r="793" spans="1:18" hidden="1">
      <c r="B793" s="62"/>
      <c r="N793" s="62"/>
      <c r="O793" s="62"/>
    </row>
    <row r="794" spans="1:18" hidden="1">
      <c r="A794" s="28" t="s">
        <v>1434</v>
      </c>
      <c r="B794" s="62" t="s">
        <v>1808</v>
      </c>
      <c r="C794" s="28">
        <v>31</v>
      </c>
      <c r="D794" s="28">
        <v>28</v>
      </c>
      <c r="E794" s="28">
        <v>31</v>
      </c>
      <c r="F794" s="28">
        <v>27</v>
      </c>
      <c r="G794" s="28">
        <v>20</v>
      </c>
      <c r="H794" s="28">
        <v>6</v>
      </c>
      <c r="I794" s="28">
        <v>3</v>
      </c>
      <c r="J794" s="28">
        <v>4</v>
      </c>
      <c r="K794" s="28">
        <v>10</v>
      </c>
      <c r="L794" s="28">
        <v>26</v>
      </c>
      <c r="M794" s="28">
        <v>30</v>
      </c>
      <c r="N794" s="62">
        <v>31</v>
      </c>
      <c r="O794" s="62"/>
      <c r="R794" s="28">
        <v>247</v>
      </c>
    </row>
    <row r="795" spans="1:18" hidden="1">
      <c r="A795" s="28" t="s">
        <v>1435</v>
      </c>
      <c r="B795" s="62" t="s">
        <v>1810</v>
      </c>
      <c r="C795" s="28">
        <v>695</v>
      </c>
      <c r="D795" s="28">
        <v>573</v>
      </c>
      <c r="E795" s="28">
        <v>546</v>
      </c>
      <c r="F795" s="28">
        <v>364</v>
      </c>
      <c r="G795" s="28">
        <v>218</v>
      </c>
      <c r="H795" s="28">
        <v>65</v>
      </c>
      <c r="I795" s="28">
        <v>27</v>
      </c>
      <c r="J795" s="28">
        <v>35</v>
      </c>
      <c r="K795" s="28">
        <v>103</v>
      </c>
      <c r="L795" s="28">
        <v>326</v>
      </c>
      <c r="M795" s="28">
        <v>511</v>
      </c>
      <c r="N795" s="62">
        <v>673</v>
      </c>
      <c r="O795" s="62"/>
      <c r="R795" s="28">
        <v>4136</v>
      </c>
    </row>
    <row r="796" spans="1:18" ht="7.9" hidden="1" customHeight="1"/>
    <row r="797" spans="1:18" ht="7.9" hidden="1" customHeight="1"/>
    <row r="798" spans="1:18" ht="7.9" hidden="1" customHeight="1"/>
    <row r="799" spans="1:18" ht="7.9" hidden="1" customHeight="1"/>
    <row r="800" spans="1:18" ht="7.9" hidden="1" customHeight="1"/>
    <row r="801" spans="1:31" s="34" customFormat="1" ht="15.75" hidden="1">
      <c r="A801" s="61">
        <v>32</v>
      </c>
      <c r="B801" s="129"/>
      <c r="C801" s="129" t="s">
        <v>2253</v>
      </c>
      <c r="D801" s="129"/>
      <c r="E801" s="130"/>
      <c r="F801" s="130" t="s">
        <v>352</v>
      </c>
      <c r="G801" s="129">
        <v>449</v>
      </c>
      <c r="H801" s="131" t="s">
        <v>353</v>
      </c>
      <c r="I801" s="129"/>
      <c r="J801" s="129"/>
      <c r="K801" s="130" t="s">
        <v>354</v>
      </c>
      <c r="L801" s="131">
        <v>7</v>
      </c>
      <c r="M801" s="129" t="s">
        <v>355</v>
      </c>
      <c r="N801" s="131" t="s">
        <v>1585</v>
      </c>
      <c r="O801" s="130"/>
      <c r="P801" s="130" t="s">
        <v>357</v>
      </c>
      <c r="Q801" s="129">
        <v>-6</v>
      </c>
      <c r="R801" s="131" t="s">
        <v>2324</v>
      </c>
      <c r="S801" s="28"/>
      <c r="T801" s="28"/>
      <c r="U801" s="378"/>
      <c r="V801" s="368"/>
      <c r="W801" s="368"/>
      <c r="X801" s="368"/>
      <c r="Y801" s="368"/>
      <c r="Z801" s="368"/>
      <c r="AA801" s="368"/>
      <c r="AB801" s="368"/>
      <c r="AC801" s="368"/>
      <c r="AD801" s="368"/>
      <c r="AE801" s="510"/>
    </row>
    <row r="802" spans="1:31" hidden="1">
      <c r="B802" s="62"/>
      <c r="N802" s="62"/>
      <c r="O802" s="62"/>
      <c r="P802" s="53" t="s">
        <v>358</v>
      </c>
      <c r="Q802" s="45"/>
      <c r="R802" s="45"/>
    </row>
    <row r="803" spans="1:31" s="34" customFormat="1" hidden="1">
      <c r="B803" s="65"/>
      <c r="C803" s="95" t="s">
        <v>489</v>
      </c>
      <c r="D803" s="95" t="s">
        <v>490</v>
      </c>
      <c r="E803" s="95" t="s">
        <v>491</v>
      </c>
      <c r="F803" s="95" t="s">
        <v>492</v>
      </c>
      <c r="G803" s="95" t="s">
        <v>493</v>
      </c>
      <c r="H803" s="95" t="s">
        <v>494</v>
      </c>
      <c r="I803" s="95" t="s">
        <v>495</v>
      </c>
      <c r="J803" s="95" t="s">
        <v>496</v>
      </c>
      <c r="K803" s="95" t="s">
        <v>497</v>
      </c>
      <c r="L803" s="95" t="s">
        <v>498</v>
      </c>
      <c r="M803" s="95" t="s">
        <v>499</v>
      </c>
      <c r="N803" s="126" t="s">
        <v>500</v>
      </c>
      <c r="O803" s="126" t="s">
        <v>501</v>
      </c>
      <c r="P803" s="132" t="s">
        <v>359</v>
      </c>
      <c r="Q803" s="133" t="s">
        <v>1207</v>
      </c>
      <c r="R803" s="133" t="s">
        <v>1208</v>
      </c>
      <c r="S803" s="28"/>
      <c r="T803" s="28"/>
      <c r="U803" s="378"/>
      <c r="V803" s="368"/>
      <c r="W803" s="368"/>
      <c r="X803" s="368"/>
      <c r="Y803" s="368"/>
      <c r="Z803" s="368"/>
      <c r="AA803" s="368"/>
      <c r="AB803" s="368"/>
      <c r="AC803" s="368"/>
      <c r="AD803" s="368"/>
      <c r="AE803" s="510"/>
    </row>
    <row r="804" spans="1:31" hidden="1">
      <c r="B804" s="62"/>
      <c r="N804" s="62"/>
      <c r="O804" s="62"/>
    </row>
    <row r="805" spans="1:31" hidden="1">
      <c r="A805" s="28" t="s">
        <v>1209</v>
      </c>
      <c r="B805" s="62" t="s">
        <v>2324</v>
      </c>
      <c r="C805" s="28">
        <v>0.2</v>
      </c>
      <c r="D805" s="28">
        <v>1.9</v>
      </c>
      <c r="E805" s="28">
        <v>4.4000000000000004</v>
      </c>
      <c r="F805" s="28">
        <v>9.1999999999999993</v>
      </c>
      <c r="G805" s="28">
        <v>12.8</v>
      </c>
      <c r="H805" s="28">
        <v>16.3</v>
      </c>
      <c r="I805" s="28">
        <v>17.7</v>
      </c>
      <c r="J805" s="28">
        <v>16.8</v>
      </c>
      <c r="K805" s="28">
        <v>14.6</v>
      </c>
      <c r="L805" s="28">
        <v>10.199999999999999</v>
      </c>
      <c r="M805" s="28">
        <v>5.6</v>
      </c>
      <c r="N805" s="62">
        <v>0.2</v>
      </c>
      <c r="O805" s="62">
        <v>9.1999999999999993</v>
      </c>
      <c r="P805" s="28">
        <v>3</v>
      </c>
      <c r="Q805" s="28">
        <v>4.4000000000000004</v>
      </c>
      <c r="R805" s="28">
        <v>5.6</v>
      </c>
    </row>
    <row r="806" spans="1:31" hidden="1">
      <c r="B806" s="62"/>
      <c r="N806" s="62"/>
      <c r="O806" s="62"/>
    </row>
    <row r="807" spans="1:31" ht="12.6" hidden="1" customHeight="1">
      <c r="A807" s="28" t="s">
        <v>1210</v>
      </c>
      <c r="B807" s="62" t="s">
        <v>250</v>
      </c>
      <c r="C807" s="28">
        <v>117</v>
      </c>
      <c r="D807" s="28">
        <v>187</v>
      </c>
      <c r="E807" s="28">
        <v>349</v>
      </c>
      <c r="F807" s="28">
        <v>466</v>
      </c>
      <c r="G807" s="28">
        <v>576</v>
      </c>
      <c r="H807" s="28">
        <v>611</v>
      </c>
      <c r="I807" s="28">
        <v>633</v>
      </c>
      <c r="J807" s="28">
        <v>518</v>
      </c>
      <c r="K807" s="28">
        <v>417</v>
      </c>
      <c r="L807" s="28">
        <v>285</v>
      </c>
      <c r="M807" s="28">
        <v>126</v>
      </c>
      <c r="N807" s="62">
        <v>93</v>
      </c>
      <c r="O807" s="62">
        <v>4378</v>
      </c>
      <c r="P807" s="28">
        <v>1269</v>
      </c>
      <c r="Q807" s="28">
        <v>1691</v>
      </c>
      <c r="R807" s="28">
        <v>2215</v>
      </c>
    </row>
    <row r="808" spans="1:31" ht="12.6" hidden="1" customHeight="1">
      <c r="A808" s="28" t="s">
        <v>1211</v>
      </c>
      <c r="B808" s="62" t="s">
        <v>250</v>
      </c>
      <c r="C808" s="28">
        <v>186</v>
      </c>
      <c r="D808" s="28">
        <v>245</v>
      </c>
      <c r="E808" s="28">
        <v>328</v>
      </c>
      <c r="F808" s="28">
        <v>326</v>
      </c>
      <c r="G808" s="28">
        <v>305</v>
      </c>
      <c r="H808" s="28">
        <v>287</v>
      </c>
      <c r="I808" s="28">
        <v>310</v>
      </c>
      <c r="J808" s="28">
        <v>332</v>
      </c>
      <c r="K808" s="28">
        <v>375</v>
      </c>
      <c r="L808" s="28">
        <v>342</v>
      </c>
      <c r="M808" s="28">
        <v>202</v>
      </c>
      <c r="N808" s="62">
        <v>174</v>
      </c>
      <c r="O808" s="62">
        <v>3412</v>
      </c>
      <c r="P808" s="28">
        <v>1412</v>
      </c>
      <c r="Q808" s="28">
        <v>1744</v>
      </c>
      <c r="R808" s="28">
        <v>2116</v>
      </c>
    </row>
    <row r="809" spans="1:31" ht="12.6" hidden="1" customHeight="1">
      <c r="A809" s="28" t="s">
        <v>1212</v>
      </c>
      <c r="B809" s="62" t="s">
        <v>250</v>
      </c>
      <c r="C809" s="28">
        <v>71</v>
      </c>
      <c r="D809" s="28">
        <v>108</v>
      </c>
      <c r="E809" s="28">
        <v>199</v>
      </c>
      <c r="F809" s="28">
        <v>252</v>
      </c>
      <c r="G809" s="28">
        <v>305</v>
      </c>
      <c r="H809" s="28">
        <v>318</v>
      </c>
      <c r="I809" s="28">
        <v>323</v>
      </c>
      <c r="J809" s="28">
        <v>280</v>
      </c>
      <c r="K809" s="28">
        <v>229</v>
      </c>
      <c r="L809" s="28">
        <v>160</v>
      </c>
      <c r="M809" s="28">
        <v>74</v>
      </c>
      <c r="N809" s="62">
        <v>60</v>
      </c>
      <c r="O809" s="62">
        <v>2379</v>
      </c>
      <c r="P809" s="28">
        <v>725</v>
      </c>
      <c r="Q809" s="28">
        <v>954</v>
      </c>
      <c r="R809" s="28">
        <v>1236</v>
      </c>
    </row>
    <row r="810" spans="1:31" ht="12.6" hidden="1" customHeight="1">
      <c r="A810" s="28" t="s">
        <v>1213</v>
      </c>
      <c r="B810" s="62" t="s">
        <v>250</v>
      </c>
      <c r="C810" s="28">
        <v>83</v>
      </c>
      <c r="D810" s="28">
        <v>123</v>
      </c>
      <c r="E810" s="28">
        <v>199</v>
      </c>
      <c r="F810" s="28">
        <v>256</v>
      </c>
      <c r="G810" s="28">
        <v>300</v>
      </c>
      <c r="H810" s="28">
        <v>306</v>
      </c>
      <c r="I810" s="28">
        <v>323</v>
      </c>
      <c r="J810" s="28">
        <v>280</v>
      </c>
      <c r="K810" s="28">
        <v>246</v>
      </c>
      <c r="L810" s="28">
        <v>174</v>
      </c>
      <c r="M810" s="28">
        <v>84</v>
      </c>
      <c r="N810" s="62">
        <v>70</v>
      </c>
      <c r="O810" s="62">
        <v>2444</v>
      </c>
      <c r="P810" s="28">
        <v>775</v>
      </c>
      <c r="Q810" s="28">
        <v>1011</v>
      </c>
      <c r="R810" s="28">
        <v>1298</v>
      </c>
    </row>
    <row r="811" spans="1:31" ht="12.6" hidden="1" customHeight="1">
      <c r="A811" s="28" t="s">
        <v>1214</v>
      </c>
      <c r="B811" s="62" t="s">
        <v>250</v>
      </c>
      <c r="C811" s="28">
        <v>41</v>
      </c>
      <c r="D811" s="28">
        <v>54</v>
      </c>
      <c r="E811" s="28">
        <v>91</v>
      </c>
      <c r="F811" s="28">
        <v>112</v>
      </c>
      <c r="G811" s="28">
        <v>161</v>
      </c>
      <c r="H811" s="28">
        <v>171</v>
      </c>
      <c r="I811" s="28">
        <v>165</v>
      </c>
      <c r="J811" s="28">
        <v>114</v>
      </c>
      <c r="K811" s="28">
        <v>96</v>
      </c>
      <c r="L811" s="28">
        <v>77</v>
      </c>
      <c r="M811" s="28">
        <v>39</v>
      </c>
      <c r="N811" s="62">
        <v>34</v>
      </c>
      <c r="O811" s="62">
        <v>1155</v>
      </c>
      <c r="P811" s="28">
        <v>358</v>
      </c>
      <c r="Q811" s="28">
        <v>469</v>
      </c>
      <c r="R811" s="28">
        <v>605</v>
      </c>
    </row>
    <row r="812" spans="1:31" hidden="1">
      <c r="B812" s="62"/>
      <c r="N812" s="62"/>
      <c r="O812" s="62"/>
    </row>
    <row r="813" spans="1:31" hidden="1">
      <c r="A813" s="28" t="s">
        <v>1215</v>
      </c>
      <c r="B813" s="62" t="s">
        <v>1808</v>
      </c>
      <c r="C813" s="28">
        <v>30</v>
      </c>
      <c r="D813" s="28">
        <v>27</v>
      </c>
      <c r="E813" s="28">
        <v>29</v>
      </c>
      <c r="F813" s="28">
        <v>17</v>
      </c>
      <c r="G813" s="28">
        <v>7</v>
      </c>
      <c r="H813" s="28">
        <v>1</v>
      </c>
      <c r="I813" s="28">
        <v>1</v>
      </c>
      <c r="J813" s="28">
        <v>0</v>
      </c>
      <c r="K813" s="28">
        <v>2</v>
      </c>
      <c r="L813" s="28">
        <v>16</v>
      </c>
      <c r="M813" s="28">
        <v>26</v>
      </c>
      <c r="N813" s="62">
        <v>30</v>
      </c>
      <c r="O813" s="62"/>
      <c r="P813" s="28">
        <v>186</v>
      </c>
    </row>
    <row r="814" spans="1:31" hidden="1">
      <c r="A814" s="28" t="s">
        <v>1809</v>
      </c>
      <c r="B814" s="62" t="s">
        <v>1810</v>
      </c>
      <c r="C814" s="28">
        <v>549</v>
      </c>
      <c r="D814" s="28">
        <v>442</v>
      </c>
      <c r="E814" s="28">
        <v>413</v>
      </c>
      <c r="F814" s="28">
        <v>200</v>
      </c>
      <c r="G814" s="28">
        <v>71</v>
      </c>
      <c r="H814" s="28">
        <v>14</v>
      </c>
      <c r="I814" s="28">
        <v>5</v>
      </c>
      <c r="J814" s="28">
        <v>1</v>
      </c>
      <c r="K814" s="28">
        <v>17</v>
      </c>
      <c r="L814" s="28">
        <v>167</v>
      </c>
      <c r="M814" s="28">
        <v>353</v>
      </c>
      <c r="N814" s="62">
        <v>549</v>
      </c>
      <c r="O814" s="62"/>
      <c r="P814" s="28">
        <v>2781</v>
      </c>
    </row>
    <row r="815" spans="1:31" hidden="1">
      <c r="B815" s="62"/>
      <c r="N815" s="62"/>
      <c r="O815" s="62"/>
    </row>
    <row r="816" spans="1:31" hidden="1">
      <c r="A816" s="28" t="s">
        <v>1886</v>
      </c>
      <c r="B816" s="62" t="s">
        <v>1808</v>
      </c>
      <c r="C816" s="28">
        <v>31</v>
      </c>
      <c r="D816" s="28">
        <v>27</v>
      </c>
      <c r="E816" s="28">
        <v>30</v>
      </c>
      <c r="F816" s="28">
        <v>23</v>
      </c>
      <c r="G816" s="28">
        <v>13</v>
      </c>
      <c r="H816" s="28">
        <v>4</v>
      </c>
      <c r="I816" s="28">
        <v>2</v>
      </c>
      <c r="J816" s="28">
        <v>2</v>
      </c>
      <c r="K816" s="28">
        <v>6</v>
      </c>
      <c r="L816" s="28">
        <v>23</v>
      </c>
      <c r="M816" s="28">
        <v>28</v>
      </c>
      <c r="N816" s="62">
        <v>31</v>
      </c>
      <c r="O816" s="62"/>
      <c r="Q816" s="28">
        <v>220</v>
      </c>
    </row>
    <row r="817" spans="1:31" hidden="1">
      <c r="A817" s="28" t="s">
        <v>1887</v>
      </c>
      <c r="B817" s="62" t="s">
        <v>1810</v>
      </c>
      <c r="C817" s="28">
        <v>613</v>
      </c>
      <c r="D817" s="28">
        <v>502</v>
      </c>
      <c r="E817" s="28">
        <v>480</v>
      </c>
      <c r="F817" s="28">
        <v>284</v>
      </c>
      <c r="G817" s="28">
        <v>140</v>
      </c>
      <c r="H817" s="28">
        <v>39</v>
      </c>
      <c r="I817" s="28">
        <v>14</v>
      </c>
      <c r="J817" s="28">
        <v>19</v>
      </c>
      <c r="K817" s="28">
        <v>59</v>
      </c>
      <c r="L817" s="28">
        <v>261</v>
      </c>
      <c r="M817" s="28">
        <v>421</v>
      </c>
      <c r="N817" s="62">
        <v>611</v>
      </c>
      <c r="O817" s="62"/>
      <c r="Q817" s="28">
        <v>3443</v>
      </c>
    </row>
    <row r="818" spans="1:31" hidden="1">
      <c r="B818" s="62"/>
      <c r="N818" s="62"/>
      <c r="O818" s="62"/>
    </row>
    <row r="819" spans="1:31" hidden="1">
      <c r="A819" s="28" t="s">
        <v>1434</v>
      </c>
      <c r="B819" s="62" t="s">
        <v>1808</v>
      </c>
      <c r="C819" s="28">
        <v>31</v>
      </c>
      <c r="D819" s="28">
        <v>28</v>
      </c>
      <c r="E819" s="28">
        <v>31</v>
      </c>
      <c r="F819" s="28">
        <v>26</v>
      </c>
      <c r="G819" s="28">
        <v>21</v>
      </c>
      <c r="H819" s="28">
        <v>8</v>
      </c>
      <c r="I819" s="28">
        <v>5</v>
      </c>
      <c r="J819" s="28">
        <v>5</v>
      </c>
      <c r="K819" s="28">
        <v>14</v>
      </c>
      <c r="L819" s="28">
        <v>27</v>
      </c>
      <c r="M819" s="28">
        <v>29</v>
      </c>
      <c r="N819" s="62">
        <v>31</v>
      </c>
      <c r="O819" s="62"/>
      <c r="R819" s="28">
        <v>256</v>
      </c>
    </row>
    <row r="820" spans="1:31" hidden="1">
      <c r="A820" s="28" t="s">
        <v>1435</v>
      </c>
      <c r="B820" s="62" t="s">
        <v>1810</v>
      </c>
      <c r="C820" s="28">
        <v>674</v>
      </c>
      <c r="D820" s="28">
        <v>560</v>
      </c>
      <c r="E820" s="28">
        <v>546</v>
      </c>
      <c r="F820" s="28">
        <v>360</v>
      </c>
      <c r="G820" s="28">
        <v>232</v>
      </c>
      <c r="H820" s="28">
        <v>79</v>
      </c>
      <c r="I820" s="28">
        <v>45</v>
      </c>
      <c r="J820" s="28">
        <v>50</v>
      </c>
      <c r="K820" s="28">
        <v>141</v>
      </c>
      <c r="L820" s="28">
        <v>341</v>
      </c>
      <c r="M820" s="28">
        <v>484</v>
      </c>
      <c r="N820" s="62">
        <v>675</v>
      </c>
      <c r="O820" s="62"/>
      <c r="R820" s="28">
        <v>4187</v>
      </c>
    </row>
    <row r="821" spans="1:31" ht="7.9" hidden="1" customHeight="1"/>
    <row r="822" spans="1:31" ht="7.9" hidden="1" customHeight="1"/>
    <row r="823" spans="1:31" ht="7.9" hidden="1" customHeight="1"/>
    <row r="824" spans="1:31" ht="7.9" hidden="1" customHeight="1"/>
    <row r="825" spans="1:31" ht="7.9" hidden="1" customHeight="1"/>
    <row r="826" spans="1:31" s="34" customFormat="1" ht="15.75" hidden="1">
      <c r="A826" s="61">
        <v>33</v>
      </c>
      <c r="B826" s="129"/>
      <c r="C826" s="129" t="s">
        <v>889</v>
      </c>
      <c r="D826" s="129"/>
      <c r="E826" s="130"/>
      <c r="F826" s="130" t="s">
        <v>352</v>
      </c>
      <c r="G826" s="129">
        <v>1109</v>
      </c>
      <c r="H826" s="131" t="s">
        <v>353</v>
      </c>
      <c r="I826" s="129"/>
      <c r="J826" s="129"/>
      <c r="K826" s="130" t="s">
        <v>354</v>
      </c>
      <c r="L826" s="131">
        <v>7</v>
      </c>
      <c r="M826" s="129" t="s">
        <v>355</v>
      </c>
      <c r="N826" s="131" t="s">
        <v>1443</v>
      </c>
      <c r="O826" s="130"/>
      <c r="P826" s="130" t="s">
        <v>357</v>
      </c>
      <c r="Q826" s="129">
        <v>-9</v>
      </c>
      <c r="R826" s="131" t="s">
        <v>2324</v>
      </c>
      <c r="S826" s="28"/>
      <c r="T826" s="28"/>
      <c r="U826" s="378"/>
      <c r="V826" s="368"/>
      <c r="W826" s="368"/>
      <c r="X826" s="368"/>
      <c r="Y826" s="368"/>
      <c r="Z826" s="368"/>
      <c r="AA826" s="368"/>
      <c r="AB826" s="368"/>
      <c r="AC826" s="368"/>
      <c r="AD826" s="368"/>
      <c r="AE826" s="510"/>
    </row>
    <row r="827" spans="1:31" hidden="1">
      <c r="B827" s="62"/>
      <c r="N827" s="62"/>
      <c r="O827" s="62"/>
      <c r="P827" s="53" t="s">
        <v>358</v>
      </c>
      <c r="Q827" s="45"/>
      <c r="R827" s="45"/>
    </row>
    <row r="828" spans="1:31" s="34" customFormat="1" hidden="1">
      <c r="B828" s="65"/>
      <c r="C828" s="95" t="s">
        <v>489</v>
      </c>
      <c r="D828" s="95" t="s">
        <v>490</v>
      </c>
      <c r="E828" s="95" t="s">
        <v>491</v>
      </c>
      <c r="F828" s="95" t="s">
        <v>492</v>
      </c>
      <c r="G828" s="95" t="s">
        <v>493</v>
      </c>
      <c r="H828" s="95" t="s">
        <v>494</v>
      </c>
      <c r="I828" s="95" t="s">
        <v>495</v>
      </c>
      <c r="J828" s="95" t="s">
        <v>496</v>
      </c>
      <c r="K828" s="95" t="s">
        <v>497</v>
      </c>
      <c r="L828" s="95" t="s">
        <v>498</v>
      </c>
      <c r="M828" s="95" t="s">
        <v>499</v>
      </c>
      <c r="N828" s="126" t="s">
        <v>500</v>
      </c>
      <c r="O828" s="126" t="s">
        <v>501</v>
      </c>
      <c r="P828" s="132" t="s">
        <v>359</v>
      </c>
      <c r="Q828" s="133" t="s">
        <v>1207</v>
      </c>
      <c r="R828" s="133" t="s">
        <v>1208</v>
      </c>
      <c r="S828" s="28"/>
      <c r="T828" s="28"/>
      <c r="U828" s="378"/>
      <c r="V828" s="368"/>
      <c r="W828" s="368"/>
      <c r="X828" s="368"/>
      <c r="Y828" s="368"/>
      <c r="Z828" s="368"/>
      <c r="AA828" s="368"/>
      <c r="AB828" s="368"/>
      <c r="AC828" s="368"/>
      <c r="AD828" s="368"/>
      <c r="AE828" s="510"/>
    </row>
    <row r="829" spans="1:31" hidden="1">
      <c r="B829" s="62"/>
      <c r="N829" s="62"/>
      <c r="O829" s="62"/>
    </row>
    <row r="830" spans="1:31" hidden="1">
      <c r="A830" s="28" t="s">
        <v>1209</v>
      </c>
      <c r="B830" s="62" t="s">
        <v>2324</v>
      </c>
      <c r="C830" s="28">
        <v>-2.6</v>
      </c>
      <c r="D830" s="28">
        <v>-1.8</v>
      </c>
      <c r="E830" s="28">
        <v>0.4</v>
      </c>
      <c r="F830" s="28">
        <v>4.5</v>
      </c>
      <c r="G830" s="28">
        <v>8.4</v>
      </c>
      <c r="H830" s="28">
        <v>12.2</v>
      </c>
      <c r="I830" s="28">
        <v>13.9</v>
      </c>
      <c r="J830" s="28">
        <v>13.1</v>
      </c>
      <c r="K830" s="28">
        <v>11.5</v>
      </c>
      <c r="L830" s="28">
        <v>7.6</v>
      </c>
      <c r="M830" s="28">
        <v>2.2999999999999998</v>
      </c>
      <c r="N830" s="62">
        <v>-2.4</v>
      </c>
      <c r="O830" s="62">
        <v>5.6</v>
      </c>
      <c r="P830" s="28">
        <v>1.8</v>
      </c>
      <c r="Q830" s="28">
        <v>3</v>
      </c>
      <c r="R830" s="28">
        <v>4</v>
      </c>
    </row>
    <row r="831" spans="1:31" hidden="1">
      <c r="B831" s="62"/>
      <c r="N831" s="62"/>
      <c r="O831" s="62"/>
    </row>
    <row r="832" spans="1:31" ht="12.6" hidden="1" customHeight="1">
      <c r="A832" s="28" t="s">
        <v>1210</v>
      </c>
      <c r="B832" s="62" t="s">
        <v>250</v>
      </c>
      <c r="C832" s="28">
        <v>144</v>
      </c>
      <c r="D832" s="28">
        <v>212</v>
      </c>
      <c r="E832" s="28">
        <v>367</v>
      </c>
      <c r="F832" s="28">
        <v>493</v>
      </c>
      <c r="G832" s="28">
        <v>590</v>
      </c>
      <c r="H832" s="28">
        <v>594</v>
      </c>
      <c r="I832" s="28">
        <v>626</v>
      </c>
      <c r="J832" s="28">
        <v>515</v>
      </c>
      <c r="K832" s="28">
        <v>400</v>
      </c>
      <c r="L832" s="28">
        <v>302</v>
      </c>
      <c r="M832" s="28">
        <v>148</v>
      </c>
      <c r="N832" s="62">
        <v>126</v>
      </c>
      <c r="O832" s="62">
        <v>4517</v>
      </c>
      <c r="P832" s="28">
        <v>2310</v>
      </c>
      <c r="Q832" s="28">
        <v>2859</v>
      </c>
      <c r="R832" s="28">
        <v>3449</v>
      </c>
    </row>
    <row r="833" spans="1:18" ht="12.6" hidden="1" customHeight="1">
      <c r="A833" s="28" t="s">
        <v>1211</v>
      </c>
      <c r="B833" s="62" t="s">
        <v>250</v>
      </c>
      <c r="C833" s="28">
        <v>229</v>
      </c>
      <c r="D833" s="28">
        <v>278</v>
      </c>
      <c r="E833" s="28">
        <v>345</v>
      </c>
      <c r="F833" s="28">
        <v>345</v>
      </c>
      <c r="G833" s="28">
        <v>313</v>
      </c>
      <c r="H833" s="28">
        <v>279</v>
      </c>
      <c r="I833" s="28">
        <v>307</v>
      </c>
      <c r="J833" s="28">
        <v>330</v>
      </c>
      <c r="K833" s="28">
        <v>360</v>
      </c>
      <c r="L833" s="28">
        <v>362</v>
      </c>
      <c r="M833" s="28">
        <v>237</v>
      </c>
      <c r="N833" s="62">
        <v>236</v>
      </c>
      <c r="O833" s="62">
        <v>3621</v>
      </c>
      <c r="P833" s="28">
        <v>2251</v>
      </c>
      <c r="Q833" s="28">
        <v>2626</v>
      </c>
      <c r="R833" s="28">
        <v>2997</v>
      </c>
    </row>
    <row r="834" spans="1:18" ht="12.6" hidden="1" customHeight="1">
      <c r="A834" s="28" t="s">
        <v>1212</v>
      </c>
      <c r="B834" s="62" t="s">
        <v>250</v>
      </c>
      <c r="C834" s="28">
        <v>88</v>
      </c>
      <c r="D834" s="28">
        <v>123</v>
      </c>
      <c r="E834" s="28">
        <v>209</v>
      </c>
      <c r="F834" s="28">
        <v>266</v>
      </c>
      <c r="G834" s="28">
        <v>313</v>
      </c>
      <c r="H834" s="28">
        <v>309</v>
      </c>
      <c r="I834" s="28">
        <v>319</v>
      </c>
      <c r="J834" s="28">
        <v>278</v>
      </c>
      <c r="K834" s="28">
        <v>220</v>
      </c>
      <c r="L834" s="28">
        <v>169</v>
      </c>
      <c r="M834" s="28">
        <v>87</v>
      </c>
      <c r="N834" s="62">
        <v>82</v>
      </c>
      <c r="O834" s="62">
        <v>2463</v>
      </c>
      <c r="P834" s="28">
        <v>1295</v>
      </c>
      <c r="Q834" s="28">
        <v>1588</v>
      </c>
      <c r="R834" s="28">
        <v>1901</v>
      </c>
    </row>
    <row r="835" spans="1:18" ht="12.6" hidden="1" customHeight="1">
      <c r="A835" s="28" t="s">
        <v>1213</v>
      </c>
      <c r="B835" s="62" t="s">
        <v>250</v>
      </c>
      <c r="C835" s="28">
        <v>102</v>
      </c>
      <c r="D835" s="28">
        <v>140</v>
      </c>
      <c r="E835" s="28">
        <v>209</v>
      </c>
      <c r="F835" s="28">
        <v>271</v>
      </c>
      <c r="G835" s="28">
        <v>307</v>
      </c>
      <c r="H835" s="28">
        <v>297</v>
      </c>
      <c r="I835" s="28">
        <v>319</v>
      </c>
      <c r="J835" s="28">
        <v>278</v>
      </c>
      <c r="K835" s="28">
        <v>236</v>
      </c>
      <c r="L835" s="28">
        <v>184</v>
      </c>
      <c r="M835" s="28">
        <v>99</v>
      </c>
      <c r="N835" s="62">
        <v>95</v>
      </c>
      <c r="O835" s="62">
        <v>2537</v>
      </c>
      <c r="P835" s="28">
        <v>1362</v>
      </c>
      <c r="Q835" s="28">
        <v>1660</v>
      </c>
      <c r="R835" s="28">
        <v>1975</v>
      </c>
    </row>
    <row r="836" spans="1:18" ht="12.6" hidden="1" customHeight="1">
      <c r="A836" s="28" t="s">
        <v>1214</v>
      </c>
      <c r="B836" s="62" t="s">
        <v>250</v>
      </c>
      <c r="C836" s="28">
        <v>50</v>
      </c>
      <c r="D836" s="28">
        <v>61</v>
      </c>
      <c r="E836" s="28">
        <v>95</v>
      </c>
      <c r="F836" s="28">
        <v>118</v>
      </c>
      <c r="G836" s="28">
        <v>165</v>
      </c>
      <c r="H836" s="28">
        <v>166</v>
      </c>
      <c r="I836" s="28">
        <v>163</v>
      </c>
      <c r="J836" s="28">
        <v>113</v>
      </c>
      <c r="K836" s="28">
        <v>92</v>
      </c>
      <c r="L836" s="28">
        <v>82</v>
      </c>
      <c r="M836" s="28">
        <v>46</v>
      </c>
      <c r="N836" s="62">
        <v>47</v>
      </c>
      <c r="O836" s="62">
        <v>1198</v>
      </c>
      <c r="P836" s="28">
        <v>636</v>
      </c>
      <c r="Q836" s="28">
        <v>777</v>
      </c>
      <c r="R836" s="28">
        <v>928</v>
      </c>
    </row>
    <row r="837" spans="1:18" hidden="1">
      <c r="B837" s="62"/>
      <c r="N837" s="62"/>
      <c r="O837" s="62"/>
    </row>
    <row r="838" spans="1:18" hidden="1">
      <c r="A838" s="28" t="s">
        <v>1215</v>
      </c>
      <c r="B838" s="62" t="s">
        <v>1808</v>
      </c>
      <c r="C838" s="28">
        <v>31</v>
      </c>
      <c r="D838" s="28">
        <v>28</v>
      </c>
      <c r="E838" s="28">
        <v>31</v>
      </c>
      <c r="F838" s="28">
        <v>27</v>
      </c>
      <c r="G838" s="28">
        <v>21</v>
      </c>
      <c r="H838" s="28">
        <v>8</v>
      </c>
      <c r="I838" s="28">
        <v>5</v>
      </c>
      <c r="J838" s="28">
        <v>6</v>
      </c>
      <c r="K838" s="28">
        <v>11</v>
      </c>
      <c r="L838" s="28">
        <v>22</v>
      </c>
      <c r="M838" s="28">
        <v>29</v>
      </c>
      <c r="N838" s="62">
        <v>31</v>
      </c>
      <c r="O838" s="62"/>
      <c r="P838" s="28">
        <v>250</v>
      </c>
    </row>
    <row r="839" spans="1:18" hidden="1">
      <c r="A839" s="28" t="s">
        <v>1809</v>
      </c>
      <c r="B839" s="62" t="s">
        <v>1810</v>
      </c>
      <c r="C839" s="28">
        <v>638</v>
      </c>
      <c r="D839" s="28">
        <v>555</v>
      </c>
      <c r="E839" s="28">
        <v>544</v>
      </c>
      <c r="F839" s="28">
        <v>384</v>
      </c>
      <c r="G839" s="28">
        <v>246</v>
      </c>
      <c r="H839" s="28">
        <v>90</v>
      </c>
      <c r="I839" s="28">
        <v>49</v>
      </c>
      <c r="J839" s="28">
        <v>54</v>
      </c>
      <c r="K839" s="28">
        <v>111</v>
      </c>
      <c r="L839" s="28">
        <v>272</v>
      </c>
      <c r="M839" s="28">
        <v>462</v>
      </c>
      <c r="N839" s="62">
        <v>633</v>
      </c>
      <c r="O839" s="62"/>
      <c r="P839" s="28">
        <v>4038</v>
      </c>
    </row>
    <row r="840" spans="1:18" hidden="1">
      <c r="B840" s="62"/>
      <c r="N840" s="62"/>
      <c r="O840" s="62"/>
    </row>
    <row r="841" spans="1:18" hidden="1">
      <c r="A841" s="28" t="s">
        <v>1886</v>
      </c>
      <c r="B841" s="62" t="s">
        <v>1808</v>
      </c>
      <c r="C841" s="28">
        <v>31</v>
      </c>
      <c r="D841" s="28">
        <v>28</v>
      </c>
      <c r="E841" s="28">
        <v>31</v>
      </c>
      <c r="F841" s="28">
        <v>29</v>
      </c>
      <c r="G841" s="28">
        <v>25</v>
      </c>
      <c r="H841" s="28">
        <v>14</v>
      </c>
      <c r="I841" s="28">
        <v>10</v>
      </c>
      <c r="J841" s="28">
        <v>12</v>
      </c>
      <c r="K841" s="28">
        <v>17</v>
      </c>
      <c r="L841" s="28">
        <v>27</v>
      </c>
      <c r="M841" s="28">
        <v>30</v>
      </c>
      <c r="N841" s="62">
        <v>31</v>
      </c>
      <c r="O841" s="62"/>
      <c r="Q841" s="28">
        <v>285</v>
      </c>
    </row>
    <row r="842" spans="1:18" hidden="1">
      <c r="A842" s="28" t="s">
        <v>1887</v>
      </c>
      <c r="B842" s="62" t="s">
        <v>1810</v>
      </c>
      <c r="C842" s="28">
        <v>700</v>
      </c>
      <c r="D842" s="28">
        <v>611</v>
      </c>
      <c r="E842" s="28">
        <v>606</v>
      </c>
      <c r="F842" s="28">
        <v>456</v>
      </c>
      <c r="G842" s="28">
        <v>325</v>
      </c>
      <c r="H842" s="28">
        <v>155</v>
      </c>
      <c r="I842" s="28">
        <v>104</v>
      </c>
      <c r="J842" s="28">
        <v>124</v>
      </c>
      <c r="K842" s="28">
        <v>186</v>
      </c>
      <c r="L842" s="28">
        <v>358</v>
      </c>
      <c r="M842" s="28">
        <v>529</v>
      </c>
      <c r="N842" s="62">
        <v>695</v>
      </c>
      <c r="O842" s="62"/>
      <c r="Q842" s="28">
        <v>4849</v>
      </c>
    </row>
    <row r="843" spans="1:18" hidden="1">
      <c r="B843" s="62"/>
      <c r="N843" s="62"/>
      <c r="O843" s="62"/>
    </row>
    <row r="844" spans="1:18" hidden="1">
      <c r="A844" s="28" t="s">
        <v>1434</v>
      </c>
      <c r="B844" s="62" t="s">
        <v>1808</v>
      </c>
      <c r="C844" s="28">
        <v>31</v>
      </c>
      <c r="D844" s="28">
        <v>28</v>
      </c>
      <c r="E844" s="28">
        <v>31</v>
      </c>
      <c r="F844" s="28">
        <v>30</v>
      </c>
      <c r="G844" s="28">
        <v>29</v>
      </c>
      <c r="H844" s="28">
        <v>20</v>
      </c>
      <c r="I844" s="28">
        <v>16</v>
      </c>
      <c r="J844" s="28">
        <v>19</v>
      </c>
      <c r="K844" s="28">
        <v>22</v>
      </c>
      <c r="L844" s="28">
        <v>30</v>
      </c>
      <c r="M844" s="28">
        <v>30</v>
      </c>
      <c r="N844" s="62">
        <v>31</v>
      </c>
      <c r="O844" s="62"/>
      <c r="R844" s="28">
        <v>317</v>
      </c>
    </row>
    <row r="845" spans="1:18" hidden="1">
      <c r="A845" s="28" t="s">
        <v>1435</v>
      </c>
      <c r="B845" s="62" t="s">
        <v>1810</v>
      </c>
      <c r="C845" s="28">
        <v>762</v>
      </c>
      <c r="D845" s="28">
        <v>667</v>
      </c>
      <c r="E845" s="28">
        <v>668</v>
      </c>
      <c r="F845" s="28">
        <v>524</v>
      </c>
      <c r="G845" s="28">
        <v>407</v>
      </c>
      <c r="H845" s="28">
        <v>240</v>
      </c>
      <c r="I845" s="28">
        <v>174</v>
      </c>
      <c r="J845" s="28">
        <v>210</v>
      </c>
      <c r="K845" s="28">
        <v>268</v>
      </c>
      <c r="L845" s="28">
        <v>440</v>
      </c>
      <c r="M845" s="28">
        <v>590</v>
      </c>
      <c r="N845" s="62">
        <v>757</v>
      </c>
      <c r="O845" s="62"/>
      <c r="R845" s="28">
        <v>5707</v>
      </c>
    </row>
    <row r="846" spans="1:18" ht="7.9" hidden="1" customHeight="1"/>
    <row r="847" spans="1:18" ht="7.9" hidden="1" customHeight="1"/>
    <row r="848" spans="1:18" ht="7.9" hidden="1" customHeight="1"/>
    <row r="849" spans="1:31" ht="7.9" hidden="1" customHeight="1"/>
    <row r="850" spans="1:31" ht="7.9" hidden="1" customHeight="1"/>
    <row r="851" spans="1:31" s="34" customFormat="1" ht="15.75" hidden="1">
      <c r="A851" s="61">
        <v>34</v>
      </c>
      <c r="B851" s="129"/>
      <c r="C851" s="129" t="s">
        <v>2260</v>
      </c>
      <c r="D851" s="129"/>
      <c r="E851" s="130"/>
      <c r="F851" s="130" t="s">
        <v>352</v>
      </c>
      <c r="G851" s="129">
        <v>1865</v>
      </c>
      <c r="H851" s="131" t="s">
        <v>353</v>
      </c>
      <c r="I851" s="129"/>
      <c r="J851" s="129"/>
      <c r="K851" s="130" t="s">
        <v>354</v>
      </c>
      <c r="L851" s="131">
        <v>9</v>
      </c>
      <c r="M851" s="129" t="s">
        <v>355</v>
      </c>
      <c r="N851" s="131" t="s">
        <v>1583</v>
      </c>
      <c r="O851" s="130"/>
      <c r="P851" s="130" t="s">
        <v>357</v>
      </c>
      <c r="Q851" s="129">
        <v>-12</v>
      </c>
      <c r="R851" s="131" t="s">
        <v>2324</v>
      </c>
      <c r="S851" s="28"/>
      <c r="T851" s="28"/>
      <c r="U851" s="378"/>
      <c r="V851" s="368"/>
      <c r="W851" s="368"/>
      <c r="X851" s="368"/>
      <c r="Y851" s="368"/>
      <c r="Z851" s="368"/>
      <c r="AA851" s="368"/>
      <c r="AB851" s="368"/>
      <c r="AC851" s="368"/>
      <c r="AD851" s="368"/>
      <c r="AE851" s="510"/>
    </row>
    <row r="852" spans="1:31" hidden="1">
      <c r="B852" s="62"/>
      <c r="N852" s="62"/>
      <c r="O852" s="62"/>
      <c r="P852" s="53" t="s">
        <v>358</v>
      </c>
      <c r="Q852" s="45"/>
      <c r="R852" s="45"/>
    </row>
    <row r="853" spans="1:31" s="34" customFormat="1" hidden="1">
      <c r="B853" s="65"/>
      <c r="C853" s="95" t="s">
        <v>489</v>
      </c>
      <c r="D853" s="95" t="s">
        <v>490</v>
      </c>
      <c r="E853" s="95" t="s">
        <v>491</v>
      </c>
      <c r="F853" s="95" t="s">
        <v>492</v>
      </c>
      <c r="G853" s="95" t="s">
        <v>493</v>
      </c>
      <c r="H853" s="95" t="s">
        <v>494</v>
      </c>
      <c r="I853" s="95" t="s">
        <v>495</v>
      </c>
      <c r="J853" s="95" t="s">
        <v>496</v>
      </c>
      <c r="K853" s="95" t="s">
        <v>497</v>
      </c>
      <c r="L853" s="95" t="s">
        <v>498</v>
      </c>
      <c r="M853" s="95" t="s">
        <v>499</v>
      </c>
      <c r="N853" s="126" t="s">
        <v>500</v>
      </c>
      <c r="O853" s="126" t="s">
        <v>501</v>
      </c>
      <c r="P853" s="132" t="s">
        <v>359</v>
      </c>
      <c r="Q853" s="133" t="s">
        <v>1207</v>
      </c>
      <c r="R853" s="133" t="s">
        <v>1208</v>
      </c>
      <c r="S853" s="28"/>
      <c r="T853" s="28"/>
      <c r="U853" s="378"/>
      <c r="V853" s="368"/>
      <c r="W853" s="368"/>
      <c r="X853" s="368"/>
      <c r="Y853" s="368"/>
      <c r="Z853" s="368"/>
      <c r="AA853" s="368"/>
      <c r="AB853" s="368"/>
      <c r="AC853" s="368"/>
      <c r="AD853" s="368"/>
      <c r="AE853" s="510"/>
    </row>
    <row r="854" spans="1:31" hidden="1">
      <c r="B854" s="62"/>
      <c r="N854" s="62"/>
      <c r="O854" s="62"/>
    </row>
    <row r="855" spans="1:31" hidden="1">
      <c r="A855" s="28" t="s">
        <v>1209</v>
      </c>
      <c r="B855" s="62" t="s">
        <v>2324</v>
      </c>
      <c r="C855" s="28">
        <v>-5.4</v>
      </c>
      <c r="D855" s="28">
        <v>-5.5</v>
      </c>
      <c r="E855" s="28">
        <v>-3.4</v>
      </c>
      <c r="F855" s="28">
        <v>0.6</v>
      </c>
      <c r="G855" s="28">
        <v>4.3</v>
      </c>
      <c r="H855" s="28">
        <v>8.4</v>
      </c>
      <c r="I855" s="28">
        <v>10.3</v>
      </c>
      <c r="J855" s="28">
        <v>9.6999999999999993</v>
      </c>
      <c r="K855" s="28">
        <v>8.1</v>
      </c>
      <c r="L855" s="28">
        <v>4.9000000000000004</v>
      </c>
      <c r="M855" s="28">
        <v>-0.8</v>
      </c>
      <c r="N855" s="62">
        <v>-5.2</v>
      </c>
      <c r="O855" s="62">
        <v>2.2000000000000002</v>
      </c>
      <c r="P855" s="28">
        <v>0.4</v>
      </c>
      <c r="Q855" s="28">
        <v>1.1000000000000001</v>
      </c>
      <c r="R855" s="28">
        <v>1.7</v>
      </c>
    </row>
    <row r="856" spans="1:31" hidden="1">
      <c r="B856" s="62"/>
      <c r="N856" s="62"/>
      <c r="O856" s="62"/>
    </row>
    <row r="857" spans="1:31" ht="12.6" hidden="1" customHeight="1">
      <c r="A857" s="28" t="s">
        <v>1210</v>
      </c>
      <c r="B857" s="62" t="s">
        <v>250</v>
      </c>
      <c r="C857" s="28">
        <v>177</v>
      </c>
      <c r="D857" s="28">
        <v>247</v>
      </c>
      <c r="E857" s="28">
        <v>423</v>
      </c>
      <c r="F857" s="28">
        <v>546</v>
      </c>
      <c r="G857" s="28">
        <v>633</v>
      </c>
      <c r="H857" s="28">
        <v>608</v>
      </c>
      <c r="I857" s="28">
        <v>645</v>
      </c>
      <c r="J857" s="28">
        <v>553</v>
      </c>
      <c r="K857" s="28">
        <v>440</v>
      </c>
      <c r="L857" s="28">
        <v>341</v>
      </c>
      <c r="M857" s="28">
        <v>184</v>
      </c>
      <c r="N857" s="62">
        <v>157</v>
      </c>
      <c r="O857" s="62">
        <v>4954</v>
      </c>
      <c r="P857" s="28">
        <v>3707</v>
      </c>
      <c r="Q857" s="28">
        <v>4218</v>
      </c>
      <c r="R857" s="28">
        <v>4590</v>
      </c>
    </row>
    <row r="858" spans="1:31" ht="12.6" hidden="1" customHeight="1">
      <c r="A858" s="28" t="s">
        <v>1211</v>
      </c>
      <c r="B858" s="62" t="s">
        <v>250</v>
      </c>
      <c r="C858" s="28">
        <v>281</v>
      </c>
      <c r="D858" s="28">
        <v>324</v>
      </c>
      <c r="E858" s="28">
        <v>398</v>
      </c>
      <c r="F858" s="28">
        <v>382</v>
      </c>
      <c r="G858" s="28">
        <v>335</v>
      </c>
      <c r="H858" s="28">
        <v>286</v>
      </c>
      <c r="I858" s="28">
        <v>316</v>
      </c>
      <c r="J858" s="28">
        <v>354</v>
      </c>
      <c r="K858" s="28">
        <v>396</v>
      </c>
      <c r="L858" s="28">
        <v>409</v>
      </c>
      <c r="M858" s="28">
        <v>294</v>
      </c>
      <c r="N858" s="62">
        <v>294</v>
      </c>
      <c r="O858" s="62">
        <v>4069</v>
      </c>
      <c r="P858" s="28">
        <v>3323</v>
      </c>
      <c r="Q858" s="28">
        <v>3646</v>
      </c>
      <c r="R858" s="28">
        <v>3869</v>
      </c>
    </row>
    <row r="859" spans="1:31" ht="12.6" hidden="1" customHeight="1">
      <c r="A859" s="28" t="s">
        <v>1212</v>
      </c>
      <c r="B859" s="62" t="s">
        <v>250</v>
      </c>
      <c r="C859" s="28">
        <v>108</v>
      </c>
      <c r="D859" s="28">
        <v>143</v>
      </c>
      <c r="E859" s="28">
        <v>241</v>
      </c>
      <c r="F859" s="28">
        <v>295</v>
      </c>
      <c r="G859" s="28">
        <v>335</v>
      </c>
      <c r="H859" s="28">
        <v>316</v>
      </c>
      <c r="I859" s="28">
        <v>329</v>
      </c>
      <c r="J859" s="28">
        <v>299</v>
      </c>
      <c r="K859" s="28">
        <v>242</v>
      </c>
      <c r="L859" s="28">
        <v>191</v>
      </c>
      <c r="M859" s="28">
        <v>109</v>
      </c>
      <c r="N859" s="62">
        <v>102</v>
      </c>
      <c r="O859" s="62">
        <v>2710</v>
      </c>
      <c r="P859" s="28">
        <v>2052</v>
      </c>
      <c r="Q859" s="28">
        <v>2323</v>
      </c>
      <c r="R859" s="28">
        <v>2520</v>
      </c>
    </row>
    <row r="860" spans="1:31" ht="12.6" hidden="1" customHeight="1">
      <c r="A860" s="28" t="s">
        <v>1213</v>
      </c>
      <c r="B860" s="62" t="s">
        <v>250</v>
      </c>
      <c r="C860" s="28">
        <v>126</v>
      </c>
      <c r="D860" s="28">
        <v>163</v>
      </c>
      <c r="E860" s="28">
        <v>241</v>
      </c>
      <c r="F860" s="28">
        <v>300</v>
      </c>
      <c r="G860" s="28">
        <v>329</v>
      </c>
      <c r="H860" s="28">
        <v>304</v>
      </c>
      <c r="I860" s="28">
        <v>329</v>
      </c>
      <c r="J860" s="28">
        <v>299</v>
      </c>
      <c r="K860" s="28">
        <v>260</v>
      </c>
      <c r="L860" s="28">
        <v>208</v>
      </c>
      <c r="M860" s="28">
        <v>123</v>
      </c>
      <c r="N860" s="62">
        <v>118</v>
      </c>
      <c r="O860" s="62">
        <v>2800</v>
      </c>
      <c r="P860" s="28">
        <v>2140</v>
      </c>
      <c r="Q860" s="28">
        <v>2413</v>
      </c>
      <c r="R860" s="28">
        <v>2610</v>
      </c>
    </row>
    <row r="861" spans="1:31" ht="12.6" hidden="1" customHeight="1">
      <c r="A861" s="28" t="s">
        <v>1214</v>
      </c>
      <c r="B861" s="62" t="s">
        <v>250</v>
      </c>
      <c r="C861" s="28">
        <v>62</v>
      </c>
      <c r="D861" s="28">
        <v>72</v>
      </c>
      <c r="E861" s="28">
        <v>110</v>
      </c>
      <c r="F861" s="28">
        <v>131</v>
      </c>
      <c r="G861" s="28">
        <v>177</v>
      </c>
      <c r="H861" s="28">
        <v>170</v>
      </c>
      <c r="I861" s="28">
        <v>168</v>
      </c>
      <c r="J861" s="28">
        <v>122</v>
      </c>
      <c r="K861" s="28">
        <v>101</v>
      </c>
      <c r="L861" s="28">
        <v>92</v>
      </c>
      <c r="M861" s="28">
        <v>57</v>
      </c>
      <c r="N861" s="62">
        <v>58</v>
      </c>
      <c r="O861" s="62">
        <v>1320</v>
      </c>
      <c r="P861" s="28">
        <v>1007</v>
      </c>
      <c r="Q861" s="28">
        <v>1136</v>
      </c>
      <c r="R861" s="28">
        <v>1228</v>
      </c>
    </row>
    <row r="862" spans="1:31" hidden="1">
      <c r="B862" s="62"/>
      <c r="N862" s="62"/>
      <c r="O862" s="62"/>
    </row>
    <row r="863" spans="1:31" hidden="1">
      <c r="A863" s="28" t="s">
        <v>1215</v>
      </c>
      <c r="B863" s="62" t="s">
        <v>1808</v>
      </c>
      <c r="C863" s="28">
        <v>31</v>
      </c>
      <c r="D863" s="28">
        <v>28</v>
      </c>
      <c r="E863" s="28">
        <v>31</v>
      </c>
      <c r="F863" s="28">
        <v>30</v>
      </c>
      <c r="G863" s="28">
        <v>30</v>
      </c>
      <c r="H863" s="28">
        <v>19</v>
      </c>
      <c r="I863" s="28">
        <v>14</v>
      </c>
      <c r="J863" s="28">
        <v>16</v>
      </c>
      <c r="K863" s="28">
        <v>21</v>
      </c>
      <c r="L863" s="28">
        <v>29</v>
      </c>
      <c r="M863" s="28">
        <v>30</v>
      </c>
      <c r="N863" s="62">
        <v>31</v>
      </c>
      <c r="O863" s="62"/>
      <c r="P863" s="28">
        <v>310</v>
      </c>
    </row>
    <row r="864" spans="1:31" hidden="1">
      <c r="A864" s="28" t="s">
        <v>1809</v>
      </c>
      <c r="B864" s="62" t="s">
        <v>1810</v>
      </c>
      <c r="C864" s="28">
        <v>727</v>
      </c>
      <c r="D864" s="28">
        <v>657</v>
      </c>
      <c r="E864" s="28">
        <v>663</v>
      </c>
      <c r="F864" s="28">
        <v>522</v>
      </c>
      <c r="G864" s="28">
        <v>417</v>
      </c>
      <c r="H864" s="28">
        <v>229</v>
      </c>
      <c r="I864" s="28">
        <v>153</v>
      </c>
      <c r="J864" s="28">
        <v>180</v>
      </c>
      <c r="K864" s="28">
        <v>240</v>
      </c>
      <c r="L864" s="28">
        <v>393</v>
      </c>
      <c r="M864" s="28">
        <v>564</v>
      </c>
      <c r="N864" s="62">
        <v>720</v>
      </c>
      <c r="O864" s="62"/>
      <c r="P864" s="28">
        <v>5465</v>
      </c>
    </row>
    <row r="865" spans="1:31" hidden="1">
      <c r="B865" s="62"/>
      <c r="N865" s="62"/>
      <c r="O865" s="62"/>
    </row>
    <row r="866" spans="1:31" hidden="1">
      <c r="A866" s="28" t="s">
        <v>1886</v>
      </c>
      <c r="B866" s="62" t="s">
        <v>1808</v>
      </c>
      <c r="C866" s="28">
        <v>31</v>
      </c>
      <c r="D866" s="28">
        <v>28</v>
      </c>
      <c r="E866" s="28">
        <v>31</v>
      </c>
      <c r="F866" s="28">
        <v>30</v>
      </c>
      <c r="G866" s="28">
        <v>30</v>
      </c>
      <c r="H866" s="28">
        <v>25</v>
      </c>
      <c r="I866" s="28">
        <v>20</v>
      </c>
      <c r="J866" s="28">
        <v>22</v>
      </c>
      <c r="K866" s="28">
        <v>26</v>
      </c>
      <c r="L866" s="28">
        <v>31</v>
      </c>
      <c r="M866" s="28">
        <v>30</v>
      </c>
      <c r="N866" s="62">
        <v>31</v>
      </c>
      <c r="O866" s="62"/>
      <c r="Q866" s="28">
        <v>335</v>
      </c>
    </row>
    <row r="867" spans="1:31" hidden="1">
      <c r="A867" s="28" t="s">
        <v>1887</v>
      </c>
      <c r="B867" s="62" t="s">
        <v>1810</v>
      </c>
      <c r="C867" s="28">
        <v>789</v>
      </c>
      <c r="D867" s="28">
        <v>713</v>
      </c>
      <c r="E867" s="28">
        <v>725</v>
      </c>
      <c r="F867" s="28">
        <v>582</v>
      </c>
      <c r="G867" s="28">
        <v>483</v>
      </c>
      <c r="H867" s="28">
        <v>318</v>
      </c>
      <c r="I867" s="28">
        <v>235</v>
      </c>
      <c r="J867" s="28">
        <v>267</v>
      </c>
      <c r="K867" s="28">
        <v>330</v>
      </c>
      <c r="L867" s="28">
        <v>469</v>
      </c>
      <c r="M867" s="28">
        <v>624</v>
      </c>
      <c r="N867" s="62">
        <v>782</v>
      </c>
      <c r="O867" s="62"/>
      <c r="Q867" s="28">
        <v>6317</v>
      </c>
    </row>
    <row r="868" spans="1:31" hidden="1">
      <c r="B868" s="62"/>
      <c r="N868" s="62"/>
      <c r="O868" s="62"/>
    </row>
    <row r="869" spans="1:31" hidden="1">
      <c r="A869" s="28" t="s">
        <v>1434</v>
      </c>
      <c r="B869" s="62" t="s">
        <v>1808</v>
      </c>
      <c r="C869" s="28">
        <v>31</v>
      </c>
      <c r="D869" s="28">
        <v>28</v>
      </c>
      <c r="E869" s="28">
        <v>31</v>
      </c>
      <c r="F869" s="28">
        <v>30</v>
      </c>
      <c r="G869" s="28">
        <v>31</v>
      </c>
      <c r="H869" s="28">
        <v>27</v>
      </c>
      <c r="I869" s="28">
        <v>25</v>
      </c>
      <c r="J869" s="28">
        <v>27</v>
      </c>
      <c r="K869" s="28">
        <v>29</v>
      </c>
      <c r="L869" s="28">
        <v>31</v>
      </c>
      <c r="M869" s="28">
        <v>30</v>
      </c>
      <c r="N869" s="62">
        <v>31</v>
      </c>
      <c r="O869" s="62"/>
      <c r="R869" s="28">
        <v>351</v>
      </c>
    </row>
    <row r="870" spans="1:31" hidden="1">
      <c r="A870" s="28" t="s">
        <v>1435</v>
      </c>
      <c r="B870" s="62" t="s">
        <v>1810</v>
      </c>
      <c r="C870" s="28">
        <v>851</v>
      </c>
      <c r="D870" s="28">
        <v>769</v>
      </c>
      <c r="E870" s="28">
        <v>787</v>
      </c>
      <c r="F870" s="28">
        <v>642</v>
      </c>
      <c r="G870" s="28">
        <v>548</v>
      </c>
      <c r="H870" s="28">
        <v>390</v>
      </c>
      <c r="I870" s="28">
        <v>322</v>
      </c>
      <c r="J870" s="28">
        <v>358</v>
      </c>
      <c r="K870" s="28">
        <v>406</v>
      </c>
      <c r="L870" s="28">
        <v>531</v>
      </c>
      <c r="M870" s="28">
        <v>684</v>
      </c>
      <c r="N870" s="62">
        <v>843</v>
      </c>
      <c r="O870" s="62"/>
      <c r="R870" s="28">
        <v>7131</v>
      </c>
    </row>
    <row r="871" spans="1:31" ht="7.9" hidden="1" customHeight="1"/>
    <row r="872" spans="1:31" ht="7.9" hidden="1" customHeight="1"/>
    <row r="873" spans="1:31" ht="7.9" hidden="1" customHeight="1"/>
    <row r="874" spans="1:31" ht="7.9" hidden="1" customHeight="1"/>
    <row r="875" spans="1:31" ht="7.9" hidden="1" customHeight="1"/>
    <row r="876" spans="1:31" s="34" customFormat="1" ht="15.75" hidden="1">
      <c r="A876" s="61">
        <v>35</v>
      </c>
      <c r="B876" s="129"/>
      <c r="C876" s="129" t="s">
        <v>882</v>
      </c>
      <c r="D876" s="129"/>
      <c r="E876" s="130"/>
      <c r="F876" s="130" t="s">
        <v>352</v>
      </c>
      <c r="G876" s="129">
        <v>582</v>
      </c>
      <c r="H876" s="131" t="s">
        <v>353</v>
      </c>
      <c r="I876" s="129"/>
      <c r="J876" s="129"/>
      <c r="K876" s="130" t="s">
        <v>354</v>
      </c>
      <c r="L876" s="131">
        <v>9</v>
      </c>
      <c r="M876" s="129" t="s">
        <v>355</v>
      </c>
      <c r="N876" s="131" t="s">
        <v>1585</v>
      </c>
      <c r="O876" s="130"/>
      <c r="P876" s="130" t="s">
        <v>357</v>
      </c>
      <c r="Q876" s="129">
        <v>-8</v>
      </c>
      <c r="R876" s="131" t="s">
        <v>2324</v>
      </c>
      <c r="S876" s="28"/>
      <c r="T876" s="28"/>
      <c r="U876" s="378"/>
      <c r="V876" s="368"/>
      <c r="W876" s="368"/>
      <c r="X876" s="368"/>
      <c r="Y876" s="368"/>
      <c r="Z876" s="368"/>
      <c r="AA876" s="368"/>
      <c r="AB876" s="368"/>
      <c r="AC876" s="368"/>
      <c r="AD876" s="368"/>
      <c r="AE876" s="510"/>
    </row>
    <row r="877" spans="1:31" hidden="1">
      <c r="B877" s="62"/>
      <c r="N877" s="62"/>
      <c r="O877" s="62"/>
      <c r="P877" s="53" t="s">
        <v>358</v>
      </c>
      <c r="Q877" s="45"/>
      <c r="R877" s="45"/>
    </row>
    <row r="878" spans="1:31" s="34" customFormat="1" hidden="1">
      <c r="B878" s="65"/>
      <c r="C878" s="95" t="s">
        <v>489</v>
      </c>
      <c r="D878" s="95" t="s">
        <v>490</v>
      </c>
      <c r="E878" s="95" t="s">
        <v>491</v>
      </c>
      <c r="F878" s="95" t="s">
        <v>492</v>
      </c>
      <c r="G878" s="95" t="s">
        <v>493</v>
      </c>
      <c r="H878" s="95" t="s">
        <v>494</v>
      </c>
      <c r="I878" s="95" t="s">
        <v>495</v>
      </c>
      <c r="J878" s="95" t="s">
        <v>496</v>
      </c>
      <c r="K878" s="95" t="s">
        <v>497</v>
      </c>
      <c r="L878" s="95" t="s">
        <v>498</v>
      </c>
      <c r="M878" s="95" t="s">
        <v>499</v>
      </c>
      <c r="N878" s="126" t="s">
        <v>500</v>
      </c>
      <c r="O878" s="126" t="s">
        <v>501</v>
      </c>
      <c r="P878" s="132" t="s">
        <v>359</v>
      </c>
      <c r="Q878" s="133" t="s">
        <v>1207</v>
      </c>
      <c r="R878" s="133" t="s">
        <v>1208</v>
      </c>
      <c r="S878" s="28"/>
      <c r="T878" s="28"/>
      <c r="U878" s="378"/>
      <c r="V878" s="368"/>
      <c r="W878" s="368"/>
      <c r="X878" s="368"/>
      <c r="Y878" s="368"/>
      <c r="Z878" s="368"/>
      <c r="AA878" s="368"/>
      <c r="AB878" s="368"/>
      <c r="AC878" s="368"/>
      <c r="AD878" s="368"/>
      <c r="AE878" s="510"/>
    </row>
    <row r="879" spans="1:31" hidden="1">
      <c r="B879" s="62"/>
      <c r="N879" s="62"/>
      <c r="O879" s="62"/>
    </row>
    <row r="880" spans="1:31" hidden="1">
      <c r="A880" s="28" t="s">
        <v>1209</v>
      </c>
      <c r="B880" s="62" t="s">
        <v>2324</v>
      </c>
      <c r="C880" s="28">
        <v>-0.7</v>
      </c>
      <c r="D880" s="28">
        <v>1.3</v>
      </c>
      <c r="E880" s="28">
        <v>4.4000000000000004</v>
      </c>
      <c r="F880" s="28">
        <v>9.1999999999999993</v>
      </c>
      <c r="G880" s="28">
        <v>12.8</v>
      </c>
      <c r="H880" s="28">
        <v>16.5</v>
      </c>
      <c r="I880" s="28">
        <v>18</v>
      </c>
      <c r="J880" s="28">
        <v>16.899999999999999</v>
      </c>
      <c r="K880" s="28">
        <v>14.9</v>
      </c>
      <c r="L880" s="28">
        <v>10.6</v>
      </c>
      <c r="M880" s="28">
        <v>5</v>
      </c>
      <c r="N880" s="62">
        <v>-1.3</v>
      </c>
      <c r="O880" s="62">
        <v>9</v>
      </c>
      <c r="P880" s="28">
        <v>2.7</v>
      </c>
      <c r="Q880" s="28">
        <v>3.8</v>
      </c>
      <c r="R880" s="28">
        <v>5</v>
      </c>
    </row>
    <row r="881" spans="1:18" hidden="1">
      <c r="B881" s="62"/>
      <c r="N881" s="62"/>
      <c r="O881" s="62"/>
    </row>
    <row r="882" spans="1:18" ht="12.6" hidden="1" customHeight="1">
      <c r="A882" s="28" t="s">
        <v>1210</v>
      </c>
      <c r="B882" s="62" t="s">
        <v>250</v>
      </c>
      <c r="C882" s="28">
        <v>146</v>
      </c>
      <c r="D882" s="28">
        <v>209</v>
      </c>
      <c r="E882" s="28">
        <v>358</v>
      </c>
      <c r="F882" s="28">
        <v>478</v>
      </c>
      <c r="G882" s="28">
        <v>567</v>
      </c>
      <c r="H882" s="28">
        <v>595</v>
      </c>
      <c r="I882" s="28">
        <v>621</v>
      </c>
      <c r="J882" s="28">
        <v>528</v>
      </c>
      <c r="K882" s="28">
        <v>426</v>
      </c>
      <c r="L882" s="28">
        <v>310</v>
      </c>
      <c r="M882" s="28">
        <v>149</v>
      </c>
      <c r="N882" s="62">
        <v>122</v>
      </c>
      <c r="O882" s="62">
        <v>4509</v>
      </c>
      <c r="P882" s="28">
        <v>1403</v>
      </c>
      <c r="Q882" s="28">
        <v>1789</v>
      </c>
      <c r="R882" s="28">
        <v>2291</v>
      </c>
    </row>
    <row r="883" spans="1:18" ht="12.6" hidden="1" customHeight="1">
      <c r="A883" s="28" t="s">
        <v>1211</v>
      </c>
      <c r="B883" s="62" t="s">
        <v>250</v>
      </c>
      <c r="C883" s="28">
        <v>232</v>
      </c>
      <c r="D883" s="28">
        <v>274</v>
      </c>
      <c r="E883" s="28">
        <v>337</v>
      </c>
      <c r="F883" s="28">
        <v>335</v>
      </c>
      <c r="G883" s="28">
        <v>301</v>
      </c>
      <c r="H883" s="28">
        <v>280</v>
      </c>
      <c r="I883" s="28">
        <v>304</v>
      </c>
      <c r="J883" s="28">
        <v>338</v>
      </c>
      <c r="K883" s="28">
        <v>383</v>
      </c>
      <c r="L883" s="28">
        <v>372</v>
      </c>
      <c r="M883" s="28">
        <v>238</v>
      </c>
      <c r="N883" s="62">
        <v>228</v>
      </c>
      <c r="O883" s="62">
        <v>3622</v>
      </c>
      <c r="P883" s="28">
        <v>1600</v>
      </c>
      <c r="Q883" s="28">
        <v>1904</v>
      </c>
      <c r="R883" s="28">
        <v>2262</v>
      </c>
    </row>
    <row r="884" spans="1:18" ht="12.6" hidden="1" customHeight="1">
      <c r="A884" s="28" t="s">
        <v>1212</v>
      </c>
      <c r="B884" s="62" t="s">
        <v>250</v>
      </c>
      <c r="C884" s="28">
        <v>89</v>
      </c>
      <c r="D884" s="28">
        <v>121</v>
      </c>
      <c r="E884" s="28">
        <v>204</v>
      </c>
      <c r="F884" s="28">
        <v>258</v>
      </c>
      <c r="G884" s="28">
        <v>301</v>
      </c>
      <c r="H884" s="28">
        <v>309</v>
      </c>
      <c r="I884" s="28">
        <v>317</v>
      </c>
      <c r="J884" s="28">
        <v>285</v>
      </c>
      <c r="K884" s="28">
        <v>234</v>
      </c>
      <c r="L884" s="28">
        <v>174</v>
      </c>
      <c r="M884" s="28">
        <v>88</v>
      </c>
      <c r="N884" s="62">
        <v>79</v>
      </c>
      <c r="O884" s="62">
        <v>2459</v>
      </c>
      <c r="P884" s="28">
        <v>805</v>
      </c>
      <c r="Q884" s="28">
        <v>1015</v>
      </c>
      <c r="R884" s="28">
        <v>1285</v>
      </c>
    </row>
    <row r="885" spans="1:18" ht="12.6" hidden="1" customHeight="1">
      <c r="A885" s="28" t="s">
        <v>1213</v>
      </c>
      <c r="B885" s="62" t="s">
        <v>250</v>
      </c>
      <c r="C885" s="28">
        <v>104</v>
      </c>
      <c r="D885" s="28">
        <v>138</v>
      </c>
      <c r="E885" s="28">
        <v>204</v>
      </c>
      <c r="F885" s="28">
        <v>263</v>
      </c>
      <c r="G885" s="28">
        <v>295</v>
      </c>
      <c r="H885" s="28">
        <v>298</v>
      </c>
      <c r="I885" s="28">
        <v>317</v>
      </c>
      <c r="J885" s="28">
        <v>285</v>
      </c>
      <c r="K885" s="28">
        <v>251</v>
      </c>
      <c r="L885" s="28">
        <v>189</v>
      </c>
      <c r="M885" s="28">
        <v>100</v>
      </c>
      <c r="N885" s="62">
        <v>92</v>
      </c>
      <c r="O885" s="62">
        <v>2536</v>
      </c>
      <c r="P885" s="28">
        <v>867</v>
      </c>
      <c r="Q885" s="28">
        <v>1082</v>
      </c>
      <c r="R885" s="28">
        <v>1357</v>
      </c>
    </row>
    <row r="886" spans="1:18" ht="12.6" hidden="1" customHeight="1">
      <c r="A886" s="28" t="s">
        <v>1214</v>
      </c>
      <c r="B886" s="62" t="s">
        <v>250</v>
      </c>
      <c r="C886" s="28">
        <v>51</v>
      </c>
      <c r="D886" s="28">
        <v>61</v>
      </c>
      <c r="E886" s="28">
        <v>93</v>
      </c>
      <c r="F886" s="28">
        <v>115</v>
      </c>
      <c r="G886" s="28">
        <v>159</v>
      </c>
      <c r="H886" s="28">
        <v>167</v>
      </c>
      <c r="I886" s="28">
        <v>161</v>
      </c>
      <c r="J886" s="28">
        <v>116</v>
      </c>
      <c r="K886" s="28">
        <v>98</v>
      </c>
      <c r="L886" s="28">
        <v>84</v>
      </c>
      <c r="M886" s="28">
        <v>46</v>
      </c>
      <c r="N886" s="62">
        <v>45</v>
      </c>
      <c r="O886" s="62">
        <v>1196</v>
      </c>
      <c r="P886" s="28">
        <v>402</v>
      </c>
      <c r="Q886" s="28">
        <v>502</v>
      </c>
      <c r="R886" s="28">
        <v>632</v>
      </c>
    </row>
    <row r="887" spans="1:18" hidden="1">
      <c r="B887" s="62"/>
      <c r="N887" s="62"/>
      <c r="O887" s="62"/>
    </row>
    <row r="888" spans="1:18" hidden="1">
      <c r="A888" s="28" t="s">
        <v>1215</v>
      </c>
      <c r="B888" s="62" t="s">
        <v>1808</v>
      </c>
      <c r="C888" s="28">
        <v>31</v>
      </c>
      <c r="D888" s="28">
        <v>28</v>
      </c>
      <c r="E888" s="28">
        <v>29</v>
      </c>
      <c r="F888" s="28">
        <v>17</v>
      </c>
      <c r="G888" s="28">
        <v>7</v>
      </c>
      <c r="H888" s="28">
        <v>2</v>
      </c>
      <c r="I888" s="28">
        <v>1</v>
      </c>
      <c r="J888" s="28">
        <v>1</v>
      </c>
      <c r="K888" s="28">
        <v>2</v>
      </c>
      <c r="L888" s="28">
        <v>13</v>
      </c>
      <c r="M888" s="28">
        <v>26</v>
      </c>
      <c r="N888" s="62">
        <v>31</v>
      </c>
      <c r="O888" s="62"/>
      <c r="P888" s="28">
        <v>188</v>
      </c>
    </row>
    <row r="889" spans="1:18" hidden="1">
      <c r="A889" s="28" t="s">
        <v>1809</v>
      </c>
      <c r="B889" s="62" t="s">
        <v>1810</v>
      </c>
      <c r="C889" s="28">
        <v>579</v>
      </c>
      <c r="D889" s="28">
        <v>462</v>
      </c>
      <c r="E889" s="28">
        <v>406</v>
      </c>
      <c r="F889" s="28">
        <v>200</v>
      </c>
      <c r="G889" s="28">
        <v>72</v>
      </c>
      <c r="H889" s="28">
        <v>20</v>
      </c>
      <c r="I889" s="28">
        <v>4</v>
      </c>
      <c r="J889" s="28">
        <v>7</v>
      </c>
      <c r="K889" s="28">
        <v>21</v>
      </c>
      <c r="L889" s="28">
        <v>146</v>
      </c>
      <c r="M889" s="28">
        <v>369</v>
      </c>
      <c r="N889" s="62">
        <v>596</v>
      </c>
      <c r="O889" s="62"/>
      <c r="P889" s="28">
        <v>2882</v>
      </c>
    </row>
    <row r="890" spans="1:18" hidden="1">
      <c r="B890" s="62"/>
      <c r="N890" s="62"/>
      <c r="O890" s="62"/>
    </row>
    <row r="891" spans="1:18" hidden="1">
      <c r="A891" s="28" t="s">
        <v>1886</v>
      </c>
      <c r="B891" s="62" t="s">
        <v>1808</v>
      </c>
      <c r="C891" s="28">
        <v>31</v>
      </c>
      <c r="D891" s="28">
        <v>28</v>
      </c>
      <c r="E891" s="28">
        <v>30</v>
      </c>
      <c r="F891" s="28">
        <v>22</v>
      </c>
      <c r="G891" s="28">
        <v>13</v>
      </c>
      <c r="H891" s="28">
        <v>4</v>
      </c>
      <c r="I891" s="28">
        <v>2</v>
      </c>
      <c r="J891" s="28">
        <v>3</v>
      </c>
      <c r="K891" s="28">
        <v>6</v>
      </c>
      <c r="L891" s="28">
        <v>20</v>
      </c>
      <c r="M891" s="28">
        <v>28</v>
      </c>
      <c r="N891" s="62">
        <v>31</v>
      </c>
      <c r="O891" s="62"/>
      <c r="Q891" s="28">
        <v>218</v>
      </c>
    </row>
    <row r="892" spans="1:18" hidden="1">
      <c r="A892" s="28" t="s">
        <v>1887</v>
      </c>
      <c r="B892" s="62" t="s">
        <v>1810</v>
      </c>
      <c r="C892" s="28">
        <v>643</v>
      </c>
      <c r="D892" s="28">
        <v>524</v>
      </c>
      <c r="E892" s="28">
        <v>480</v>
      </c>
      <c r="F892" s="28">
        <v>277</v>
      </c>
      <c r="G892" s="28">
        <v>137</v>
      </c>
      <c r="H892" s="28">
        <v>43</v>
      </c>
      <c r="I892" s="28">
        <v>19</v>
      </c>
      <c r="J892" s="28">
        <v>25</v>
      </c>
      <c r="K892" s="28">
        <v>56</v>
      </c>
      <c r="L892" s="28">
        <v>229</v>
      </c>
      <c r="M892" s="28">
        <v>435</v>
      </c>
      <c r="N892" s="62">
        <v>659</v>
      </c>
      <c r="O892" s="62"/>
      <c r="Q892" s="28">
        <v>3527</v>
      </c>
    </row>
    <row r="893" spans="1:18" hidden="1">
      <c r="B893" s="62"/>
      <c r="N893" s="62"/>
      <c r="O893" s="62"/>
    </row>
    <row r="894" spans="1:18" hidden="1">
      <c r="A894" s="28" t="s">
        <v>1434</v>
      </c>
      <c r="B894" s="62" t="s">
        <v>1808</v>
      </c>
      <c r="C894" s="28">
        <v>31</v>
      </c>
      <c r="D894" s="28">
        <v>28</v>
      </c>
      <c r="E894" s="28">
        <v>31</v>
      </c>
      <c r="F894" s="28">
        <v>26</v>
      </c>
      <c r="G894" s="28">
        <v>20</v>
      </c>
      <c r="H894" s="28">
        <v>8</v>
      </c>
      <c r="I894" s="28">
        <v>5</v>
      </c>
      <c r="J894" s="28">
        <v>6</v>
      </c>
      <c r="K894" s="28">
        <v>12</v>
      </c>
      <c r="L894" s="28">
        <v>25</v>
      </c>
      <c r="M894" s="28">
        <v>29</v>
      </c>
      <c r="N894" s="62">
        <v>31</v>
      </c>
      <c r="O894" s="62"/>
      <c r="R894" s="28">
        <v>252</v>
      </c>
    </row>
    <row r="895" spans="1:18" hidden="1">
      <c r="A895" s="28" t="s">
        <v>1435</v>
      </c>
      <c r="B895" s="62" t="s">
        <v>1810</v>
      </c>
      <c r="C895" s="28">
        <v>705</v>
      </c>
      <c r="D895" s="28">
        <v>580</v>
      </c>
      <c r="E895" s="28">
        <v>546</v>
      </c>
      <c r="F895" s="28">
        <v>363</v>
      </c>
      <c r="G895" s="28">
        <v>228</v>
      </c>
      <c r="H895" s="28">
        <v>82</v>
      </c>
      <c r="I895" s="28">
        <v>49</v>
      </c>
      <c r="J895" s="28">
        <v>61</v>
      </c>
      <c r="K895" s="28">
        <v>127</v>
      </c>
      <c r="L895" s="28">
        <v>314</v>
      </c>
      <c r="M895" s="28">
        <v>503</v>
      </c>
      <c r="N895" s="62">
        <v>721</v>
      </c>
      <c r="O895" s="62"/>
      <c r="R895" s="28">
        <v>4279</v>
      </c>
    </row>
    <row r="896" spans="1:18" ht="7.9" hidden="1" customHeight="1"/>
    <row r="897" spans="1:31" ht="7.9" hidden="1" customHeight="1"/>
    <row r="898" spans="1:31" ht="7.9" hidden="1" customHeight="1"/>
    <row r="899" spans="1:31" ht="7.9" hidden="1" customHeight="1"/>
    <row r="900" spans="1:31" ht="7.9" hidden="1" customHeight="1"/>
    <row r="901" spans="1:31" s="34" customFormat="1" ht="15.75" hidden="1">
      <c r="A901" s="61">
        <v>36</v>
      </c>
      <c r="B901" s="129"/>
      <c r="C901" s="129" t="s">
        <v>137</v>
      </c>
      <c r="D901" s="129"/>
      <c r="E901" s="130"/>
      <c r="F901" s="130" t="s">
        <v>352</v>
      </c>
      <c r="G901" s="129">
        <v>522</v>
      </c>
      <c r="H901" s="131" t="s">
        <v>353</v>
      </c>
      <c r="I901" s="129"/>
      <c r="J901" s="129"/>
      <c r="K901" s="130" t="s">
        <v>354</v>
      </c>
      <c r="L901" s="131">
        <v>10</v>
      </c>
      <c r="M901" s="129" t="s">
        <v>355</v>
      </c>
      <c r="N901" s="131" t="s">
        <v>1585</v>
      </c>
      <c r="O901" s="130"/>
      <c r="P901" s="130" t="s">
        <v>357</v>
      </c>
      <c r="Q901" s="129">
        <v>-7</v>
      </c>
      <c r="R901" s="131" t="s">
        <v>2324</v>
      </c>
      <c r="S901" s="28"/>
      <c r="T901" s="28"/>
      <c r="U901" s="378"/>
      <c r="V901" s="368"/>
      <c r="W901" s="368"/>
      <c r="X901" s="368"/>
      <c r="Y901" s="368"/>
      <c r="Z901" s="368"/>
      <c r="AA901" s="368"/>
      <c r="AB901" s="368"/>
      <c r="AC901" s="368"/>
      <c r="AD901" s="368"/>
      <c r="AE901" s="510"/>
    </row>
    <row r="902" spans="1:31" hidden="1">
      <c r="B902" s="62"/>
      <c r="N902" s="62"/>
      <c r="O902" s="62"/>
      <c r="P902" s="53" t="s">
        <v>358</v>
      </c>
      <c r="Q902" s="45"/>
      <c r="R902" s="45"/>
    </row>
    <row r="903" spans="1:31" s="34" customFormat="1" hidden="1">
      <c r="B903" s="65"/>
      <c r="C903" s="95" t="s">
        <v>489</v>
      </c>
      <c r="D903" s="95" t="s">
        <v>490</v>
      </c>
      <c r="E903" s="95" t="s">
        <v>491</v>
      </c>
      <c r="F903" s="95" t="s">
        <v>492</v>
      </c>
      <c r="G903" s="95" t="s">
        <v>493</v>
      </c>
      <c r="H903" s="95" t="s">
        <v>494</v>
      </c>
      <c r="I903" s="95" t="s">
        <v>495</v>
      </c>
      <c r="J903" s="95" t="s">
        <v>496</v>
      </c>
      <c r="K903" s="95" t="s">
        <v>497</v>
      </c>
      <c r="L903" s="95" t="s">
        <v>498</v>
      </c>
      <c r="M903" s="95" t="s">
        <v>499</v>
      </c>
      <c r="N903" s="126" t="s">
        <v>500</v>
      </c>
      <c r="O903" s="126" t="s">
        <v>501</v>
      </c>
      <c r="P903" s="132" t="s">
        <v>359</v>
      </c>
      <c r="Q903" s="133" t="s">
        <v>1207</v>
      </c>
      <c r="R903" s="133" t="s">
        <v>1208</v>
      </c>
      <c r="S903" s="28"/>
      <c r="T903" s="28"/>
      <c r="U903" s="378"/>
      <c r="V903" s="368"/>
      <c r="W903" s="368"/>
      <c r="X903" s="368"/>
      <c r="Y903" s="368"/>
      <c r="Z903" s="368"/>
      <c r="AA903" s="368"/>
      <c r="AB903" s="368"/>
      <c r="AC903" s="368"/>
      <c r="AD903" s="368"/>
      <c r="AE903" s="510"/>
    </row>
    <row r="904" spans="1:31" hidden="1">
      <c r="B904" s="62"/>
      <c r="N904" s="62"/>
      <c r="O904" s="62"/>
    </row>
    <row r="905" spans="1:31" hidden="1">
      <c r="A905" s="28" t="s">
        <v>1209</v>
      </c>
      <c r="B905" s="62" t="s">
        <v>2324</v>
      </c>
      <c r="C905" s="28">
        <v>-1.2</v>
      </c>
      <c r="D905" s="28">
        <v>1.6</v>
      </c>
      <c r="E905" s="28">
        <v>5.0999999999999996</v>
      </c>
      <c r="F905" s="28">
        <v>10.199999999999999</v>
      </c>
      <c r="G905" s="28">
        <v>14.2</v>
      </c>
      <c r="H905" s="28">
        <v>17.8</v>
      </c>
      <c r="I905" s="28">
        <v>19.2</v>
      </c>
      <c r="J905" s="28">
        <v>17.7</v>
      </c>
      <c r="K905" s="28">
        <v>15.1</v>
      </c>
      <c r="L905" s="28">
        <v>10.1</v>
      </c>
      <c r="M905" s="28">
        <v>4.4000000000000004</v>
      </c>
      <c r="N905" s="62">
        <v>-1.1000000000000001</v>
      </c>
      <c r="O905" s="62">
        <v>9.5</v>
      </c>
      <c r="P905" s="28">
        <v>2.6</v>
      </c>
      <c r="Q905" s="28">
        <v>3.7</v>
      </c>
      <c r="R905" s="28">
        <v>5</v>
      </c>
    </row>
    <row r="906" spans="1:31" hidden="1">
      <c r="B906" s="62"/>
      <c r="N906" s="62"/>
      <c r="O906" s="62"/>
    </row>
    <row r="907" spans="1:31" ht="12.6" hidden="1" customHeight="1">
      <c r="A907" s="28" t="s">
        <v>1210</v>
      </c>
      <c r="B907" s="62" t="s">
        <v>250</v>
      </c>
      <c r="C907" s="28">
        <v>152</v>
      </c>
      <c r="D907" s="28">
        <v>223</v>
      </c>
      <c r="E907" s="28">
        <v>395</v>
      </c>
      <c r="F907" s="28">
        <v>538</v>
      </c>
      <c r="G907" s="28">
        <v>621</v>
      </c>
      <c r="H907" s="28">
        <v>688</v>
      </c>
      <c r="I907" s="28">
        <v>732</v>
      </c>
      <c r="J907" s="28">
        <v>590</v>
      </c>
      <c r="K907" s="28">
        <v>454</v>
      </c>
      <c r="L907" s="28">
        <v>339</v>
      </c>
      <c r="M907" s="28">
        <v>167</v>
      </c>
      <c r="N907" s="62">
        <v>132</v>
      </c>
      <c r="O907" s="62">
        <v>5031</v>
      </c>
      <c r="P907" s="28">
        <v>1402</v>
      </c>
      <c r="Q907" s="28">
        <v>1768</v>
      </c>
      <c r="R907" s="28">
        <v>2286</v>
      </c>
    </row>
    <row r="908" spans="1:31" ht="12.6" hidden="1" customHeight="1">
      <c r="A908" s="28" t="s">
        <v>1211</v>
      </c>
      <c r="B908" s="62" t="s">
        <v>250</v>
      </c>
      <c r="C908" s="28">
        <v>242</v>
      </c>
      <c r="D908" s="28">
        <v>292</v>
      </c>
      <c r="E908" s="28">
        <v>371</v>
      </c>
      <c r="F908" s="28">
        <v>377</v>
      </c>
      <c r="G908" s="28">
        <v>329</v>
      </c>
      <c r="H908" s="28">
        <v>323</v>
      </c>
      <c r="I908" s="28">
        <v>359</v>
      </c>
      <c r="J908" s="28">
        <v>378</v>
      </c>
      <c r="K908" s="28">
        <v>409</v>
      </c>
      <c r="L908" s="28">
        <v>407</v>
      </c>
      <c r="M908" s="28">
        <v>267</v>
      </c>
      <c r="N908" s="62">
        <v>247</v>
      </c>
      <c r="O908" s="62">
        <v>4001</v>
      </c>
      <c r="P908" s="28">
        <v>1697</v>
      </c>
      <c r="Q908" s="28">
        <v>1996</v>
      </c>
      <c r="R908" s="28">
        <v>2369</v>
      </c>
    </row>
    <row r="909" spans="1:31" ht="12.6" hidden="1" customHeight="1">
      <c r="A909" s="28" t="s">
        <v>1212</v>
      </c>
      <c r="B909" s="62" t="s">
        <v>250</v>
      </c>
      <c r="C909" s="28">
        <v>93</v>
      </c>
      <c r="D909" s="28">
        <v>129</v>
      </c>
      <c r="E909" s="28">
        <v>225</v>
      </c>
      <c r="F909" s="28">
        <v>291</v>
      </c>
      <c r="G909" s="28">
        <v>329</v>
      </c>
      <c r="H909" s="28">
        <v>358</v>
      </c>
      <c r="I909" s="28">
        <v>373</v>
      </c>
      <c r="J909" s="28">
        <v>319</v>
      </c>
      <c r="K909" s="28">
        <v>250</v>
      </c>
      <c r="L909" s="28">
        <v>190</v>
      </c>
      <c r="M909" s="28">
        <v>99</v>
      </c>
      <c r="N909" s="62">
        <v>86</v>
      </c>
      <c r="O909" s="62">
        <v>2742</v>
      </c>
      <c r="P909" s="28">
        <v>813</v>
      </c>
      <c r="Q909" s="28">
        <v>1013</v>
      </c>
      <c r="R909" s="28">
        <v>1292</v>
      </c>
    </row>
    <row r="910" spans="1:31" ht="12.6" hidden="1" customHeight="1">
      <c r="A910" s="28" t="s">
        <v>1213</v>
      </c>
      <c r="B910" s="62" t="s">
        <v>250</v>
      </c>
      <c r="C910" s="28">
        <v>108</v>
      </c>
      <c r="D910" s="28">
        <v>147</v>
      </c>
      <c r="E910" s="28">
        <v>225</v>
      </c>
      <c r="F910" s="28">
        <v>296</v>
      </c>
      <c r="G910" s="28">
        <v>323</v>
      </c>
      <c r="H910" s="28">
        <v>344</v>
      </c>
      <c r="I910" s="28">
        <v>373</v>
      </c>
      <c r="J910" s="28">
        <v>319</v>
      </c>
      <c r="K910" s="28">
        <v>268</v>
      </c>
      <c r="L910" s="28">
        <v>207</v>
      </c>
      <c r="M910" s="28">
        <v>112</v>
      </c>
      <c r="N910" s="62">
        <v>99</v>
      </c>
      <c r="O910" s="62">
        <v>2821</v>
      </c>
      <c r="P910" s="28">
        <v>879</v>
      </c>
      <c r="Q910" s="28">
        <v>1086</v>
      </c>
      <c r="R910" s="28">
        <v>1370</v>
      </c>
    </row>
    <row r="911" spans="1:31" ht="12.6" hidden="1" customHeight="1">
      <c r="A911" s="28" t="s">
        <v>1214</v>
      </c>
      <c r="B911" s="62" t="s">
        <v>250</v>
      </c>
      <c r="C911" s="28">
        <v>53</v>
      </c>
      <c r="D911" s="28">
        <v>65</v>
      </c>
      <c r="E911" s="28">
        <v>103</v>
      </c>
      <c r="F911" s="28">
        <v>129</v>
      </c>
      <c r="G911" s="28">
        <v>174</v>
      </c>
      <c r="H911" s="28">
        <v>193</v>
      </c>
      <c r="I911" s="28">
        <v>190</v>
      </c>
      <c r="J911" s="28">
        <v>130</v>
      </c>
      <c r="K911" s="28">
        <v>104</v>
      </c>
      <c r="L911" s="28">
        <v>92</v>
      </c>
      <c r="M911" s="28">
        <v>52</v>
      </c>
      <c r="N911" s="62">
        <v>49</v>
      </c>
      <c r="O911" s="62">
        <v>1334</v>
      </c>
      <c r="P911" s="28">
        <v>406</v>
      </c>
      <c r="Q911" s="28">
        <v>501</v>
      </c>
      <c r="R911" s="28">
        <v>634</v>
      </c>
    </row>
    <row r="912" spans="1:31" hidden="1">
      <c r="B912" s="62"/>
      <c r="N912" s="62"/>
      <c r="O912" s="62"/>
    </row>
    <row r="913" spans="1:31" hidden="1">
      <c r="A913" s="28" t="s">
        <v>1215</v>
      </c>
      <c r="B913" s="62" t="s">
        <v>1808</v>
      </c>
      <c r="C913" s="28">
        <v>31</v>
      </c>
      <c r="D913" s="28">
        <v>28</v>
      </c>
      <c r="E913" s="28">
        <v>29</v>
      </c>
      <c r="F913" s="28">
        <v>14</v>
      </c>
      <c r="G913" s="28">
        <v>3</v>
      </c>
      <c r="H913" s="28">
        <v>0</v>
      </c>
      <c r="I913" s="28">
        <v>0</v>
      </c>
      <c r="J913" s="28">
        <v>0</v>
      </c>
      <c r="K913" s="28">
        <v>1</v>
      </c>
      <c r="L913" s="28">
        <v>15</v>
      </c>
      <c r="M913" s="28">
        <v>29</v>
      </c>
      <c r="N913" s="62">
        <v>31</v>
      </c>
      <c r="O913" s="62"/>
      <c r="P913" s="28">
        <v>181</v>
      </c>
    </row>
    <row r="914" spans="1:31" hidden="1">
      <c r="A914" s="28" t="s">
        <v>1809</v>
      </c>
      <c r="B914" s="62" t="s">
        <v>1810</v>
      </c>
      <c r="C914" s="28">
        <v>595</v>
      </c>
      <c r="D914" s="28">
        <v>457</v>
      </c>
      <c r="E914" s="28">
        <v>386</v>
      </c>
      <c r="F914" s="28">
        <v>158</v>
      </c>
      <c r="G914" s="28">
        <v>32</v>
      </c>
      <c r="H914" s="28">
        <v>4</v>
      </c>
      <c r="I914" s="28">
        <v>0</v>
      </c>
      <c r="J914" s="28">
        <v>0</v>
      </c>
      <c r="K914" s="28">
        <v>11</v>
      </c>
      <c r="L914" s="28">
        <v>160</v>
      </c>
      <c r="M914" s="28">
        <v>398</v>
      </c>
      <c r="N914" s="62">
        <v>590</v>
      </c>
      <c r="O914" s="62"/>
      <c r="P914" s="28">
        <v>2791</v>
      </c>
    </row>
    <row r="915" spans="1:31" hidden="1">
      <c r="B915" s="62"/>
      <c r="N915" s="62"/>
      <c r="O915" s="62"/>
    </row>
    <row r="916" spans="1:31" hidden="1">
      <c r="A916" s="28" t="s">
        <v>1886</v>
      </c>
      <c r="B916" s="62" t="s">
        <v>1808</v>
      </c>
      <c r="C916" s="28">
        <v>31</v>
      </c>
      <c r="D916" s="28">
        <v>28</v>
      </c>
      <c r="E916" s="28">
        <v>30</v>
      </c>
      <c r="F916" s="28">
        <v>20</v>
      </c>
      <c r="G916" s="28">
        <v>9</v>
      </c>
      <c r="H916" s="28">
        <v>1</v>
      </c>
      <c r="I916" s="28">
        <v>0</v>
      </c>
      <c r="J916" s="28">
        <v>0</v>
      </c>
      <c r="K916" s="28">
        <v>5</v>
      </c>
      <c r="L916" s="28">
        <v>22</v>
      </c>
      <c r="M916" s="28">
        <v>30</v>
      </c>
      <c r="N916" s="62">
        <v>31</v>
      </c>
      <c r="O916" s="62"/>
      <c r="Q916" s="28">
        <v>207</v>
      </c>
    </row>
    <row r="917" spans="1:31" hidden="1">
      <c r="A917" s="28" t="s">
        <v>1887</v>
      </c>
      <c r="B917" s="62" t="s">
        <v>1810</v>
      </c>
      <c r="C917" s="28">
        <v>657</v>
      </c>
      <c r="D917" s="28">
        <v>516</v>
      </c>
      <c r="E917" s="28">
        <v>457</v>
      </c>
      <c r="F917" s="28">
        <v>237</v>
      </c>
      <c r="G917" s="28">
        <v>83</v>
      </c>
      <c r="H917" s="28">
        <v>14</v>
      </c>
      <c r="I917" s="28">
        <v>3</v>
      </c>
      <c r="J917" s="28">
        <v>2</v>
      </c>
      <c r="K917" s="28">
        <v>42</v>
      </c>
      <c r="L917" s="28">
        <v>253</v>
      </c>
      <c r="M917" s="28">
        <v>464</v>
      </c>
      <c r="N917" s="62">
        <v>653</v>
      </c>
      <c r="O917" s="62"/>
      <c r="Q917" s="28">
        <v>3381</v>
      </c>
    </row>
    <row r="918" spans="1:31" hidden="1">
      <c r="B918" s="62"/>
      <c r="N918" s="62"/>
      <c r="O918" s="62"/>
    </row>
    <row r="919" spans="1:31" hidden="1">
      <c r="A919" s="28" t="s">
        <v>1434</v>
      </c>
      <c r="B919" s="62" t="s">
        <v>1808</v>
      </c>
      <c r="C919" s="28">
        <v>31</v>
      </c>
      <c r="D919" s="28">
        <v>28</v>
      </c>
      <c r="E919" s="28">
        <v>31</v>
      </c>
      <c r="F919" s="28">
        <v>25</v>
      </c>
      <c r="G919" s="28">
        <v>15</v>
      </c>
      <c r="H919" s="28">
        <v>5</v>
      </c>
      <c r="I919" s="28">
        <v>2</v>
      </c>
      <c r="J919" s="28">
        <v>4</v>
      </c>
      <c r="K919" s="28">
        <v>11</v>
      </c>
      <c r="L919" s="28">
        <v>27</v>
      </c>
      <c r="M919" s="28">
        <v>30</v>
      </c>
      <c r="N919" s="62">
        <v>31</v>
      </c>
      <c r="O919" s="62"/>
      <c r="R919" s="28">
        <v>240</v>
      </c>
    </row>
    <row r="920" spans="1:31" hidden="1">
      <c r="A920" s="28" t="s">
        <v>1435</v>
      </c>
      <c r="B920" s="62" t="s">
        <v>1810</v>
      </c>
      <c r="C920" s="28">
        <v>719</v>
      </c>
      <c r="D920" s="28">
        <v>572</v>
      </c>
      <c r="E920" s="28">
        <v>522</v>
      </c>
      <c r="F920" s="28">
        <v>326</v>
      </c>
      <c r="G920" s="28">
        <v>157</v>
      </c>
      <c r="H920" s="28">
        <v>48</v>
      </c>
      <c r="I920" s="28">
        <v>15</v>
      </c>
      <c r="J920" s="28">
        <v>35</v>
      </c>
      <c r="K920" s="28">
        <v>109</v>
      </c>
      <c r="L920" s="28">
        <v>341</v>
      </c>
      <c r="M920" s="28">
        <v>526</v>
      </c>
      <c r="N920" s="62">
        <v>715</v>
      </c>
      <c r="O920" s="62"/>
      <c r="R920" s="28">
        <v>4085</v>
      </c>
    </row>
    <row r="921" spans="1:31" ht="7.9" hidden="1" customHeight="1"/>
    <row r="922" spans="1:31" ht="7.9" hidden="1" customHeight="1"/>
    <row r="923" spans="1:31" ht="7.9" hidden="1" customHeight="1"/>
    <row r="924" spans="1:31" ht="7.9" hidden="1" customHeight="1"/>
    <row r="925" spans="1:31" ht="7.9" hidden="1" customHeight="1"/>
    <row r="926" spans="1:31" s="34" customFormat="1" ht="15.75" hidden="1">
      <c r="A926" s="61">
        <v>37</v>
      </c>
      <c r="B926" s="129"/>
      <c r="C926" s="129" t="s">
        <v>1956</v>
      </c>
      <c r="D926" s="129"/>
      <c r="E926" s="130"/>
      <c r="F926" s="130" t="s">
        <v>352</v>
      </c>
      <c r="G926" s="129">
        <v>2472</v>
      </c>
      <c r="H926" s="131" t="s">
        <v>353</v>
      </c>
      <c r="I926" s="129"/>
      <c r="J926" s="129"/>
      <c r="K926" s="130" t="s">
        <v>354</v>
      </c>
      <c r="L926" s="131">
        <v>10</v>
      </c>
      <c r="M926" s="129" t="s">
        <v>355</v>
      </c>
      <c r="N926" s="131" t="s">
        <v>126</v>
      </c>
      <c r="O926" s="130"/>
      <c r="P926" s="130" t="s">
        <v>357</v>
      </c>
      <c r="Q926" s="129">
        <v>-7</v>
      </c>
      <c r="R926" s="131" t="s">
        <v>2324</v>
      </c>
      <c r="S926" s="28"/>
      <c r="T926" s="28"/>
      <c r="U926" s="378"/>
      <c r="V926" s="368"/>
      <c r="W926" s="368"/>
      <c r="X926" s="368"/>
      <c r="Y926" s="368"/>
      <c r="Z926" s="368"/>
      <c r="AA926" s="368"/>
      <c r="AB926" s="368"/>
      <c r="AC926" s="368"/>
      <c r="AD926" s="368"/>
      <c r="AE926" s="510"/>
    </row>
    <row r="927" spans="1:31" hidden="1">
      <c r="B927" s="62"/>
      <c r="N927" s="62"/>
      <c r="O927" s="62"/>
      <c r="P927" s="53" t="s">
        <v>358</v>
      </c>
      <c r="Q927" s="45"/>
      <c r="R927" s="45"/>
    </row>
    <row r="928" spans="1:31" s="34" customFormat="1" hidden="1">
      <c r="B928" s="65"/>
      <c r="C928" s="95" t="s">
        <v>489</v>
      </c>
      <c r="D928" s="95" t="s">
        <v>490</v>
      </c>
      <c r="E928" s="95" t="s">
        <v>491</v>
      </c>
      <c r="F928" s="95" t="s">
        <v>492</v>
      </c>
      <c r="G928" s="95" t="s">
        <v>493</v>
      </c>
      <c r="H928" s="95" t="s">
        <v>494</v>
      </c>
      <c r="I928" s="95" t="s">
        <v>495</v>
      </c>
      <c r="J928" s="95" t="s">
        <v>496</v>
      </c>
      <c r="K928" s="95" t="s">
        <v>497</v>
      </c>
      <c r="L928" s="95" t="s">
        <v>498</v>
      </c>
      <c r="M928" s="95" t="s">
        <v>499</v>
      </c>
      <c r="N928" s="126" t="s">
        <v>500</v>
      </c>
      <c r="O928" s="126" t="s">
        <v>501</v>
      </c>
      <c r="P928" s="132" t="s">
        <v>359</v>
      </c>
      <c r="Q928" s="133" t="s">
        <v>1207</v>
      </c>
      <c r="R928" s="133" t="s">
        <v>1208</v>
      </c>
      <c r="S928" s="28"/>
      <c r="T928" s="28"/>
      <c r="U928" s="378"/>
      <c r="V928" s="368"/>
      <c r="W928" s="368"/>
      <c r="X928" s="368"/>
      <c r="Y928" s="368"/>
      <c r="Z928" s="368"/>
      <c r="AA928" s="368"/>
      <c r="AB928" s="368"/>
      <c r="AC928" s="368"/>
      <c r="AD928" s="368"/>
      <c r="AE928" s="510"/>
    </row>
    <row r="929" spans="1:18" hidden="1">
      <c r="B929" s="62"/>
      <c r="N929" s="62"/>
      <c r="O929" s="62"/>
    </row>
    <row r="930" spans="1:18" hidden="1">
      <c r="A930" s="28" t="s">
        <v>1209</v>
      </c>
      <c r="B930" s="62" t="s">
        <v>2324</v>
      </c>
      <c r="C930" s="28">
        <v>-8</v>
      </c>
      <c r="D930" s="28">
        <v>-9.1</v>
      </c>
      <c r="E930" s="28">
        <v>-7</v>
      </c>
      <c r="F930" s="28">
        <v>-3.8</v>
      </c>
      <c r="G930" s="28">
        <v>0.3</v>
      </c>
      <c r="H930" s="28">
        <v>4.4000000000000004</v>
      </c>
      <c r="I930" s="28">
        <v>7.4</v>
      </c>
      <c r="J930" s="28">
        <v>6.9</v>
      </c>
      <c r="K930" s="28">
        <v>4.9000000000000004</v>
      </c>
      <c r="L930" s="28">
        <v>1.8</v>
      </c>
      <c r="M930" s="28">
        <v>-4</v>
      </c>
      <c r="N930" s="62">
        <v>-8</v>
      </c>
      <c r="O930" s="62">
        <v>-1.1000000000000001</v>
      </c>
      <c r="P930" s="28">
        <v>-1.9</v>
      </c>
      <c r="Q930" s="28">
        <v>-1.4</v>
      </c>
      <c r="R930" s="28">
        <v>-1.2</v>
      </c>
    </row>
    <row r="931" spans="1:18" hidden="1">
      <c r="B931" s="62"/>
      <c r="N931" s="62"/>
      <c r="O931" s="62"/>
    </row>
    <row r="932" spans="1:18" ht="12.6" hidden="1" customHeight="1">
      <c r="A932" s="28" t="s">
        <v>1210</v>
      </c>
      <c r="B932" s="62" t="s">
        <v>250</v>
      </c>
      <c r="C932" s="28">
        <v>185</v>
      </c>
      <c r="D932" s="28">
        <v>266</v>
      </c>
      <c r="E932" s="28">
        <v>476</v>
      </c>
      <c r="F932" s="28">
        <v>621</v>
      </c>
      <c r="G932" s="28">
        <v>676</v>
      </c>
      <c r="H932" s="28">
        <v>693</v>
      </c>
      <c r="I932" s="28">
        <v>746</v>
      </c>
      <c r="J932" s="28">
        <v>598</v>
      </c>
      <c r="K932" s="28">
        <v>470</v>
      </c>
      <c r="L932" s="28">
        <v>356</v>
      </c>
      <c r="M932" s="28">
        <v>201</v>
      </c>
      <c r="N932" s="62">
        <v>168</v>
      </c>
      <c r="O932" s="62">
        <v>5456</v>
      </c>
      <c r="P932" s="28">
        <v>4871</v>
      </c>
      <c r="Q932" s="28">
        <v>5273</v>
      </c>
      <c r="R932" s="28">
        <v>5423</v>
      </c>
    </row>
    <row r="933" spans="1:18" ht="12.6" hidden="1" customHeight="1">
      <c r="A933" s="28" t="s">
        <v>1211</v>
      </c>
      <c r="B933" s="62" t="s">
        <v>250</v>
      </c>
      <c r="C933" s="28">
        <v>294</v>
      </c>
      <c r="D933" s="28">
        <v>348</v>
      </c>
      <c r="E933" s="28">
        <v>447</v>
      </c>
      <c r="F933" s="28">
        <v>435</v>
      </c>
      <c r="G933" s="28">
        <v>358</v>
      </c>
      <c r="H933" s="28">
        <v>326</v>
      </c>
      <c r="I933" s="28">
        <v>366</v>
      </c>
      <c r="J933" s="28">
        <v>383</v>
      </c>
      <c r="K933" s="28">
        <v>423</v>
      </c>
      <c r="L933" s="28">
        <v>427</v>
      </c>
      <c r="M933" s="28">
        <v>322</v>
      </c>
      <c r="N933" s="62">
        <v>314</v>
      </c>
      <c r="O933" s="62">
        <v>4443</v>
      </c>
      <c r="P933" s="28">
        <v>4105</v>
      </c>
      <c r="Q933" s="28">
        <v>4346</v>
      </c>
      <c r="R933" s="28">
        <v>4427</v>
      </c>
    </row>
    <row r="934" spans="1:18" ht="12.6" hidden="1" customHeight="1">
      <c r="A934" s="28" t="s">
        <v>1212</v>
      </c>
      <c r="B934" s="62" t="s">
        <v>250</v>
      </c>
      <c r="C934" s="28">
        <v>113</v>
      </c>
      <c r="D934" s="28">
        <v>154</v>
      </c>
      <c r="E934" s="28">
        <v>271</v>
      </c>
      <c r="F934" s="28">
        <v>335</v>
      </c>
      <c r="G934" s="28">
        <v>358</v>
      </c>
      <c r="H934" s="28">
        <v>360</v>
      </c>
      <c r="I934" s="28">
        <v>380</v>
      </c>
      <c r="J934" s="28">
        <v>323</v>
      </c>
      <c r="K934" s="28">
        <v>259</v>
      </c>
      <c r="L934" s="28">
        <v>199</v>
      </c>
      <c r="M934" s="28">
        <v>119</v>
      </c>
      <c r="N934" s="62">
        <v>109</v>
      </c>
      <c r="O934" s="62">
        <v>2980</v>
      </c>
      <c r="P934" s="28">
        <v>2673</v>
      </c>
      <c r="Q934" s="28">
        <v>2885</v>
      </c>
      <c r="R934" s="28">
        <v>2963</v>
      </c>
    </row>
    <row r="935" spans="1:18" ht="12.6" hidden="1" customHeight="1">
      <c r="A935" s="28" t="s">
        <v>1213</v>
      </c>
      <c r="B935" s="62" t="s">
        <v>250</v>
      </c>
      <c r="C935" s="28">
        <v>131</v>
      </c>
      <c r="D935" s="28">
        <v>176</v>
      </c>
      <c r="E935" s="28">
        <v>271</v>
      </c>
      <c r="F935" s="28">
        <v>342</v>
      </c>
      <c r="G935" s="28">
        <v>352</v>
      </c>
      <c r="H935" s="28">
        <v>347</v>
      </c>
      <c r="I935" s="28">
        <v>380</v>
      </c>
      <c r="J935" s="28">
        <v>323</v>
      </c>
      <c r="K935" s="28">
        <v>277</v>
      </c>
      <c r="L935" s="28">
        <v>217</v>
      </c>
      <c r="M935" s="28">
        <v>135</v>
      </c>
      <c r="N935" s="62">
        <v>126</v>
      </c>
      <c r="O935" s="62">
        <v>3077</v>
      </c>
      <c r="P935" s="28">
        <v>2769</v>
      </c>
      <c r="Q935" s="28">
        <v>2982</v>
      </c>
      <c r="R935" s="28">
        <v>3060</v>
      </c>
    </row>
    <row r="936" spans="1:18" ht="12.6" hidden="1" customHeight="1">
      <c r="A936" s="28" t="s">
        <v>1214</v>
      </c>
      <c r="B936" s="62" t="s">
        <v>250</v>
      </c>
      <c r="C936" s="28">
        <v>65</v>
      </c>
      <c r="D936" s="28">
        <v>77</v>
      </c>
      <c r="E936" s="28">
        <v>124</v>
      </c>
      <c r="F936" s="28">
        <v>149</v>
      </c>
      <c r="G936" s="28">
        <v>189</v>
      </c>
      <c r="H936" s="28">
        <v>194</v>
      </c>
      <c r="I936" s="28">
        <v>194</v>
      </c>
      <c r="J936" s="28">
        <v>132</v>
      </c>
      <c r="K936" s="28">
        <v>108</v>
      </c>
      <c r="L936" s="28">
        <v>96</v>
      </c>
      <c r="M936" s="28">
        <v>62</v>
      </c>
      <c r="N936" s="62">
        <v>62</v>
      </c>
      <c r="O936" s="62">
        <v>1452</v>
      </c>
      <c r="P936" s="28">
        <v>1307</v>
      </c>
      <c r="Q936" s="28">
        <v>1406</v>
      </c>
      <c r="R936" s="28">
        <v>1443</v>
      </c>
    </row>
    <row r="937" spans="1:18" hidden="1">
      <c r="B937" s="62"/>
      <c r="N937" s="62"/>
      <c r="O937" s="62"/>
    </row>
    <row r="938" spans="1:18" hidden="1">
      <c r="A938" s="28" t="s">
        <v>1215</v>
      </c>
      <c r="B938" s="62" t="s">
        <v>1808</v>
      </c>
      <c r="C938" s="28">
        <v>31</v>
      </c>
      <c r="D938" s="28">
        <v>28</v>
      </c>
      <c r="E938" s="28">
        <v>31</v>
      </c>
      <c r="F938" s="28">
        <v>30</v>
      </c>
      <c r="G938" s="28">
        <v>31</v>
      </c>
      <c r="H938" s="28">
        <v>27</v>
      </c>
      <c r="I938" s="28">
        <v>23</v>
      </c>
      <c r="J938" s="28">
        <v>24</v>
      </c>
      <c r="K938" s="28">
        <v>27</v>
      </c>
      <c r="L938" s="28">
        <v>31</v>
      </c>
      <c r="M938" s="28">
        <v>30</v>
      </c>
      <c r="N938" s="62">
        <v>31</v>
      </c>
      <c r="O938" s="62"/>
      <c r="P938" s="28">
        <v>344</v>
      </c>
    </row>
    <row r="939" spans="1:18" hidden="1">
      <c r="A939" s="28" t="s">
        <v>1809</v>
      </c>
      <c r="B939" s="62" t="s">
        <v>1810</v>
      </c>
      <c r="C939" s="28">
        <v>805</v>
      </c>
      <c r="D939" s="28">
        <v>760</v>
      </c>
      <c r="E939" s="28">
        <v>776</v>
      </c>
      <c r="F939" s="28">
        <v>655</v>
      </c>
      <c r="G939" s="28">
        <v>549</v>
      </c>
      <c r="H939" s="28">
        <v>388</v>
      </c>
      <c r="I939" s="28">
        <v>278</v>
      </c>
      <c r="J939" s="28">
        <v>297</v>
      </c>
      <c r="K939" s="28">
        <v>376</v>
      </c>
      <c r="L939" s="28">
        <v>502</v>
      </c>
      <c r="M939" s="28">
        <v>659</v>
      </c>
      <c r="N939" s="62">
        <v>805</v>
      </c>
      <c r="O939" s="62"/>
      <c r="P939" s="28">
        <v>6850</v>
      </c>
    </row>
    <row r="940" spans="1:18" hidden="1">
      <c r="B940" s="62"/>
      <c r="N940" s="62"/>
      <c r="O940" s="62"/>
    </row>
    <row r="941" spans="1:18" hidden="1">
      <c r="A941" s="28" t="s">
        <v>1886</v>
      </c>
      <c r="B941" s="62" t="s">
        <v>1808</v>
      </c>
      <c r="C941" s="28">
        <v>31</v>
      </c>
      <c r="D941" s="28">
        <v>28</v>
      </c>
      <c r="E941" s="28">
        <v>31</v>
      </c>
      <c r="F941" s="28">
        <v>30</v>
      </c>
      <c r="G941" s="28">
        <v>31</v>
      </c>
      <c r="H941" s="28">
        <v>29</v>
      </c>
      <c r="I941" s="28">
        <v>28</v>
      </c>
      <c r="J941" s="28">
        <v>29</v>
      </c>
      <c r="K941" s="28">
        <v>30</v>
      </c>
      <c r="L941" s="28">
        <v>31</v>
      </c>
      <c r="M941" s="28">
        <v>30</v>
      </c>
      <c r="N941" s="62">
        <v>31</v>
      </c>
      <c r="O941" s="62"/>
      <c r="Q941" s="28">
        <v>359</v>
      </c>
    </row>
    <row r="942" spans="1:18" hidden="1">
      <c r="A942" s="28" t="s">
        <v>1887</v>
      </c>
      <c r="B942" s="62" t="s">
        <v>1810</v>
      </c>
      <c r="C942" s="28">
        <v>867</v>
      </c>
      <c r="D942" s="28">
        <v>816</v>
      </c>
      <c r="E942" s="28">
        <v>838</v>
      </c>
      <c r="F942" s="28">
        <v>715</v>
      </c>
      <c r="G942" s="28">
        <v>611</v>
      </c>
      <c r="H942" s="28">
        <v>463</v>
      </c>
      <c r="I942" s="28">
        <v>372</v>
      </c>
      <c r="J942" s="28">
        <v>393</v>
      </c>
      <c r="K942" s="28">
        <v>454</v>
      </c>
      <c r="L942" s="28">
        <v>564</v>
      </c>
      <c r="M942" s="28">
        <v>719</v>
      </c>
      <c r="N942" s="62">
        <v>867</v>
      </c>
      <c r="O942" s="62"/>
      <c r="Q942" s="28">
        <v>7679</v>
      </c>
    </row>
    <row r="943" spans="1:18" hidden="1">
      <c r="B943" s="62"/>
      <c r="N943" s="62"/>
      <c r="O943" s="62"/>
    </row>
    <row r="944" spans="1:18" hidden="1">
      <c r="A944" s="28" t="s">
        <v>1434</v>
      </c>
      <c r="B944" s="62" t="s">
        <v>1808</v>
      </c>
      <c r="C944" s="28">
        <v>31</v>
      </c>
      <c r="D944" s="28">
        <v>28</v>
      </c>
      <c r="E944" s="28">
        <v>31</v>
      </c>
      <c r="F944" s="28">
        <v>30</v>
      </c>
      <c r="G944" s="28">
        <v>31</v>
      </c>
      <c r="H944" s="28">
        <v>30</v>
      </c>
      <c r="I944" s="28">
        <v>30</v>
      </c>
      <c r="J944" s="28">
        <v>31</v>
      </c>
      <c r="K944" s="28">
        <v>30</v>
      </c>
      <c r="L944" s="28">
        <v>31</v>
      </c>
      <c r="M944" s="28">
        <v>30</v>
      </c>
      <c r="N944" s="62">
        <v>31</v>
      </c>
      <c r="O944" s="62"/>
      <c r="R944" s="28">
        <v>364</v>
      </c>
    </row>
    <row r="945" spans="1:31" hidden="1">
      <c r="A945" s="28" t="s">
        <v>1435</v>
      </c>
      <c r="B945" s="62" t="s">
        <v>1810</v>
      </c>
      <c r="C945" s="28">
        <v>929</v>
      </c>
      <c r="D945" s="28">
        <v>872</v>
      </c>
      <c r="E945" s="28">
        <v>900</v>
      </c>
      <c r="F945" s="28">
        <v>775</v>
      </c>
      <c r="G945" s="28">
        <v>673</v>
      </c>
      <c r="H945" s="28">
        <v>527</v>
      </c>
      <c r="I945" s="28">
        <v>448</v>
      </c>
      <c r="J945" s="28">
        <v>469</v>
      </c>
      <c r="K945" s="28">
        <v>514</v>
      </c>
      <c r="L945" s="28">
        <v>626</v>
      </c>
      <c r="M945" s="28">
        <v>779</v>
      </c>
      <c r="N945" s="62">
        <v>929</v>
      </c>
      <c r="O945" s="62"/>
      <c r="R945" s="28">
        <v>8441</v>
      </c>
    </row>
    <row r="946" spans="1:31" ht="7.9" hidden="1" customHeight="1"/>
    <row r="947" spans="1:31" ht="7.9" hidden="1" customHeight="1"/>
    <row r="948" spans="1:31" ht="7.9" hidden="1" customHeight="1"/>
    <row r="949" spans="1:31" ht="7.9" hidden="1" customHeight="1"/>
    <row r="950" spans="1:31" ht="7.9" hidden="1" customHeight="1"/>
    <row r="951" spans="1:31" s="34" customFormat="1" ht="15.75" hidden="1">
      <c r="A951" s="61">
        <v>38</v>
      </c>
      <c r="B951" s="129"/>
      <c r="C951" s="129" t="s">
        <v>2004</v>
      </c>
      <c r="D951" s="129"/>
      <c r="E951" s="130"/>
      <c r="F951" s="130" t="s">
        <v>352</v>
      </c>
      <c r="G951" s="129">
        <v>1610</v>
      </c>
      <c r="H951" s="131" t="s">
        <v>353</v>
      </c>
      <c r="I951" s="129"/>
      <c r="J951" s="129"/>
      <c r="K951" s="130" t="s">
        <v>354</v>
      </c>
      <c r="L951" s="131">
        <v>10</v>
      </c>
      <c r="M951" s="129" t="s">
        <v>355</v>
      </c>
      <c r="N951" s="131" t="s">
        <v>1443</v>
      </c>
      <c r="O951" s="130"/>
      <c r="P951" s="130" t="s">
        <v>357</v>
      </c>
      <c r="Q951" s="129">
        <v>-12</v>
      </c>
      <c r="R951" s="131" t="s">
        <v>2324</v>
      </c>
      <c r="S951" s="28"/>
      <c r="T951" s="28"/>
      <c r="U951" s="378"/>
      <c r="V951" s="368"/>
      <c r="W951" s="368"/>
      <c r="X951" s="368"/>
      <c r="Y951" s="368"/>
      <c r="Z951" s="368"/>
      <c r="AA951" s="368"/>
      <c r="AB951" s="368"/>
      <c r="AC951" s="368"/>
      <c r="AD951" s="368"/>
      <c r="AE951" s="510"/>
    </row>
    <row r="952" spans="1:31" hidden="1">
      <c r="B952" s="62"/>
      <c r="N952" s="62"/>
      <c r="O952" s="62"/>
      <c r="P952" s="53" t="s">
        <v>358</v>
      </c>
      <c r="Q952" s="45"/>
      <c r="R952" s="45"/>
    </row>
    <row r="953" spans="1:31" s="34" customFormat="1" hidden="1">
      <c r="B953" s="65"/>
      <c r="C953" s="95" t="s">
        <v>489</v>
      </c>
      <c r="D953" s="95" t="s">
        <v>490</v>
      </c>
      <c r="E953" s="95" t="s">
        <v>491</v>
      </c>
      <c r="F953" s="95" t="s">
        <v>492</v>
      </c>
      <c r="G953" s="95" t="s">
        <v>493</v>
      </c>
      <c r="H953" s="95" t="s">
        <v>494</v>
      </c>
      <c r="I953" s="95" t="s">
        <v>495</v>
      </c>
      <c r="J953" s="95" t="s">
        <v>496</v>
      </c>
      <c r="K953" s="95" t="s">
        <v>497</v>
      </c>
      <c r="L953" s="95" t="s">
        <v>498</v>
      </c>
      <c r="M953" s="95" t="s">
        <v>499</v>
      </c>
      <c r="N953" s="126" t="s">
        <v>500</v>
      </c>
      <c r="O953" s="126" t="s">
        <v>501</v>
      </c>
      <c r="P953" s="132" t="s">
        <v>359</v>
      </c>
      <c r="Q953" s="133" t="s">
        <v>1207</v>
      </c>
      <c r="R953" s="133" t="s">
        <v>1208</v>
      </c>
      <c r="S953" s="28"/>
      <c r="T953" s="28"/>
      <c r="U953" s="378"/>
      <c r="V953" s="368"/>
      <c r="W953" s="368"/>
      <c r="X953" s="368"/>
      <c r="Y953" s="368"/>
      <c r="Z953" s="368"/>
      <c r="AA953" s="368"/>
      <c r="AB953" s="368"/>
      <c r="AC953" s="368"/>
      <c r="AD953" s="368"/>
      <c r="AE953" s="510"/>
    </row>
    <row r="954" spans="1:31" hidden="1">
      <c r="B954" s="62"/>
      <c r="N954" s="62"/>
      <c r="O954" s="62"/>
    </row>
    <row r="955" spans="1:31" hidden="1">
      <c r="A955" s="28" t="s">
        <v>1209</v>
      </c>
      <c r="B955" s="62" t="s">
        <v>2324</v>
      </c>
      <c r="C955" s="28">
        <v>-5</v>
      </c>
      <c r="D955" s="28">
        <v>-4.2</v>
      </c>
      <c r="E955" s="28">
        <v>-1.6</v>
      </c>
      <c r="F955" s="28">
        <v>2.6</v>
      </c>
      <c r="G955" s="28">
        <v>6.6</v>
      </c>
      <c r="H955" s="28">
        <v>10.1</v>
      </c>
      <c r="I955" s="28">
        <v>11.8</v>
      </c>
      <c r="J955" s="28">
        <v>10.7</v>
      </c>
      <c r="K955" s="28">
        <v>9</v>
      </c>
      <c r="L955" s="28">
        <v>5.3</v>
      </c>
      <c r="M955" s="28">
        <v>-0.4</v>
      </c>
      <c r="N955" s="62">
        <v>-4.7</v>
      </c>
      <c r="O955" s="62">
        <v>3.4</v>
      </c>
      <c r="P955" s="28">
        <v>1.1000000000000001</v>
      </c>
      <c r="Q955" s="28">
        <v>2.2000000000000002</v>
      </c>
      <c r="R955" s="28">
        <v>2.8</v>
      </c>
    </row>
    <row r="956" spans="1:31" hidden="1">
      <c r="B956" s="62"/>
      <c r="N956" s="62"/>
      <c r="O956" s="62"/>
    </row>
    <row r="957" spans="1:31" ht="12.6" hidden="1" customHeight="1">
      <c r="A957" s="28" t="s">
        <v>1210</v>
      </c>
      <c r="B957" s="62" t="s">
        <v>250</v>
      </c>
      <c r="C957" s="28">
        <v>176</v>
      </c>
      <c r="D957" s="28">
        <v>253</v>
      </c>
      <c r="E957" s="28">
        <v>452</v>
      </c>
      <c r="F957" s="28">
        <v>586</v>
      </c>
      <c r="G957" s="28">
        <v>676</v>
      </c>
      <c r="H957" s="28">
        <v>710</v>
      </c>
      <c r="I957" s="28">
        <v>747</v>
      </c>
      <c r="J957" s="28">
        <v>609</v>
      </c>
      <c r="K957" s="28">
        <v>478</v>
      </c>
      <c r="L957" s="28">
        <v>356</v>
      </c>
      <c r="M957" s="28">
        <v>193</v>
      </c>
      <c r="N957" s="62">
        <v>164</v>
      </c>
      <c r="O957" s="62">
        <v>5400</v>
      </c>
      <c r="P957" s="28">
        <v>3598</v>
      </c>
      <c r="Q957" s="28">
        <v>4378</v>
      </c>
      <c r="R957" s="28">
        <v>4894</v>
      </c>
    </row>
    <row r="958" spans="1:31" ht="12.6" hidden="1" customHeight="1">
      <c r="A958" s="28" t="s">
        <v>1211</v>
      </c>
      <c r="B958" s="62" t="s">
        <v>250</v>
      </c>
      <c r="C958" s="28">
        <v>280</v>
      </c>
      <c r="D958" s="28">
        <v>331</v>
      </c>
      <c r="E958" s="28">
        <v>425</v>
      </c>
      <c r="F958" s="28">
        <v>410</v>
      </c>
      <c r="G958" s="28">
        <v>358</v>
      </c>
      <c r="H958" s="28">
        <v>334</v>
      </c>
      <c r="I958" s="28">
        <v>366</v>
      </c>
      <c r="J958" s="28">
        <v>390</v>
      </c>
      <c r="K958" s="28">
        <v>430</v>
      </c>
      <c r="L958" s="28">
        <v>427</v>
      </c>
      <c r="M958" s="28">
        <v>309</v>
      </c>
      <c r="N958" s="62">
        <v>307</v>
      </c>
      <c r="O958" s="62">
        <v>4367</v>
      </c>
      <c r="P958" s="28">
        <v>3322</v>
      </c>
      <c r="Q958" s="28">
        <v>3797</v>
      </c>
      <c r="R958" s="28">
        <v>4097</v>
      </c>
    </row>
    <row r="959" spans="1:31" ht="12.6" hidden="1" customHeight="1">
      <c r="A959" s="28" t="s">
        <v>1212</v>
      </c>
      <c r="B959" s="62" t="s">
        <v>250</v>
      </c>
      <c r="C959" s="28">
        <v>107</v>
      </c>
      <c r="D959" s="28">
        <v>147</v>
      </c>
      <c r="E959" s="28">
        <v>258</v>
      </c>
      <c r="F959" s="28">
        <v>316</v>
      </c>
      <c r="G959" s="28">
        <v>358</v>
      </c>
      <c r="H959" s="28">
        <v>369</v>
      </c>
      <c r="I959" s="28">
        <v>381</v>
      </c>
      <c r="J959" s="28">
        <v>329</v>
      </c>
      <c r="K959" s="28">
        <v>263</v>
      </c>
      <c r="L959" s="28">
        <v>199</v>
      </c>
      <c r="M959" s="28">
        <v>114</v>
      </c>
      <c r="N959" s="62">
        <v>107</v>
      </c>
      <c r="O959" s="62">
        <v>2948</v>
      </c>
      <c r="P959" s="28">
        <v>2000</v>
      </c>
      <c r="Q959" s="28">
        <v>2413</v>
      </c>
      <c r="R959" s="28">
        <v>2685</v>
      </c>
    </row>
    <row r="960" spans="1:31" ht="12.6" hidden="1" customHeight="1">
      <c r="A960" s="28" t="s">
        <v>1213</v>
      </c>
      <c r="B960" s="62" t="s">
        <v>250</v>
      </c>
      <c r="C960" s="28">
        <v>125</v>
      </c>
      <c r="D960" s="28">
        <v>167</v>
      </c>
      <c r="E960" s="28">
        <v>258</v>
      </c>
      <c r="F960" s="28">
        <v>322</v>
      </c>
      <c r="G960" s="28">
        <v>352</v>
      </c>
      <c r="H960" s="28">
        <v>355</v>
      </c>
      <c r="I960" s="28">
        <v>381</v>
      </c>
      <c r="J960" s="28">
        <v>329</v>
      </c>
      <c r="K960" s="28">
        <v>282</v>
      </c>
      <c r="L960" s="28">
        <v>217</v>
      </c>
      <c r="M960" s="28">
        <v>129</v>
      </c>
      <c r="N960" s="62">
        <v>123</v>
      </c>
      <c r="O960" s="62">
        <v>3040</v>
      </c>
      <c r="P960" s="28">
        <v>2092</v>
      </c>
      <c r="Q960" s="28">
        <v>2506</v>
      </c>
      <c r="R960" s="28">
        <v>2778</v>
      </c>
    </row>
    <row r="961" spans="1:31" ht="12.6" hidden="1" customHeight="1">
      <c r="A961" s="28" t="s">
        <v>1214</v>
      </c>
      <c r="B961" s="62" t="s">
        <v>250</v>
      </c>
      <c r="C961" s="28">
        <v>62</v>
      </c>
      <c r="D961" s="28">
        <v>73</v>
      </c>
      <c r="E961" s="28">
        <v>118</v>
      </c>
      <c r="F961" s="28">
        <v>141</v>
      </c>
      <c r="G961" s="28">
        <v>189</v>
      </c>
      <c r="H961" s="28">
        <v>199</v>
      </c>
      <c r="I961" s="28">
        <v>194</v>
      </c>
      <c r="J961" s="28">
        <v>134</v>
      </c>
      <c r="K961" s="28">
        <v>110</v>
      </c>
      <c r="L961" s="28">
        <v>96</v>
      </c>
      <c r="M961" s="28">
        <v>60</v>
      </c>
      <c r="N961" s="62">
        <v>61</v>
      </c>
      <c r="O961" s="62">
        <v>1437</v>
      </c>
      <c r="P961" s="28">
        <v>981</v>
      </c>
      <c r="Q961" s="28">
        <v>1178</v>
      </c>
      <c r="R961" s="28">
        <v>1308</v>
      </c>
    </row>
    <row r="962" spans="1:31" hidden="1">
      <c r="B962" s="62"/>
      <c r="N962" s="62"/>
      <c r="O962" s="62"/>
    </row>
    <row r="963" spans="1:31" hidden="1">
      <c r="A963" s="28" t="s">
        <v>1215</v>
      </c>
      <c r="B963" s="62" t="s">
        <v>1808</v>
      </c>
      <c r="C963" s="28">
        <v>31</v>
      </c>
      <c r="D963" s="28">
        <v>28</v>
      </c>
      <c r="E963" s="28">
        <v>31</v>
      </c>
      <c r="F963" s="28">
        <v>30</v>
      </c>
      <c r="G963" s="28">
        <v>27</v>
      </c>
      <c r="H963" s="28">
        <v>15</v>
      </c>
      <c r="I963" s="28">
        <v>9</v>
      </c>
      <c r="J963" s="28">
        <v>12</v>
      </c>
      <c r="K963" s="28">
        <v>19</v>
      </c>
      <c r="L963" s="28">
        <v>30</v>
      </c>
      <c r="M963" s="28">
        <v>30</v>
      </c>
      <c r="N963" s="62">
        <v>31</v>
      </c>
      <c r="O963" s="62"/>
      <c r="P963" s="28">
        <v>293</v>
      </c>
    </row>
    <row r="964" spans="1:31" hidden="1">
      <c r="A964" s="28" t="s">
        <v>1809</v>
      </c>
      <c r="B964" s="62" t="s">
        <v>1810</v>
      </c>
      <c r="C964" s="28">
        <v>714</v>
      </c>
      <c r="D964" s="28">
        <v>622</v>
      </c>
      <c r="E964" s="28">
        <v>606</v>
      </c>
      <c r="F964" s="28">
        <v>461</v>
      </c>
      <c r="G964" s="28">
        <v>326</v>
      </c>
      <c r="H964" s="28">
        <v>155</v>
      </c>
      <c r="I964" s="28">
        <v>86</v>
      </c>
      <c r="J964" s="28">
        <v>124</v>
      </c>
      <c r="K964" s="28">
        <v>207</v>
      </c>
      <c r="L964" s="28">
        <v>385</v>
      </c>
      <c r="M964" s="28">
        <v>551</v>
      </c>
      <c r="N964" s="62">
        <v>702</v>
      </c>
      <c r="O964" s="62"/>
      <c r="P964" s="28">
        <v>4939</v>
      </c>
    </row>
    <row r="965" spans="1:31" hidden="1">
      <c r="B965" s="62"/>
      <c r="N965" s="62"/>
      <c r="O965" s="62"/>
    </row>
    <row r="966" spans="1:31" hidden="1">
      <c r="A966" s="28" t="s">
        <v>1886</v>
      </c>
      <c r="B966" s="62" t="s">
        <v>1808</v>
      </c>
      <c r="C966" s="28">
        <v>31</v>
      </c>
      <c r="D966" s="28">
        <v>28</v>
      </c>
      <c r="E966" s="28">
        <v>31</v>
      </c>
      <c r="F966" s="28">
        <v>30</v>
      </c>
      <c r="G966" s="28">
        <v>30</v>
      </c>
      <c r="H966" s="28">
        <v>22</v>
      </c>
      <c r="I966" s="28">
        <v>17</v>
      </c>
      <c r="J966" s="28">
        <v>21</v>
      </c>
      <c r="K966" s="28">
        <v>26</v>
      </c>
      <c r="L966" s="28">
        <v>31</v>
      </c>
      <c r="M966" s="28">
        <v>30</v>
      </c>
      <c r="N966" s="62">
        <v>31</v>
      </c>
      <c r="O966" s="62"/>
      <c r="Q966" s="28">
        <v>328</v>
      </c>
    </row>
    <row r="967" spans="1:31" hidden="1">
      <c r="A967" s="28" t="s">
        <v>1887</v>
      </c>
      <c r="B967" s="62" t="s">
        <v>1810</v>
      </c>
      <c r="C967" s="28">
        <v>776</v>
      </c>
      <c r="D967" s="28">
        <v>673</v>
      </c>
      <c r="E967" s="28">
        <v>668</v>
      </c>
      <c r="F967" s="28">
        <v>522</v>
      </c>
      <c r="G967" s="28">
        <v>408</v>
      </c>
      <c r="H967" s="28">
        <v>247</v>
      </c>
      <c r="I967" s="28">
        <v>179</v>
      </c>
      <c r="J967" s="28">
        <v>223</v>
      </c>
      <c r="K967" s="28">
        <v>305</v>
      </c>
      <c r="L967" s="28">
        <v>454</v>
      </c>
      <c r="M967" s="28">
        <v>611</v>
      </c>
      <c r="N967" s="62">
        <v>764</v>
      </c>
      <c r="O967" s="62"/>
      <c r="Q967" s="28">
        <v>5830</v>
      </c>
    </row>
    <row r="968" spans="1:31" hidden="1">
      <c r="B968" s="62"/>
      <c r="N968" s="62"/>
      <c r="O968" s="62"/>
    </row>
    <row r="969" spans="1:31" hidden="1">
      <c r="A969" s="28" t="s">
        <v>1434</v>
      </c>
      <c r="B969" s="62" t="s">
        <v>1808</v>
      </c>
      <c r="C969" s="28">
        <v>31</v>
      </c>
      <c r="D969" s="28">
        <v>28</v>
      </c>
      <c r="E969" s="28">
        <v>31</v>
      </c>
      <c r="F969" s="28">
        <v>30</v>
      </c>
      <c r="G969" s="28">
        <v>31</v>
      </c>
      <c r="H969" s="28">
        <v>31</v>
      </c>
      <c r="I969" s="28">
        <v>23</v>
      </c>
      <c r="J969" s="28">
        <v>27</v>
      </c>
      <c r="K969" s="28">
        <v>29</v>
      </c>
      <c r="L969" s="28">
        <v>31</v>
      </c>
      <c r="M969" s="28">
        <v>30</v>
      </c>
      <c r="N969" s="62">
        <v>31</v>
      </c>
      <c r="O969" s="62"/>
      <c r="R969" s="28">
        <v>348</v>
      </c>
    </row>
    <row r="970" spans="1:31" hidden="1">
      <c r="A970" s="28" t="s">
        <v>1435</v>
      </c>
      <c r="B970" s="62" t="s">
        <v>1810</v>
      </c>
      <c r="C970" s="28">
        <v>838</v>
      </c>
      <c r="D970" s="28">
        <v>734</v>
      </c>
      <c r="E970" s="28">
        <v>730</v>
      </c>
      <c r="F970" s="28">
        <v>582</v>
      </c>
      <c r="G970" s="28">
        <v>475</v>
      </c>
      <c r="H970" s="28">
        <v>475</v>
      </c>
      <c r="I970" s="28">
        <v>268</v>
      </c>
      <c r="J970" s="28">
        <v>320</v>
      </c>
      <c r="K970" s="28">
        <v>380</v>
      </c>
      <c r="L970" s="28">
        <v>518</v>
      </c>
      <c r="M970" s="28">
        <v>671</v>
      </c>
      <c r="N970" s="62">
        <v>826</v>
      </c>
      <c r="O970" s="62"/>
      <c r="R970" s="28">
        <v>6673</v>
      </c>
    </row>
    <row r="971" spans="1:31" ht="7.9" hidden="1" customHeight="1"/>
    <row r="972" spans="1:31" ht="7.9" hidden="1" customHeight="1"/>
    <row r="973" spans="1:31" ht="7.9" hidden="1" customHeight="1"/>
    <row r="974" spans="1:31" ht="7.9" hidden="1" customHeight="1"/>
    <row r="975" spans="1:31" ht="7.9" hidden="1" customHeight="1"/>
    <row r="976" spans="1:31" s="34" customFormat="1" ht="15.75" hidden="1">
      <c r="A976" s="61">
        <v>39</v>
      </c>
      <c r="B976" s="129"/>
      <c r="C976" s="129" t="s">
        <v>741</v>
      </c>
      <c r="D976" s="129"/>
      <c r="E976" s="130"/>
      <c r="F976" s="130" t="s">
        <v>352</v>
      </c>
      <c r="G976" s="129">
        <v>1253</v>
      </c>
      <c r="H976" s="131" t="s">
        <v>353</v>
      </c>
      <c r="I976" s="129"/>
      <c r="J976" s="129"/>
      <c r="K976" s="130" t="s">
        <v>354</v>
      </c>
      <c r="L976" s="131">
        <v>11</v>
      </c>
      <c r="M976" s="129" t="s">
        <v>355</v>
      </c>
      <c r="N976" s="131" t="s">
        <v>356</v>
      </c>
      <c r="O976" s="130"/>
      <c r="P976" s="130" t="s">
        <v>357</v>
      </c>
      <c r="Q976" s="129">
        <v>-12</v>
      </c>
      <c r="R976" s="131" t="s">
        <v>2324</v>
      </c>
      <c r="S976" s="28"/>
      <c r="T976" s="28"/>
      <c r="U976" s="378"/>
      <c r="V976" s="368"/>
      <c r="W976" s="368"/>
      <c r="X976" s="368"/>
      <c r="Y976" s="368"/>
      <c r="Z976" s="368"/>
      <c r="AA976" s="368"/>
      <c r="AB976" s="368"/>
      <c r="AC976" s="368"/>
      <c r="AD976" s="368"/>
      <c r="AE976" s="510"/>
    </row>
    <row r="977" spans="1:31" hidden="1">
      <c r="B977" s="62"/>
      <c r="N977" s="62"/>
      <c r="O977" s="62"/>
      <c r="P977" s="53" t="s">
        <v>358</v>
      </c>
      <c r="Q977" s="45"/>
      <c r="R977" s="45"/>
    </row>
    <row r="978" spans="1:31" s="34" customFormat="1" hidden="1">
      <c r="B978" s="65"/>
      <c r="C978" s="95" t="s">
        <v>489</v>
      </c>
      <c r="D978" s="95" t="s">
        <v>490</v>
      </c>
      <c r="E978" s="95" t="s">
        <v>491</v>
      </c>
      <c r="F978" s="95" t="s">
        <v>492</v>
      </c>
      <c r="G978" s="95" t="s">
        <v>493</v>
      </c>
      <c r="H978" s="95" t="s">
        <v>494</v>
      </c>
      <c r="I978" s="95" t="s">
        <v>495</v>
      </c>
      <c r="J978" s="95" t="s">
        <v>496</v>
      </c>
      <c r="K978" s="95" t="s">
        <v>497</v>
      </c>
      <c r="L978" s="95" t="s">
        <v>498</v>
      </c>
      <c r="M978" s="95" t="s">
        <v>499</v>
      </c>
      <c r="N978" s="126" t="s">
        <v>500</v>
      </c>
      <c r="O978" s="126" t="s">
        <v>501</v>
      </c>
      <c r="P978" s="132" t="s">
        <v>359</v>
      </c>
      <c r="Q978" s="133" t="s">
        <v>1207</v>
      </c>
      <c r="R978" s="133" t="s">
        <v>1208</v>
      </c>
      <c r="S978" s="28"/>
      <c r="T978" s="28"/>
      <c r="U978" s="378"/>
      <c r="V978" s="368"/>
      <c r="W978" s="368"/>
      <c r="X978" s="368"/>
      <c r="Y978" s="368"/>
      <c r="Z978" s="368"/>
      <c r="AA978" s="368"/>
      <c r="AB978" s="368"/>
      <c r="AC978" s="368"/>
      <c r="AD978" s="368"/>
      <c r="AE978" s="510"/>
    </row>
    <row r="979" spans="1:31" hidden="1">
      <c r="B979" s="62"/>
      <c r="N979" s="62"/>
      <c r="O979" s="62"/>
    </row>
    <row r="980" spans="1:31" hidden="1">
      <c r="A980" s="28" t="s">
        <v>1209</v>
      </c>
      <c r="B980" s="62" t="s">
        <v>2324</v>
      </c>
      <c r="C980" s="28">
        <v>-6</v>
      </c>
      <c r="D980" s="28">
        <v>-3.8</v>
      </c>
      <c r="E980" s="28">
        <v>-0.1</v>
      </c>
      <c r="F980" s="28">
        <v>5.2</v>
      </c>
      <c r="G980" s="28">
        <v>9.6</v>
      </c>
      <c r="H980" s="28">
        <v>13.3</v>
      </c>
      <c r="I980" s="28">
        <v>14.8</v>
      </c>
      <c r="J980" s="28">
        <v>13.6</v>
      </c>
      <c r="K980" s="28">
        <v>10.9</v>
      </c>
      <c r="L980" s="28">
        <v>5.7</v>
      </c>
      <c r="M980" s="28">
        <v>-0.1</v>
      </c>
      <c r="N980" s="62">
        <v>-5.9</v>
      </c>
      <c r="O980" s="62">
        <v>4.8</v>
      </c>
      <c r="P980" s="28">
        <v>0.4</v>
      </c>
      <c r="Q980" s="28">
        <v>1.7</v>
      </c>
      <c r="R980" s="28">
        <v>2.8</v>
      </c>
    </row>
    <row r="981" spans="1:31" hidden="1">
      <c r="B981" s="62"/>
      <c r="N981" s="62"/>
      <c r="O981" s="62"/>
    </row>
    <row r="982" spans="1:31" ht="12.6" hidden="1" customHeight="1">
      <c r="A982" s="28" t="s">
        <v>1210</v>
      </c>
      <c r="B982" s="62" t="s">
        <v>250</v>
      </c>
      <c r="C982" s="28">
        <v>165</v>
      </c>
      <c r="D982" s="28">
        <v>232</v>
      </c>
      <c r="E982" s="28">
        <v>415</v>
      </c>
      <c r="F982" s="28">
        <v>541</v>
      </c>
      <c r="G982" s="28">
        <v>614</v>
      </c>
      <c r="H982" s="28">
        <v>634</v>
      </c>
      <c r="I982" s="28">
        <v>671</v>
      </c>
      <c r="J982" s="28">
        <v>544</v>
      </c>
      <c r="K982" s="28">
        <v>450</v>
      </c>
      <c r="L982" s="28">
        <v>336</v>
      </c>
      <c r="M982" s="28">
        <v>170</v>
      </c>
      <c r="N982" s="62">
        <v>154</v>
      </c>
      <c r="O982" s="62">
        <v>4926</v>
      </c>
      <c r="P982" s="28">
        <v>2451</v>
      </c>
      <c r="Q982" s="28">
        <v>3030</v>
      </c>
      <c r="R982" s="28">
        <v>3638</v>
      </c>
    </row>
    <row r="983" spans="1:31" ht="12.6" hidden="1" customHeight="1">
      <c r="A983" s="28" t="s">
        <v>1211</v>
      </c>
      <c r="B983" s="62" t="s">
        <v>250</v>
      </c>
      <c r="C983" s="28">
        <v>262</v>
      </c>
      <c r="D983" s="28">
        <v>304</v>
      </c>
      <c r="E983" s="28">
        <v>390</v>
      </c>
      <c r="F983" s="28">
        <v>379</v>
      </c>
      <c r="G983" s="28">
        <v>325</v>
      </c>
      <c r="H983" s="28">
        <v>298</v>
      </c>
      <c r="I983" s="28">
        <v>329</v>
      </c>
      <c r="J983" s="28">
        <v>348</v>
      </c>
      <c r="K983" s="28">
        <v>405</v>
      </c>
      <c r="L983" s="28">
        <v>403</v>
      </c>
      <c r="M983" s="28">
        <v>272</v>
      </c>
      <c r="N983" s="62">
        <v>288</v>
      </c>
      <c r="O983" s="62">
        <v>4003</v>
      </c>
      <c r="P983" s="28">
        <v>2528</v>
      </c>
      <c r="Q983" s="28">
        <v>2916</v>
      </c>
      <c r="R983" s="28">
        <v>3299</v>
      </c>
    </row>
    <row r="984" spans="1:31" ht="12.6" hidden="1" customHeight="1">
      <c r="A984" s="28" t="s">
        <v>1212</v>
      </c>
      <c r="B984" s="62" t="s">
        <v>250</v>
      </c>
      <c r="C984" s="28">
        <v>101</v>
      </c>
      <c r="D984" s="28">
        <v>135</v>
      </c>
      <c r="E984" s="28">
        <v>237</v>
      </c>
      <c r="F984" s="28">
        <v>292</v>
      </c>
      <c r="G984" s="28">
        <v>325</v>
      </c>
      <c r="H984" s="28">
        <v>330</v>
      </c>
      <c r="I984" s="28">
        <v>342</v>
      </c>
      <c r="J984" s="28">
        <v>294</v>
      </c>
      <c r="K984" s="28">
        <v>248</v>
      </c>
      <c r="L984" s="28">
        <v>188</v>
      </c>
      <c r="M984" s="28">
        <v>100</v>
      </c>
      <c r="N984" s="62">
        <v>100</v>
      </c>
      <c r="O984" s="62">
        <v>2692</v>
      </c>
      <c r="P984" s="28">
        <v>1385</v>
      </c>
      <c r="Q984" s="28">
        <v>1694</v>
      </c>
      <c r="R984" s="28">
        <v>2018</v>
      </c>
    </row>
    <row r="985" spans="1:31" ht="12.6" hidden="1" customHeight="1">
      <c r="A985" s="28" t="s">
        <v>1213</v>
      </c>
      <c r="B985" s="62" t="s">
        <v>250</v>
      </c>
      <c r="C985" s="28">
        <v>117</v>
      </c>
      <c r="D985" s="28">
        <v>153</v>
      </c>
      <c r="E985" s="28">
        <v>237</v>
      </c>
      <c r="F985" s="28">
        <v>298</v>
      </c>
      <c r="G985" s="28">
        <v>319</v>
      </c>
      <c r="H985" s="28">
        <v>317</v>
      </c>
      <c r="I985" s="28">
        <v>342</v>
      </c>
      <c r="J985" s="28">
        <v>294</v>
      </c>
      <c r="K985" s="28">
        <v>266</v>
      </c>
      <c r="L985" s="28">
        <v>205</v>
      </c>
      <c r="M985" s="28">
        <v>114</v>
      </c>
      <c r="N985" s="62">
        <v>116</v>
      </c>
      <c r="O985" s="62">
        <v>2778</v>
      </c>
      <c r="P985" s="28">
        <v>1469</v>
      </c>
      <c r="Q985" s="28">
        <v>1783</v>
      </c>
      <c r="R985" s="28">
        <v>2109</v>
      </c>
    </row>
    <row r="986" spans="1:31" ht="12.6" hidden="1" customHeight="1">
      <c r="A986" s="28" t="s">
        <v>1214</v>
      </c>
      <c r="B986" s="62" t="s">
        <v>250</v>
      </c>
      <c r="C986" s="28">
        <v>58</v>
      </c>
      <c r="D986" s="28">
        <v>67</v>
      </c>
      <c r="E986" s="28">
        <v>108</v>
      </c>
      <c r="F986" s="28">
        <v>130</v>
      </c>
      <c r="G986" s="28">
        <v>172</v>
      </c>
      <c r="H986" s="28">
        <v>178</v>
      </c>
      <c r="I986" s="28">
        <v>174</v>
      </c>
      <c r="J986" s="28">
        <v>120</v>
      </c>
      <c r="K986" s="28">
        <v>104</v>
      </c>
      <c r="L986" s="28">
        <v>91</v>
      </c>
      <c r="M986" s="28">
        <v>53</v>
      </c>
      <c r="N986" s="62">
        <v>57</v>
      </c>
      <c r="O986" s="62">
        <v>1312</v>
      </c>
      <c r="P986" s="28">
        <v>680</v>
      </c>
      <c r="Q986" s="28">
        <v>829</v>
      </c>
      <c r="R986" s="28">
        <v>983</v>
      </c>
    </row>
    <row r="987" spans="1:31" hidden="1">
      <c r="B987" s="62"/>
      <c r="N987" s="62"/>
      <c r="O987" s="62"/>
    </row>
    <row r="988" spans="1:31" hidden="1">
      <c r="A988" s="28" t="s">
        <v>1215</v>
      </c>
      <c r="B988" s="62" t="s">
        <v>1808</v>
      </c>
      <c r="C988" s="28">
        <v>31</v>
      </c>
      <c r="D988" s="28">
        <v>28</v>
      </c>
      <c r="E988" s="28">
        <v>31</v>
      </c>
      <c r="F988" s="28">
        <v>27</v>
      </c>
      <c r="G988" s="28">
        <v>17</v>
      </c>
      <c r="H988" s="28">
        <v>5</v>
      </c>
      <c r="I988" s="28">
        <v>3</v>
      </c>
      <c r="J988" s="28">
        <v>4</v>
      </c>
      <c r="K988" s="28">
        <v>12</v>
      </c>
      <c r="L988" s="28">
        <v>27</v>
      </c>
      <c r="M988" s="28">
        <v>30</v>
      </c>
      <c r="N988" s="62">
        <v>31</v>
      </c>
      <c r="O988" s="62"/>
      <c r="P988" s="28">
        <v>246</v>
      </c>
    </row>
    <row r="989" spans="1:31" hidden="1">
      <c r="A989" s="28" t="s">
        <v>1809</v>
      </c>
      <c r="B989" s="62" t="s">
        <v>1810</v>
      </c>
      <c r="C989" s="28">
        <v>743</v>
      </c>
      <c r="D989" s="28">
        <v>610</v>
      </c>
      <c r="E989" s="28">
        <v>562</v>
      </c>
      <c r="F989" s="28">
        <v>361</v>
      </c>
      <c r="G989" s="28">
        <v>183</v>
      </c>
      <c r="H989" s="28">
        <v>50</v>
      </c>
      <c r="I989" s="28">
        <v>24</v>
      </c>
      <c r="J989" s="28">
        <v>36</v>
      </c>
      <c r="K989" s="28">
        <v>119</v>
      </c>
      <c r="L989" s="28">
        <v>354</v>
      </c>
      <c r="M989" s="28">
        <v>542</v>
      </c>
      <c r="N989" s="62">
        <v>742</v>
      </c>
      <c r="O989" s="62"/>
      <c r="P989" s="28">
        <v>4326</v>
      </c>
    </row>
    <row r="990" spans="1:31" hidden="1">
      <c r="B990" s="62"/>
      <c r="N990" s="62"/>
      <c r="O990" s="62"/>
    </row>
    <row r="991" spans="1:31" hidden="1">
      <c r="A991" s="28" t="s">
        <v>1886</v>
      </c>
      <c r="B991" s="62" t="s">
        <v>1808</v>
      </c>
      <c r="C991" s="28">
        <v>31</v>
      </c>
      <c r="D991" s="28">
        <v>28</v>
      </c>
      <c r="E991" s="28">
        <v>31</v>
      </c>
      <c r="F991" s="28">
        <v>30</v>
      </c>
      <c r="G991" s="28">
        <v>24</v>
      </c>
      <c r="H991" s="28">
        <v>10</v>
      </c>
      <c r="I991" s="28">
        <v>6</v>
      </c>
      <c r="J991" s="28">
        <v>9</v>
      </c>
      <c r="K991" s="28">
        <v>19</v>
      </c>
      <c r="L991" s="28">
        <v>30</v>
      </c>
      <c r="M991" s="28">
        <v>30</v>
      </c>
      <c r="N991" s="62">
        <v>31</v>
      </c>
      <c r="O991" s="62"/>
      <c r="Q991" s="28">
        <v>279</v>
      </c>
    </row>
    <row r="992" spans="1:31" hidden="1">
      <c r="A992" s="28" t="s">
        <v>1887</v>
      </c>
      <c r="B992" s="62" t="s">
        <v>1810</v>
      </c>
      <c r="C992" s="28">
        <v>805</v>
      </c>
      <c r="D992" s="28">
        <v>666</v>
      </c>
      <c r="E992" s="28">
        <v>624</v>
      </c>
      <c r="F992" s="28">
        <v>440</v>
      </c>
      <c r="G992" s="28">
        <v>274</v>
      </c>
      <c r="H992" s="28">
        <v>109</v>
      </c>
      <c r="I992" s="28">
        <v>61</v>
      </c>
      <c r="J992" s="28">
        <v>90</v>
      </c>
      <c r="K992" s="28">
        <v>207</v>
      </c>
      <c r="L992" s="28">
        <v>436</v>
      </c>
      <c r="M992" s="28">
        <v>603</v>
      </c>
      <c r="N992" s="62">
        <v>804</v>
      </c>
      <c r="O992" s="62"/>
      <c r="Q992" s="28">
        <v>5119</v>
      </c>
    </row>
    <row r="993" spans="1:31" hidden="1">
      <c r="B993" s="62"/>
      <c r="N993" s="62"/>
      <c r="O993" s="62"/>
    </row>
    <row r="994" spans="1:31" hidden="1">
      <c r="A994" s="28" t="s">
        <v>1434</v>
      </c>
      <c r="B994" s="62" t="s">
        <v>1808</v>
      </c>
      <c r="C994" s="28">
        <v>31</v>
      </c>
      <c r="D994" s="28">
        <v>28</v>
      </c>
      <c r="E994" s="28">
        <v>31</v>
      </c>
      <c r="F994" s="28">
        <v>30</v>
      </c>
      <c r="G994" s="28">
        <v>29</v>
      </c>
      <c r="H994" s="28">
        <v>16</v>
      </c>
      <c r="I994" s="28">
        <v>11</v>
      </c>
      <c r="J994" s="28">
        <v>17</v>
      </c>
      <c r="K994" s="28">
        <v>26</v>
      </c>
      <c r="L994" s="28">
        <v>31</v>
      </c>
      <c r="M994" s="28">
        <v>30</v>
      </c>
      <c r="N994" s="62">
        <v>31</v>
      </c>
      <c r="O994" s="62"/>
      <c r="R994" s="28">
        <v>311</v>
      </c>
    </row>
    <row r="995" spans="1:31" hidden="1">
      <c r="A995" s="28" t="s">
        <v>1435</v>
      </c>
      <c r="B995" s="62" t="s">
        <v>1810</v>
      </c>
      <c r="C995" s="28">
        <v>867</v>
      </c>
      <c r="D995" s="28">
        <v>722</v>
      </c>
      <c r="E995" s="28">
        <v>686</v>
      </c>
      <c r="F995" s="28">
        <v>503</v>
      </c>
      <c r="G995" s="28">
        <v>367</v>
      </c>
      <c r="H995" s="28">
        <v>182</v>
      </c>
      <c r="I995" s="28">
        <v>119</v>
      </c>
      <c r="J995" s="28">
        <v>182</v>
      </c>
      <c r="K995" s="28">
        <v>305</v>
      </c>
      <c r="L995" s="28">
        <v>504</v>
      </c>
      <c r="M995" s="28">
        <v>663</v>
      </c>
      <c r="N995" s="62">
        <v>866</v>
      </c>
      <c r="O995" s="62"/>
      <c r="R995" s="28">
        <v>5966</v>
      </c>
    </row>
    <row r="996" spans="1:31" ht="7.9" hidden="1" customHeight="1"/>
    <row r="997" spans="1:31" ht="7.9" hidden="1" customHeight="1"/>
    <row r="998" spans="1:31" ht="7.9" hidden="1" customHeight="1"/>
    <row r="999" spans="1:31" ht="7.9" hidden="1" customHeight="1"/>
    <row r="1000" spans="1:31" ht="7.9" hidden="1" customHeight="1"/>
    <row r="1001" spans="1:31" s="34" customFormat="1" ht="15.75" hidden="1">
      <c r="A1001" s="61">
        <v>40</v>
      </c>
      <c r="B1001" s="129"/>
      <c r="C1001" s="129" t="s">
        <v>1400</v>
      </c>
      <c r="D1001" s="129"/>
      <c r="E1001" s="130"/>
      <c r="F1001" s="130" t="s">
        <v>352</v>
      </c>
      <c r="G1001" s="129">
        <v>1833</v>
      </c>
      <c r="H1001" s="131" t="s">
        <v>353</v>
      </c>
      <c r="I1001" s="129"/>
      <c r="J1001" s="129"/>
      <c r="K1001" s="130" t="s">
        <v>354</v>
      </c>
      <c r="L1001" s="131">
        <v>11</v>
      </c>
      <c r="M1001" s="129" t="s">
        <v>355</v>
      </c>
      <c r="N1001" s="131" t="s">
        <v>1439</v>
      </c>
      <c r="O1001" s="130"/>
      <c r="P1001" s="130" t="s">
        <v>357</v>
      </c>
      <c r="Q1001" s="129">
        <v>-14</v>
      </c>
      <c r="R1001" s="131" t="s">
        <v>2324</v>
      </c>
      <c r="S1001" s="28"/>
      <c r="T1001" s="28"/>
      <c r="U1001" s="378"/>
      <c r="V1001" s="368"/>
      <c r="W1001" s="368"/>
      <c r="X1001" s="368"/>
      <c r="Y1001" s="368"/>
      <c r="Z1001" s="368"/>
      <c r="AA1001" s="368"/>
      <c r="AB1001" s="368"/>
      <c r="AC1001" s="368"/>
      <c r="AD1001" s="368"/>
      <c r="AE1001" s="510"/>
    </row>
    <row r="1002" spans="1:31" hidden="1">
      <c r="B1002" s="62"/>
      <c r="N1002" s="62"/>
      <c r="O1002" s="62"/>
      <c r="P1002" s="53" t="s">
        <v>358</v>
      </c>
      <c r="Q1002" s="45"/>
      <c r="R1002" s="45"/>
    </row>
    <row r="1003" spans="1:31" s="34" customFormat="1" hidden="1">
      <c r="B1003" s="65"/>
      <c r="C1003" s="95" t="s">
        <v>489</v>
      </c>
      <c r="D1003" s="95" t="s">
        <v>490</v>
      </c>
      <c r="E1003" s="95" t="s">
        <v>491</v>
      </c>
      <c r="F1003" s="95" t="s">
        <v>492</v>
      </c>
      <c r="G1003" s="95" t="s">
        <v>493</v>
      </c>
      <c r="H1003" s="95" t="s">
        <v>494</v>
      </c>
      <c r="I1003" s="95" t="s">
        <v>495</v>
      </c>
      <c r="J1003" s="95" t="s">
        <v>496</v>
      </c>
      <c r="K1003" s="95" t="s">
        <v>497</v>
      </c>
      <c r="L1003" s="95" t="s">
        <v>498</v>
      </c>
      <c r="M1003" s="95" t="s">
        <v>499</v>
      </c>
      <c r="N1003" s="126" t="s">
        <v>500</v>
      </c>
      <c r="O1003" s="126" t="s">
        <v>501</v>
      </c>
      <c r="P1003" s="132" t="s">
        <v>359</v>
      </c>
      <c r="Q1003" s="133" t="s">
        <v>1207</v>
      </c>
      <c r="R1003" s="133" t="s">
        <v>1208</v>
      </c>
      <c r="S1003" s="28"/>
      <c r="T1003" s="28"/>
      <c r="U1003" s="378"/>
      <c r="V1003" s="368"/>
      <c r="W1003" s="368"/>
      <c r="X1003" s="368"/>
      <c r="Y1003" s="368"/>
      <c r="Z1003" s="368"/>
      <c r="AA1003" s="368"/>
      <c r="AB1003" s="368"/>
      <c r="AC1003" s="368"/>
      <c r="AD1003" s="368"/>
      <c r="AE1003" s="510"/>
    </row>
    <row r="1004" spans="1:31" hidden="1">
      <c r="B1004" s="62"/>
      <c r="N1004" s="62"/>
      <c r="O1004" s="62"/>
    </row>
    <row r="1005" spans="1:31" hidden="1">
      <c r="A1005" s="28" t="s">
        <v>1209</v>
      </c>
      <c r="B1005" s="62" t="s">
        <v>2324</v>
      </c>
      <c r="C1005" s="28">
        <v>-7.3</v>
      </c>
      <c r="D1005" s="28">
        <v>-6.3</v>
      </c>
      <c r="E1005" s="28">
        <v>-3.7</v>
      </c>
      <c r="F1005" s="28">
        <v>0.9</v>
      </c>
      <c r="G1005" s="28">
        <v>5.3</v>
      </c>
      <c r="H1005" s="28">
        <v>9.1999999999999993</v>
      </c>
      <c r="I1005" s="28">
        <v>11</v>
      </c>
      <c r="J1005" s="28">
        <v>10.199999999999999</v>
      </c>
      <c r="K1005" s="28">
        <v>8.1</v>
      </c>
      <c r="L1005" s="28">
        <v>4.0999999999999996</v>
      </c>
      <c r="M1005" s="28">
        <v>-1.5</v>
      </c>
      <c r="N1005" s="62">
        <v>-6.9</v>
      </c>
      <c r="O1005" s="62">
        <v>2</v>
      </c>
      <c r="P1005" s="28">
        <v>-0.1</v>
      </c>
      <c r="Q1005" s="28">
        <v>0.9</v>
      </c>
      <c r="R1005" s="28">
        <v>1.5</v>
      </c>
    </row>
    <row r="1006" spans="1:31" hidden="1">
      <c r="B1006" s="62"/>
      <c r="N1006" s="62"/>
      <c r="O1006" s="62"/>
    </row>
    <row r="1007" spans="1:31" ht="12.6" hidden="1" customHeight="1">
      <c r="A1007" s="28" t="s">
        <v>1210</v>
      </c>
      <c r="B1007" s="62" t="s">
        <v>250</v>
      </c>
      <c r="C1007" s="28">
        <v>151</v>
      </c>
      <c r="D1007" s="28">
        <v>246</v>
      </c>
      <c r="E1007" s="28">
        <v>435</v>
      </c>
      <c r="F1007" s="28">
        <v>556</v>
      </c>
      <c r="G1007" s="28">
        <v>640</v>
      </c>
      <c r="H1007" s="28">
        <v>634</v>
      </c>
      <c r="I1007" s="28">
        <v>672</v>
      </c>
      <c r="J1007" s="28">
        <v>551</v>
      </c>
      <c r="K1007" s="28">
        <v>433</v>
      </c>
      <c r="L1007" s="28">
        <v>336</v>
      </c>
      <c r="M1007" s="28">
        <v>168</v>
      </c>
      <c r="N1007" s="62">
        <v>136</v>
      </c>
      <c r="O1007" s="62">
        <v>4958</v>
      </c>
      <c r="P1007" s="28">
        <v>3583</v>
      </c>
      <c r="Q1007" s="28">
        <v>4222</v>
      </c>
      <c r="R1007" s="28">
        <v>4627</v>
      </c>
    </row>
    <row r="1008" spans="1:31" ht="12.6" hidden="1" customHeight="1">
      <c r="A1008" s="28" t="s">
        <v>1211</v>
      </c>
      <c r="B1008" s="62" t="s">
        <v>250</v>
      </c>
      <c r="C1008" s="28">
        <v>240</v>
      </c>
      <c r="D1008" s="28">
        <v>322</v>
      </c>
      <c r="E1008" s="28">
        <v>409</v>
      </c>
      <c r="F1008" s="28">
        <v>389</v>
      </c>
      <c r="G1008" s="28">
        <v>339</v>
      </c>
      <c r="H1008" s="28">
        <v>298</v>
      </c>
      <c r="I1008" s="28">
        <v>329</v>
      </c>
      <c r="J1008" s="28">
        <v>353</v>
      </c>
      <c r="K1008" s="28">
        <v>390</v>
      </c>
      <c r="L1008" s="28">
        <v>403</v>
      </c>
      <c r="M1008" s="28">
        <v>269</v>
      </c>
      <c r="N1008" s="62">
        <v>254</v>
      </c>
      <c r="O1008" s="62">
        <v>3995</v>
      </c>
      <c r="P1008" s="28">
        <v>3211</v>
      </c>
      <c r="Q1008" s="28">
        <v>3590</v>
      </c>
      <c r="R1008" s="28">
        <v>3824</v>
      </c>
    </row>
    <row r="1009" spans="1:18" ht="12.6" hidden="1" customHeight="1">
      <c r="A1009" s="28" t="s">
        <v>1212</v>
      </c>
      <c r="B1009" s="62" t="s">
        <v>250</v>
      </c>
      <c r="C1009" s="28">
        <v>92</v>
      </c>
      <c r="D1009" s="28">
        <v>143</v>
      </c>
      <c r="E1009" s="28">
        <v>248</v>
      </c>
      <c r="F1009" s="28">
        <v>300</v>
      </c>
      <c r="G1009" s="28">
        <v>339</v>
      </c>
      <c r="H1009" s="28">
        <v>330</v>
      </c>
      <c r="I1009" s="28">
        <v>343</v>
      </c>
      <c r="J1009" s="28">
        <v>298</v>
      </c>
      <c r="K1009" s="28">
        <v>238</v>
      </c>
      <c r="L1009" s="28">
        <v>188</v>
      </c>
      <c r="M1009" s="28">
        <v>99</v>
      </c>
      <c r="N1009" s="62">
        <v>88</v>
      </c>
      <c r="O1009" s="62">
        <v>2706</v>
      </c>
      <c r="P1009" s="28">
        <v>1983</v>
      </c>
      <c r="Q1009" s="28">
        <v>2321</v>
      </c>
      <c r="R1009" s="28">
        <v>2534</v>
      </c>
    </row>
    <row r="1010" spans="1:18" ht="12.6" hidden="1" customHeight="1">
      <c r="A1010" s="28" t="s">
        <v>1213</v>
      </c>
      <c r="B1010" s="62" t="s">
        <v>250</v>
      </c>
      <c r="C1010" s="28">
        <v>107</v>
      </c>
      <c r="D1010" s="28">
        <v>162</v>
      </c>
      <c r="E1010" s="28">
        <v>248</v>
      </c>
      <c r="F1010" s="28">
        <v>306</v>
      </c>
      <c r="G1010" s="28">
        <v>333</v>
      </c>
      <c r="H1010" s="28">
        <v>317</v>
      </c>
      <c r="I1010" s="28">
        <v>343</v>
      </c>
      <c r="J1010" s="28">
        <v>298</v>
      </c>
      <c r="K1010" s="28">
        <v>255</v>
      </c>
      <c r="L1010" s="28">
        <v>205</v>
      </c>
      <c r="M1010" s="28">
        <v>113</v>
      </c>
      <c r="N1010" s="62">
        <v>102</v>
      </c>
      <c r="O1010" s="62">
        <v>2789</v>
      </c>
      <c r="P1010" s="28">
        <v>2067</v>
      </c>
      <c r="Q1010" s="28">
        <v>2406</v>
      </c>
      <c r="R1010" s="28">
        <v>2619</v>
      </c>
    </row>
    <row r="1011" spans="1:18" ht="12.6" hidden="1" customHeight="1">
      <c r="A1011" s="28" t="s">
        <v>1214</v>
      </c>
      <c r="B1011" s="62" t="s">
        <v>250</v>
      </c>
      <c r="C1011" s="28">
        <v>53</v>
      </c>
      <c r="D1011" s="28">
        <v>71</v>
      </c>
      <c r="E1011" s="28">
        <v>113</v>
      </c>
      <c r="F1011" s="28">
        <v>133</v>
      </c>
      <c r="G1011" s="28">
        <v>179</v>
      </c>
      <c r="H1011" s="28">
        <v>178</v>
      </c>
      <c r="I1011" s="28">
        <v>175</v>
      </c>
      <c r="J1011" s="28">
        <v>121</v>
      </c>
      <c r="K1011" s="28">
        <v>100</v>
      </c>
      <c r="L1011" s="28">
        <v>91</v>
      </c>
      <c r="M1011" s="28">
        <v>52</v>
      </c>
      <c r="N1011" s="62">
        <v>50</v>
      </c>
      <c r="O1011" s="62">
        <v>1316</v>
      </c>
      <c r="P1011" s="28">
        <v>969</v>
      </c>
      <c r="Q1011" s="28">
        <v>1130</v>
      </c>
      <c r="R1011" s="28">
        <v>1231</v>
      </c>
    </row>
    <row r="1012" spans="1:18" hidden="1">
      <c r="B1012" s="62"/>
      <c r="N1012" s="62"/>
      <c r="O1012" s="62"/>
    </row>
    <row r="1013" spans="1:18" hidden="1">
      <c r="A1013" s="28" t="s">
        <v>1215</v>
      </c>
      <c r="B1013" s="62" t="s">
        <v>1808</v>
      </c>
      <c r="C1013" s="28">
        <v>31</v>
      </c>
      <c r="D1013" s="28">
        <v>28</v>
      </c>
      <c r="E1013" s="28">
        <v>31</v>
      </c>
      <c r="F1013" s="28">
        <v>30</v>
      </c>
      <c r="G1013" s="28">
        <v>29</v>
      </c>
      <c r="H1013" s="28">
        <v>17</v>
      </c>
      <c r="I1013" s="28">
        <v>12</v>
      </c>
      <c r="J1013" s="28">
        <v>14</v>
      </c>
      <c r="K1013" s="28">
        <v>22</v>
      </c>
      <c r="L1013" s="28">
        <v>31</v>
      </c>
      <c r="M1013" s="28">
        <v>30</v>
      </c>
      <c r="N1013" s="62">
        <v>31</v>
      </c>
      <c r="O1013" s="62"/>
      <c r="P1013" s="28">
        <v>306</v>
      </c>
    </row>
    <row r="1014" spans="1:18" hidden="1">
      <c r="A1014" s="28" t="s">
        <v>1809</v>
      </c>
      <c r="B1014" s="62" t="s">
        <v>1810</v>
      </c>
      <c r="C1014" s="28">
        <v>785</v>
      </c>
      <c r="D1014" s="28">
        <v>680</v>
      </c>
      <c r="E1014" s="28">
        <v>672</v>
      </c>
      <c r="F1014" s="28">
        <v>513</v>
      </c>
      <c r="G1014" s="28">
        <v>382</v>
      </c>
      <c r="H1014" s="28">
        <v>191</v>
      </c>
      <c r="I1014" s="28">
        <v>119</v>
      </c>
      <c r="J1014" s="28">
        <v>148</v>
      </c>
      <c r="K1014" s="28">
        <v>247</v>
      </c>
      <c r="L1014" s="28">
        <v>428</v>
      </c>
      <c r="M1014" s="28">
        <v>586</v>
      </c>
      <c r="N1014" s="62">
        <v>773</v>
      </c>
      <c r="O1014" s="62"/>
      <c r="P1014" s="28">
        <v>5524</v>
      </c>
    </row>
    <row r="1015" spans="1:18" hidden="1">
      <c r="B1015" s="62"/>
      <c r="N1015" s="62"/>
      <c r="O1015" s="62"/>
    </row>
    <row r="1016" spans="1:18" hidden="1">
      <c r="A1016" s="28" t="s">
        <v>1886</v>
      </c>
      <c r="B1016" s="62" t="s">
        <v>1808</v>
      </c>
      <c r="C1016" s="28">
        <v>31</v>
      </c>
      <c r="D1016" s="28">
        <v>28</v>
      </c>
      <c r="E1016" s="28">
        <v>31</v>
      </c>
      <c r="F1016" s="28">
        <v>30</v>
      </c>
      <c r="G1016" s="28">
        <v>31</v>
      </c>
      <c r="H1016" s="28">
        <v>24</v>
      </c>
      <c r="I1016" s="28">
        <v>19</v>
      </c>
      <c r="J1016" s="28">
        <v>22</v>
      </c>
      <c r="K1016" s="28">
        <v>28</v>
      </c>
      <c r="L1016" s="28">
        <v>31</v>
      </c>
      <c r="M1016" s="28">
        <v>30</v>
      </c>
      <c r="N1016" s="62">
        <v>31</v>
      </c>
      <c r="O1016" s="62"/>
      <c r="Q1016" s="28">
        <v>336</v>
      </c>
    </row>
    <row r="1017" spans="1:18" hidden="1">
      <c r="A1017" s="28" t="s">
        <v>1887</v>
      </c>
      <c r="B1017" s="62" t="s">
        <v>1810</v>
      </c>
      <c r="C1017" s="28">
        <v>847</v>
      </c>
      <c r="D1017" s="28">
        <v>736</v>
      </c>
      <c r="E1017" s="28">
        <v>734</v>
      </c>
      <c r="F1017" s="28">
        <v>573</v>
      </c>
      <c r="G1017" s="28">
        <v>454</v>
      </c>
      <c r="H1017" s="28">
        <v>290</v>
      </c>
      <c r="I1017" s="28">
        <v>209</v>
      </c>
      <c r="J1017" s="28">
        <v>249</v>
      </c>
      <c r="K1017" s="28">
        <v>341</v>
      </c>
      <c r="L1017" s="28">
        <v>493</v>
      </c>
      <c r="M1017" s="28">
        <v>646</v>
      </c>
      <c r="N1017" s="62">
        <v>835</v>
      </c>
      <c r="O1017" s="62"/>
      <c r="Q1017" s="28">
        <v>6407</v>
      </c>
    </row>
    <row r="1018" spans="1:18" hidden="1">
      <c r="B1018" s="62"/>
      <c r="N1018" s="62"/>
      <c r="O1018" s="62"/>
    </row>
    <row r="1019" spans="1:18" hidden="1">
      <c r="A1019" s="28" t="s">
        <v>1434</v>
      </c>
      <c r="B1019" s="62" t="s">
        <v>1808</v>
      </c>
      <c r="C1019" s="28">
        <v>31</v>
      </c>
      <c r="D1019" s="28">
        <v>28</v>
      </c>
      <c r="E1019" s="28">
        <v>31</v>
      </c>
      <c r="F1019" s="28">
        <v>30</v>
      </c>
      <c r="G1019" s="28">
        <v>31</v>
      </c>
      <c r="H1019" s="28">
        <v>27</v>
      </c>
      <c r="I1019" s="28">
        <v>25</v>
      </c>
      <c r="J1019" s="28">
        <v>28</v>
      </c>
      <c r="K1019" s="28">
        <v>30</v>
      </c>
      <c r="L1019" s="28">
        <v>31</v>
      </c>
      <c r="M1019" s="28">
        <v>30</v>
      </c>
      <c r="N1019" s="62">
        <v>31</v>
      </c>
      <c r="O1019" s="62"/>
      <c r="R1019" s="28">
        <v>353</v>
      </c>
    </row>
    <row r="1020" spans="1:18" hidden="1">
      <c r="A1020" s="28" t="s">
        <v>1435</v>
      </c>
      <c r="B1020" s="62" t="s">
        <v>1810</v>
      </c>
      <c r="C1020" s="28">
        <v>909</v>
      </c>
      <c r="D1020" s="28">
        <v>792</v>
      </c>
      <c r="E1020" s="28">
        <v>796</v>
      </c>
      <c r="F1020" s="28">
        <v>633</v>
      </c>
      <c r="G1020" s="28">
        <v>517</v>
      </c>
      <c r="H1020" s="28">
        <v>367</v>
      </c>
      <c r="I1020" s="28">
        <v>304</v>
      </c>
      <c r="J1020" s="28">
        <v>342</v>
      </c>
      <c r="K1020" s="28">
        <v>414</v>
      </c>
      <c r="L1020" s="28">
        <v>555</v>
      </c>
      <c r="M1020" s="28">
        <v>706</v>
      </c>
      <c r="N1020" s="62">
        <v>897</v>
      </c>
      <c r="O1020" s="62"/>
      <c r="R1020" s="28">
        <v>7232</v>
      </c>
    </row>
    <row r="1021" spans="1:18" ht="7.9" hidden="1" customHeight="1"/>
    <row r="1022" spans="1:18" ht="7.9" hidden="1" customHeight="1"/>
    <row r="1023" spans="1:18" ht="7.9" hidden="1" customHeight="1"/>
    <row r="1024" spans="1:18" ht="7.9" hidden="1" customHeight="1"/>
    <row r="1025" spans="1:31" ht="7.9" hidden="1" customHeight="1"/>
    <row r="1026" spans="1:31" s="34" customFormat="1" ht="15.75" hidden="1">
      <c r="A1026" s="61">
        <v>41</v>
      </c>
      <c r="B1026" s="129"/>
      <c r="C1026" s="129" t="s">
        <v>203</v>
      </c>
      <c r="D1026" s="129"/>
      <c r="E1026" s="130"/>
      <c r="F1026" s="130" t="s">
        <v>352</v>
      </c>
      <c r="G1026" s="129">
        <v>1078</v>
      </c>
      <c r="H1026" s="131" t="s">
        <v>353</v>
      </c>
      <c r="I1026" s="129"/>
      <c r="J1026" s="129"/>
      <c r="K1026" s="130" t="s">
        <v>354</v>
      </c>
      <c r="L1026" s="131">
        <v>12</v>
      </c>
      <c r="M1026" s="129" t="s">
        <v>355</v>
      </c>
      <c r="N1026" s="131" t="s">
        <v>1443</v>
      </c>
      <c r="O1026" s="130"/>
      <c r="P1026" s="130" t="s">
        <v>357</v>
      </c>
      <c r="Q1026" s="129">
        <v>-7</v>
      </c>
      <c r="R1026" s="131" t="s">
        <v>2324</v>
      </c>
      <c r="S1026" s="28"/>
      <c r="T1026" s="28"/>
      <c r="U1026" s="378"/>
      <c r="V1026" s="368"/>
      <c r="W1026" s="368"/>
      <c r="X1026" s="368"/>
      <c r="Y1026" s="368"/>
      <c r="Z1026" s="368"/>
      <c r="AA1026" s="368"/>
      <c r="AB1026" s="368"/>
      <c r="AC1026" s="368"/>
      <c r="AD1026" s="368"/>
      <c r="AE1026" s="510"/>
    </row>
    <row r="1027" spans="1:31" hidden="1">
      <c r="B1027" s="62"/>
      <c r="N1027" s="62"/>
      <c r="O1027" s="62"/>
      <c r="P1027" s="53" t="s">
        <v>358</v>
      </c>
      <c r="Q1027" s="45"/>
      <c r="R1027" s="45"/>
    </row>
    <row r="1028" spans="1:31" s="34" customFormat="1" hidden="1">
      <c r="B1028" s="65"/>
      <c r="C1028" s="95" t="s">
        <v>489</v>
      </c>
      <c r="D1028" s="95" t="s">
        <v>490</v>
      </c>
      <c r="E1028" s="95" t="s">
        <v>491</v>
      </c>
      <c r="F1028" s="95" t="s">
        <v>492</v>
      </c>
      <c r="G1028" s="95" t="s">
        <v>493</v>
      </c>
      <c r="H1028" s="95" t="s">
        <v>494</v>
      </c>
      <c r="I1028" s="95" t="s">
        <v>495</v>
      </c>
      <c r="J1028" s="95" t="s">
        <v>496</v>
      </c>
      <c r="K1028" s="95" t="s">
        <v>497</v>
      </c>
      <c r="L1028" s="95" t="s">
        <v>498</v>
      </c>
      <c r="M1028" s="95" t="s">
        <v>499</v>
      </c>
      <c r="N1028" s="126" t="s">
        <v>500</v>
      </c>
      <c r="O1028" s="126" t="s">
        <v>501</v>
      </c>
      <c r="P1028" s="132" t="s">
        <v>359</v>
      </c>
      <c r="Q1028" s="133" t="s">
        <v>1207</v>
      </c>
      <c r="R1028" s="133" t="s">
        <v>1208</v>
      </c>
      <c r="S1028" s="28"/>
      <c r="T1028" s="28"/>
      <c r="U1028" s="378"/>
      <c r="V1028" s="368"/>
      <c r="W1028" s="368"/>
      <c r="X1028" s="368"/>
      <c r="Y1028" s="368"/>
      <c r="Z1028" s="368"/>
      <c r="AA1028" s="368"/>
      <c r="AB1028" s="368"/>
      <c r="AC1028" s="368"/>
      <c r="AD1028" s="368"/>
      <c r="AE1028" s="510"/>
    </row>
    <row r="1029" spans="1:31" hidden="1">
      <c r="B1029" s="62"/>
      <c r="N1029" s="62"/>
      <c r="O1029" s="62"/>
    </row>
    <row r="1030" spans="1:31" hidden="1">
      <c r="A1030" s="28" t="s">
        <v>1209</v>
      </c>
      <c r="B1030" s="62" t="s">
        <v>2324</v>
      </c>
      <c r="C1030" s="28">
        <v>-2.5</v>
      </c>
      <c r="D1030" s="28">
        <v>-1.1000000000000001</v>
      </c>
      <c r="E1030" s="28">
        <v>1.8</v>
      </c>
      <c r="F1030" s="28">
        <v>6.4</v>
      </c>
      <c r="G1030" s="28">
        <v>10.1</v>
      </c>
      <c r="H1030" s="28">
        <v>13.7</v>
      </c>
      <c r="I1030" s="28">
        <v>15.3</v>
      </c>
      <c r="J1030" s="28">
        <v>14.4</v>
      </c>
      <c r="K1030" s="28">
        <v>11.9</v>
      </c>
      <c r="L1030" s="28">
        <v>7.7</v>
      </c>
      <c r="M1030" s="28">
        <v>2.7</v>
      </c>
      <c r="N1030" s="62">
        <v>-1.6</v>
      </c>
      <c r="O1030" s="62">
        <v>6.6</v>
      </c>
      <c r="P1030" s="28">
        <v>2.2000000000000002</v>
      </c>
      <c r="Q1030" s="28">
        <v>3.4</v>
      </c>
      <c r="R1030" s="28">
        <v>4.5999999999999996</v>
      </c>
    </row>
    <row r="1031" spans="1:31" hidden="1">
      <c r="B1031" s="62"/>
      <c r="N1031" s="62"/>
      <c r="O1031" s="62"/>
    </row>
    <row r="1032" spans="1:31" ht="12.6" hidden="1" customHeight="1">
      <c r="A1032" s="28" t="s">
        <v>1210</v>
      </c>
      <c r="B1032" s="62" t="s">
        <v>250</v>
      </c>
      <c r="C1032" s="28">
        <v>170</v>
      </c>
      <c r="D1032" s="28">
        <v>234</v>
      </c>
      <c r="E1032" s="28">
        <v>410</v>
      </c>
      <c r="F1032" s="28">
        <v>527</v>
      </c>
      <c r="G1032" s="28">
        <v>600</v>
      </c>
      <c r="H1032" s="28">
        <v>658</v>
      </c>
      <c r="I1032" s="28">
        <v>695</v>
      </c>
      <c r="J1032" s="28">
        <v>565</v>
      </c>
      <c r="K1032" s="28">
        <v>426</v>
      </c>
      <c r="L1032" s="28">
        <v>334</v>
      </c>
      <c r="M1032" s="28">
        <v>170</v>
      </c>
      <c r="N1032" s="62">
        <v>157</v>
      </c>
      <c r="O1032" s="62">
        <v>4946</v>
      </c>
      <c r="P1032" s="28">
        <v>2177</v>
      </c>
      <c r="Q1032" s="28">
        <v>2749</v>
      </c>
      <c r="R1032" s="28">
        <v>3435</v>
      </c>
    </row>
    <row r="1033" spans="1:31" ht="12.6" hidden="1" customHeight="1">
      <c r="A1033" s="28" t="s">
        <v>1211</v>
      </c>
      <c r="B1033" s="62" t="s">
        <v>250</v>
      </c>
      <c r="C1033" s="28">
        <v>270</v>
      </c>
      <c r="D1033" s="28">
        <v>307</v>
      </c>
      <c r="E1033" s="28">
        <v>385</v>
      </c>
      <c r="F1033" s="28">
        <v>369</v>
      </c>
      <c r="G1033" s="28">
        <v>318</v>
      </c>
      <c r="H1033" s="28">
        <v>309</v>
      </c>
      <c r="I1033" s="28">
        <v>341</v>
      </c>
      <c r="J1033" s="28">
        <v>362</v>
      </c>
      <c r="K1033" s="28">
        <v>383</v>
      </c>
      <c r="L1033" s="28">
        <v>401</v>
      </c>
      <c r="M1033" s="28">
        <v>272</v>
      </c>
      <c r="N1033" s="62">
        <v>294</v>
      </c>
      <c r="O1033" s="62">
        <v>4011</v>
      </c>
      <c r="P1033" s="28">
        <v>2322</v>
      </c>
      <c r="Q1033" s="28">
        <v>2720</v>
      </c>
      <c r="R1033" s="28">
        <v>3165</v>
      </c>
    </row>
    <row r="1034" spans="1:31" ht="12.6" hidden="1" customHeight="1">
      <c r="A1034" s="28" t="s">
        <v>1212</v>
      </c>
      <c r="B1034" s="62" t="s">
        <v>250</v>
      </c>
      <c r="C1034" s="28">
        <v>104</v>
      </c>
      <c r="D1034" s="28">
        <v>136</v>
      </c>
      <c r="E1034" s="28">
        <v>234</v>
      </c>
      <c r="F1034" s="28">
        <v>285</v>
      </c>
      <c r="G1034" s="28">
        <v>318</v>
      </c>
      <c r="H1034" s="28">
        <v>342</v>
      </c>
      <c r="I1034" s="28">
        <v>354</v>
      </c>
      <c r="J1034" s="28">
        <v>305</v>
      </c>
      <c r="K1034" s="28">
        <v>234</v>
      </c>
      <c r="L1034" s="28">
        <v>187</v>
      </c>
      <c r="M1034" s="28">
        <v>100</v>
      </c>
      <c r="N1034" s="62">
        <v>102</v>
      </c>
      <c r="O1034" s="62">
        <v>2701</v>
      </c>
      <c r="P1034" s="28">
        <v>1237</v>
      </c>
      <c r="Q1034" s="28">
        <v>1544</v>
      </c>
      <c r="R1034" s="28">
        <v>1909</v>
      </c>
    </row>
    <row r="1035" spans="1:31" ht="12.6" hidden="1" customHeight="1">
      <c r="A1035" s="28" t="s">
        <v>1213</v>
      </c>
      <c r="B1035" s="62" t="s">
        <v>250</v>
      </c>
      <c r="C1035" s="28">
        <v>121</v>
      </c>
      <c r="D1035" s="28">
        <v>154</v>
      </c>
      <c r="E1035" s="28">
        <v>234</v>
      </c>
      <c r="F1035" s="28">
        <v>290</v>
      </c>
      <c r="G1035" s="28">
        <v>312</v>
      </c>
      <c r="H1035" s="28">
        <v>329</v>
      </c>
      <c r="I1035" s="28">
        <v>354</v>
      </c>
      <c r="J1035" s="28">
        <v>305</v>
      </c>
      <c r="K1035" s="28">
        <v>251</v>
      </c>
      <c r="L1035" s="28">
        <v>204</v>
      </c>
      <c r="M1035" s="28">
        <v>114</v>
      </c>
      <c r="N1035" s="62">
        <v>118</v>
      </c>
      <c r="O1035" s="62">
        <v>2786</v>
      </c>
      <c r="P1035" s="28">
        <v>1317</v>
      </c>
      <c r="Q1035" s="28">
        <v>1628</v>
      </c>
      <c r="R1035" s="28">
        <v>1997</v>
      </c>
    </row>
    <row r="1036" spans="1:31" ht="12.6" hidden="1" customHeight="1">
      <c r="A1036" s="28" t="s">
        <v>1214</v>
      </c>
      <c r="B1036" s="62" t="s">
        <v>250</v>
      </c>
      <c r="C1036" s="28">
        <v>59</v>
      </c>
      <c r="D1036" s="28">
        <v>68</v>
      </c>
      <c r="E1036" s="28">
        <v>107</v>
      </c>
      <c r="F1036" s="28">
        <v>126</v>
      </c>
      <c r="G1036" s="28">
        <v>168</v>
      </c>
      <c r="H1036" s="28">
        <v>184</v>
      </c>
      <c r="I1036" s="28">
        <v>181</v>
      </c>
      <c r="J1036" s="28">
        <v>124</v>
      </c>
      <c r="K1036" s="28">
        <v>98</v>
      </c>
      <c r="L1036" s="28">
        <v>90</v>
      </c>
      <c r="M1036" s="28">
        <v>53</v>
      </c>
      <c r="N1036" s="62">
        <v>58</v>
      </c>
      <c r="O1036" s="62">
        <v>1316</v>
      </c>
      <c r="P1036" s="28">
        <v>611</v>
      </c>
      <c r="Q1036" s="28">
        <v>759</v>
      </c>
      <c r="R1036" s="28">
        <v>933</v>
      </c>
    </row>
    <row r="1037" spans="1:31" hidden="1">
      <c r="B1037" s="62"/>
      <c r="N1037" s="62"/>
      <c r="O1037" s="62"/>
    </row>
    <row r="1038" spans="1:31" hidden="1">
      <c r="A1038" s="28" t="s">
        <v>1215</v>
      </c>
      <c r="B1038" s="62" t="s">
        <v>1808</v>
      </c>
      <c r="C1038" s="28">
        <v>31</v>
      </c>
      <c r="D1038" s="28">
        <v>28</v>
      </c>
      <c r="E1038" s="28">
        <v>31</v>
      </c>
      <c r="F1038" s="28">
        <v>26</v>
      </c>
      <c r="G1038" s="28">
        <v>15</v>
      </c>
      <c r="H1038" s="28">
        <v>4</v>
      </c>
      <c r="I1038" s="28">
        <v>1</v>
      </c>
      <c r="J1038" s="28">
        <v>1</v>
      </c>
      <c r="K1038" s="28">
        <v>7</v>
      </c>
      <c r="L1038" s="28">
        <v>23</v>
      </c>
      <c r="M1038" s="28">
        <v>30</v>
      </c>
      <c r="N1038" s="62">
        <v>31</v>
      </c>
      <c r="O1038" s="62"/>
      <c r="P1038" s="28">
        <v>228</v>
      </c>
    </row>
    <row r="1039" spans="1:31" hidden="1">
      <c r="A1039" s="28" t="s">
        <v>1809</v>
      </c>
      <c r="B1039" s="62" t="s">
        <v>1810</v>
      </c>
      <c r="C1039" s="28">
        <v>636</v>
      </c>
      <c r="D1039" s="28">
        <v>536</v>
      </c>
      <c r="E1039" s="28">
        <v>502</v>
      </c>
      <c r="F1039" s="28">
        <v>319</v>
      </c>
      <c r="G1039" s="28">
        <v>153</v>
      </c>
      <c r="H1039" s="28">
        <v>35</v>
      </c>
      <c r="I1039" s="28">
        <v>5</v>
      </c>
      <c r="J1039" s="28">
        <v>8</v>
      </c>
      <c r="K1039" s="28">
        <v>70</v>
      </c>
      <c r="L1039" s="28">
        <v>271</v>
      </c>
      <c r="M1039" s="28">
        <v>456</v>
      </c>
      <c r="N1039" s="62">
        <v>607</v>
      </c>
      <c r="O1039" s="62"/>
      <c r="P1039" s="28">
        <v>3598</v>
      </c>
    </row>
    <row r="1040" spans="1:31" hidden="1">
      <c r="B1040" s="62"/>
      <c r="N1040" s="62"/>
      <c r="O1040" s="62"/>
    </row>
    <row r="1041" spans="1:31" hidden="1">
      <c r="A1041" s="28" t="s">
        <v>1886</v>
      </c>
      <c r="B1041" s="62" t="s">
        <v>1808</v>
      </c>
      <c r="C1041" s="28">
        <v>31</v>
      </c>
      <c r="D1041" s="28">
        <v>28</v>
      </c>
      <c r="E1041" s="28">
        <v>31</v>
      </c>
      <c r="F1041" s="28">
        <v>29</v>
      </c>
      <c r="G1041" s="28">
        <v>23</v>
      </c>
      <c r="H1041" s="28">
        <v>9</v>
      </c>
      <c r="I1041" s="28">
        <v>3</v>
      </c>
      <c r="J1041" s="28">
        <v>5</v>
      </c>
      <c r="K1041" s="28">
        <v>15</v>
      </c>
      <c r="L1041" s="28">
        <v>28</v>
      </c>
      <c r="M1041" s="28">
        <v>30</v>
      </c>
      <c r="N1041" s="62">
        <v>31</v>
      </c>
      <c r="O1041" s="62"/>
      <c r="Q1041" s="28">
        <v>263</v>
      </c>
    </row>
    <row r="1042" spans="1:31" hidden="1">
      <c r="A1042" s="28" t="s">
        <v>1887</v>
      </c>
      <c r="B1042" s="62" t="s">
        <v>1810</v>
      </c>
      <c r="C1042" s="28">
        <v>698</v>
      </c>
      <c r="D1042" s="28">
        <v>592</v>
      </c>
      <c r="E1042" s="28">
        <v>565</v>
      </c>
      <c r="F1042" s="28">
        <v>402</v>
      </c>
      <c r="G1042" s="28">
        <v>255</v>
      </c>
      <c r="H1042" s="28">
        <v>86</v>
      </c>
      <c r="I1042" s="28">
        <v>28</v>
      </c>
      <c r="J1042" s="28">
        <v>43</v>
      </c>
      <c r="K1042" s="28">
        <v>153</v>
      </c>
      <c r="L1042" s="28">
        <v>363</v>
      </c>
      <c r="M1042" s="28">
        <v>516</v>
      </c>
      <c r="N1042" s="62">
        <v>670</v>
      </c>
      <c r="O1042" s="62"/>
      <c r="Q1042" s="28">
        <v>4371</v>
      </c>
    </row>
    <row r="1043" spans="1:31" hidden="1">
      <c r="B1043" s="62"/>
      <c r="N1043" s="62"/>
      <c r="O1043" s="62"/>
    </row>
    <row r="1044" spans="1:31" hidden="1">
      <c r="A1044" s="28" t="s">
        <v>1434</v>
      </c>
      <c r="B1044" s="62" t="s">
        <v>1808</v>
      </c>
      <c r="C1044" s="28">
        <v>31</v>
      </c>
      <c r="D1044" s="28">
        <v>28</v>
      </c>
      <c r="E1044" s="28">
        <v>31</v>
      </c>
      <c r="F1044" s="28">
        <v>30</v>
      </c>
      <c r="G1044" s="28">
        <v>29</v>
      </c>
      <c r="H1044" s="28">
        <v>15</v>
      </c>
      <c r="I1044" s="28">
        <v>9</v>
      </c>
      <c r="J1044" s="28">
        <v>13</v>
      </c>
      <c r="K1044" s="28">
        <v>23</v>
      </c>
      <c r="L1044" s="28">
        <v>31</v>
      </c>
      <c r="M1044" s="28">
        <v>30</v>
      </c>
      <c r="N1044" s="62">
        <v>31</v>
      </c>
      <c r="O1044" s="62"/>
      <c r="R1044" s="28">
        <v>301</v>
      </c>
    </row>
    <row r="1045" spans="1:31" hidden="1">
      <c r="A1045" s="28" t="s">
        <v>1435</v>
      </c>
      <c r="B1045" s="62" t="s">
        <v>1810</v>
      </c>
      <c r="C1045" s="28">
        <v>760</v>
      </c>
      <c r="D1045" s="28">
        <v>647</v>
      </c>
      <c r="E1045" s="28">
        <v>628</v>
      </c>
      <c r="F1045" s="28">
        <v>464</v>
      </c>
      <c r="G1045" s="28">
        <v>353</v>
      </c>
      <c r="H1045" s="28">
        <v>160</v>
      </c>
      <c r="I1045" s="28">
        <v>87</v>
      </c>
      <c r="J1045" s="28">
        <v>129</v>
      </c>
      <c r="K1045" s="28">
        <v>259</v>
      </c>
      <c r="L1045" s="28">
        <v>443</v>
      </c>
      <c r="M1045" s="28">
        <v>578</v>
      </c>
      <c r="N1045" s="62">
        <v>732</v>
      </c>
      <c r="O1045" s="62"/>
      <c r="R1045" s="28">
        <v>5240</v>
      </c>
    </row>
    <row r="1046" spans="1:31" ht="7.9" hidden="1" customHeight="1"/>
    <row r="1047" spans="1:31" ht="7.9" hidden="1" customHeight="1"/>
    <row r="1048" spans="1:31" ht="7.9" hidden="1" customHeight="1"/>
    <row r="1049" spans="1:31" ht="7.9" hidden="1" customHeight="1"/>
    <row r="1050" spans="1:31" ht="7.9" hidden="1" customHeight="1"/>
    <row r="1051" spans="1:31" s="34" customFormat="1" ht="15.75" hidden="1">
      <c r="A1051" s="61">
        <v>42</v>
      </c>
      <c r="B1051" s="129"/>
      <c r="C1051" s="129" t="s">
        <v>125</v>
      </c>
      <c r="D1051" s="129"/>
      <c r="E1051" s="130"/>
      <c r="F1051" s="130" t="s">
        <v>352</v>
      </c>
      <c r="G1051" s="129">
        <v>994</v>
      </c>
      <c r="H1051" s="131" t="s">
        <v>353</v>
      </c>
      <c r="I1051" s="129"/>
      <c r="J1051" s="129"/>
      <c r="K1051" s="130" t="s">
        <v>354</v>
      </c>
      <c r="L1051" s="131">
        <v>8</v>
      </c>
      <c r="M1051" s="129" t="s">
        <v>355</v>
      </c>
      <c r="N1051" s="131" t="s">
        <v>1776</v>
      </c>
      <c r="O1051" s="130"/>
      <c r="P1051" s="130" t="s">
        <v>357</v>
      </c>
      <c r="Q1051" s="129">
        <v>-11</v>
      </c>
      <c r="R1051" s="131" t="s">
        <v>2324</v>
      </c>
      <c r="S1051" s="28"/>
      <c r="T1051" s="28"/>
      <c r="U1051" s="378"/>
      <c r="V1051" s="368"/>
      <c r="W1051" s="368"/>
      <c r="X1051" s="368"/>
      <c r="Y1051" s="368"/>
      <c r="Z1051" s="368"/>
      <c r="AA1051" s="368"/>
      <c r="AB1051" s="368"/>
      <c r="AC1051" s="368"/>
      <c r="AD1051" s="368"/>
      <c r="AE1051" s="510"/>
    </row>
    <row r="1052" spans="1:31" hidden="1">
      <c r="B1052" s="62"/>
      <c r="N1052" s="62"/>
      <c r="O1052" s="62"/>
      <c r="P1052" s="53" t="s">
        <v>358</v>
      </c>
      <c r="Q1052" s="45"/>
      <c r="R1052" s="45"/>
    </row>
    <row r="1053" spans="1:31" s="34" customFormat="1" hidden="1">
      <c r="B1053" s="65"/>
      <c r="C1053" s="95" t="s">
        <v>489</v>
      </c>
      <c r="D1053" s="95" t="s">
        <v>490</v>
      </c>
      <c r="E1053" s="95" t="s">
        <v>491</v>
      </c>
      <c r="F1053" s="95" t="s">
        <v>492</v>
      </c>
      <c r="G1053" s="95" t="s">
        <v>493</v>
      </c>
      <c r="H1053" s="95" t="s">
        <v>494</v>
      </c>
      <c r="I1053" s="95" t="s">
        <v>495</v>
      </c>
      <c r="J1053" s="95" t="s">
        <v>496</v>
      </c>
      <c r="K1053" s="95" t="s">
        <v>497</v>
      </c>
      <c r="L1053" s="95" t="s">
        <v>498</v>
      </c>
      <c r="M1053" s="95" t="s">
        <v>499</v>
      </c>
      <c r="N1053" s="126" t="s">
        <v>500</v>
      </c>
      <c r="O1053" s="126" t="s">
        <v>501</v>
      </c>
      <c r="P1053" s="132" t="s">
        <v>359</v>
      </c>
      <c r="Q1053" s="133" t="s">
        <v>1207</v>
      </c>
      <c r="R1053" s="133" t="s">
        <v>1208</v>
      </c>
      <c r="S1053" s="28"/>
      <c r="T1053" s="28"/>
      <c r="U1053" s="378"/>
      <c r="V1053" s="368"/>
      <c r="W1053" s="368"/>
      <c r="X1053" s="368"/>
      <c r="Y1053" s="368"/>
      <c r="Z1053" s="368"/>
      <c r="AA1053" s="368"/>
      <c r="AB1053" s="368"/>
      <c r="AC1053" s="368"/>
      <c r="AD1053" s="368"/>
      <c r="AE1053" s="510"/>
    </row>
    <row r="1054" spans="1:31" hidden="1">
      <c r="B1054" s="62"/>
      <c r="N1054" s="62"/>
      <c r="O1054" s="62"/>
    </row>
    <row r="1055" spans="1:31" hidden="1">
      <c r="A1055" s="28" t="s">
        <v>1209</v>
      </c>
      <c r="B1055" s="62" t="s">
        <v>2324</v>
      </c>
      <c r="C1055" s="28">
        <v>-3.4</v>
      </c>
      <c r="D1055" s="28">
        <v>-1.7</v>
      </c>
      <c r="E1055" s="28">
        <v>1</v>
      </c>
      <c r="F1055" s="28">
        <v>5.7</v>
      </c>
      <c r="G1055" s="28">
        <v>9.6</v>
      </c>
      <c r="H1055" s="28">
        <v>13.2</v>
      </c>
      <c r="I1055" s="28">
        <v>15</v>
      </c>
      <c r="J1055" s="28">
        <v>13.9</v>
      </c>
      <c r="K1055" s="28">
        <v>11.8</v>
      </c>
      <c r="L1055" s="28">
        <v>7.5</v>
      </c>
      <c r="M1055" s="28">
        <v>2</v>
      </c>
      <c r="N1055" s="62">
        <v>-3.1</v>
      </c>
      <c r="O1055" s="62">
        <v>6</v>
      </c>
      <c r="P1055" s="28">
        <v>1.7</v>
      </c>
      <c r="Q1055" s="28">
        <v>2.9</v>
      </c>
      <c r="R1055" s="28">
        <v>4.0999999999999996</v>
      </c>
    </row>
    <row r="1056" spans="1:31" hidden="1">
      <c r="B1056" s="62"/>
      <c r="N1056" s="62"/>
      <c r="O1056" s="62"/>
    </row>
    <row r="1057" spans="1:18" ht="12.6" hidden="1" customHeight="1">
      <c r="A1057" s="28" t="s">
        <v>1210</v>
      </c>
      <c r="B1057" s="62" t="s">
        <v>250</v>
      </c>
      <c r="C1057" s="28">
        <v>154</v>
      </c>
      <c r="D1057" s="28">
        <v>218</v>
      </c>
      <c r="E1057" s="28">
        <v>372</v>
      </c>
      <c r="F1057" s="28">
        <v>500</v>
      </c>
      <c r="G1057" s="28">
        <v>594</v>
      </c>
      <c r="H1057" s="28">
        <v>645</v>
      </c>
      <c r="I1057" s="28">
        <v>693</v>
      </c>
      <c r="J1057" s="28">
        <v>570</v>
      </c>
      <c r="K1057" s="28">
        <v>442</v>
      </c>
      <c r="L1057" s="28">
        <v>321</v>
      </c>
      <c r="M1057" s="28">
        <v>161</v>
      </c>
      <c r="N1057" s="62">
        <v>137</v>
      </c>
      <c r="O1057" s="62">
        <v>4807</v>
      </c>
      <c r="P1057" s="28">
        <v>2179</v>
      </c>
      <c r="Q1057" s="28">
        <v>2794</v>
      </c>
      <c r="R1057" s="28">
        <v>3433</v>
      </c>
    </row>
    <row r="1058" spans="1:18" ht="12.6" hidden="1" customHeight="1">
      <c r="A1058" s="28" t="s">
        <v>1211</v>
      </c>
      <c r="B1058" s="62" t="s">
        <v>250</v>
      </c>
      <c r="C1058" s="28">
        <v>245</v>
      </c>
      <c r="D1058" s="28">
        <v>286</v>
      </c>
      <c r="E1058" s="28">
        <v>350</v>
      </c>
      <c r="F1058" s="28">
        <v>350</v>
      </c>
      <c r="G1058" s="28">
        <v>315</v>
      </c>
      <c r="H1058" s="28">
        <v>303</v>
      </c>
      <c r="I1058" s="28">
        <v>340</v>
      </c>
      <c r="J1058" s="28">
        <v>365</v>
      </c>
      <c r="K1058" s="28">
        <v>398</v>
      </c>
      <c r="L1058" s="28">
        <v>385</v>
      </c>
      <c r="M1058" s="28">
        <v>258</v>
      </c>
      <c r="N1058" s="62">
        <v>256</v>
      </c>
      <c r="O1058" s="62">
        <v>3851</v>
      </c>
      <c r="P1058" s="28">
        <v>2247</v>
      </c>
      <c r="Q1058" s="28">
        <v>2661</v>
      </c>
      <c r="R1058" s="28">
        <v>3068</v>
      </c>
    </row>
    <row r="1059" spans="1:18" ht="12.6" hidden="1" customHeight="1">
      <c r="A1059" s="28" t="s">
        <v>1212</v>
      </c>
      <c r="B1059" s="62" t="s">
        <v>250</v>
      </c>
      <c r="C1059" s="28">
        <v>94</v>
      </c>
      <c r="D1059" s="28">
        <v>126</v>
      </c>
      <c r="E1059" s="28">
        <v>212</v>
      </c>
      <c r="F1059" s="28">
        <v>270</v>
      </c>
      <c r="G1059" s="28">
        <v>315</v>
      </c>
      <c r="H1059" s="28">
        <v>335</v>
      </c>
      <c r="I1059" s="28">
        <v>353</v>
      </c>
      <c r="J1059" s="28">
        <v>308</v>
      </c>
      <c r="K1059" s="28">
        <v>243</v>
      </c>
      <c r="L1059" s="28">
        <v>180</v>
      </c>
      <c r="M1059" s="28">
        <v>95</v>
      </c>
      <c r="N1059" s="62">
        <v>89</v>
      </c>
      <c r="O1059" s="62">
        <v>2620</v>
      </c>
      <c r="P1059" s="28">
        <v>1230</v>
      </c>
      <c r="Q1059" s="28">
        <v>1559</v>
      </c>
      <c r="R1059" s="28">
        <v>1899</v>
      </c>
    </row>
    <row r="1060" spans="1:18" ht="12.6" hidden="1" customHeight="1">
      <c r="A1060" s="28" t="s">
        <v>1213</v>
      </c>
      <c r="B1060" s="62" t="s">
        <v>250</v>
      </c>
      <c r="C1060" s="28">
        <v>109</v>
      </c>
      <c r="D1060" s="28">
        <v>144</v>
      </c>
      <c r="E1060" s="28">
        <v>212</v>
      </c>
      <c r="F1060" s="28">
        <v>275</v>
      </c>
      <c r="G1060" s="28">
        <v>309</v>
      </c>
      <c r="H1060" s="28">
        <v>323</v>
      </c>
      <c r="I1060" s="28">
        <v>353</v>
      </c>
      <c r="J1060" s="28">
        <v>308</v>
      </c>
      <c r="K1060" s="28">
        <v>261</v>
      </c>
      <c r="L1060" s="28">
        <v>196</v>
      </c>
      <c r="M1060" s="28">
        <v>108</v>
      </c>
      <c r="N1060" s="62">
        <v>103</v>
      </c>
      <c r="O1060" s="62">
        <v>2701</v>
      </c>
      <c r="P1060" s="28">
        <v>1305</v>
      </c>
      <c r="Q1060" s="28">
        <v>1638</v>
      </c>
      <c r="R1060" s="28">
        <v>1980</v>
      </c>
    </row>
    <row r="1061" spans="1:18" ht="12.6" hidden="1" customHeight="1">
      <c r="A1061" s="28" t="s">
        <v>1214</v>
      </c>
      <c r="B1061" s="62" t="s">
        <v>250</v>
      </c>
      <c r="C1061" s="28">
        <v>54</v>
      </c>
      <c r="D1061" s="28">
        <v>63</v>
      </c>
      <c r="E1061" s="28">
        <v>97</v>
      </c>
      <c r="F1061" s="28">
        <v>120</v>
      </c>
      <c r="G1061" s="28">
        <v>166</v>
      </c>
      <c r="H1061" s="28">
        <v>181</v>
      </c>
      <c r="I1061" s="28">
        <v>180</v>
      </c>
      <c r="J1061" s="28">
        <v>125</v>
      </c>
      <c r="K1061" s="28">
        <v>102</v>
      </c>
      <c r="L1061" s="28">
        <v>87</v>
      </c>
      <c r="M1061" s="28">
        <v>50</v>
      </c>
      <c r="N1061" s="62">
        <v>51</v>
      </c>
      <c r="O1061" s="62">
        <v>1276</v>
      </c>
      <c r="P1061" s="28">
        <v>608</v>
      </c>
      <c r="Q1061" s="28">
        <v>765</v>
      </c>
      <c r="R1061" s="28">
        <v>929</v>
      </c>
    </row>
    <row r="1062" spans="1:18" hidden="1">
      <c r="B1062" s="62"/>
      <c r="N1062" s="62"/>
      <c r="O1062" s="62"/>
    </row>
    <row r="1063" spans="1:18" hidden="1">
      <c r="A1063" s="28" t="s">
        <v>1215</v>
      </c>
      <c r="B1063" s="62" t="s">
        <v>1808</v>
      </c>
      <c r="C1063" s="28">
        <v>31</v>
      </c>
      <c r="D1063" s="28">
        <v>28</v>
      </c>
      <c r="E1063" s="28">
        <v>31</v>
      </c>
      <c r="F1063" s="28">
        <v>26</v>
      </c>
      <c r="G1063" s="28">
        <v>17</v>
      </c>
      <c r="H1063" s="28">
        <v>6</v>
      </c>
      <c r="I1063" s="28">
        <v>2</v>
      </c>
      <c r="J1063" s="28">
        <v>3</v>
      </c>
      <c r="K1063" s="28">
        <v>8</v>
      </c>
      <c r="L1063" s="28">
        <v>24</v>
      </c>
      <c r="M1063" s="28">
        <v>30</v>
      </c>
      <c r="N1063" s="62">
        <v>31</v>
      </c>
      <c r="O1063" s="62"/>
      <c r="P1063" s="28">
        <v>237</v>
      </c>
    </row>
    <row r="1064" spans="1:18" hidden="1">
      <c r="A1064" s="28" t="s">
        <v>1809</v>
      </c>
      <c r="B1064" s="62" t="s">
        <v>1810</v>
      </c>
      <c r="C1064" s="28">
        <v>663</v>
      </c>
      <c r="D1064" s="28">
        <v>553</v>
      </c>
      <c r="E1064" s="28">
        <v>526</v>
      </c>
      <c r="F1064" s="28">
        <v>346</v>
      </c>
      <c r="G1064" s="28">
        <v>181</v>
      </c>
      <c r="H1064" s="28">
        <v>59</v>
      </c>
      <c r="I1064" s="28">
        <v>21</v>
      </c>
      <c r="J1064" s="28">
        <v>27</v>
      </c>
      <c r="K1064" s="28">
        <v>80</v>
      </c>
      <c r="L1064" s="28">
        <v>283</v>
      </c>
      <c r="M1064" s="28">
        <v>476</v>
      </c>
      <c r="N1064" s="62">
        <v>656</v>
      </c>
      <c r="O1064" s="62"/>
      <c r="P1064" s="28">
        <v>3871</v>
      </c>
    </row>
    <row r="1065" spans="1:18" hidden="1">
      <c r="B1065" s="62"/>
      <c r="N1065" s="62"/>
      <c r="O1065" s="62"/>
    </row>
    <row r="1066" spans="1:18" hidden="1">
      <c r="A1066" s="28" t="s">
        <v>1886</v>
      </c>
      <c r="B1066" s="62" t="s">
        <v>1808</v>
      </c>
      <c r="C1066" s="28">
        <v>31</v>
      </c>
      <c r="D1066" s="28">
        <v>28</v>
      </c>
      <c r="E1066" s="28">
        <v>31</v>
      </c>
      <c r="F1066" s="28">
        <v>29</v>
      </c>
      <c r="G1066" s="28">
        <v>24</v>
      </c>
      <c r="H1066" s="28">
        <v>11</v>
      </c>
      <c r="I1066" s="28">
        <v>6</v>
      </c>
      <c r="J1066" s="28">
        <v>9</v>
      </c>
      <c r="K1066" s="28">
        <v>16</v>
      </c>
      <c r="L1066" s="28">
        <v>28</v>
      </c>
      <c r="M1066" s="28">
        <v>30</v>
      </c>
      <c r="N1066" s="62">
        <v>31</v>
      </c>
      <c r="O1066" s="62"/>
      <c r="Q1066" s="28">
        <v>274</v>
      </c>
    </row>
    <row r="1067" spans="1:18" hidden="1">
      <c r="A1067" s="28" t="s">
        <v>1887</v>
      </c>
      <c r="B1067" s="62" t="s">
        <v>1810</v>
      </c>
      <c r="C1067" s="28">
        <v>725</v>
      </c>
      <c r="D1067" s="28">
        <v>609</v>
      </c>
      <c r="E1067" s="28">
        <v>588</v>
      </c>
      <c r="F1067" s="28">
        <v>424</v>
      </c>
      <c r="G1067" s="28">
        <v>278</v>
      </c>
      <c r="H1067" s="28">
        <v>114</v>
      </c>
      <c r="I1067" s="28">
        <v>58</v>
      </c>
      <c r="J1067" s="28">
        <v>85</v>
      </c>
      <c r="K1067" s="28">
        <v>167</v>
      </c>
      <c r="L1067" s="28">
        <v>369</v>
      </c>
      <c r="M1067" s="28">
        <v>538</v>
      </c>
      <c r="N1067" s="62">
        <v>718</v>
      </c>
      <c r="O1067" s="62"/>
      <c r="Q1067" s="28">
        <v>4673</v>
      </c>
    </row>
    <row r="1068" spans="1:18" hidden="1">
      <c r="B1068" s="62"/>
      <c r="N1068" s="62"/>
      <c r="O1068" s="62"/>
    </row>
    <row r="1069" spans="1:18" hidden="1">
      <c r="A1069" s="28" t="s">
        <v>1434</v>
      </c>
      <c r="B1069" s="62" t="s">
        <v>1808</v>
      </c>
      <c r="C1069" s="28">
        <v>31</v>
      </c>
      <c r="D1069" s="28">
        <v>28</v>
      </c>
      <c r="E1069" s="28">
        <v>31</v>
      </c>
      <c r="F1069" s="28">
        <v>30</v>
      </c>
      <c r="G1069" s="28">
        <v>28</v>
      </c>
      <c r="H1069" s="28">
        <v>18</v>
      </c>
      <c r="I1069" s="28">
        <v>12</v>
      </c>
      <c r="J1069" s="28">
        <v>16</v>
      </c>
      <c r="K1069" s="28">
        <v>22</v>
      </c>
      <c r="L1069" s="28">
        <v>31</v>
      </c>
      <c r="M1069" s="28">
        <v>30</v>
      </c>
      <c r="N1069" s="62">
        <v>31</v>
      </c>
      <c r="O1069" s="62"/>
      <c r="R1069" s="28">
        <v>308</v>
      </c>
    </row>
    <row r="1070" spans="1:18" hidden="1">
      <c r="A1070" s="28" t="s">
        <v>1435</v>
      </c>
      <c r="B1070" s="62" t="s">
        <v>1810</v>
      </c>
      <c r="C1070" s="28">
        <v>787</v>
      </c>
      <c r="D1070" s="28">
        <v>665</v>
      </c>
      <c r="E1070" s="28">
        <v>650</v>
      </c>
      <c r="F1070" s="28">
        <v>488</v>
      </c>
      <c r="G1070" s="28">
        <v>360</v>
      </c>
      <c r="H1070" s="28">
        <v>197</v>
      </c>
      <c r="I1070" s="28">
        <v>123</v>
      </c>
      <c r="J1070" s="28">
        <v>165</v>
      </c>
      <c r="K1070" s="28">
        <v>256</v>
      </c>
      <c r="L1070" s="28">
        <v>445</v>
      </c>
      <c r="M1070" s="28">
        <v>598</v>
      </c>
      <c r="N1070" s="62">
        <v>780</v>
      </c>
      <c r="O1070" s="62"/>
      <c r="R1070" s="28">
        <v>5514</v>
      </c>
    </row>
    <row r="1071" spans="1:18" ht="7.9" hidden="1" customHeight="1"/>
    <row r="1072" spans="1:18" ht="7.9" hidden="1" customHeight="1"/>
    <row r="1073" spans="1:31" ht="7.9" hidden="1" customHeight="1"/>
    <row r="1074" spans="1:31" ht="7.9" hidden="1" customHeight="1"/>
    <row r="1075" spans="1:31" ht="7.9" hidden="1" customHeight="1"/>
    <row r="1076" spans="1:31" s="34" customFormat="1" ht="15.75" hidden="1">
      <c r="A1076" s="61">
        <v>43</v>
      </c>
      <c r="B1076" s="129"/>
      <c r="C1076" s="129" t="s">
        <v>887</v>
      </c>
      <c r="D1076" s="129"/>
      <c r="E1076" s="130"/>
      <c r="F1076" s="130" t="s">
        <v>352</v>
      </c>
      <c r="G1076" s="129">
        <v>1018</v>
      </c>
      <c r="H1076" s="131" t="s">
        <v>353</v>
      </c>
      <c r="I1076" s="129"/>
      <c r="J1076" s="129"/>
      <c r="K1076" s="130" t="s">
        <v>354</v>
      </c>
      <c r="L1076" s="131">
        <v>7</v>
      </c>
      <c r="M1076" s="129" t="s">
        <v>355</v>
      </c>
      <c r="N1076" s="131" t="s">
        <v>1443</v>
      </c>
      <c r="O1076" s="130"/>
      <c r="P1076" s="130" t="s">
        <v>357</v>
      </c>
      <c r="Q1076" s="129">
        <v>-10</v>
      </c>
      <c r="R1076" s="131" t="s">
        <v>2324</v>
      </c>
      <c r="S1076" s="28"/>
      <c r="T1076" s="28"/>
      <c r="U1076" s="378"/>
      <c r="V1076" s="368"/>
      <c r="W1076" s="368"/>
      <c r="X1076" s="368"/>
      <c r="Y1076" s="368"/>
      <c r="Z1076" s="368"/>
      <c r="AA1076" s="368"/>
      <c r="AB1076" s="368"/>
      <c r="AC1076" s="368"/>
      <c r="AD1076" s="368"/>
      <c r="AE1076" s="510"/>
    </row>
    <row r="1077" spans="1:31" hidden="1">
      <c r="B1077" s="62"/>
      <c r="N1077" s="62"/>
      <c r="O1077" s="62"/>
      <c r="P1077" s="53" t="s">
        <v>358</v>
      </c>
      <c r="Q1077" s="45"/>
      <c r="R1077" s="45"/>
    </row>
    <row r="1078" spans="1:31" s="34" customFormat="1" hidden="1">
      <c r="B1078" s="65"/>
      <c r="C1078" s="95" t="s">
        <v>489</v>
      </c>
      <c r="D1078" s="95" t="s">
        <v>490</v>
      </c>
      <c r="E1078" s="95" t="s">
        <v>491</v>
      </c>
      <c r="F1078" s="95" t="s">
        <v>492</v>
      </c>
      <c r="G1078" s="95" t="s">
        <v>493</v>
      </c>
      <c r="H1078" s="95" t="s">
        <v>494</v>
      </c>
      <c r="I1078" s="95" t="s">
        <v>495</v>
      </c>
      <c r="J1078" s="95" t="s">
        <v>496</v>
      </c>
      <c r="K1078" s="95" t="s">
        <v>497</v>
      </c>
      <c r="L1078" s="95" t="s">
        <v>498</v>
      </c>
      <c r="M1078" s="95" t="s">
        <v>499</v>
      </c>
      <c r="N1078" s="126" t="s">
        <v>500</v>
      </c>
      <c r="O1078" s="126" t="s">
        <v>501</v>
      </c>
      <c r="P1078" s="132" t="s">
        <v>359</v>
      </c>
      <c r="Q1078" s="133" t="s">
        <v>1207</v>
      </c>
      <c r="R1078" s="133" t="s">
        <v>1208</v>
      </c>
      <c r="S1078" s="28"/>
      <c r="T1078" s="28"/>
      <c r="U1078" s="378"/>
      <c r="V1078" s="368"/>
      <c r="W1078" s="368"/>
      <c r="X1078" s="368"/>
      <c r="Y1078" s="368"/>
      <c r="Z1078" s="368"/>
      <c r="AA1078" s="368"/>
      <c r="AB1078" s="368"/>
      <c r="AC1078" s="368"/>
      <c r="AD1078" s="368"/>
      <c r="AE1078" s="510"/>
    </row>
    <row r="1079" spans="1:31" hidden="1">
      <c r="B1079" s="62"/>
      <c r="N1079" s="62"/>
      <c r="O1079" s="62"/>
    </row>
    <row r="1080" spans="1:31" hidden="1">
      <c r="A1080" s="28" t="s">
        <v>1209</v>
      </c>
      <c r="B1080" s="62" t="s">
        <v>2324</v>
      </c>
      <c r="C1080" s="28">
        <v>-3.2</v>
      </c>
      <c r="D1080" s="28">
        <v>-1.7</v>
      </c>
      <c r="E1080" s="28">
        <v>0.4</v>
      </c>
      <c r="F1080" s="28">
        <v>5.2</v>
      </c>
      <c r="G1080" s="28">
        <v>9.1999999999999993</v>
      </c>
      <c r="H1080" s="28">
        <v>12.8</v>
      </c>
      <c r="I1080" s="28">
        <v>14.3</v>
      </c>
      <c r="J1080" s="28">
        <v>13.3</v>
      </c>
      <c r="K1080" s="28">
        <v>11.4</v>
      </c>
      <c r="L1080" s="28">
        <v>7.4</v>
      </c>
      <c r="M1080" s="28">
        <v>2.2000000000000002</v>
      </c>
      <c r="N1080" s="62">
        <v>-3.4</v>
      </c>
      <c r="O1080" s="62">
        <v>5.7</v>
      </c>
      <c r="P1080" s="28">
        <v>1.6</v>
      </c>
      <c r="Q1080" s="28">
        <v>2.8</v>
      </c>
      <c r="R1080" s="28">
        <v>3.9</v>
      </c>
    </row>
    <row r="1081" spans="1:31" hidden="1">
      <c r="B1081" s="62"/>
      <c r="N1081" s="62"/>
      <c r="O1081" s="62"/>
    </row>
    <row r="1082" spans="1:31" ht="12.6" hidden="1" customHeight="1">
      <c r="A1082" s="28" t="s">
        <v>1210</v>
      </c>
      <c r="B1082" s="62" t="s">
        <v>250</v>
      </c>
      <c r="C1082" s="28">
        <v>137</v>
      </c>
      <c r="D1082" s="28">
        <v>212</v>
      </c>
      <c r="E1082" s="28">
        <v>358</v>
      </c>
      <c r="F1082" s="28">
        <v>476</v>
      </c>
      <c r="G1082" s="28">
        <v>584</v>
      </c>
      <c r="H1082" s="28">
        <v>588</v>
      </c>
      <c r="I1082" s="28">
        <v>621</v>
      </c>
      <c r="J1082" s="28">
        <v>506</v>
      </c>
      <c r="K1082" s="28">
        <v>394</v>
      </c>
      <c r="L1082" s="28">
        <v>307</v>
      </c>
      <c r="M1082" s="28">
        <v>151</v>
      </c>
      <c r="N1082" s="62">
        <v>127</v>
      </c>
      <c r="O1082" s="62">
        <v>4461</v>
      </c>
      <c r="P1082" s="28">
        <v>2174</v>
      </c>
      <c r="Q1082" s="28">
        <v>2703</v>
      </c>
      <c r="R1082" s="28">
        <v>3314</v>
      </c>
    </row>
    <row r="1083" spans="1:31" ht="12.6" hidden="1" customHeight="1">
      <c r="A1083" s="28" t="s">
        <v>1211</v>
      </c>
      <c r="B1083" s="62" t="s">
        <v>250</v>
      </c>
      <c r="C1083" s="28">
        <v>218</v>
      </c>
      <c r="D1083" s="28">
        <v>278</v>
      </c>
      <c r="E1083" s="28">
        <v>337</v>
      </c>
      <c r="F1083" s="28">
        <v>333</v>
      </c>
      <c r="G1083" s="28">
        <v>310</v>
      </c>
      <c r="H1083" s="28">
        <v>276</v>
      </c>
      <c r="I1083" s="28">
        <v>304</v>
      </c>
      <c r="J1083" s="28">
        <v>324</v>
      </c>
      <c r="K1083" s="28">
        <v>355</v>
      </c>
      <c r="L1083" s="28">
        <v>368</v>
      </c>
      <c r="M1083" s="28">
        <v>242</v>
      </c>
      <c r="N1083" s="62">
        <v>237</v>
      </c>
      <c r="O1083" s="62">
        <v>3582</v>
      </c>
      <c r="P1083" s="28">
        <v>2175</v>
      </c>
      <c r="Q1083" s="28">
        <v>2543</v>
      </c>
      <c r="R1083" s="28">
        <v>2931</v>
      </c>
    </row>
    <row r="1084" spans="1:31" ht="12.6" hidden="1" customHeight="1">
      <c r="A1084" s="28" t="s">
        <v>1212</v>
      </c>
      <c r="B1084" s="62" t="s">
        <v>250</v>
      </c>
      <c r="C1084" s="28">
        <v>84</v>
      </c>
      <c r="D1084" s="28">
        <v>123</v>
      </c>
      <c r="E1084" s="28">
        <v>204</v>
      </c>
      <c r="F1084" s="28">
        <v>257</v>
      </c>
      <c r="G1084" s="28">
        <v>310</v>
      </c>
      <c r="H1084" s="28">
        <v>306</v>
      </c>
      <c r="I1084" s="28">
        <v>317</v>
      </c>
      <c r="J1084" s="28">
        <v>273</v>
      </c>
      <c r="K1084" s="28">
        <v>217</v>
      </c>
      <c r="L1084" s="28">
        <v>172</v>
      </c>
      <c r="M1084" s="28">
        <v>89</v>
      </c>
      <c r="N1084" s="62">
        <v>83</v>
      </c>
      <c r="O1084" s="62">
        <v>2435</v>
      </c>
      <c r="P1084" s="28">
        <v>1224</v>
      </c>
      <c r="Q1084" s="28">
        <v>1508</v>
      </c>
      <c r="R1084" s="28">
        <v>1833</v>
      </c>
    </row>
    <row r="1085" spans="1:31" ht="12.6" hidden="1" customHeight="1">
      <c r="A1085" s="28" t="s">
        <v>1213</v>
      </c>
      <c r="B1085" s="62" t="s">
        <v>250</v>
      </c>
      <c r="C1085" s="28">
        <v>97</v>
      </c>
      <c r="D1085" s="28">
        <v>140</v>
      </c>
      <c r="E1085" s="28">
        <v>204</v>
      </c>
      <c r="F1085" s="28">
        <v>262</v>
      </c>
      <c r="G1085" s="28">
        <v>304</v>
      </c>
      <c r="H1085" s="28">
        <v>294</v>
      </c>
      <c r="I1085" s="28">
        <v>317</v>
      </c>
      <c r="J1085" s="28">
        <v>273</v>
      </c>
      <c r="K1085" s="28">
        <v>232</v>
      </c>
      <c r="L1085" s="28">
        <v>187</v>
      </c>
      <c r="M1085" s="28">
        <v>101</v>
      </c>
      <c r="N1085" s="62">
        <v>95</v>
      </c>
      <c r="O1085" s="62">
        <v>2506</v>
      </c>
      <c r="P1085" s="28">
        <v>1290</v>
      </c>
      <c r="Q1085" s="28">
        <v>1579</v>
      </c>
      <c r="R1085" s="28">
        <v>1905</v>
      </c>
    </row>
    <row r="1086" spans="1:31" ht="12.6" hidden="1" customHeight="1">
      <c r="A1086" s="28" t="s">
        <v>1214</v>
      </c>
      <c r="B1086" s="62" t="s">
        <v>250</v>
      </c>
      <c r="C1086" s="28">
        <v>48</v>
      </c>
      <c r="D1086" s="28">
        <v>61</v>
      </c>
      <c r="E1086" s="28">
        <v>93</v>
      </c>
      <c r="F1086" s="28">
        <v>114</v>
      </c>
      <c r="G1086" s="28">
        <v>164</v>
      </c>
      <c r="H1086" s="28">
        <v>165</v>
      </c>
      <c r="I1086" s="28">
        <v>161</v>
      </c>
      <c r="J1086" s="28">
        <v>111</v>
      </c>
      <c r="K1086" s="28">
        <v>91</v>
      </c>
      <c r="L1086" s="28">
        <v>83</v>
      </c>
      <c r="M1086" s="28">
        <v>47</v>
      </c>
      <c r="N1086" s="62">
        <v>47</v>
      </c>
      <c r="O1086" s="62">
        <v>1185</v>
      </c>
      <c r="P1086" s="28">
        <v>602</v>
      </c>
      <c r="Q1086" s="28">
        <v>737</v>
      </c>
      <c r="R1086" s="28">
        <v>893</v>
      </c>
    </row>
    <row r="1087" spans="1:31" hidden="1">
      <c r="B1087" s="62"/>
      <c r="N1087" s="62"/>
      <c r="O1087" s="62"/>
    </row>
    <row r="1088" spans="1:31" hidden="1">
      <c r="A1088" s="28" t="s">
        <v>1215</v>
      </c>
      <c r="B1088" s="62" t="s">
        <v>1808</v>
      </c>
      <c r="C1088" s="28">
        <v>31</v>
      </c>
      <c r="D1088" s="28">
        <v>28</v>
      </c>
      <c r="E1088" s="28">
        <v>31</v>
      </c>
      <c r="F1088" s="28">
        <v>27</v>
      </c>
      <c r="G1088" s="28">
        <v>19</v>
      </c>
      <c r="H1088" s="28">
        <v>7</v>
      </c>
      <c r="I1088" s="28">
        <v>3</v>
      </c>
      <c r="J1088" s="28">
        <v>4</v>
      </c>
      <c r="K1088" s="28">
        <v>10</v>
      </c>
      <c r="L1088" s="28">
        <v>24</v>
      </c>
      <c r="M1088" s="28">
        <v>28</v>
      </c>
      <c r="N1088" s="62">
        <v>31</v>
      </c>
      <c r="O1088" s="62"/>
      <c r="P1088" s="28">
        <v>243</v>
      </c>
    </row>
    <row r="1089" spans="1:31" hidden="1">
      <c r="A1089" s="28" t="s">
        <v>1809</v>
      </c>
      <c r="B1089" s="62" t="s">
        <v>1810</v>
      </c>
      <c r="C1089" s="28">
        <v>657</v>
      </c>
      <c r="D1089" s="28">
        <v>551</v>
      </c>
      <c r="E1089" s="28">
        <v>544</v>
      </c>
      <c r="F1089" s="28">
        <v>364</v>
      </c>
      <c r="G1089" s="28">
        <v>210</v>
      </c>
      <c r="H1089" s="28">
        <v>70</v>
      </c>
      <c r="I1089" s="28">
        <v>32</v>
      </c>
      <c r="J1089" s="28">
        <v>40</v>
      </c>
      <c r="K1089" s="28">
        <v>102</v>
      </c>
      <c r="L1089" s="28">
        <v>288</v>
      </c>
      <c r="M1089" s="28">
        <v>466</v>
      </c>
      <c r="N1089" s="62">
        <v>662</v>
      </c>
      <c r="O1089" s="62"/>
      <c r="P1089" s="28">
        <v>3986</v>
      </c>
    </row>
    <row r="1090" spans="1:31" hidden="1">
      <c r="B1090" s="62"/>
      <c r="N1090" s="62"/>
      <c r="O1090" s="62"/>
    </row>
    <row r="1091" spans="1:31" hidden="1">
      <c r="A1091" s="28" t="s">
        <v>1886</v>
      </c>
      <c r="B1091" s="62" t="s">
        <v>1808</v>
      </c>
      <c r="C1091" s="28">
        <v>31</v>
      </c>
      <c r="D1091" s="28">
        <v>28</v>
      </c>
      <c r="E1091" s="28">
        <v>31</v>
      </c>
      <c r="F1091" s="28">
        <v>29</v>
      </c>
      <c r="G1091" s="28">
        <v>24</v>
      </c>
      <c r="H1091" s="28">
        <v>12</v>
      </c>
      <c r="I1091" s="28">
        <v>7</v>
      </c>
      <c r="J1091" s="28">
        <v>10</v>
      </c>
      <c r="K1091" s="28">
        <v>18</v>
      </c>
      <c r="L1091" s="28">
        <v>28</v>
      </c>
      <c r="M1091" s="28">
        <v>29</v>
      </c>
      <c r="N1091" s="62">
        <v>31</v>
      </c>
      <c r="O1091" s="62"/>
      <c r="Q1091" s="28">
        <v>278</v>
      </c>
    </row>
    <row r="1092" spans="1:31" hidden="1">
      <c r="A1092" s="28" t="s">
        <v>1887</v>
      </c>
      <c r="B1092" s="62" t="s">
        <v>1810</v>
      </c>
      <c r="C1092" s="28">
        <v>720</v>
      </c>
      <c r="D1092" s="28">
        <v>608</v>
      </c>
      <c r="E1092" s="28">
        <v>607</v>
      </c>
      <c r="F1092" s="28">
        <v>433</v>
      </c>
      <c r="G1092" s="28">
        <v>298</v>
      </c>
      <c r="H1092" s="28">
        <v>128</v>
      </c>
      <c r="I1092" s="28">
        <v>74</v>
      </c>
      <c r="J1092" s="28">
        <v>100</v>
      </c>
      <c r="K1092" s="28">
        <v>193</v>
      </c>
      <c r="L1092" s="28">
        <v>370</v>
      </c>
      <c r="M1092" s="28">
        <v>531</v>
      </c>
      <c r="N1092" s="62">
        <v>724</v>
      </c>
      <c r="O1092" s="62"/>
      <c r="Q1092" s="28">
        <v>4786</v>
      </c>
    </row>
    <row r="1093" spans="1:31" hidden="1">
      <c r="B1093" s="62"/>
      <c r="N1093" s="62"/>
      <c r="O1093" s="62"/>
    </row>
    <row r="1094" spans="1:31" hidden="1">
      <c r="A1094" s="28" t="s">
        <v>1434</v>
      </c>
      <c r="B1094" s="62" t="s">
        <v>1808</v>
      </c>
      <c r="C1094" s="28">
        <v>31</v>
      </c>
      <c r="D1094" s="28">
        <v>28</v>
      </c>
      <c r="E1094" s="28">
        <v>31</v>
      </c>
      <c r="F1094" s="28">
        <v>30</v>
      </c>
      <c r="G1094" s="28">
        <v>28</v>
      </c>
      <c r="H1094" s="28">
        <v>19</v>
      </c>
      <c r="I1094" s="28">
        <v>13</v>
      </c>
      <c r="J1094" s="28">
        <v>18</v>
      </c>
      <c r="K1094" s="28">
        <v>24</v>
      </c>
      <c r="L1094" s="28">
        <v>30</v>
      </c>
      <c r="M1094" s="28">
        <v>30</v>
      </c>
      <c r="N1094" s="62">
        <v>31</v>
      </c>
      <c r="O1094" s="62"/>
      <c r="R1094" s="28">
        <v>313</v>
      </c>
    </row>
    <row r="1095" spans="1:31" hidden="1">
      <c r="A1095" s="28" t="s">
        <v>1435</v>
      </c>
      <c r="B1095" s="62" t="s">
        <v>1810</v>
      </c>
      <c r="C1095" s="28">
        <v>782</v>
      </c>
      <c r="D1095" s="28">
        <v>664</v>
      </c>
      <c r="E1095" s="28">
        <v>669</v>
      </c>
      <c r="F1095" s="28">
        <v>503</v>
      </c>
      <c r="G1095" s="28">
        <v>380</v>
      </c>
      <c r="H1095" s="28">
        <v>213</v>
      </c>
      <c r="I1095" s="28">
        <v>140</v>
      </c>
      <c r="J1095" s="28">
        <v>192</v>
      </c>
      <c r="K1095" s="28">
        <v>283</v>
      </c>
      <c r="L1095" s="28">
        <v>449</v>
      </c>
      <c r="M1095" s="28">
        <v>595</v>
      </c>
      <c r="N1095" s="62">
        <v>786</v>
      </c>
      <c r="O1095" s="62"/>
      <c r="R1095" s="28">
        <v>5656</v>
      </c>
    </row>
    <row r="1096" spans="1:31" ht="7.9" hidden="1" customHeight="1"/>
    <row r="1097" spans="1:31" ht="7.9" hidden="1" customHeight="1"/>
    <row r="1098" spans="1:31" ht="7.9" hidden="1" customHeight="1"/>
    <row r="1099" spans="1:31" ht="7.9" hidden="1" customHeight="1"/>
    <row r="1100" spans="1:31" ht="7.9" hidden="1" customHeight="1"/>
    <row r="1101" spans="1:31" s="34" customFormat="1" ht="15.75" hidden="1">
      <c r="A1101" s="61">
        <v>44</v>
      </c>
      <c r="B1101" s="129"/>
      <c r="C1101" s="129" t="s">
        <v>1777</v>
      </c>
      <c r="D1101" s="129"/>
      <c r="E1101" s="130"/>
      <c r="F1101" s="130" t="s">
        <v>352</v>
      </c>
      <c r="G1101" s="129">
        <v>721</v>
      </c>
      <c r="H1101" s="131" t="s">
        <v>353</v>
      </c>
      <c r="I1101" s="129"/>
      <c r="J1101" s="129"/>
      <c r="K1101" s="130" t="s">
        <v>354</v>
      </c>
      <c r="L1101" s="131">
        <v>5</v>
      </c>
      <c r="M1101" s="129" t="s">
        <v>355</v>
      </c>
      <c r="N1101" s="131" t="s">
        <v>1585</v>
      </c>
      <c r="O1101" s="130"/>
      <c r="P1101" s="130" t="s">
        <v>357</v>
      </c>
      <c r="Q1101" s="129">
        <v>-9</v>
      </c>
      <c r="R1101" s="131" t="s">
        <v>2324</v>
      </c>
      <c r="S1101" s="28"/>
      <c r="T1101" s="28"/>
      <c r="U1101" s="378"/>
      <c r="V1101" s="368"/>
      <c r="W1101" s="368"/>
      <c r="X1101" s="368"/>
      <c r="Y1101" s="368"/>
      <c r="Z1101" s="368"/>
      <c r="AA1101" s="368"/>
      <c r="AB1101" s="368"/>
      <c r="AC1101" s="368"/>
      <c r="AD1101" s="368"/>
      <c r="AE1101" s="510"/>
    </row>
    <row r="1102" spans="1:31" hidden="1">
      <c r="B1102" s="62"/>
      <c r="N1102" s="62"/>
      <c r="O1102" s="62"/>
      <c r="P1102" s="53" t="s">
        <v>358</v>
      </c>
      <c r="Q1102" s="45"/>
      <c r="R1102" s="45"/>
    </row>
    <row r="1103" spans="1:31" s="34" customFormat="1" hidden="1">
      <c r="B1103" s="65"/>
      <c r="C1103" s="95" t="s">
        <v>489</v>
      </c>
      <c r="D1103" s="95" t="s">
        <v>490</v>
      </c>
      <c r="E1103" s="95" t="s">
        <v>491</v>
      </c>
      <c r="F1103" s="95" t="s">
        <v>492</v>
      </c>
      <c r="G1103" s="95" t="s">
        <v>493</v>
      </c>
      <c r="H1103" s="95" t="s">
        <v>494</v>
      </c>
      <c r="I1103" s="95" t="s">
        <v>495</v>
      </c>
      <c r="J1103" s="95" t="s">
        <v>496</v>
      </c>
      <c r="K1103" s="95" t="s">
        <v>497</v>
      </c>
      <c r="L1103" s="95" t="s">
        <v>498</v>
      </c>
      <c r="M1103" s="95" t="s">
        <v>499</v>
      </c>
      <c r="N1103" s="126" t="s">
        <v>500</v>
      </c>
      <c r="O1103" s="126" t="s">
        <v>501</v>
      </c>
      <c r="P1103" s="132" t="s">
        <v>359</v>
      </c>
      <c r="Q1103" s="133" t="s">
        <v>1207</v>
      </c>
      <c r="R1103" s="133" t="s">
        <v>1208</v>
      </c>
      <c r="S1103" s="28"/>
      <c r="T1103" s="28"/>
      <c r="U1103" s="378"/>
      <c r="V1103" s="368"/>
      <c r="W1103" s="368"/>
      <c r="X1103" s="368"/>
      <c r="Y1103" s="368"/>
      <c r="Z1103" s="368"/>
      <c r="AA1103" s="368"/>
      <c r="AB1103" s="368"/>
      <c r="AC1103" s="368"/>
      <c r="AD1103" s="368"/>
      <c r="AE1103" s="510"/>
    </row>
    <row r="1104" spans="1:31" hidden="1">
      <c r="B1104" s="62"/>
      <c r="N1104" s="62"/>
      <c r="O1104" s="62"/>
    </row>
    <row r="1105" spans="1:18" hidden="1">
      <c r="A1105" s="28" t="s">
        <v>1209</v>
      </c>
      <c r="B1105" s="62" t="s">
        <v>2324</v>
      </c>
      <c r="C1105" s="28">
        <v>-2.1</v>
      </c>
      <c r="D1105" s="28">
        <v>0.3</v>
      </c>
      <c r="E1105" s="28">
        <v>3.1</v>
      </c>
      <c r="F1105" s="28">
        <v>8.1</v>
      </c>
      <c r="G1105" s="28">
        <v>11.3</v>
      </c>
      <c r="H1105" s="28">
        <v>15.2</v>
      </c>
      <c r="I1105" s="28">
        <v>17</v>
      </c>
      <c r="J1105" s="28">
        <v>15.8</v>
      </c>
      <c r="K1105" s="28">
        <v>13.2</v>
      </c>
      <c r="L1105" s="28">
        <v>9.1</v>
      </c>
      <c r="M1105" s="28">
        <v>3.6</v>
      </c>
      <c r="N1105" s="62">
        <v>-0.8</v>
      </c>
      <c r="O1105" s="62">
        <v>7.9</v>
      </c>
      <c r="P1105" s="28">
        <v>2.5</v>
      </c>
      <c r="Q1105" s="28">
        <v>3.7</v>
      </c>
      <c r="R1105" s="28">
        <v>4.9000000000000004</v>
      </c>
    </row>
    <row r="1106" spans="1:18" hidden="1">
      <c r="B1106" s="62"/>
      <c r="N1106" s="62"/>
      <c r="O1106" s="62"/>
    </row>
    <row r="1107" spans="1:18" ht="12.6" hidden="1" customHeight="1">
      <c r="A1107" s="28" t="s">
        <v>1210</v>
      </c>
      <c r="B1107" s="62" t="s">
        <v>250</v>
      </c>
      <c r="C1107" s="28">
        <v>115</v>
      </c>
      <c r="D1107" s="28">
        <v>184</v>
      </c>
      <c r="E1107" s="28">
        <v>324</v>
      </c>
      <c r="F1107" s="28">
        <v>479</v>
      </c>
      <c r="G1107" s="28">
        <v>569</v>
      </c>
      <c r="H1107" s="28">
        <v>630</v>
      </c>
      <c r="I1107" s="28">
        <v>670</v>
      </c>
      <c r="J1107" s="28">
        <v>540</v>
      </c>
      <c r="K1107" s="28">
        <v>400</v>
      </c>
      <c r="L1107" s="28">
        <v>266</v>
      </c>
      <c r="M1107" s="28">
        <v>130</v>
      </c>
      <c r="N1107" s="62">
        <v>101</v>
      </c>
      <c r="O1107" s="62">
        <v>4408</v>
      </c>
      <c r="P1107" s="28">
        <v>1470</v>
      </c>
      <c r="Q1107" s="28">
        <v>1983</v>
      </c>
      <c r="R1107" s="28">
        <v>2521</v>
      </c>
    </row>
    <row r="1108" spans="1:18" ht="12.6" hidden="1" customHeight="1">
      <c r="A1108" s="28" t="s">
        <v>1211</v>
      </c>
      <c r="B1108" s="62" t="s">
        <v>250</v>
      </c>
      <c r="C1108" s="28">
        <v>183</v>
      </c>
      <c r="D1108" s="28">
        <v>241</v>
      </c>
      <c r="E1108" s="28">
        <v>305</v>
      </c>
      <c r="F1108" s="28">
        <v>335</v>
      </c>
      <c r="G1108" s="28">
        <v>302</v>
      </c>
      <c r="H1108" s="28">
        <v>296</v>
      </c>
      <c r="I1108" s="28">
        <v>328</v>
      </c>
      <c r="J1108" s="28">
        <v>346</v>
      </c>
      <c r="K1108" s="28">
        <v>360</v>
      </c>
      <c r="L1108" s="28">
        <v>319</v>
      </c>
      <c r="M1108" s="28">
        <v>208</v>
      </c>
      <c r="N1108" s="62">
        <v>189</v>
      </c>
      <c r="O1108" s="62">
        <v>3412</v>
      </c>
      <c r="P1108" s="28">
        <v>1589</v>
      </c>
      <c r="Q1108" s="28">
        <v>1965</v>
      </c>
      <c r="R1108" s="28">
        <v>2321</v>
      </c>
    </row>
    <row r="1109" spans="1:18" ht="12.6" hidden="1" customHeight="1">
      <c r="A1109" s="28" t="s">
        <v>1212</v>
      </c>
      <c r="B1109" s="62" t="s">
        <v>250</v>
      </c>
      <c r="C1109" s="28">
        <v>70</v>
      </c>
      <c r="D1109" s="28">
        <v>107</v>
      </c>
      <c r="E1109" s="28">
        <v>185</v>
      </c>
      <c r="F1109" s="28">
        <v>259</v>
      </c>
      <c r="G1109" s="28">
        <v>302</v>
      </c>
      <c r="H1109" s="28">
        <v>328</v>
      </c>
      <c r="I1109" s="28">
        <v>342</v>
      </c>
      <c r="J1109" s="28">
        <v>292</v>
      </c>
      <c r="K1109" s="28">
        <v>220</v>
      </c>
      <c r="L1109" s="28">
        <v>149</v>
      </c>
      <c r="M1109" s="28">
        <v>77</v>
      </c>
      <c r="N1109" s="62">
        <v>66</v>
      </c>
      <c r="O1109" s="62">
        <v>2397</v>
      </c>
      <c r="P1109" s="28">
        <v>838</v>
      </c>
      <c r="Q1109" s="28">
        <v>1115</v>
      </c>
      <c r="R1109" s="28">
        <v>1403</v>
      </c>
    </row>
    <row r="1110" spans="1:18" ht="12.6" hidden="1" customHeight="1">
      <c r="A1110" s="28" t="s">
        <v>1213</v>
      </c>
      <c r="B1110" s="62" t="s">
        <v>250</v>
      </c>
      <c r="C1110" s="28">
        <v>82</v>
      </c>
      <c r="D1110" s="28">
        <v>121</v>
      </c>
      <c r="E1110" s="28">
        <v>185</v>
      </c>
      <c r="F1110" s="28">
        <v>263</v>
      </c>
      <c r="G1110" s="28">
        <v>296</v>
      </c>
      <c r="H1110" s="28">
        <v>315</v>
      </c>
      <c r="I1110" s="28">
        <v>342</v>
      </c>
      <c r="J1110" s="28">
        <v>292</v>
      </c>
      <c r="K1110" s="28">
        <v>236</v>
      </c>
      <c r="L1110" s="28">
        <v>162</v>
      </c>
      <c r="M1110" s="28">
        <v>87</v>
      </c>
      <c r="N1110" s="62">
        <v>76</v>
      </c>
      <c r="O1110" s="62">
        <v>2457</v>
      </c>
      <c r="P1110" s="28">
        <v>892</v>
      </c>
      <c r="Q1110" s="28">
        <v>1174</v>
      </c>
      <c r="R1110" s="28">
        <v>1465</v>
      </c>
    </row>
    <row r="1111" spans="1:18" ht="12.6" hidden="1" customHeight="1">
      <c r="A1111" s="28" t="s">
        <v>1214</v>
      </c>
      <c r="B1111" s="62" t="s">
        <v>250</v>
      </c>
      <c r="C1111" s="28">
        <v>40</v>
      </c>
      <c r="D1111" s="28">
        <v>53</v>
      </c>
      <c r="E1111" s="28">
        <v>84</v>
      </c>
      <c r="F1111" s="28">
        <v>115</v>
      </c>
      <c r="G1111" s="28">
        <v>159</v>
      </c>
      <c r="H1111" s="28">
        <v>176</v>
      </c>
      <c r="I1111" s="28">
        <v>174</v>
      </c>
      <c r="J1111" s="28">
        <v>119</v>
      </c>
      <c r="K1111" s="28">
        <v>92</v>
      </c>
      <c r="L1111" s="28">
        <v>72</v>
      </c>
      <c r="M1111" s="28">
        <v>40</v>
      </c>
      <c r="N1111" s="62">
        <v>37</v>
      </c>
      <c r="O1111" s="62">
        <v>1161</v>
      </c>
      <c r="P1111" s="28">
        <v>411</v>
      </c>
      <c r="Q1111" s="28">
        <v>544</v>
      </c>
      <c r="R1111" s="28">
        <v>682</v>
      </c>
    </row>
    <row r="1112" spans="1:18" hidden="1">
      <c r="B1112" s="62"/>
      <c r="N1112" s="62"/>
      <c r="O1112" s="62"/>
    </row>
    <row r="1113" spans="1:18" hidden="1">
      <c r="A1113" s="28" t="s">
        <v>1215</v>
      </c>
      <c r="B1113" s="62" t="s">
        <v>1808</v>
      </c>
      <c r="C1113" s="28">
        <v>31</v>
      </c>
      <c r="D1113" s="28">
        <v>28</v>
      </c>
      <c r="E1113" s="28">
        <v>30</v>
      </c>
      <c r="F1113" s="28">
        <v>20</v>
      </c>
      <c r="G1113" s="28">
        <v>11</v>
      </c>
      <c r="H1113" s="28">
        <v>2</v>
      </c>
      <c r="I1113" s="28">
        <v>0</v>
      </c>
      <c r="J1113" s="28">
        <v>1</v>
      </c>
      <c r="K1113" s="28">
        <v>5</v>
      </c>
      <c r="L1113" s="28">
        <v>18</v>
      </c>
      <c r="M1113" s="28">
        <v>29</v>
      </c>
      <c r="N1113" s="62">
        <v>31</v>
      </c>
      <c r="O1113" s="62"/>
      <c r="P1113" s="28">
        <v>206</v>
      </c>
    </row>
    <row r="1114" spans="1:18" hidden="1">
      <c r="A1114" s="28" t="s">
        <v>1809</v>
      </c>
      <c r="B1114" s="62" t="s">
        <v>1810</v>
      </c>
      <c r="C1114" s="28">
        <v>622</v>
      </c>
      <c r="D1114" s="28">
        <v>496</v>
      </c>
      <c r="E1114" s="28">
        <v>458</v>
      </c>
      <c r="F1114" s="28">
        <v>238</v>
      </c>
      <c r="G1114" s="28">
        <v>110</v>
      </c>
      <c r="H1114" s="28">
        <v>17</v>
      </c>
      <c r="I1114" s="28">
        <v>1</v>
      </c>
      <c r="J1114" s="28">
        <v>4</v>
      </c>
      <c r="K1114" s="28">
        <v>43</v>
      </c>
      <c r="L1114" s="28">
        <v>202</v>
      </c>
      <c r="M1114" s="28">
        <v>429</v>
      </c>
      <c r="N1114" s="62">
        <v>581</v>
      </c>
      <c r="O1114" s="62"/>
      <c r="P1114" s="28">
        <v>3201</v>
      </c>
    </row>
    <row r="1115" spans="1:18" hidden="1">
      <c r="B1115" s="62"/>
      <c r="N1115" s="62"/>
      <c r="O1115" s="62"/>
    </row>
    <row r="1116" spans="1:18" hidden="1">
      <c r="A1116" s="28" t="s">
        <v>1886</v>
      </c>
      <c r="B1116" s="62" t="s">
        <v>1808</v>
      </c>
      <c r="C1116" s="28">
        <v>31</v>
      </c>
      <c r="D1116" s="28">
        <v>28</v>
      </c>
      <c r="E1116" s="28">
        <v>31</v>
      </c>
      <c r="F1116" s="28">
        <v>27</v>
      </c>
      <c r="G1116" s="28">
        <v>18</v>
      </c>
      <c r="H1116" s="28">
        <v>6</v>
      </c>
      <c r="I1116" s="28">
        <v>1</v>
      </c>
      <c r="J1116" s="28">
        <v>3</v>
      </c>
      <c r="K1116" s="28">
        <v>11</v>
      </c>
      <c r="L1116" s="28">
        <v>25</v>
      </c>
      <c r="M1116" s="28">
        <v>30</v>
      </c>
      <c r="N1116" s="62">
        <v>31</v>
      </c>
      <c r="O1116" s="62"/>
      <c r="Q1116" s="28">
        <v>242</v>
      </c>
    </row>
    <row r="1117" spans="1:18" hidden="1">
      <c r="A1117" s="28" t="s">
        <v>1887</v>
      </c>
      <c r="B1117" s="62" t="s">
        <v>1810</v>
      </c>
      <c r="C1117" s="28">
        <v>684</v>
      </c>
      <c r="D1117" s="28">
        <v>552</v>
      </c>
      <c r="E1117" s="28">
        <v>525</v>
      </c>
      <c r="F1117" s="28">
        <v>339</v>
      </c>
      <c r="G1117" s="28">
        <v>195</v>
      </c>
      <c r="H1117" s="28">
        <v>56</v>
      </c>
      <c r="I1117" s="28">
        <v>12</v>
      </c>
      <c r="J1117" s="28">
        <v>23</v>
      </c>
      <c r="K1117" s="28">
        <v>111</v>
      </c>
      <c r="L1117" s="28">
        <v>298</v>
      </c>
      <c r="M1117" s="28">
        <v>493</v>
      </c>
      <c r="N1117" s="62">
        <v>645</v>
      </c>
      <c r="O1117" s="62"/>
      <c r="Q1117" s="28">
        <v>3933</v>
      </c>
    </row>
    <row r="1118" spans="1:18" hidden="1">
      <c r="B1118" s="62"/>
      <c r="N1118" s="62"/>
      <c r="O1118" s="62"/>
    </row>
    <row r="1119" spans="1:18" hidden="1">
      <c r="A1119" s="28" t="s">
        <v>1434</v>
      </c>
      <c r="B1119" s="62" t="s">
        <v>1808</v>
      </c>
      <c r="C1119" s="28">
        <v>31</v>
      </c>
      <c r="D1119" s="28">
        <v>28</v>
      </c>
      <c r="E1119" s="28">
        <v>31</v>
      </c>
      <c r="F1119" s="28">
        <v>29</v>
      </c>
      <c r="G1119" s="28">
        <v>25</v>
      </c>
      <c r="H1119" s="28">
        <v>11</v>
      </c>
      <c r="I1119" s="28">
        <v>5</v>
      </c>
      <c r="J1119" s="28">
        <v>8</v>
      </c>
      <c r="K1119" s="28">
        <v>18</v>
      </c>
      <c r="L1119" s="28">
        <v>29</v>
      </c>
      <c r="M1119" s="28">
        <v>30</v>
      </c>
      <c r="N1119" s="62">
        <v>31</v>
      </c>
      <c r="O1119" s="62"/>
      <c r="R1119" s="28">
        <v>276</v>
      </c>
    </row>
    <row r="1120" spans="1:18" hidden="1">
      <c r="A1120" s="28" t="s">
        <v>1435</v>
      </c>
      <c r="B1120" s="62" t="s">
        <v>1810</v>
      </c>
      <c r="C1120" s="28">
        <v>746</v>
      </c>
      <c r="D1120" s="28">
        <v>608</v>
      </c>
      <c r="E1120" s="28">
        <v>587</v>
      </c>
      <c r="F1120" s="28">
        <v>410</v>
      </c>
      <c r="G1120" s="28">
        <v>292</v>
      </c>
      <c r="H1120" s="28">
        <v>115</v>
      </c>
      <c r="I1120" s="28">
        <v>43</v>
      </c>
      <c r="J1120" s="28">
        <v>75</v>
      </c>
      <c r="K1120" s="28">
        <v>193</v>
      </c>
      <c r="L1120" s="28">
        <v>387</v>
      </c>
      <c r="M1120" s="28">
        <v>553</v>
      </c>
      <c r="N1120" s="62">
        <v>707</v>
      </c>
      <c r="O1120" s="62"/>
      <c r="R1120" s="28">
        <v>4716</v>
      </c>
    </row>
    <row r="1121" spans="1:31" ht="7.9" hidden="1" customHeight="1"/>
    <row r="1122" spans="1:31" ht="7.9" hidden="1" customHeight="1"/>
    <row r="1123" spans="1:31" ht="7.9" hidden="1" customHeight="1"/>
    <row r="1124" spans="1:31" ht="7.9" hidden="1" customHeight="1"/>
    <row r="1125" spans="1:31" ht="7.9" hidden="1" customHeight="1"/>
    <row r="1126" spans="1:31" s="34" customFormat="1" ht="15.75" hidden="1">
      <c r="A1126" s="61">
        <v>45</v>
      </c>
      <c r="B1126" s="129"/>
      <c r="C1126" s="129" t="s">
        <v>912</v>
      </c>
      <c r="D1126" s="129"/>
      <c r="E1126" s="130"/>
      <c r="F1126" s="130" t="s">
        <v>352</v>
      </c>
      <c r="G1126" s="129">
        <v>376</v>
      </c>
      <c r="H1126" s="131" t="s">
        <v>353</v>
      </c>
      <c r="I1126" s="129"/>
      <c r="J1126" s="129"/>
      <c r="K1126" s="130" t="s">
        <v>354</v>
      </c>
      <c r="L1126" s="131">
        <v>5</v>
      </c>
      <c r="M1126" s="129" t="s">
        <v>355</v>
      </c>
      <c r="N1126" s="131" t="s">
        <v>1439</v>
      </c>
      <c r="O1126" s="130"/>
      <c r="P1126" s="130" t="s">
        <v>357</v>
      </c>
      <c r="Q1126" s="129">
        <v>-5</v>
      </c>
      <c r="R1126" s="131" t="s">
        <v>2324</v>
      </c>
      <c r="S1126" s="28"/>
      <c r="T1126" s="28"/>
      <c r="U1126" s="378"/>
      <c r="V1126" s="368"/>
      <c r="W1126" s="368"/>
      <c r="X1126" s="368"/>
      <c r="Y1126" s="368"/>
      <c r="Z1126" s="368"/>
      <c r="AA1126" s="368"/>
      <c r="AB1126" s="368"/>
      <c r="AC1126" s="368"/>
      <c r="AD1126" s="368"/>
      <c r="AE1126" s="510"/>
    </row>
    <row r="1127" spans="1:31" hidden="1">
      <c r="B1127" s="62"/>
      <c r="N1127" s="62"/>
      <c r="O1127" s="62"/>
      <c r="P1127" s="53" t="s">
        <v>358</v>
      </c>
      <c r="Q1127" s="45"/>
      <c r="R1127" s="45"/>
    </row>
    <row r="1128" spans="1:31" s="34" customFormat="1" hidden="1">
      <c r="B1128" s="65"/>
      <c r="C1128" s="95" t="s">
        <v>489</v>
      </c>
      <c r="D1128" s="95" t="s">
        <v>490</v>
      </c>
      <c r="E1128" s="95" t="s">
        <v>491</v>
      </c>
      <c r="F1128" s="95" t="s">
        <v>492</v>
      </c>
      <c r="G1128" s="95" t="s">
        <v>493</v>
      </c>
      <c r="H1128" s="95" t="s">
        <v>494</v>
      </c>
      <c r="I1128" s="95" t="s">
        <v>495</v>
      </c>
      <c r="J1128" s="95" t="s">
        <v>496</v>
      </c>
      <c r="K1128" s="95" t="s">
        <v>497</v>
      </c>
      <c r="L1128" s="95" t="s">
        <v>498</v>
      </c>
      <c r="M1128" s="95" t="s">
        <v>499</v>
      </c>
      <c r="N1128" s="126" t="s">
        <v>500</v>
      </c>
      <c r="O1128" s="126" t="s">
        <v>501</v>
      </c>
      <c r="P1128" s="132" t="s">
        <v>359</v>
      </c>
      <c r="Q1128" s="133" t="s">
        <v>1207</v>
      </c>
      <c r="R1128" s="133" t="s">
        <v>1208</v>
      </c>
      <c r="S1128" s="28"/>
      <c r="T1128" s="28"/>
      <c r="U1128" s="378"/>
      <c r="V1128" s="368"/>
      <c r="W1128" s="368"/>
      <c r="X1128" s="368"/>
      <c r="Y1128" s="368"/>
      <c r="Z1128" s="368"/>
      <c r="AA1128" s="368"/>
      <c r="AB1128" s="368"/>
      <c r="AC1128" s="368"/>
      <c r="AD1128" s="368"/>
      <c r="AE1128" s="510"/>
    </row>
    <row r="1129" spans="1:31" hidden="1">
      <c r="B1129" s="62"/>
      <c r="N1129" s="62"/>
      <c r="O1129" s="62"/>
    </row>
    <row r="1130" spans="1:31" hidden="1">
      <c r="A1130" s="28" t="s">
        <v>1209</v>
      </c>
      <c r="B1130" s="62" t="s">
        <v>2324</v>
      </c>
      <c r="C1130" s="28">
        <v>0.8</v>
      </c>
      <c r="D1130" s="28">
        <v>2.5</v>
      </c>
      <c r="E1130" s="28">
        <v>5.0999999999999996</v>
      </c>
      <c r="F1130" s="28">
        <v>9.6999999999999993</v>
      </c>
      <c r="G1130" s="28">
        <v>13.6</v>
      </c>
      <c r="H1130" s="28">
        <v>17.3</v>
      </c>
      <c r="I1130" s="28">
        <v>19.5</v>
      </c>
      <c r="J1130" s="28">
        <v>18.3</v>
      </c>
      <c r="K1130" s="28">
        <v>15.7</v>
      </c>
      <c r="L1130" s="28">
        <v>11.3</v>
      </c>
      <c r="M1130" s="28">
        <v>6</v>
      </c>
      <c r="N1130" s="62">
        <v>1.3</v>
      </c>
      <c r="O1130" s="62">
        <v>10.1</v>
      </c>
      <c r="P1130" s="28">
        <v>3.7</v>
      </c>
      <c r="Q1130" s="28">
        <v>4.8</v>
      </c>
      <c r="R1130" s="28">
        <v>5.8</v>
      </c>
    </row>
    <row r="1131" spans="1:31" hidden="1">
      <c r="B1131" s="62"/>
      <c r="N1131" s="62"/>
      <c r="O1131" s="62"/>
    </row>
    <row r="1132" spans="1:31" ht="12.6" hidden="1" customHeight="1">
      <c r="A1132" s="28" t="s">
        <v>1210</v>
      </c>
      <c r="B1132" s="62" t="s">
        <v>250</v>
      </c>
      <c r="C1132" s="28">
        <v>110</v>
      </c>
      <c r="D1132" s="28">
        <v>174</v>
      </c>
      <c r="E1132" s="28">
        <v>327</v>
      </c>
      <c r="F1132" s="28">
        <v>474</v>
      </c>
      <c r="G1132" s="28">
        <v>547</v>
      </c>
      <c r="H1132" s="28">
        <v>619</v>
      </c>
      <c r="I1132" s="28">
        <v>664</v>
      </c>
      <c r="J1132" s="28">
        <v>529</v>
      </c>
      <c r="K1132" s="28">
        <v>388</v>
      </c>
      <c r="L1132" s="28">
        <v>258</v>
      </c>
      <c r="M1132" s="28">
        <v>123</v>
      </c>
      <c r="N1132" s="62">
        <v>100</v>
      </c>
      <c r="O1132" s="62">
        <v>4313</v>
      </c>
      <c r="P1132" s="28">
        <v>1103</v>
      </c>
      <c r="Q1132" s="28">
        <v>1462</v>
      </c>
      <c r="R1132" s="28">
        <v>1897</v>
      </c>
    </row>
    <row r="1133" spans="1:31" ht="12.6" hidden="1" customHeight="1">
      <c r="A1133" s="28" t="s">
        <v>1211</v>
      </c>
      <c r="B1133" s="62" t="s">
        <v>250</v>
      </c>
      <c r="C1133" s="28">
        <v>175</v>
      </c>
      <c r="D1133" s="28">
        <v>228</v>
      </c>
      <c r="E1133" s="28">
        <v>307</v>
      </c>
      <c r="F1133" s="28">
        <v>332</v>
      </c>
      <c r="G1133" s="28">
        <v>290</v>
      </c>
      <c r="H1133" s="28">
        <v>291</v>
      </c>
      <c r="I1133" s="28">
        <v>325</v>
      </c>
      <c r="J1133" s="28">
        <v>339</v>
      </c>
      <c r="K1133" s="28">
        <v>349</v>
      </c>
      <c r="L1133" s="28">
        <v>310</v>
      </c>
      <c r="M1133" s="28">
        <v>197</v>
      </c>
      <c r="N1133" s="62">
        <v>187</v>
      </c>
      <c r="O1133" s="62">
        <v>3330</v>
      </c>
      <c r="P1133" s="28">
        <v>1285</v>
      </c>
      <c r="Q1133" s="28">
        <v>1566</v>
      </c>
      <c r="R1133" s="28">
        <v>1884</v>
      </c>
    </row>
    <row r="1134" spans="1:31" ht="12.6" hidden="1" customHeight="1">
      <c r="A1134" s="28" t="s">
        <v>1212</v>
      </c>
      <c r="B1134" s="62" t="s">
        <v>250</v>
      </c>
      <c r="C1134" s="28">
        <v>67</v>
      </c>
      <c r="D1134" s="28">
        <v>101</v>
      </c>
      <c r="E1134" s="28">
        <v>186</v>
      </c>
      <c r="F1134" s="28">
        <v>256</v>
      </c>
      <c r="G1134" s="28">
        <v>290</v>
      </c>
      <c r="H1134" s="28">
        <v>322</v>
      </c>
      <c r="I1134" s="28">
        <v>339</v>
      </c>
      <c r="J1134" s="28">
        <v>286</v>
      </c>
      <c r="K1134" s="28">
        <v>213</v>
      </c>
      <c r="L1134" s="28">
        <v>144</v>
      </c>
      <c r="M1134" s="28">
        <v>73</v>
      </c>
      <c r="N1134" s="62">
        <v>65</v>
      </c>
      <c r="O1134" s="62">
        <v>2342</v>
      </c>
      <c r="P1134" s="28">
        <v>636</v>
      </c>
      <c r="Q1134" s="28">
        <v>831</v>
      </c>
      <c r="R1134" s="28">
        <v>1066</v>
      </c>
    </row>
    <row r="1135" spans="1:31" ht="12.6" hidden="1" customHeight="1">
      <c r="A1135" s="28" t="s">
        <v>1213</v>
      </c>
      <c r="B1135" s="62" t="s">
        <v>250</v>
      </c>
      <c r="C1135" s="28">
        <v>78</v>
      </c>
      <c r="D1135" s="28">
        <v>115</v>
      </c>
      <c r="E1135" s="28">
        <v>186</v>
      </c>
      <c r="F1135" s="28">
        <v>261</v>
      </c>
      <c r="G1135" s="28">
        <v>284</v>
      </c>
      <c r="H1135" s="28">
        <v>310</v>
      </c>
      <c r="I1135" s="28">
        <v>339</v>
      </c>
      <c r="J1135" s="28">
        <v>286</v>
      </c>
      <c r="K1135" s="28">
        <v>229</v>
      </c>
      <c r="L1135" s="28">
        <v>157</v>
      </c>
      <c r="M1135" s="28">
        <v>82</v>
      </c>
      <c r="N1135" s="62">
        <v>75</v>
      </c>
      <c r="O1135" s="62">
        <v>2402</v>
      </c>
      <c r="P1135" s="28">
        <v>684</v>
      </c>
      <c r="Q1135" s="28">
        <v>884</v>
      </c>
      <c r="R1135" s="28">
        <v>1123</v>
      </c>
    </row>
    <row r="1136" spans="1:31" ht="12.6" hidden="1" customHeight="1">
      <c r="A1136" s="28" t="s">
        <v>1214</v>
      </c>
      <c r="B1136" s="62" t="s">
        <v>250</v>
      </c>
      <c r="C1136" s="28">
        <v>39</v>
      </c>
      <c r="D1136" s="28">
        <v>50</v>
      </c>
      <c r="E1136" s="28">
        <v>85</v>
      </c>
      <c r="F1136" s="28">
        <v>114</v>
      </c>
      <c r="G1136" s="28">
        <v>153</v>
      </c>
      <c r="H1136" s="28">
        <v>173</v>
      </c>
      <c r="I1136" s="28">
        <v>173</v>
      </c>
      <c r="J1136" s="28">
        <v>116</v>
      </c>
      <c r="K1136" s="28">
        <v>89</v>
      </c>
      <c r="L1136" s="28">
        <v>70</v>
      </c>
      <c r="M1136" s="28">
        <v>38</v>
      </c>
      <c r="N1136" s="62">
        <v>37</v>
      </c>
      <c r="O1136" s="62">
        <v>1137</v>
      </c>
      <c r="P1136" s="28">
        <v>316</v>
      </c>
      <c r="Q1136" s="28">
        <v>409</v>
      </c>
      <c r="R1136" s="28">
        <v>523</v>
      </c>
    </row>
    <row r="1137" spans="1:31" hidden="1">
      <c r="B1137" s="62"/>
      <c r="N1137" s="62"/>
      <c r="O1137" s="62"/>
    </row>
    <row r="1138" spans="1:31" hidden="1">
      <c r="A1138" s="28" t="s">
        <v>1215</v>
      </c>
      <c r="B1138" s="62" t="s">
        <v>1808</v>
      </c>
      <c r="C1138" s="28">
        <v>31</v>
      </c>
      <c r="D1138" s="28">
        <v>28</v>
      </c>
      <c r="E1138" s="28">
        <v>29</v>
      </c>
      <c r="F1138" s="28">
        <v>15</v>
      </c>
      <c r="G1138" s="28">
        <v>4</v>
      </c>
      <c r="H1138" s="28">
        <v>1</v>
      </c>
      <c r="I1138" s="28">
        <v>0</v>
      </c>
      <c r="J1138" s="28">
        <v>0</v>
      </c>
      <c r="K1138" s="28">
        <v>0</v>
      </c>
      <c r="L1138" s="28">
        <v>10</v>
      </c>
      <c r="M1138" s="28">
        <v>28</v>
      </c>
      <c r="N1138" s="62">
        <v>31</v>
      </c>
      <c r="O1138" s="62"/>
      <c r="P1138" s="28">
        <v>177</v>
      </c>
    </row>
    <row r="1139" spans="1:31" hidden="1">
      <c r="A1139" s="28" t="s">
        <v>1809</v>
      </c>
      <c r="B1139" s="62" t="s">
        <v>1810</v>
      </c>
      <c r="C1139" s="28">
        <v>533</v>
      </c>
      <c r="D1139" s="28">
        <v>430</v>
      </c>
      <c r="E1139" s="28">
        <v>386</v>
      </c>
      <c r="F1139" s="28">
        <v>165</v>
      </c>
      <c r="G1139" s="28">
        <v>41</v>
      </c>
      <c r="H1139" s="28">
        <v>6</v>
      </c>
      <c r="I1139" s="28">
        <v>0</v>
      </c>
      <c r="J1139" s="28">
        <v>0</v>
      </c>
      <c r="K1139" s="28">
        <v>2</v>
      </c>
      <c r="L1139" s="28">
        <v>102</v>
      </c>
      <c r="M1139" s="28">
        <v>345</v>
      </c>
      <c r="N1139" s="62">
        <v>516</v>
      </c>
      <c r="O1139" s="62"/>
      <c r="P1139" s="28">
        <v>2526</v>
      </c>
    </row>
    <row r="1140" spans="1:31" hidden="1">
      <c r="B1140" s="62"/>
      <c r="N1140" s="62"/>
      <c r="O1140" s="62"/>
    </row>
    <row r="1141" spans="1:31" hidden="1">
      <c r="A1141" s="28" t="s">
        <v>1886</v>
      </c>
      <c r="B1141" s="62" t="s">
        <v>1808</v>
      </c>
      <c r="C1141" s="28">
        <v>31</v>
      </c>
      <c r="D1141" s="28">
        <v>28</v>
      </c>
      <c r="E1141" s="28">
        <v>31</v>
      </c>
      <c r="F1141" s="28">
        <v>23</v>
      </c>
      <c r="G1141" s="28">
        <v>10</v>
      </c>
      <c r="H1141" s="28">
        <v>2</v>
      </c>
      <c r="I1141" s="28">
        <v>0</v>
      </c>
      <c r="J1141" s="28">
        <v>0</v>
      </c>
      <c r="K1141" s="28">
        <v>4</v>
      </c>
      <c r="L1141" s="28">
        <v>17</v>
      </c>
      <c r="M1141" s="28">
        <v>29</v>
      </c>
      <c r="N1141" s="62">
        <v>31</v>
      </c>
      <c r="O1141" s="62"/>
      <c r="Q1141" s="28">
        <v>206</v>
      </c>
    </row>
    <row r="1142" spans="1:31" hidden="1">
      <c r="A1142" s="28" t="s">
        <v>1887</v>
      </c>
      <c r="B1142" s="62" t="s">
        <v>1810</v>
      </c>
      <c r="C1142" s="28">
        <v>595</v>
      </c>
      <c r="D1142" s="28">
        <v>489</v>
      </c>
      <c r="E1142" s="28">
        <v>459</v>
      </c>
      <c r="F1142" s="28">
        <v>264</v>
      </c>
      <c r="G1142" s="28">
        <v>96</v>
      </c>
      <c r="H1142" s="28">
        <v>17</v>
      </c>
      <c r="I1142" s="28">
        <v>3</v>
      </c>
      <c r="J1142" s="28">
        <v>0</v>
      </c>
      <c r="K1142" s="28">
        <v>31</v>
      </c>
      <c r="L1142" s="28">
        <v>188</v>
      </c>
      <c r="M1142" s="28">
        <v>412</v>
      </c>
      <c r="N1142" s="62">
        <v>579</v>
      </c>
      <c r="O1142" s="62"/>
      <c r="Q1142" s="28">
        <v>3133</v>
      </c>
    </row>
    <row r="1143" spans="1:31" hidden="1">
      <c r="B1143" s="62"/>
      <c r="N1143" s="62"/>
      <c r="O1143" s="62"/>
    </row>
    <row r="1144" spans="1:31" hidden="1">
      <c r="A1144" s="28" t="s">
        <v>1434</v>
      </c>
      <c r="B1144" s="62" t="s">
        <v>1808</v>
      </c>
      <c r="C1144" s="28">
        <v>31</v>
      </c>
      <c r="D1144" s="28">
        <v>28</v>
      </c>
      <c r="E1144" s="28">
        <v>31</v>
      </c>
      <c r="F1144" s="28">
        <v>27</v>
      </c>
      <c r="G1144" s="28">
        <v>17</v>
      </c>
      <c r="H1144" s="28">
        <v>6</v>
      </c>
      <c r="I1144" s="28">
        <v>2</v>
      </c>
      <c r="J1144" s="28">
        <v>2</v>
      </c>
      <c r="K1144" s="28">
        <v>9</v>
      </c>
      <c r="L1144" s="28">
        <v>25</v>
      </c>
      <c r="M1144" s="28">
        <v>30</v>
      </c>
      <c r="N1144" s="62">
        <v>31</v>
      </c>
      <c r="O1144" s="62"/>
      <c r="R1144" s="28">
        <v>239</v>
      </c>
    </row>
    <row r="1145" spans="1:31" hidden="1">
      <c r="A1145" s="28" t="s">
        <v>1435</v>
      </c>
      <c r="B1145" s="62" t="s">
        <v>1810</v>
      </c>
      <c r="C1145" s="28">
        <v>657</v>
      </c>
      <c r="D1145" s="28">
        <v>545</v>
      </c>
      <c r="E1145" s="28">
        <v>523</v>
      </c>
      <c r="F1145" s="28">
        <v>351</v>
      </c>
      <c r="G1145" s="28">
        <v>179</v>
      </c>
      <c r="H1145" s="28">
        <v>54</v>
      </c>
      <c r="I1145" s="28">
        <v>17</v>
      </c>
      <c r="J1145" s="28">
        <v>19</v>
      </c>
      <c r="K1145" s="28">
        <v>82</v>
      </c>
      <c r="L1145" s="28">
        <v>294</v>
      </c>
      <c r="M1145" s="28">
        <v>478</v>
      </c>
      <c r="N1145" s="62">
        <v>641</v>
      </c>
      <c r="O1145" s="62"/>
      <c r="R1145" s="28">
        <v>3840</v>
      </c>
    </row>
    <row r="1146" spans="1:31" ht="7.9" hidden="1" customHeight="1"/>
    <row r="1147" spans="1:31" ht="7.9" hidden="1" customHeight="1"/>
    <row r="1148" spans="1:31" ht="7.9" hidden="1" customHeight="1"/>
    <row r="1149" spans="1:31" ht="7.9" hidden="1" customHeight="1"/>
    <row r="1150" spans="1:31" ht="7.9" hidden="1" customHeight="1"/>
    <row r="1151" spans="1:31" s="34" customFormat="1" ht="15.75" hidden="1">
      <c r="A1151" s="61">
        <v>46</v>
      </c>
      <c r="B1151" s="129"/>
      <c r="C1151" s="129" t="s">
        <v>906</v>
      </c>
      <c r="D1151" s="129"/>
      <c r="E1151" s="130"/>
      <c r="F1151" s="130" t="s">
        <v>352</v>
      </c>
      <c r="G1151" s="129">
        <v>1350</v>
      </c>
      <c r="H1151" s="131" t="s">
        <v>353</v>
      </c>
      <c r="I1151" s="129"/>
      <c r="J1151" s="129"/>
      <c r="K1151" s="130" t="s">
        <v>354</v>
      </c>
      <c r="L1151" s="131">
        <v>8</v>
      </c>
      <c r="M1151" s="129" t="s">
        <v>355</v>
      </c>
      <c r="N1151" s="131" t="s">
        <v>356</v>
      </c>
      <c r="O1151" s="130"/>
      <c r="P1151" s="130" t="s">
        <v>357</v>
      </c>
      <c r="Q1151" s="129">
        <v>-9</v>
      </c>
      <c r="R1151" s="131" t="s">
        <v>2324</v>
      </c>
      <c r="S1151" s="28"/>
      <c r="T1151" s="28"/>
      <c r="U1151" s="378"/>
      <c r="V1151" s="368"/>
      <c r="W1151" s="368"/>
      <c r="X1151" s="368"/>
      <c r="Y1151" s="368"/>
      <c r="Z1151" s="368"/>
      <c r="AA1151" s="368"/>
      <c r="AB1151" s="368"/>
      <c r="AC1151" s="368"/>
      <c r="AD1151" s="368"/>
      <c r="AE1151" s="510"/>
    </row>
    <row r="1152" spans="1:31" hidden="1">
      <c r="B1152" s="62"/>
      <c r="N1152" s="62"/>
      <c r="O1152" s="62"/>
      <c r="P1152" s="53" t="s">
        <v>358</v>
      </c>
      <c r="Q1152" s="45"/>
      <c r="R1152" s="45"/>
    </row>
    <row r="1153" spans="1:31" s="34" customFormat="1" hidden="1">
      <c r="B1153" s="65"/>
      <c r="C1153" s="95" t="s">
        <v>489</v>
      </c>
      <c r="D1153" s="95" t="s">
        <v>490</v>
      </c>
      <c r="E1153" s="95" t="s">
        <v>491</v>
      </c>
      <c r="F1153" s="95" t="s">
        <v>492</v>
      </c>
      <c r="G1153" s="95" t="s">
        <v>493</v>
      </c>
      <c r="H1153" s="95" t="s">
        <v>494</v>
      </c>
      <c r="I1153" s="95" t="s">
        <v>495</v>
      </c>
      <c r="J1153" s="95" t="s">
        <v>496</v>
      </c>
      <c r="K1153" s="95" t="s">
        <v>497</v>
      </c>
      <c r="L1153" s="95" t="s">
        <v>498</v>
      </c>
      <c r="M1153" s="95" t="s">
        <v>499</v>
      </c>
      <c r="N1153" s="126" t="s">
        <v>500</v>
      </c>
      <c r="O1153" s="126" t="s">
        <v>501</v>
      </c>
      <c r="P1153" s="132" t="s">
        <v>359</v>
      </c>
      <c r="Q1153" s="133" t="s">
        <v>1207</v>
      </c>
      <c r="R1153" s="133" t="s">
        <v>1208</v>
      </c>
      <c r="S1153" s="28"/>
      <c r="T1153" s="28"/>
      <c r="U1153" s="378"/>
      <c r="V1153" s="368"/>
      <c r="W1153" s="368"/>
      <c r="X1153" s="368"/>
      <c r="Y1153" s="368"/>
      <c r="Z1153" s="368"/>
      <c r="AA1153" s="368"/>
      <c r="AB1153" s="368"/>
      <c r="AC1153" s="368"/>
      <c r="AD1153" s="368"/>
      <c r="AE1153" s="510"/>
    </row>
    <row r="1154" spans="1:31" hidden="1">
      <c r="B1154" s="62"/>
      <c r="N1154" s="62"/>
      <c r="O1154" s="62"/>
    </row>
    <row r="1155" spans="1:31" hidden="1">
      <c r="A1155" s="28" t="s">
        <v>1209</v>
      </c>
      <c r="B1155" s="62" t="s">
        <v>2324</v>
      </c>
      <c r="C1155" s="28">
        <v>-1.6</v>
      </c>
      <c r="D1155" s="28">
        <v>-1.3</v>
      </c>
      <c r="E1155" s="28">
        <v>0.7</v>
      </c>
      <c r="F1155" s="28">
        <v>4.8</v>
      </c>
      <c r="G1155" s="28">
        <v>8.6</v>
      </c>
      <c r="H1155" s="28">
        <v>12.3</v>
      </c>
      <c r="I1155" s="28">
        <v>14.2</v>
      </c>
      <c r="J1155" s="28">
        <v>13.2</v>
      </c>
      <c r="K1155" s="28">
        <v>11.5</v>
      </c>
      <c r="L1155" s="28">
        <v>8</v>
      </c>
      <c r="M1155" s="28">
        <v>2.8</v>
      </c>
      <c r="N1155" s="62">
        <v>-1.4</v>
      </c>
      <c r="O1155" s="62">
        <v>6</v>
      </c>
      <c r="P1155" s="28">
        <v>2.2000000000000002</v>
      </c>
      <c r="Q1155" s="28">
        <v>3.4</v>
      </c>
      <c r="R1155" s="28">
        <v>4.2</v>
      </c>
    </row>
    <row r="1156" spans="1:31" hidden="1">
      <c r="B1156" s="62"/>
      <c r="N1156" s="62"/>
      <c r="O1156" s="62"/>
    </row>
    <row r="1157" spans="1:31" ht="12.6" hidden="1" customHeight="1">
      <c r="A1157" s="28" t="s">
        <v>1210</v>
      </c>
      <c r="B1157" s="62" t="s">
        <v>250</v>
      </c>
      <c r="C1157" s="28">
        <v>163</v>
      </c>
      <c r="D1157" s="28">
        <v>227</v>
      </c>
      <c r="E1157" s="28">
        <v>386</v>
      </c>
      <c r="F1157" s="28">
        <v>527</v>
      </c>
      <c r="G1157" s="28">
        <v>615</v>
      </c>
      <c r="H1157" s="28">
        <v>652</v>
      </c>
      <c r="I1157" s="28">
        <v>694</v>
      </c>
      <c r="J1157" s="28">
        <v>570</v>
      </c>
      <c r="K1157" s="28">
        <v>428</v>
      </c>
      <c r="L1157" s="28">
        <v>319</v>
      </c>
      <c r="M1157" s="28">
        <v>168</v>
      </c>
      <c r="N1157" s="62">
        <v>144</v>
      </c>
      <c r="O1157" s="62">
        <v>4893</v>
      </c>
      <c r="P1157" s="28">
        <v>2448</v>
      </c>
      <c r="Q1157" s="28">
        <v>3071</v>
      </c>
      <c r="R1157" s="28">
        <v>3622</v>
      </c>
    </row>
    <row r="1158" spans="1:31" ht="12.6" hidden="1" customHeight="1">
      <c r="A1158" s="28" t="s">
        <v>1211</v>
      </c>
      <c r="B1158" s="62" t="s">
        <v>250</v>
      </c>
      <c r="C1158" s="28">
        <v>259</v>
      </c>
      <c r="D1158" s="28">
        <v>297</v>
      </c>
      <c r="E1158" s="28">
        <v>363</v>
      </c>
      <c r="F1158" s="28">
        <v>369</v>
      </c>
      <c r="G1158" s="28">
        <v>326</v>
      </c>
      <c r="H1158" s="28">
        <v>306</v>
      </c>
      <c r="I1158" s="28">
        <v>340</v>
      </c>
      <c r="J1158" s="28">
        <v>365</v>
      </c>
      <c r="K1158" s="28">
        <v>385</v>
      </c>
      <c r="L1158" s="28">
        <v>383</v>
      </c>
      <c r="M1158" s="28">
        <v>269</v>
      </c>
      <c r="N1158" s="62">
        <v>269</v>
      </c>
      <c r="O1158" s="62">
        <v>3931</v>
      </c>
      <c r="P1158" s="28">
        <v>2407</v>
      </c>
      <c r="Q1158" s="28">
        <v>2832</v>
      </c>
      <c r="R1158" s="28">
        <v>3179</v>
      </c>
    </row>
    <row r="1159" spans="1:31" ht="12.6" hidden="1" customHeight="1">
      <c r="A1159" s="28" t="s">
        <v>1212</v>
      </c>
      <c r="B1159" s="62" t="s">
        <v>250</v>
      </c>
      <c r="C1159" s="28">
        <v>99</v>
      </c>
      <c r="D1159" s="28">
        <v>132</v>
      </c>
      <c r="E1159" s="28">
        <v>220</v>
      </c>
      <c r="F1159" s="28">
        <v>285</v>
      </c>
      <c r="G1159" s="28">
        <v>326</v>
      </c>
      <c r="H1159" s="28">
        <v>339</v>
      </c>
      <c r="I1159" s="28">
        <v>354</v>
      </c>
      <c r="J1159" s="28">
        <v>308</v>
      </c>
      <c r="K1159" s="28">
        <v>235</v>
      </c>
      <c r="L1159" s="28">
        <v>179</v>
      </c>
      <c r="M1159" s="28">
        <v>99</v>
      </c>
      <c r="N1159" s="62">
        <v>94</v>
      </c>
      <c r="O1159" s="62">
        <v>2670</v>
      </c>
      <c r="P1159" s="28">
        <v>1375</v>
      </c>
      <c r="Q1159" s="28">
        <v>1708</v>
      </c>
      <c r="R1159" s="28">
        <v>2001</v>
      </c>
    </row>
    <row r="1160" spans="1:31" ht="12.6" hidden="1" customHeight="1">
      <c r="A1160" s="28" t="s">
        <v>1213</v>
      </c>
      <c r="B1160" s="62" t="s">
        <v>250</v>
      </c>
      <c r="C1160" s="28">
        <v>116</v>
      </c>
      <c r="D1160" s="28">
        <v>150</v>
      </c>
      <c r="E1160" s="28">
        <v>220</v>
      </c>
      <c r="F1160" s="28">
        <v>290</v>
      </c>
      <c r="G1160" s="28">
        <v>320</v>
      </c>
      <c r="H1160" s="28">
        <v>326</v>
      </c>
      <c r="I1160" s="28">
        <v>354</v>
      </c>
      <c r="J1160" s="28">
        <v>308</v>
      </c>
      <c r="K1160" s="28">
        <v>253</v>
      </c>
      <c r="L1160" s="28">
        <v>195</v>
      </c>
      <c r="M1160" s="28">
        <v>113</v>
      </c>
      <c r="N1160" s="62">
        <v>108</v>
      </c>
      <c r="O1160" s="62">
        <v>2753</v>
      </c>
      <c r="P1160" s="28">
        <v>1450</v>
      </c>
      <c r="Q1160" s="28">
        <v>1787</v>
      </c>
      <c r="R1160" s="28">
        <v>2082</v>
      </c>
    </row>
    <row r="1161" spans="1:31" ht="12.6" hidden="1" customHeight="1">
      <c r="A1161" s="28" t="s">
        <v>1214</v>
      </c>
      <c r="B1161" s="62" t="s">
        <v>250</v>
      </c>
      <c r="C1161" s="28">
        <v>57</v>
      </c>
      <c r="D1161" s="28">
        <v>66</v>
      </c>
      <c r="E1161" s="28">
        <v>100</v>
      </c>
      <c r="F1161" s="28">
        <v>126</v>
      </c>
      <c r="G1161" s="28">
        <v>172</v>
      </c>
      <c r="H1161" s="28">
        <v>183</v>
      </c>
      <c r="I1161" s="28">
        <v>180</v>
      </c>
      <c r="J1161" s="28">
        <v>125</v>
      </c>
      <c r="K1161" s="28">
        <v>98</v>
      </c>
      <c r="L1161" s="28">
        <v>86</v>
      </c>
      <c r="M1161" s="28">
        <v>52</v>
      </c>
      <c r="N1161" s="62">
        <v>53</v>
      </c>
      <c r="O1161" s="62">
        <v>1298</v>
      </c>
      <c r="P1161" s="28">
        <v>676</v>
      </c>
      <c r="Q1161" s="28">
        <v>837</v>
      </c>
      <c r="R1161" s="28">
        <v>977</v>
      </c>
    </row>
    <row r="1162" spans="1:31" hidden="1">
      <c r="B1162" s="62"/>
      <c r="N1162" s="62"/>
      <c r="O1162" s="62"/>
    </row>
    <row r="1163" spans="1:31" hidden="1">
      <c r="A1163" s="28" t="s">
        <v>1215</v>
      </c>
      <c r="B1163" s="62" t="s">
        <v>1808</v>
      </c>
      <c r="C1163" s="28">
        <v>31</v>
      </c>
      <c r="D1163" s="28">
        <v>28</v>
      </c>
      <c r="E1163" s="28">
        <v>31</v>
      </c>
      <c r="F1163" s="28">
        <v>27</v>
      </c>
      <c r="G1163" s="28">
        <v>21</v>
      </c>
      <c r="H1163" s="28">
        <v>8</v>
      </c>
      <c r="I1163" s="28">
        <v>4</v>
      </c>
      <c r="J1163" s="28">
        <v>6</v>
      </c>
      <c r="K1163" s="28">
        <v>11</v>
      </c>
      <c r="L1163" s="28">
        <v>20</v>
      </c>
      <c r="M1163" s="28">
        <v>29</v>
      </c>
      <c r="N1163" s="62">
        <v>31</v>
      </c>
      <c r="O1163" s="62"/>
      <c r="P1163" s="28">
        <v>247</v>
      </c>
    </row>
    <row r="1164" spans="1:31" hidden="1">
      <c r="A1164" s="28" t="s">
        <v>1809</v>
      </c>
      <c r="B1164" s="62" t="s">
        <v>1810</v>
      </c>
      <c r="C1164" s="28">
        <v>606</v>
      </c>
      <c r="D1164" s="28">
        <v>540</v>
      </c>
      <c r="E1164" s="28">
        <v>533</v>
      </c>
      <c r="F1164" s="28">
        <v>376</v>
      </c>
      <c r="G1164" s="28">
        <v>245</v>
      </c>
      <c r="H1164" s="28">
        <v>87</v>
      </c>
      <c r="I1164" s="28">
        <v>43</v>
      </c>
      <c r="J1164" s="28">
        <v>58</v>
      </c>
      <c r="K1164" s="28">
        <v>112</v>
      </c>
      <c r="L1164" s="28">
        <v>243</v>
      </c>
      <c r="M1164" s="28">
        <v>446</v>
      </c>
      <c r="N1164" s="62">
        <v>603</v>
      </c>
      <c r="O1164" s="62"/>
      <c r="P1164" s="28">
        <v>3892</v>
      </c>
    </row>
    <row r="1165" spans="1:31" hidden="1">
      <c r="B1165" s="62"/>
      <c r="N1165" s="62"/>
      <c r="O1165" s="62"/>
    </row>
    <row r="1166" spans="1:31" hidden="1">
      <c r="A1166" s="28" t="s">
        <v>1886</v>
      </c>
      <c r="B1166" s="62" t="s">
        <v>1808</v>
      </c>
      <c r="C1166" s="28">
        <v>31</v>
      </c>
      <c r="D1166" s="28">
        <v>28</v>
      </c>
      <c r="E1166" s="28">
        <v>31</v>
      </c>
      <c r="F1166" s="28">
        <v>29</v>
      </c>
      <c r="G1166" s="28">
        <v>25</v>
      </c>
      <c r="H1166" s="28">
        <v>15</v>
      </c>
      <c r="I1166" s="28">
        <v>9</v>
      </c>
      <c r="J1166" s="28">
        <v>12</v>
      </c>
      <c r="K1166" s="28">
        <v>17</v>
      </c>
      <c r="L1166" s="28">
        <v>26</v>
      </c>
      <c r="M1166" s="28">
        <v>30</v>
      </c>
      <c r="N1166" s="62">
        <v>31</v>
      </c>
      <c r="O1166" s="62"/>
      <c r="Q1166" s="28">
        <v>284</v>
      </c>
    </row>
    <row r="1167" spans="1:31" hidden="1">
      <c r="A1167" s="28" t="s">
        <v>1887</v>
      </c>
      <c r="B1167" s="62" t="s">
        <v>1810</v>
      </c>
      <c r="C1167" s="28">
        <v>668</v>
      </c>
      <c r="D1167" s="28">
        <v>596</v>
      </c>
      <c r="E1167" s="28">
        <v>598</v>
      </c>
      <c r="F1167" s="28">
        <v>451</v>
      </c>
      <c r="G1167" s="28">
        <v>321</v>
      </c>
      <c r="H1167" s="28">
        <v>163</v>
      </c>
      <c r="I1167" s="28">
        <v>93</v>
      </c>
      <c r="J1167" s="28">
        <v>124</v>
      </c>
      <c r="K1167" s="28">
        <v>185</v>
      </c>
      <c r="L1167" s="28">
        <v>342</v>
      </c>
      <c r="M1167" s="28">
        <v>516</v>
      </c>
      <c r="N1167" s="62">
        <v>665</v>
      </c>
      <c r="O1167" s="62"/>
      <c r="Q1167" s="28">
        <v>4722</v>
      </c>
    </row>
    <row r="1168" spans="1:31" hidden="1">
      <c r="B1168" s="62"/>
      <c r="N1168" s="62"/>
      <c r="O1168" s="62"/>
    </row>
    <row r="1169" spans="1:31" hidden="1">
      <c r="A1169" s="28" t="s">
        <v>1434</v>
      </c>
      <c r="B1169" s="62" t="s">
        <v>1808</v>
      </c>
      <c r="C1169" s="28">
        <v>31</v>
      </c>
      <c r="D1169" s="28">
        <v>28</v>
      </c>
      <c r="E1169" s="28">
        <v>31</v>
      </c>
      <c r="F1169" s="28">
        <v>30</v>
      </c>
      <c r="G1169" s="28">
        <v>28</v>
      </c>
      <c r="H1169" s="28">
        <v>20</v>
      </c>
      <c r="I1169" s="28">
        <v>15</v>
      </c>
      <c r="J1169" s="28">
        <v>18</v>
      </c>
      <c r="K1169" s="28">
        <v>21</v>
      </c>
      <c r="L1169" s="28">
        <v>29</v>
      </c>
      <c r="M1169" s="28">
        <v>30</v>
      </c>
      <c r="N1169" s="62">
        <v>31</v>
      </c>
      <c r="O1169" s="62"/>
      <c r="R1169" s="28">
        <v>312</v>
      </c>
    </row>
    <row r="1170" spans="1:31" hidden="1">
      <c r="A1170" s="28" t="s">
        <v>1435</v>
      </c>
      <c r="B1170" s="62" t="s">
        <v>1810</v>
      </c>
      <c r="C1170" s="28">
        <v>730</v>
      </c>
      <c r="D1170" s="28">
        <v>652</v>
      </c>
      <c r="E1170" s="28">
        <v>660</v>
      </c>
      <c r="F1170" s="28">
        <v>515</v>
      </c>
      <c r="G1170" s="28">
        <v>399</v>
      </c>
      <c r="H1170" s="28">
        <v>239</v>
      </c>
      <c r="I1170" s="28">
        <v>161</v>
      </c>
      <c r="J1170" s="28">
        <v>204</v>
      </c>
      <c r="K1170" s="28">
        <v>262</v>
      </c>
      <c r="L1170" s="28">
        <v>421</v>
      </c>
      <c r="M1170" s="28">
        <v>577</v>
      </c>
      <c r="N1170" s="62">
        <v>727</v>
      </c>
      <c r="O1170" s="62"/>
      <c r="R1170" s="28">
        <v>5547</v>
      </c>
    </row>
    <row r="1171" spans="1:31" ht="7.9" hidden="1" customHeight="1"/>
    <row r="1172" spans="1:31" ht="7.9" hidden="1" customHeight="1"/>
    <row r="1173" spans="1:31" ht="7.9" hidden="1" customHeight="1"/>
    <row r="1174" spans="1:31" ht="7.9" hidden="1" customHeight="1"/>
    <row r="1175" spans="1:31" ht="7.9" hidden="1" customHeight="1"/>
    <row r="1176" spans="1:31" s="34" customFormat="1" ht="15.75" hidden="1">
      <c r="A1176" s="61">
        <v>47</v>
      </c>
      <c r="B1176" s="129"/>
      <c r="C1176" s="129" t="s">
        <v>909</v>
      </c>
      <c r="D1176" s="129"/>
      <c r="E1176" s="130"/>
      <c r="F1176" s="130" t="s">
        <v>352</v>
      </c>
      <c r="G1176" s="129">
        <v>605</v>
      </c>
      <c r="H1176" s="131" t="s">
        <v>353</v>
      </c>
      <c r="I1176" s="129"/>
      <c r="J1176" s="129"/>
      <c r="K1176" s="130" t="s">
        <v>354</v>
      </c>
      <c r="L1176" s="131">
        <v>8</v>
      </c>
      <c r="M1176" s="129" t="s">
        <v>355</v>
      </c>
      <c r="N1176" s="131" t="s">
        <v>1585</v>
      </c>
      <c r="O1176" s="130"/>
      <c r="P1176" s="130" t="s">
        <v>357</v>
      </c>
      <c r="Q1176" s="129">
        <v>-7</v>
      </c>
      <c r="R1176" s="131" t="s">
        <v>2324</v>
      </c>
      <c r="S1176" s="28"/>
      <c r="T1176" s="28"/>
      <c r="U1176" s="378"/>
      <c r="V1176" s="368"/>
      <c r="W1176" s="368"/>
      <c r="X1176" s="368"/>
      <c r="Y1176" s="368"/>
      <c r="Z1176" s="368"/>
      <c r="AA1176" s="368"/>
      <c r="AB1176" s="368"/>
      <c r="AC1176" s="368"/>
      <c r="AD1176" s="368"/>
      <c r="AE1176" s="510"/>
    </row>
    <row r="1177" spans="1:31" hidden="1">
      <c r="B1177" s="62"/>
      <c r="N1177" s="62"/>
      <c r="O1177" s="62"/>
      <c r="P1177" s="53" t="s">
        <v>358</v>
      </c>
      <c r="Q1177" s="45"/>
      <c r="R1177" s="45"/>
    </row>
    <row r="1178" spans="1:31" s="34" customFormat="1" hidden="1">
      <c r="B1178" s="65"/>
      <c r="C1178" s="95" t="s">
        <v>489</v>
      </c>
      <c r="D1178" s="95" t="s">
        <v>490</v>
      </c>
      <c r="E1178" s="95" t="s">
        <v>491</v>
      </c>
      <c r="F1178" s="95" t="s">
        <v>492</v>
      </c>
      <c r="G1178" s="95" t="s">
        <v>493</v>
      </c>
      <c r="H1178" s="95" t="s">
        <v>494</v>
      </c>
      <c r="I1178" s="95" t="s">
        <v>495</v>
      </c>
      <c r="J1178" s="95" t="s">
        <v>496</v>
      </c>
      <c r="K1178" s="95" t="s">
        <v>497</v>
      </c>
      <c r="L1178" s="95" t="s">
        <v>498</v>
      </c>
      <c r="M1178" s="95" t="s">
        <v>499</v>
      </c>
      <c r="N1178" s="126" t="s">
        <v>500</v>
      </c>
      <c r="O1178" s="126" t="s">
        <v>501</v>
      </c>
      <c r="P1178" s="132" t="s">
        <v>359</v>
      </c>
      <c r="Q1178" s="133" t="s">
        <v>1207</v>
      </c>
      <c r="R1178" s="133" t="s">
        <v>1208</v>
      </c>
      <c r="S1178" s="28"/>
      <c r="T1178" s="28"/>
      <c r="U1178" s="378"/>
      <c r="V1178" s="368"/>
      <c r="W1178" s="368"/>
      <c r="X1178" s="368"/>
      <c r="Y1178" s="368"/>
      <c r="Z1178" s="368"/>
      <c r="AA1178" s="368"/>
      <c r="AB1178" s="368"/>
      <c r="AC1178" s="368"/>
      <c r="AD1178" s="368"/>
      <c r="AE1178" s="510"/>
    </row>
    <row r="1179" spans="1:31" hidden="1">
      <c r="B1179" s="62"/>
      <c r="N1179" s="62"/>
      <c r="O1179" s="62"/>
    </row>
    <row r="1180" spans="1:31" hidden="1">
      <c r="A1180" s="28" t="s">
        <v>1209</v>
      </c>
      <c r="B1180" s="62" t="s">
        <v>2324</v>
      </c>
      <c r="C1180" s="28">
        <v>-1.5</v>
      </c>
      <c r="D1180" s="28">
        <v>0.8</v>
      </c>
      <c r="E1180" s="28">
        <v>3.6</v>
      </c>
      <c r="F1180" s="28">
        <v>8.9</v>
      </c>
      <c r="G1180" s="28">
        <v>12.3</v>
      </c>
      <c r="H1180" s="28">
        <v>15.5</v>
      </c>
      <c r="I1180" s="28">
        <v>16.899999999999999</v>
      </c>
      <c r="J1180" s="28">
        <v>16.100000000000001</v>
      </c>
      <c r="K1180" s="28">
        <v>14.1</v>
      </c>
      <c r="L1180" s="28">
        <v>9.8000000000000007</v>
      </c>
      <c r="M1180" s="28">
        <v>4.2</v>
      </c>
      <c r="N1180" s="62">
        <v>-1.6</v>
      </c>
      <c r="O1180" s="62">
        <v>8.3000000000000007</v>
      </c>
      <c r="P1180" s="28">
        <v>2.4</v>
      </c>
      <c r="Q1180" s="28">
        <v>3.7</v>
      </c>
      <c r="R1180" s="28">
        <v>4.8</v>
      </c>
    </row>
    <row r="1181" spans="1:31" hidden="1">
      <c r="B1181" s="62"/>
      <c r="N1181" s="62"/>
      <c r="O1181" s="62"/>
    </row>
    <row r="1182" spans="1:31" ht="12.6" hidden="1" customHeight="1">
      <c r="A1182" s="28" t="s">
        <v>1210</v>
      </c>
      <c r="B1182" s="62" t="s">
        <v>250</v>
      </c>
      <c r="C1182" s="28">
        <v>137</v>
      </c>
      <c r="D1182" s="28">
        <v>191</v>
      </c>
      <c r="E1182" s="28">
        <v>324</v>
      </c>
      <c r="F1182" s="28">
        <v>443</v>
      </c>
      <c r="G1182" s="28">
        <v>544</v>
      </c>
      <c r="H1182" s="28">
        <v>580</v>
      </c>
      <c r="I1182" s="28">
        <v>626</v>
      </c>
      <c r="J1182" s="28">
        <v>515</v>
      </c>
      <c r="K1182" s="28">
        <v>403</v>
      </c>
      <c r="L1182" s="28">
        <v>292</v>
      </c>
      <c r="M1182" s="28">
        <v>144</v>
      </c>
      <c r="N1182" s="62">
        <v>119</v>
      </c>
      <c r="O1182" s="62">
        <v>4318</v>
      </c>
      <c r="P1182" s="28">
        <v>1378</v>
      </c>
      <c r="Q1182" s="28">
        <v>1811</v>
      </c>
      <c r="R1182" s="28">
        <v>2305</v>
      </c>
      <c r="AE1182" s="378"/>
    </row>
    <row r="1183" spans="1:31" ht="12.6" hidden="1" customHeight="1">
      <c r="A1183" s="28" t="s">
        <v>1211</v>
      </c>
      <c r="B1183" s="62" t="s">
        <v>250</v>
      </c>
      <c r="C1183" s="28">
        <v>218</v>
      </c>
      <c r="D1183" s="28">
        <v>250</v>
      </c>
      <c r="E1183" s="28">
        <v>305</v>
      </c>
      <c r="F1183" s="28">
        <v>310</v>
      </c>
      <c r="G1183" s="28">
        <v>288</v>
      </c>
      <c r="H1183" s="28">
        <v>273</v>
      </c>
      <c r="I1183" s="28">
        <v>307</v>
      </c>
      <c r="J1183" s="28">
        <v>330</v>
      </c>
      <c r="K1183" s="28">
        <v>363</v>
      </c>
      <c r="L1183" s="28">
        <v>350</v>
      </c>
      <c r="M1183" s="28">
        <v>230</v>
      </c>
      <c r="N1183" s="62">
        <v>223</v>
      </c>
      <c r="O1183" s="62">
        <v>3447</v>
      </c>
      <c r="P1183" s="28">
        <v>792</v>
      </c>
      <c r="Q1183" s="28">
        <v>1027</v>
      </c>
      <c r="R1183" s="28">
        <v>1290</v>
      </c>
      <c r="AE1183" s="378"/>
    </row>
    <row r="1184" spans="1:31" ht="12.6" hidden="1" customHeight="1">
      <c r="A1184" s="28" t="s">
        <v>1212</v>
      </c>
      <c r="B1184" s="62" t="s">
        <v>250</v>
      </c>
      <c r="C1184" s="28">
        <v>84</v>
      </c>
      <c r="D1184" s="28">
        <v>111</v>
      </c>
      <c r="E1184" s="28">
        <v>185</v>
      </c>
      <c r="F1184" s="28">
        <v>239</v>
      </c>
      <c r="G1184" s="28">
        <v>288</v>
      </c>
      <c r="H1184" s="28">
        <v>302</v>
      </c>
      <c r="I1184" s="28">
        <v>319</v>
      </c>
      <c r="J1184" s="28">
        <v>278</v>
      </c>
      <c r="K1184" s="28">
        <v>222</v>
      </c>
      <c r="L1184" s="28">
        <v>164</v>
      </c>
      <c r="M1184" s="28">
        <v>85</v>
      </c>
      <c r="N1184" s="62">
        <v>77</v>
      </c>
      <c r="O1184" s="62">
        <v>2354</v>
      </c>
      <c r="P1184" s="28">
        <v>792</v>
      </c>
      <c r="Q1184" s="28">
        <v>1027</v>
      </c>
      <c r="R1184" s="28">
        <v>1290</v>
      </c>
      <c r="AE1184" s="378"/>
    </row>
    <row r="1185" spans="1:31" ht="12.6" hidden="1" customHeight="1">
      <c r="A1185" s="28" t="s">
        <v>1213</v>
      </c>
      <c r="B1185" s="62" t="s">
        <v>250</v>
      </c>
      <c r="C1185" s="28">
        <v>97</v>
      </c>
      <c r="D1185" s="28">
        <v>126</v>
      </c>
      <c r="E1185" s="28">
        <v>185</v>
      </c>
      <c r="F1185" s="28">
        <v>244</v>
      </c>
      <c r="G1185" s="28">
        <v>283</v>
      </c>
      <c r="H1185" s="28">
        <v>290</v>
      </c>
      <c r="I1185" s="28">
        <v>319</v>
      </c>
      <c r="J1185" s="28">
        <v>278</v>
      </c>
      <c r="K1185" s="28">
        <v>238</v>
      </c>
      <c r="L1185" s="28">
        <v>178</v>
      </c>
      <c r="M1185" s="28">
        <v>96</v>
      </c>
      <c r="N1185" s="62">
        <v>89</v>
      </c>
      <c r="O1185" s="62">
        <v>2423</v>
      </c>
      <c r="P1185" s="28">
        <v>849</v>
      </c>
      <c r="Q1185" s="28">
        <v>1090</v>
      </c>
      <c r="R1185" s="28">
        <v>1357</v>
      </c>
      <c r="AE1185" s="378"/>
    </row>
    <row r="1186" spans="1:31" ht="12.6" hidden="1" customHeight="1">
      <c r="A1186" s="28" t="s">
        <v>1214</v>
      </c>
      <c r="B1186" s="62" t="s">
        <v>250</v>
      </c>
      <c r="C1186" s="28">
        <v>48</v>
      </c>
      <c r="D1186" s="28">
        <v>55</v>
      </c>
      <c r="E1186" s="28">
        <v>84</v>
      </c>
      <c r="F1186" s="28">
        <v>106</v>
      </c>
      <c r="G1186" s="28">
        <v>152</v>
      </c>
      <c r="H1186" s="28">
        <v>162</v>
      </c>
      <c r="I1186" s="28">
        <v>163</v>
      </c>
      <c r="J1186" s="28">
        <v>113</v>
      </c>
      <c r="K1186" s="28">
        <v>93</v>
      </c>
      <c r="L1186" s="28">
        <v>79</v>
      </c>
      <c r="M1186" s="28">
        <v>45</v>
      </c>
      <c r="N1186" s="62">
        <v>44</v>
      </c>
      <c r="O1186" s="62">
        <v>1144</v>
      </c>
      <c r="P1186" s="28">
        <v>394</v>
      </c>
      <c r="Q1186" s="28">
        <v>506</v>
      </c>
      <c r="R1186" s="28">
        <v>633</v>
      </c>
      <c r="AE1186" s="378"/>
    </row>
    <row r="1187" spans="1:31" hidden="1">
      <c r="B1187" s="62"/>
      <c r="N1187" s="62"/>
      <c r="O1187" s="62"/>
      <c r="AE1187" s="378"/>
    </row>
    <row r="1188" spans="1:31" hidden="1">
      <c r="A1188" s="28" t="s">
        <v>1215</v>
      </c>
      <c r="B1188" s="62" t="s">
        <v>1808</v>
      </c>
      <c r="C1188" s="28">
        <v>31</v>
      </c>
      <c r="D1188" s="28">
        <v>27</v>
      </c>
      <c r="E1188" s="28">
        <v>30</v>
      </c>
      <c r="F1188" s="28">
        <v>17</v>
      </c>
      <c r="G1188" s="28">
        <v>8</v>
      </c>
      <c r="H1188" s="28">
        <v>2</v>
      </c>
      <c r="I1188" s="28">
        <v>1</v>
      </c>
      <c r="J1188" s="28">
        <v>1</v>
      </c>
      <c r="K1188" s="28">
        <v>3</v>
      </c>
      <c r="L1188" s="28">
        <v>16</v>
      </c>
      <c r="M1188" s="28">
        <v>28</v>
      </c>
      <c r="N1188" s="62">
        <v>31</v>
      </c>
      <c r="O1188" s="62"/>
      <c r="P1188" s="28">
        <v>195</v>
      </c>
      <c r="AE1188" s="378"/>
    </row>
    <row r="1189" spans="1:31" hidden="1">
      <c r="A1189" s="28" t="s">
        <v>1809</v>
      </c>
      <c r="B1189" s="62" t="s">
        <v>1810</v>
      </c>
      <c r="C1189" s="28">
        <v>603</v>
      </c>
      <c r="D1189" s="28">
        <v>477</v>
      </c>
      <c r="E1189" s="28">
        <v>439</v>
      </c>
      <c r="F1189" s="28">
        <v>206</v>
      </c>
      <c r="G1189" s="28">
        <v>82</v>
      </c>
      <c r="H1189" s="28">
        <v>16</v>
      </c>
      <c r="I1189" s="28">
        <v>6</v>
      </c>
      <c r="J1189" s="28">
        <v>4</v>
      </c>
      <c r="K1189" s="28">
        <v>27</v>
      </c>
      <c r="L1189" s="28">
        <v>176</v>
      </c>
      <c r="M1189" s="28">
        <v>403</v>
      </c>
      <c r="N1189" s="62">
        <v>608</v>
      </c>
      <c r="O1189" s="62"/>
      <c r="P1189" s="28">
        <v>3047</v>
      </c>
      <c r="AE1189" s="378"/>
    </row>
    <row r="1190" spans="1:31" hidden="1">
      <c r="B1190" s="62"/>
      <c r="N1190" s="62"/>
      <c r="O1190" s="62"/>
      <c r="AE1190" s="378"/>
    </row>
    <row r="1191" spans="1:31" hidden="1">
      <c r="A1191" s="28" t="s">
        <v>1886</v>
      </c>
      <c r="B1191" s="62" t="s">
        <v>1808</v>
      </c>
      <c r="C1191" s="28">
        <v>31</v>
      </c>
      <c r="D1191" s="28">
        <v>28</v>
      </c>
      <c r="E1191" s="28">
        <v>31</v>
      </c>
      <c r="F1191" s="28">
        <v>23</v>
      </c>
      <c r="G1191" s="28">
        <v>14</v>
      </c>
      <c r="H1191" s="28">
        <v>5</v>
      </c>
      <c r="I1191" s="28">
        <v>2</v>
      </c>
      <c r="J1191" s="28">
        <v>3</v>
      </c>
      <c r="K1191" s="28">
        <v>8</v>
      </c>
      <c r="L1191" s="28">
        <v>24</v>
      </c>
      <c r="M1191" s="28">
        <v>29</v>
      </c>
      <c r="N1191" s="62">
        <v>31</v>
      </c>
      <c r="O1191" s="62"/>
      <c r="Q1191" s="28">
        <v>229</v>
      </c>
      <c r="AE1191" s="378"/>
    </row>
    <row r="1192" spans="1:31" hidden="1">
      <c r="A1192" s="28" t="s">
        <v>1887</v>
      </c>
      <c r="B1192" s="62" t="s">
        <v>1810</v>
      </c>
      <c r="C1192" s="28">
        <v>665</v>
      </c>
      <c r="D1192" s="28">
        <v>535</v>
      </c>
      <c r="E1192" s="28">
        <v>506</v>
      </c>
      <c r="F1192" s="28">
        <v>292</v>
      </c>
      <c r="G1192" s="28">
        <v>148</v>
      </c>
      <c r="H1192" s="28">
        <v>52</v>
      </c>
      <c r="I1192" s="28">
        <v>18</v>
      </c>
      <c r="J1192" s="28">
        <v>23</v>
      </c>
      <c r="K1192" s="28">
        <v>76</v>
      </c>
      <c r="L1192" s="28">
        <v>277</v>
      </c>
      <c r="M1192" s="28">
        <v>468</v>
      </c>
      <c r="N1192" s="62">
        <v>670</v>
      </c>
      <c r="O1192" s="62"/>
      <c r="Q1192" s="28">
        <v>3730</v>
      </c>
      <c r="AE1192" s="378"/>
    </row>
    <row r="1193" spans="1:31" hidden="1">
      <c r="B1193" s="62"/>
      <c r="N1193" s="62"/>
      <c r="O1193" s="62"/>
      <c r="AE1193" s="378"/>
    </row>
    <row r="1194" spans="1:31" hidden="1">
      <c r="A1194" s="28" t="s">
        <v>1434</v>
      </c>
      <c r="B1194" s="62" t="s">
        <v>1808</v>
      </c>
      <c r="C1194" s="28">
        <v>31</v>
      </c>
      <c r="D1194" s="28">
        <v>28</v>
      </c>
      <c r="E1194" s="28">
        <v>31</v>
      </c>
      <c r="F1194" s="28">
        <v>27</v>
      </c>
      <c r="G1194" s="28">
        <v>21</v>
      </c>
      <c r="H1194" s="28">
        <v>10</v>
      </c>
      <c r="I1194" s="28">
        <v>6</v>
      </c>
      <c r="J1194" s="28">
        <v>7</v>
      </c>
      <c r="K1194" s="28">
        <v>14</v>
      </c>
      <c r="L1194" s="28">
        <v>27</v>
      </c>
      <c r="M1194" s="28">
        <v>29</v>
      </c>
      <c r="N1194" s="62">
        <v>31</v>
      </c>
      <c r="O1194" s="62"/>
      <c r="R1194" s="28">
        <v>262</v>
      </c>
      <c r="AE1194" s="378"/>
    </row>
    <row r="1195" spans="1:31" hidden="1">
      <c r="A1195" s="28" t="s">
        <v>1435</v>
      </c>
      <c r="B1195" s="62" t="s">
        <v>1810</v>
      </c>
      <c r="C1195" s="28">
        <v>728</v>
      </c>
      <c r="D1195" s="28">
        <v>592</v>
      </c>
      <c r="E1195" s="28">
        <v>570</v>
      </c>
      <c r="F1195" s="28">
        <v>376</v>
      </c>
      <c r="G1195" s="28">
        <v>244</v>
      </c>
      <c r="H1195" s="28">
        <v>99</v>
      </c>
      <c r="I1195" s="28">
        <v>55</v>
      </c>
      <c r="J1195" s="28">
        <v>70</v>
      </c>
      <c r="K1195" s="28">
        <v>145</v>
      </c>
      <c r="L1195" s="28">
        <v>357</v>
      </c>
      <c r="M1195" s="28">
        <v>529</v>
      </c>
      <c r="N1195" s="62">
        <v>732</v>
      </c>
      <c r="O1195" s="62"/>
      <c r="R1195" s="28">
        <v>4497</v>
      </c>
      <c r="AE1195" s="378"/>
    </row>
    <row r="1196" spans="1:31" ht="7.9" hidden="1" customHeight="1"/>
    <row r="1197" spans="1:31" ht="7.9" hidden="1" customHeight="1"/>
    <row r="1198" spans="1:31" ht="7.9" hidden="1" customHeight="1"/>
    <row r="1199" spans="1:31" ht="7.9" hidden="1" customHeight="1"/>
    <row r="1200" spans="1:31" ht="8.4499999999999993" hidden="1" customHeight="1"/>
    <row r="1201" spans="1:31" s="34" customFormat="1" ht="15.75" hidden="1">
      <c r="A1201" s="61">
        <v>48</v>
      </c>
      <c r="B1201" s="129"/>
      <c r="C1201" s="129"/>
      <c r="D1201" s="129"/>
      <c r="E1201" s="130"/>
      <c r="F1201" s="130"/>
      <c r="G1201" s="129"/>
      <c r="H1201" s="131"/>
      <c r="I1201" s="129"/>
      <c r="J1201" s="129"/>
      <c r="K1201" s="130"/>
      <c r="L1201" s="131"/>
      <c r="M1201" s="129"/>
      <c r="N1201" s="131"/>
      <c r="O1201" s="130"/>
      <c r="P1201" s="130"/>
      <c r="Q1201" s="129"/>
      <c r="R1201" s="131"/>
      <c r="S1201" s="28"/>
      <c r="T1201" s="28"/>
      <c r="U1201" s="378"/>
      <c r="V1201" s="368"/>
      <c r="W1201" s="368"/>
      <c r="X1201" s="368"/>
      <c r="Y1201" s="368"/>
      <c r="Z1201" s="368"/>
      <c r="AA1201" s="368"/>
      <c r="AB1201" s="368"/>
      <c r="AC1201" s="368"/>
      <c r="AD1201" s="368"/>
      <c r="AE1201" s="510"/>
    </row>
    <row r="1202" spans="1:31" hidden="1">
      <c r="B1202" s="62"/>
      <c r="N1202" s="62"/>
      <c r="O1202" s="62"/>
      <c r="P1202" s="53"/>
      <c r="Q1202" s="45"/>
      <c r="R1202" s="45"/>
    </row>
    <row r="1203" spans="1:31" s="34" customFormat="1" hidden="1">
      <c r="B1203" s="65"/>
      <c r="C1203" s="95"/>
      <c r="D1203" s="95"/>
      <c r="E1203" s="95"/>
      <c r="F1203" s="95"/>
      <c r="G1203" s="95"/>
      <c r="H1203" s="95"/>
      <c r="I1203" s="95"/>
      <c r="J1203" s="95"/>
      <c r="K1203" s="95"/>
      <c r="L1203" s="95"/>
      <c r="M1203" s="95"/>
      <c r="N1203" s="126"/>
      <c r="O1203" s="126"/>
      <c r="P1203" s="132"/>
      <c r="Q1203" s="133"/>
      <c r="R1203" s="133"/>
      <c r="S1203" s="28"/>
      <c r="T1203" s="28"/>
      <c r="U1203" s="378"/>
      <c r="V1203" s="368"/>
      <c r="W1203" s="368"/>
      <c r="X1203" s="368"/>
      <c r="Y1203" s="368"/>
      <c r="Z1203" s="368"/>
      <c r="AA1203" s="368"/>
      <c r="AB1203" s="368"/>
      <c r="AC1203" s="368"/>
      <c r="AD1203" s="368"/>
      <c r="AE1203" s="510"/>
    </row>
    <row r="1204" spans="1:31" hidden="1">
      <c r="B1204" s="62"/>
      <c r="N1204" s="62"/>
      <c r="O1204" s="62"/>
    </row>
    <row r="1205" spans="1:31" hidden="1">
      <c r="B1205" s="62"/>
      <c r="N1205" s="62"/>
      <c r="O1205" s="62"/>
    </row>
    <row r="1206" spans="1:31" hidden="1">
      <c r="B1206" s="62"/>
      <c r="N1206" s="62"/>
      <c r="O1206" s="62"/>
    </row>
    <row r="1207" spans="1:31" ht="12.6" hidden="1" customHeight="1">
      <c r="B1207" s="62"/>
      <c r="N1207" s="62"/>
      <c r="O1207" s="62"/>
      <c r="AE1207" s="378"/>
    </row>
    <row r="1208" spans="1:31" ht="12.6" hidden="1" customHeight="1">
      <c r="B1208" s="62"/>
      <c r="N1208" s="62"/>
      <c r="O1208" s="62"/>
      <c r="AE1208" s="378"/>
    </row>
    <row r="1209" spans="1:31" ht="12.6" hidden="1" customHeight="1">
      <c r="B1209" s="62"/>
      <c r="N1209" s="62"/>
      <c r="O1209" s="62"/>
      <c r="AE1209" s="378"/>
    </row>
    <row r="1210" spans="1:31" ht="12.6" hidden="1" customHeight="1">
      <c r="B1210" s="62"/>
      <c r="N1210" s="62"/>
      <c r="O1210" s="62"/>
      <c r="AE1210" s="378"/>
    </row>
    <row r="1211" spans="1:31" ht="12.6" hidden="1" customHeight="1">
      <c r="B1211" s="62"/>
      <c r="N1211" s="62"/>
      <c r="O1211" s="62"/>
      <c r="AE1211" s="378"/>
    </row>
    <row r="1212" spans="1:31" hidden="1">
      <c r="B1212" s="62"/>
      <c r="N1212" s="62"/>
      <c r="O1212" s="62"/>
      <c r="AE1212" s="378"/>
    </row>
    <row r="1213" spans="1:31" hidden="1">
      <c r="B1213" s="62"/>
      <c r="N1213" s="62"/>
      <c r="O1213" s="62"/>
      <c r="AE1213" s="378"/>
    </row>
    <row r="1214" spans="1:31" hidden="1">
      <c r="B1214" s="62"/>
      <c r="N1214" s="62"/>
      <c r="O1214" s="62"/>
      <c r="AE1214" s="378"/>
    </row>
    <row r="1215" spans="1:31" hidden="1">
      <c r="B1215" s="62"/>
      <c r="N1215" s="62"/>
      <c r="O1215" s="62"/>
      <c r="AE1215" s="378"/>
    </row>
    <row r="1216" spans="1:31" hidden="1">
      <c r="B1216" s="62"/>
      <c r="N1216" s="62"/>
      <c r="O1216" s="62"/>
      <c r="AE1216" s="378"/>
    </row>
    <row r="1217" spans="1:31" hidden="1">
      <c r="B1217" s="62"/>
      <c r="N1217" s="62"/>
      <c r="O1217" s="62"/>
      <c r="AE1217" s="378"/>
    </row>
    <row r="1218" spans="1:31" hidden="1">
      <c r="B1218" s="62"/>
      <c r="N1218" s="62"/>
      <c r="O1218" s="62"/>
      <c r="AE1218" s="378"/>
    </row>
    <row r="1219" spans="1:31" hidden="1">
      <c r="B1219" s="62"/>
      <c r="N1219" s="62"/>
      <c r="O1219" s="62"/>
      <c r="AE1219" s="378"/>
    </row>
    <row r="1220" spans="1:31" hidden="1">
      <c r="B1220" s="62"/>
      <c r="N1220" s="62"/>
      <c r="O1220" s="62"/>
      <c r="AE1220" s="378"/>
    </row>
    <row r="1221" spans="1:31" ht="7.9" hidden="1" customHeight="1"/>
    <row r="1222" spans="1:31" ht="7.9" hidden="1" customHeight="1"/>
    <row r="1223" spans="1:31" ht="7.9" hidden="1" customHeight="1"/>
    <row r="1224" spans="1:31" ht="7.9" hidden="1" customHeight="1"/>
    <row r="1225" spans="1:31" ht="7.9" hidden="1" customHeight="1"/>
    <row r="1226" spans="1:31" s="34" customFormat="1" ht="15.75" hidden="1">
      <c r="A1226" s="61">
        <v>49</v>
      </c>
      <c r="B1226" s="129"/>
      <c r="C1226" s="129"/>
      <c r="D1226" s="129"/>
      <c r="E1226" s="130"/>
      <c r="F1226" s="130"/>
      <c r="G1226" s="129"/>
      <c r="H1226" s="131"/>
      <c r="I1226" s="129"/>
      <c r="J1226" s="129"/>
      <c r="K1226" s="130"/>
      <c r="L1226" s="131"/>
      <c r="M1226" s="129"/>
      <c r="N1226" s="131"/>
      <c r="O1226" s="130"/>
      <c r="P1226" s="130"/>
      <c r="Q1226" s="129"/>
      <c r="R1226" s="131"/>
      <c r="S1226" s="28"/>
      <c r="T1226" s="28"/>
      <c r="U1226" s="378"/>
      <c r="V1226" s="368"/>
      <c r="W1226" s="368"/>
      <c r="X1226" s="368"/>
      <c r="Y1226" s="368"/>
      <c r="Z1226" s="368"/>
      <c r="AA1226" s="368"/>
      <c r="AB1226" s="368"/>
      <c r="AC1226" s="368"/>
      <c r="AD1226" s="368"/>
      <c r="AE1226" s="510"/>
    </row>
    <row r="1227" spans="1:31" hidden="1">
      <c r="B1227" s="62"/>
      <c r="N1227" s="62"/>
      <c r="O1227" s="62"/>
      <c r="P1227" s="53"/>
      <c r="Q1227" s="45"/>
      <c r="R1227" s="45"/>
    </row>
    <row r="1228" spans="1:31" s="34" customFormat="1" hidden="1">
      <c r="B1228" s="65"/>
      <c r="C1228" s="95"/>
      <c r="D1228" s="95"/>
      <c r="E1228" s="95"/>
      <c r="F1228" s="95"/>
      <c r="G1228" s="95"/>
      <c r="H1228" s="95"/>
      <c r="I1228" s="95"/>
      <c r="J1228" s="95"/>
      <c r="K1228" s="95"/>
      <c r="L1228" s="95"/>
      <c r="M1228" s="95"/>
      <c r="N1228" s="126"/>
      <c r="O1228" s="126"/>
      <c r="P1228" s="132"/>
      <c r="Q1228" s="133"/>
      <c r="R1228" s="133"/>
      <c r="S1228" s="28"/>
      <c r="T1228" s="28"/>
      <c r="U1228" s="378"/>
      <c r="V1228" s="368"/>
      <c r="W1228" s="368"/>
      <c r="X1228" s="368"/>
      <c r="Y1228" s="368"/>
      <c r="Z1228" s="368"/>
      <c r="AA1228" s="368"/>
      <c r="AB1228" s="368"/>
      <c r="AC1228" s="368"/>
      <c r="AD1228" s="368"/>
      <c r="AE1228" s="510"/>
    </row>
    <row r="1229" spans="1:31" hidden="1">
      <c r="B1229" s="62"/>
      <c r="N1229" s="62"/>
      <c r="O1229" s="62"/>
    </row>
    <row r="1230" spans="1:31" hidden="1">
      <c r="B1230" s="62"/>
      <c r="N1230" s="62"/>
      <c r="O1230" s="62"/>
    </row>
    <row r="1231" spans="1:31" hidden="1">
      <c r="B1231" s="62"/>
      <c r="N1231" s="62"/>
      <c r="O1231" s="62"/>
    </row>
    <row r="1232" spans="1:31" ht="12.6" hidden="1" customHeight="1">
      <c r="B1232" s="62"/>
      <c r="N1232" s="62"/>
      <c r="O1232" s="62"/>
      <c r="AE1232" s="378"/>
    </row>
    <row r="1233" spans="2:31" ht="12.6" hidden="1" customHeight="1">
      <c r="B1233" s="62"/>
      <c r="N1233" s="62"/>
      <c r="O1233" s="62"/>
      <c r="AE1233" s="378"/>
    </row>
    <row r="1234" spans="2:31" ht="12.6" hidden="1" customHeight="1">
      <c r="B1234" s="62"/>
      <c r="N1234" s="62"/>
      <c r="O1234" s="62"/>
      <c r="AE1234" s="378"/>
    </row>
    <row r="1235" spans="2:31" ht="12.6" hidden="1" customHeight="1">
      <c r="B1235" s="62"/>
      <c r="N1235" s="62"/>
      <c r="O1235" s="62"/>
      <c r="AE1235" s="378"/>
    </row>
    <row r="1236" spans="2:31" ht="12.6" hidden="1" customHeight="1">
      <c r="B1236" s="62"/>
      <c r="N1236" s="62"/>
      <c r="O1236" s="62"/>
      <c r="AE1236" s="378"/>
    </row>
    <row r="1237" spans="2:31" hidden="1">
      <c r="B1237" s="62"/>
      <c r="N1237" s="62"/>
      <c r="O1237" s="62"/>
      <c r="AE1237" s="378"/>
    </row>
    <row r="1238" spans="2:31" hidden="1">
      <c r="B1238" s="62"/>
      <c r="N1238" s="62"/>
      <c r="O1238" s="62"/>
      <c r="AE1238" s="378"/>
    </row>
    <row r="1239" spans="2:31" hidden="1">
      <c r="B1239" s="62"/>
      <c r="N1239" s="62"/>
      <c r="O1239" s="62"/>
      <c r="AE1239" s="378"/>
    </row>
    <row r="1240" spans="2:31" hidden="1">
      <c r="B1240" s="62"/>
      <c r="N1240" s="62"/>
      <c r="O1240" s="62"/>
      <c r="AE1240" s="378"/>
    </row>
    <row r="1241" spans="2:31" hidden="1">
      <c r="B1241" s="62"/>
      <c r="N1241" s="62"/>
      <c r="O1241" s="62"/>
      <c r="AE1241" s="378"/>
    </row>
    <row r="1242" spans="2:31" hidden="1">
      <c r="B1242" s="62"/>
      <c r="N1242" s="62"/>
      <c r="O1242" s="62"/>
      <c r="AE1242" s="378"/>
    </row>
    <row r="1243" spans="2:31" hidden="1">
      <c r="B1243" s="62"/>
      <c r="N1243" s="62"/>
      <c r="O1243" s="62"/>
      <c r="AE1243" s="378"/>
    </row>
    <row r="1244" spans="2:31" hidden="1">
      <c r="B1244" s="62"/>
      <c r="N1244" s="62"/>
      <c r="O1244" s="62"/>
      <c r="AE1244" s="378"/>
    </row>
    <row r="1245" spans="2:31" hidden="1">
      <c r="B1245" s="62"/>
      <c r="N1245" s="62"/>
      <c r="O1245" s="62"/>
      <c r="AE1245" s="378"/>
    </row>
    <row r="1246" spans="2:31" ht="7.9" hidden="1" customHeight="1"/>
    <row r="1247" spans="2:31" ht="7.9" hidden="1" customHeight="1"/>
    <row r="1248" spans="2:31" ht="7.9" hidden="1" customHeight="1"/>
    <row r="1249" spans="1:31" ht="7.9" hidden="1" customHeight="1"/>
    <row r="1250" spans="1:31" ht="7.9" hidden="1" customHeight="1"/>
    <row r="1251" spans="1:31" s="34" customFormat="1" ht="15.75" hidden="1">
      <c r="A1251" s="61">
        <v>50</v>
      </c>
      <c r="B1251" s="129"/>
      <c r="C1251" s="129"/>
      <c r="D1251" s="129"/>
      <c r="E1251" s="130"/>
      <c r="F1251" s="130"/>
      <c r="G1251" s="129"/>
      <c r="H1251" s="131"/>
      <c r="I1251" s="129"/>
      <c r="J1251" s="129"/>
      <c r="K1251" s="130"/>
      <c r="L1251" s="131"/>
      <c r="M1251" s="129"/>
      <c r="N1251" s="131"/>
      <c r="O1251" s="130"/>
      <c r="P1251" s="130"/>
      <c r="Q1251" s="129"/>
      <c r="R1251" s="131"/>
      <c r="S1251" s="28"/>
      <c r="T1251" s="28"/>
      <c r="U1251" s="378"/>
      <c r="V1251" s="368"/>
      <c r="W1251" s="368"/>
      <c r="X1251" s="368"/>
      <c r="Y1251" s="368"/>
      <c r="Z1251" s="368"/>
      <c r="AA1251" s="368"/>
      <c r="AB1251" s="368"/>
      <c r="AC1251" s="368"/>
      <c r="AD1251" s="368"/>
      <c r="AE1251" s="510"/>
    </row>
    <row r="1252" spans="1:31" hidden="1">
      <c r="B1252" s="62"/>
      <c r="N1252" s="62"/>
      <c r="O1252" s="62"/>
      <c r="P1252" s="53"/>
      <c r="Q1252" s="45"/>
      <c r="R1252" s="45"/>
    </row>
    <row r="1253" spans="1:31" s="34" customFormat="1" hidden="1">
      <c r="B1253" s="65"/>
      <c r="C1253" s="95"/>
      <c r="D1253" s="95"/>
      <c r="E1253" s="95"/>
      <c r="F1253" s="95"/>
      <c r="G1253" s="95"/>
      <c r="H1253" s="95"/>
      <c r="I1253" s="95"/>
      <c r="J1253" s="95"/>
      <c r="K1253" s="95"/>
      <c r="L1253" s="95"/>
      <c r="M1253" s="95"/>
      <c r="N1253" s="126"/>
      <c r="O1253" s="126"/>
      <c r="P1253" s="132"/>
      <c r="Q1253" s="133"/>
      <c r="R1253" s="133"/>
      <c r="S1253" s="28"/>
      <c r="T1253" s="28"/>
      <c r="U1253" s="378"/>
      <c r="V1253" s="368"/>
      <c r="W1253" s="368"/>
      <c r="X1253" s="368"/>
      <c r="Y1253" s="368"/>
      <c r="Z1253" s="368"/>
      <c r="AA1253" s="368"/>
      <c r="AB1253" s="368"/>
      <c r="AC1253" s="368"/>
      <c r="AD1253" s="368"/>
      <c r="AE1253" s="510"/>
    </row>
    <row r="1254" spans="1:31" hidden="1">
      <c r="B1254" s="62"/>
      <c r="N1254" s="62"/>
      <c r="O1254" s="62"/>
    </row>
    <row r="1255" spans="1:31" hidden="1">
      <c r="B1255" s="62"/>
      <c r="N1255" s="62"/>
      <c r="O1255" s="62"/>
    </row>
    <row r="1256" spans="1:31" hidden="1">
      <c r="B1256" s="62"/>
      <c r="N1256" s="62"/>
      <c r="O1256" s="62"/>
    </row>
    <row r="1257" spans="1:31" ht="12.6" hidden="1" customHeight="1">
      <c r="B1257" s="62"/>
      <c r="N1257" s="62"/>
      <c r="O1257" s="62"/>
      <c r="AE1257" s="378"/>
    </row>
    <row r="1258" spans="1:31" ht="12.6" hidden="1" customHeight="1">
      <c r="B1258" s="62"/>
      <c r="N1258" s="62"/>
      <c r="O1258" s="62"/>
      <c r="AE1258" s="378"/>
    </row>
    <row r="1259" spans="1:31" ht="12.6" hidden="1" customHeight="1">
      <c r="B1259" s="62"/>
      <c r="N1259" s="62"/>
      <c r="O1259" s="62"/>
      <c r="AE1259" s="378"/>
    </row>
    <row r="1260" spans="1:31" ht="12.6" hidden="1" customHeight="1">
      <c r="B1260" s="62"/>
      <c r="N1260" s="62"/>
      <c r="O1260" s="62"/>
      <c r="AE1260" s="378"/>
    </row>
    <row r="1261" spans="1:31" ht="12.6" hidden="1" customHeight="1">
      <c r="B1261" s="62"/>
      <c r="N1261" s="62"/>
      <c r="O1261" s="62"/>
      <c r="AE1261" s="378"/>
    </row>
    <row r="1262" spans="1:31" hidden="1">
      <c r="B1262" s="62"/>
      <c r="N1262" s="62"/>
      <c r="O1262" s="62"/>
      <c r="AE1262" s="378"/>
    </row>
    <row r="1263" spans="1:31" hidden="1">
      <c r="B1263" s="62"/>
      <c r="N1263" s="62"/>
      <c r="O1263" s="62"/>
      <c r="AE1263" s="378"/>
    </row>
    <row r="1264" spans="1:31" hidden="1">
      <c r="B1264" s="62"/>
      <c r="N1264" s="62"/>
      <c r="O1264" s="62"/>
      <c r="AE1264" s="378"/>
    </row>
    <row r="1265" spans="1:31" hidden="1">
      <c r="B1265" s="62"/>
      <c r="N1265" s="62"/>
      <c r="O1265" s="62"/>
      <c r="AE1265" s="378"/>
    </row>
    <row r="1266" spans="1:31" hidden="1">
      <c r="B1266" s="62"/>
      <c r="N1266" s="62"/>
      <c r="O1266" s="62"/>
      <c r="AE1266" s="378"/>
    </row>
    <row r="1267" spans="1:31" hidden="1">
      <c r="B1267" s="62"/>
      <c r="N1267" s="62"/>
      <c r="O1267" s="62"/>
      <c r="AE1267" s="378"/>
    </row>
    <row r="1268" spans="1:31" hidden="1">
      <c r="B1268" s="62"/>
      <c r="N1268" s="62"/>
      <c r="O1268" s="62"/>
      <c r="AE1268" s="378"/>
    </row>
    <row r="1269" spans="1:31" hidden="1">
      <c r="B1269" s="62"/>
      <c r="N1269" s="62"/>
      <c r="O1269" s="62"/>
      <c r="AE1269" s="378"/>
    </row>
    <row r="1270" spans="1:31" hidden="1">
      <c r="B1270" s="62"/>
      <c r="N1270" s="62"/>
      <c r="O1270" s="62"/>
      <c r="AE1270" s="378"/>
    </row>
    <row r="1271" spans="1:31" ht="7.9" hidden="1" customHeight="1"/>
    <row r="1272" spans="1:31" ht="7.9" hidden="1" customHeight="1"/>
    <row r="1273" spans="1:31" ht="7.9" hidden="1" customHeight="1"/>
    <row r="1274" spans="1:31" ht="7.9" hidden="1" customHeight="1"/>
    <row r="1275" spans="1:31" ht="7.9" hidden="1" customHeight="1"/>
    <row r="1276" spans="1:31" s="34" customFormat="1" ht="15.75" hidden="1">
      <c r="A1276" s="61">
        <v>51</v>
      </c>
      <c r="B1276" s="129"/>
      <c r="C1276" s="129" t="s">
        <v>697</v>
      </c>
      <c r="D1276" s="129"/>
      <c r="E1276" s="130"/>
      <c r="F1276" s="130" t="s">
        <v>352</v>
      </c>
      <c r="G1276" s="129">
        <v>556</v>
      </c>
      <c r="H1276" s="131" t="s">
        <v>353</v>
      </c>
      <c r="I1276" s="129"/>
      <c r="J1276" s="129"/>
      <c r="K1276" s="130" t="s">
        <v>354</v>
      </c>
      <c r="L1276" s="131">
        <v>3</v>
      </c>
      <c r="M1276" s="129" t="s">
        <v>355</v>
      </c>
      <c r="N1276" s="131" t="s">
        <v>356</v>
      </c>
      <c r="O1276" s="130"/>
      <c r="P1276" s="130" t="s">
        <v>357</v>
      </c>
      <c r="Q1276" s="129">
        <v>-8</v>
      </c>
      <c r="R1276" s="131" t="s">
        <v>2324</v>
      </c>
      <c r="S1276" s="28"/>
      <c r="T1276" s="28"/>
      <c r="U1276" s="378"/>
      <c r="V1276" s="368"/>
      <c r="W1276" s="368"/>
      <c r="X1276" s="368"/>
      <c r="Y1276" s="368"/>
      <c r="Z1276" s="368"/>
      <c r="AA1276" s="368"/>
      <c r="AB1276" s="368"/>
      <c r="AC1276" s="368"/>
      <c r="AD1276" s="368"/>
      <c r="AE1276" s="510"/>
    </row>
    <row r="1277" spans="1:31" hidden="1">
      <c r="B1277" s="62"/>
      <c r="N1277" s="62"/>
      <c r="O1277" s="62"/>
      <c r="P1277" s="53"/>
      <c r="Q1277" s="45"/>
      <c r="R1277" s="45"/>
    </row>
    <row r="1278" spans="1:31" s="34" customFormat="1" hidden="1">
      <c r="B1278" s="65"/>
      <c r="C1278" s="95" t="s">
        <v>489</v>
      </c>
      <c r="D1278" s="95" t="s">
        <v>490</v>
      </c>
      <c r="E1278" s="95" t="s">
        <v>491</v>
      </c>
      <c r="F1278" s="95" t="s">
        <v>492</v>
      </c>
      <c r="G1278" s="95" t="s">
        <v>493</v>
      </c>
      <c r="H1278" s="95" t="s">
        <v>494</v>
      </c>
      <c r="I1278" s="95" t="s">
        <v>495</v>
      </c>
      <c r="J1278" s="95" t="s">
        <v>496</v>
      </c>
      <c r="K1278" s="95" t="s">
        <v>497</v>
      </c>
      <c r="L1278" s="95" t="s">
        <v>498</v>
      </c>
      <c r="M1278" s="95" t="s">
        <v>499</v>
      </c>
      <c r="N1278" s="126" t="s">
        <v>500</v>
      </c>
      <c r="O1278" s="126" t="s">
        <v>501</v>
      </c>
      <c r="P1278" s="132"/>
      <c r="Q1278" s="133"/>
      <c r="R1278" s="133"/>
      <c r="S1278" s="28"/>
      <c r="T1278" s="28"/>
      <c r="U1278" s="378"/>
      <c r="V1278" s="368"/>
      <c r="W1278" s="368"/>
      <c r="X1278" s="368"/>
      <c r="Y1278" s="368"/>
      <c r="Z1278" s="368"/>
      <c r="AA1278" s="368"/>
      <c r="AB1278" s="368"/>
      <c r="AC1278" s="368"/>
      <c r="AD1278" s="368"/>
      <c r="AE1278" s="510"/>
    </row>
    <row r="1279" spans="1:31" hidden="1">
      <c r="B1279" s="62"/>
      <c r="N1279" s="62"/>
      <c r="O1279" s="62"/>
    </row>
    <row r="1280" spans="1:31" hidden="1">
      <c r="A1280" s="28" t="s">
        <v>1209</v>
      </c>
      <c r="B1280" s="62" t="s">
        <v>2324</v>
      </c>
      <c r="C1280" s="28">
        <v>0.4</v>
      </c>
      <c r="D1280" s="28">
        <v>1.6</v>
      </c>
      <c r="E1280" s="28">
        <v>5.5</v>
      </c>
      <c r="F1280" s="28">
        <v>8.4</v>
      </c>
      <c r="G1280" s="28">
        <v>13.4</v>
      </c>
      <c r="H1280" s="28">
        <v>16.2</v>
      </c>
      <c r="I1280" s="28">
        <v>18.399999999999999</v>
      </c>
      <c r="J1280" s="28">
        <v>18.399999999999999</v>
      </c>
      <c r="K1280" s="28">
        <v>14</v>
      </c>
      <c r="L1280" s="28">
        <v>9.9</v>
      </c>
      <c r="M1280" s="28">
        <v>4.2</v>
      </c>
      <c r="N1280" s="62">
        <v>1.8</v>
      </c>
      <c r="O1280" s="62">
        <v>9.4</v>
      </c>
    </row>
    <row r="1281" spans="1:31" hidden="1">
      <c r="B1281" s="62"/>
      <c r="N1281" s="62"/>
      <c r="O1281" s="62"/>
    </row>
    <row r="1282" spans="1:31" ht="12.6" hidden="1" customHeight="1">
      <c r="A1282" s="28" t="s">
        <v>1210</v>
      </c>
      <c r="B1282" s="62" t="s">
        <v>804</v>
      </c>
      <c r="C1282" s="28">
        <v>104</v>
      </c>
      <c r="D1282" s="28">
        <v>165</v>
      </c>
      <c r="E1282" s="28">
        <v>311</v>
      </c>
      <c r="F1282" s="28">
        <v>417</v>
      </c>
      <c r="G1282" s="28">
        <v>536</v>
      </c>
      <c r="H1282" s="28">
        <v>570</v>
      </c>
      <c r="I1282" s="28">
        <v>595</v>
      </c>
      <c r="J1282" s="28">
        <v>522</v>
      </c>
      <c r="K1282" s="28">
        <v>355</v>
      </c>
      <c r="L1282" s="28">
        <v>214</v>
      </c>
      <c r="M1282" s="28">
        <v>109</v>
      </c>
      <c r="N1282" s="62">
        <v>80</v>
      </c>
      <c r="O1282" s="62">
        <v>3978</v>
      </c>
      <c r="AE1282" s="378"/>
    </row>
    <row r="1283" spans="1:31" ht="12.6" hidden="1" customHeight="1">
      <c r="A1283" s="28" t="s">
        <v>1211</v>
      </c>
      <c r="B1283" s="62" t="s">
        <v>804</v>
      </c>
      <c r="C1283" s="28">
        <v>177</v>
      </c>
      <c r="D1283" s="28">
        <v>235</v>
      </c>
      <c r="E1283" s="28">
        <v>313</v>
      </c>
      <c r="F1283" s="28">
        <v>290</v>
      </c>
      <c r="G1283" s="28">
        <v>284</v>
      </c>
      <c r="H1283" s="28">
        <v>270</v>
      </c>
      <c r="I1283" s="28">
        <v>297</v>
      </c>
      <c r="J1283" s="28">
        <v>332</v>
      </c>
      <c r="K1283" s="28">
        <v>311</v>
      </c>
      <c r="L1283" s="28">
        <v>254</v>
      </c>
      <c r="M1283" s="28">
        <v>158</v>
      </c>
      <c r="N1283" s="62">
        <v>137</v>
      </c>
      <c r="O1283" s="62">
        <v>3058</v>
      </c>
      <c r="AE1283" s="378"/>
    </row>
    <row r="1284" spans="1:31" ht="12.6" hidden="1" customHeight="1">
      <c r="A1284" s="28" t="s">
        <v>1212</v>
      </c>
      <c r="B1284" s="62" t="s">
        <v>804</v>
      </c>
      <c r="C1284" s="28">
        <v>67</v>
      </c>
      <c r="D1284" s="28">
        <v>109</v>
      </c>
      <c r="E1284" s="28">
        <v>185</v>
      </c>
      <c r="F1284" s="28">
        <v>233</v>
      </c>
      <c r="G1284" s="28">
        <v>281</v>
      </c>
      <c r="H1284" s="28">
        <v>295</v>
      </c>
      <c r="I1284" s="28">
        <v>311</v>
      </c>
      <c r="J1284" s="28">
        <v>287</v>
      </c>
      <c r="K1284" s="28">
        <v>192</v>
      </c>
      <c r="L1284" s="28">
        <v>112</v>
      </c>
      <c r="M1284" s="28">
        <v>62</v>
      </c>
      <c r="N1284" s="62">
        <v>51</v>
      </c>
      <c r="O1284" s="62">
        <v>2185</v>
      </c>
      <c r="AE1284" s="378"/>
    </row>
    <row r="1285" spans="1:31" ht="12.6" hidden="1" customHeight="1">
      <c r="A1285" s="28" t="s">
        <v>1213</v>
      </c>
      <c r="B1285" s="62" t="s">
        <v>804</v>
      </c>
      <c r="C1285" s="28">
        <v>80</v>
      </c>
      <c r="D1285" s="28">
        <v>123</v>
      </c>
      <c r="E1285" s="28">
        <v>198</v>
      </c>
      <c r="F1285" s="28">
        <v>231</v>
      </c>
      <c r="G1285" s="28">
        <v>287</v>
      </c>
      <c r="H1285" s="28">
        <v>303</v>
      </c>
      <c r="I1285" s="28">
        <v>327</v>
      </c>
      <c r="J1285" s="28">
        <v>295</v>
      </c>
      <c r="K1285" s="28">
        <v>218</v>
      </c>
      <c r="L1285" s="28">
        <v>142</v>
      </c>
      <c r="M1285" s="28">
        <v>75</v>
      </c>
      <c r="N1285" s="62">
        <v>59</v>
      </c>
      <c r="O1285" s="62">
        <v>2338</v>
      </c>
      <c r="AE1285" s="378"/>
    </row>
    <row r="1286" spans="1:31" ht="12.6" hidden="1" customHeight="1">
      <c r="A1286" s="28" t="s">
        <v>1214</v>
      </c>
      <c r="B1286" s="62" t="s">
        <v>804</v>
      </c>
      <c r="C1286" s="28">
        <v>43</v>
      </c>
      <c r="D1286" s="28">
        <v>63</v>
      </c>
      <c r="E1286" s="28">
        <v>94</v>
      </c>
      <c r="F1286" s="28">
        <v>111</v>
      </c>
      <c r="G1286" s="28">
        <v>150</v>
      </c>
      <c r="H1286" s="28">
        <v>166</v>
      </c>
      <c r="I1286" s="28">
        <v>166</v>
      </c>
      <c r="J1286" s="28">
        <v>134</v>
      </c>
      <c r="K1286" s="28">
        <v>91</v>
      </c>
      <c r="L1286" s="28">
        <v>62</v>
      </c>
      <c r="M1286" s="28">
        <v>39</v>
      </c>
      <c r="N1286" s="62">
        <v>32</v>
      </c>
      <c r="O1286" s="62">
        <v>1150</v>
      </c>
      <c r="AE1286" s="378"/>
    </row>
    <row r="1287" spans="1:31" hidden="1">
      <c r="B1287" s="62"/>
      <c r="N1287" s="62"/>
      <c r="O1287" s="62"/>
      <c r="AE1287" s="378"/>
    </row>
    <row r="1288" spans="1:31" hidden="1">
      <c r="B1288" s="62"/>
      <c r="N1288" s="62"/>
      <c r="O1288" s="62"/>
      <c r="AE1288" s="378"/>
    </row>
    <row r="1289" spans="1:31" hidden="1">
      <c r="B1289" s="62"/>
      <c r="N1289" s="62"/>
      <c r="O1289" s="62"/>
      <c r="AE1289" s="378"/>
    </row>
    <row r="1290" spans="1:31" hidden="1">
      <c r="B1290" s="62"/>
      <c r="N1290" s="62"/>
      <c r="O1290" s="62"/>
      <c r="AE1290" s="378"/>
    </row>
    <row r="1291" spans="1:31" hidden="1">
      <c r="A1291" s="28" t="s">
        <v>1886</v>
      </c>
      <c r="B1291" s="62" t="s">
        <v>1808</v>
      </c>
      <c r="C1291" s="28">
        <v>31</v>
      </c>
      <c r="D1291" s="28">
        <v>28</v>
      </c>
      <c r="E1291" s="28">
        <v>31</v>
      </c>
      <c r="F1291" s="28">
        <v>23</v>
      </c>
      <c r="G1291" s="28">
        <v>16</v>
      </c>
      <c r="H1291" s="28">
        <v>5</v>
      </c>
      <c r="I1291" s="28">
        <v>2</v>
      </c>
      <c r="J1291" s="28">
        <v>3</v>
      </c>
      <c r="K1291" s="28">
        <v>8</v>
      </c>
      <c r="L1291" s="28">
        <v>22</v>
      </c>
      <c r="M1291" s="28">
        <v>29</v>
      </c>
      <c r="N1291" s="62">
        <v>31</v>
      </c>
      <c r="O1291" s="62"/>
      <c r="Q1291" s="28">
        <v>229</v>
      </c>
      <c r="AE1291" s="378"/>
    </row>
    <row r="1292" spans="1:31" hidden="1">
      <c r="A1292" s="28" t="s">
        <v>1887</v>
      </c>
      <c r="B1292" s="62" t="s">
        <v>1810</v>
      </c>
      <c r="C1292" s="28">
        <v>608</v>
      </c>
      <c r="D1292" s="28">
        <v>515</v>
      </c>
      <c r="E1292" s="28">
        <v>450</v>
      </c>
      <c r="F1292" s="28">
        <v>267</v>
      </c>
      <c r="G1292" s="28">
        <v>106</v>
      </c>
      <c r="H1292" s="28">
        <v>19</v>
      </c>
      <c r="I1292" s="28">
        <v>3</v>
      </c>
      <c r="J1292" s="28">
        <v>5</v>
      </c>
      <c r="K1292" s="28">
        <v>48</v>
      </c>
      <c r="L1292" s="28">
        <v>222</v>
      </c>
      <c r="M1292" s="28">
        <v>458</v>
      </c>
      <c r="N1292" s="62">
        <v>564</v>
      </c>
      <c r="O1292" s="62"/>
      <c r="Q1292" s="28">
        <v>3265</v>
      </c>
      <c r="AE1292" s="378"/>
    </row>
    <row r="1293" spans="1:31" hidden="1">
      <c r="B1293" s="62"/>
      <c r="N1293" s="62"/>
      <c r="O1293" s="62"/>
      <c r="AE1293" s="378"/>
    </row>
    <row r="1294" spans="1:31" hidden="1">
      <c r="B1294" s="62"/>
      <c r="N1294" s="62"/>
      <c r="O1294" s="62"/>
      <c r="AE1294" s="378"/>
    </row>
    <row r="1295" spans="1:31" hidden="1">
      <c r="B1295" s="62"/>
      <c r="N1295" s="62"/>
      <c r="O1295" s="62"/>
      <c r="AE1295" s="378"/>
    </row>
    <row r="1296" spans="1:31" ht="7.9" hidden="1" customHeight="1"/>
    <row r="1297" spans="1:31" ht="7.9" hidden="1" customHeight="1"/>
    <row r="1298" spans="1:31" ht="7.9" hidden="1" customHeight="1"/>
    <row r="1299" spans="1:31" ht="7.9" hidden="1" customHeight="1"/>
    <row r="1300" spans="1:31" ht="7.9" hidden="1" customHeight="1"/>
    <row r="1301" spans="1:31" s="34" customFormat="1" ht="15.75" hidden="1">
      <c r="A1301" s="61">
        <v>52</v>
      </c>
      <c r="B1301" s="129"/>
      <c r="C1301" s="129" t="s">
        <v>698</v>
      </c>
      <c r="D1301" s="129"/>
      <c r="E1301" s="130"/>
      <c r="F1301" s="130" t="s">
        <v>352</v>
      </c>
      <c r="G1301" s="129">
        <v>425</v>
      </c>
      <c r="H1301" s="131" t="s">
        <v>353</v>
      </c>
      <c r="I1301" s="129"/>
      <c r="J1301" s="129"/>
      <c r="K1301" s="130" t="s">
        <v>354</v>
      </c>
      <c r="L1301" s="131">
        <v>3</v>
      </c>
      <c r="M1301" s="129" t="s">
        <v>355</v>
      </c>
      <c r="N1301" s="131" t="s">
        <v>1585</v>
      </c>
      <c r="O1301" s="130"/>
      <c r="P1301" s="130" t="s">
        <v>357</v>
      </c>
      <c r="Q1301" s="129">
        <v>-8</v>
      </c>
      <c r="R1301" s="131" t="s">
        <v>2324</v>
      </c>
      <c r="S1301" s="28"/>
      <c r="T1301" s="28"/>
      <c r="U1301" s="378"/>
      <c r="V1301" s="368"/>
      <c r="W1301" s="368"/>
      <c r="X1301" s="368"/>
      <c r="Y1301" s="368"/>
      <c r="Z1301" s="368"/>
      <c r="AA1301" s="368"/>
      <c r="AB1301" s="368"/>
      <c r="AC1301" s="368"/>
      <c r="AD1301" s="368"/>
      <c r="AE1301" s="510"/>
    </row>
    <row r="1302" spans="1:31" hidden="1">
      <c r="B1302" s="62"/>
      <c r="N1302" s="62"/>
      <c r="O1302" s="62"/>
      <c r="P1302" s="53"/>
      <c r="Q1302" s="45"/>
      <c r="R1302" s="45"/>
    </row>
    <row r="1303" spans="1:31" s="34" customFormat="1" hidden="1">
      <c r="B1303" s="65"/>
      <c r="C1303" s="95" t="s">
        <v>489</v>
      </c>
      <c r="D1303" s="95" t="s">
        <v>490</v>
      </c>
      <c r="E1303" s="95" t="s">
        <v>491</v>
      </c>
      <c r="F1303" s="95" t="s">
        <v>492</v>
      </c>
      <c r="G1303" s="95" t="s">
        <v>493</v>
      </c>
      <c r="H1303" s="95" t="s">
        <v>494</v>
      </c>
      <c r="I1303" s="95" t="s">
        <v>495</v>
      </c>
      <c r="J1303" s="95" t="s">
        <v>496</v>
      </c>
      <c r="K1303" s="95" t="s">
        <v>497</v>
      </c>
      <c r="L1303" s="95" t="s">
        <v>498</v>
      </c>
      <c r="M1303" s="95" t="s">
        <v>499</v>
      </c>
      <c r="N1303" s="126" t="s">
        <v>500</v>
      </c>
      <c r="O1303" s="126" t="s">
        <v>501</v>
      </c>
      <c r="P1303" s="132"/>
      <c r="Q1303" s="133"/>
      <c r="R1303" s="133"/>
      <c r="S1303" s="28"/>
      <c r="T1303" s="28"/>
      <c r="U1303" s="378"/>
      <c r="V1303" s="368"/>
      <c r="W1303" s="368"/>
      <c r="X1303" s="368"/>
      <c r="Y1303" s="368"/>
      <c r="Z1303" s="368"/>
      <c r="AA1303" s="368"/>
      <c r="AB1303" s="368"/>
      <c r="AC1303" s="368"/>
      <c r="AD1303" s="368"/>
      <c r="AE1303" s="510"/>
    </row>
    <row r="1304" spans="1:31" hidden="1">
      <c r="B1304" s="62"/>
      <c r="N1304" s="62"/>
      <c r="O1304" s="62"/>
    </row>
    <row r="1305" spans="1:31" hidden="1">
      <c r="A1305" s="28" t="s">
        <v>1209</v>
      </c>
      <c r="B1305" s="62" t="s">
        <v>2324</v>
      </c>
      <c r="C1305" s="28">
        <v>0.2</v>
      </c>
      <c r="D1305" s="28">
        <v>1.3</v>
      </c>
      <c r="E1305" s="28">
        <v>5.4</v>
      </c>
      <c r="F1305" s="28">
        <v>8.5</v>
      </c>
      <c r="G1305" s="28">
        <v>13.6</v>
      </c>
      <c r="H1305" s="28">
        <v>16.5</v>
      </c>
      <c r="I1305" s="28">
        <v>18.7</v>
      </c>
      <c r="J1305" s="28">
        <v>18.5</v>
      </c>
      <c r="K1305" s="28">
        <v>14</v>
      </c>
      <c r="L1305" s="28">
        <v>9.6999999999999993</v>
      </c>
      <c r="M1305" s="28">
        <v>4.0999999999999996</v>
      </c>
      <c r="N1305" s="62">
        <v>1.7</v>
      </c>
      <c r="O1305" s="62">
        <v>9.4</v>
      </c>
    </row>
    <row r="1306" spans="1:31" hidden="1">
      <c r="B1306" s="62"/>
      <c r="N1306" s="62"/>
      <c r="O1306" s="62"/>
    </row>
    <row r="1307" spans="1:31" ht="12.6" hidden="1" customHeight="1">
      <c r="A1307" s="28" t="s">
        <v>1210</v>
      </c>
      <c r="B1307" s="62" t="s">
        <v>804</v>
      </c>
      <c r="C1307" s="28">
        <v>102</v>
      </c>
      <c r="D1307" s="28">
        <v>167</v>
      </c>
      <c r="E1307" s="28">
        <v>313</v>
      </c>
      <c r="F1307" s="28">
        <v>425</v>
      </c>
      <c r="G1307" s="28">
        <v>546</v>
      </c>
      <c r="H1307" s="28">
        <v>583</v>
      </c>
      <c r="I1307" s="28">
        <v>603</v>
      </c>
      <c r="J1307" s="28">
        <v>525</v>
      </c>
      <c r="K1307" s="28">
        <v>355</v>
      </c>
      <c r="L1307" s="28">
        <v>209</v>
      </c>
      <c r="M1307" s="28">
        <v>106</v>
      </c>
      <c r="N1307" s="62">
        <v>80</v>
      </c>
      <c r="O1307" s="62">
        <v>4015</v>
      </c>
      <c r="AE1307" s="378"/>
    </row>
    <row r="1308" spans="1:31" ht="12.6" hidden="1" customHeight="1">
      <c r="A1308" s="28" t="s">
        <v>1211</v>
      </c>
      <c r="B1308" s="62" t="s">
        <v>804</v>
      </c>
      <c r="C1308" s="28">
        <v>163</v>
      </c>
      <c r="D1308" s="28">
        <v>235</v>
      </c>
      <c r="E1308" s="28">
        <v>316</v>
      </c>
      <c r="F1308" s="28">
        <v>298</v>
      </c>
      <c r="G1308" s="28">
        <v>295</v>
      </c>
      <c r="H1308" s="28">
        <v>277</v>
      </c>
      <c r="I1308" s="28">
        <v>303</v>
      </c>
      <c r="J1308" s="28">
        <v>337</v>
      </c>
      <c r="K1308" s="28">
        <v>311</v>
      </c>
      <c r="L1308" s="28">
        <v>244</v>
      </c>
      <c r="M1308" s="28">
        <v>148</v>
      </c>
      <c r="N1308" s="62">
        <v>123</v>
      </c>
      <c r="O1308" s="62">
        <v>3050</v>
      </c>
      <c r="AE1308" s="378"/>
    </row>
    <row r="1309" spans="1:31" ht="12.6" hidden="1" customHeight="1">
      <c r="A1309" s="28" t="s">
        <v>1212</v>
      </c>
      <c r="B1309" s="62" t="s">
        <v>804</v>
      </c>
      <c r="C1309" s="28">
        <v>67</v>
      </c>
      <c r="D1309" s="28">
        <v>109</v>
      </c>
      <c r="E1309" s="28">
        <v>190</v>
      </c>
      <c r="F1309" s="28">
        <v>244</v>
      </c>
      <c r="G1309" s="28">
        <v>303</v>
      </c>
      <c r="H1309" s="28">
        <v>321</v>
      </c>
      <c r="I1309" s="28">
        <v>335</v>
      </c>
      <c r="J1309" s="28">
        <v>297</v>
      </c>
      <c r="K1309" s="28">
        <v>194</v>
      </c>
      <c r="L1309" s="28">
        <v>107</v>
      </c>
      <c r="M1309" s="28">
        <v>60</v>
      </c>
      <c r="N1309" s="62">
        <v>48</v>
      </c>
      <c r="O1309" s="62">
        <v>2275</v>
      </c>
      <c r="AE1309" s="378"/>
    </row>
    <row r="1310" spans="1:31" ht="12.6" hidden="1" customHeight="1">
      <c r="A1310" s="28" t="s">
        <v>1213</v>
      </c>
      <c r="B1310" s="62" t="s">
        <v>804</v>
      </c>
      <c r="C1310" s="28">
        <v>78</v>
      </c>
      <c r="D1310" s="28">
        <v>123</v>
      </c>
      <c r="E1310" s="28">
        <v>196</v>
      </c>
      <c r="F1310" s="28">
        <v>236</v>
      </c>
      <c r="G1310" s="28">
        <v>297</v>
      </c>
      <c r="H1310" s="28">
        <v>311</v>
      </c>
      <c r="I1310" s="28">
        <v>332</v>
      </c>
      <c r="J1310" s="28">
        <v>297</v>
      </c>
      <c r="K1310" s="28">
        <v>218</v>
      </c>
      <c r="L1310" s="28">
        <v>142</v>
      </c>
      <c r="M1310" s="28">
        <v>73</v>
      </c>
      <c r="N1310" s="62">
        <v>56</v>
      </c>
      <c r="O1310" s="62">
        <v>2359</v>
      </c>
      <c r="AE1310" s="378"/>
    </row>
    <row r="1311" spans="1:31" ht="12.6" hidden="1" customHeight="1">
      <c r="A1311" s="28" t="s">
        <v>1214</v>
      </c>
      <c r="B1311" s="62" t="s">
        <v>804</v>
      </c>
      <c r="C1311" s="28">
        <v>43</v>
      </c>
      <c r="D1311" s="28">
        <v>65</v>
      </c>
      <c r="E1311" s="28">
        <v>96</v>
      </c>
      <c r="F1311" s="28">
        <v>119</v>
      </c>
      <c r="G1311" s="28">
        <v>163</v>
      </c>
      <c r="H1311" s="28">
        <v>184</v>
      </c>
      <c r="I1311" s="28">
        <v>182</v>
      </c>
      <c r="J1311" s="28">
        <v>142</v>
      </c>
      <c r="K1311" s="28">
        <v>98</v>
      </c>
      <c r="L1311" s="28">
        <v>67</v>
      </c>
      <c r="M1311" s="28">
        <v>39</v>
      </c>
      <c r="N1311" s="62">
        <v>32</v>
      </c>
      <c r="O1311" s="62">
        <v>1232</v>
      </c>
      <c r="AE1311" s="378"/>
    </row>
    <row r="1312" spans="1:31" hidden="1">
      <c r="B1312" s="62"/>
      <c r="N1312" s="62"/>
      <c r="O1312" s="62"/>
      <c r="AE1312" s="378"/>
    </row>
    <row r="1313" spans="1:31" hidden="1">
      <c r="B1313" s="62"/>
      <c r="N1313" s="62"/>
      <c r="O1313" s="62"/>
      <c r="AE1313" s="378"/>
    </row>
    <row r="1314" spans="1:31" hidden="1">
      <c r="B1314" s="62"/>
      <c r="N1314" s="62"/>
      <c r="O1314" s="62"/>
      <c r="AE1314" s="378"/>
    </row>
    <row r="1315" spans="1:31" hidden="1">
      <c r="B1315" s="62"/>
      <c r="N1315" s="62"/>
      <c r="O1315" s="62"/>
      <c r="AE1315" s="378"/>
    </row>
    <row r="1316" spans="1:31" hidden="1">
      <c r="A1316" s="28" t="s">
        <v>1886</v>
      </c>
      <c r="B1316" s="62" t="s">
        <v>1808</v>
      </c>
      <c r="C1316" s="28">
        <v>31</v>
      </c>
      <c r="D1316" s="28">
        <v>28</v>
      </c>
      <c r="E1316" s="28">
        <v>31</v>
      </c>
      <c r="F1316" s="28">
        <v>21</v>
      </c>
      <c r="G1316" s="28">
        <v>11</v>
      </c>
      <c r="H1316" s="28">
        <v>2</v>
      </c>
      <c r="I1316" s="28">
        <v>1</v>
      </c>
      <c r="J1316" s="28">
        <v>1</v>
      </c>
      <c r="K1316" s="28">
        <v>4</v>
      </c>
      <c r="L1316" s="28">
        <v>18</v>
      </c>
      <c r="M1316" s="28">
        <v>29</v>
      </c>
      <c r="N1316" s="62">
        <v>31</v>
      </c>
      <c r="O1316" s="62"/>
      <c r="Q1316" s="28">
        <v>208</v>
      </c>
      <c r="AE1316" s="378"/>
    </row>
    <row r="1317" spans="1:31" hidden="1">
      <c r="A1317" s="28" t="s">
        <v>1887</v>
      </c>
      <c r="B1317" s="62" t="s">
        <v>1810</v>
      </c>
      <c r="C1317" s="28">
        <v>614</v>
      </c>
      <c r="D1317" s="28">
        <v>524</v>
      </c>
      <c r="E1317" s="28">
        <v>453</v>
      </c>
      <c r="F1317" s="28">
        <v>242</v>
      </c>
      <c r="G1317" s="28">
        <v>70</v>
      </c>
      <c r="H1317" s="28">
        <v>7</v>
      </c>
      <c r="I1317" s="28">
        <v>1</v>
      </c>
      <c r="J1317" s="28">
        <v>2</v>
      </c>
      <c r="K1317" s="28">
        <v>24</v>
      </c>
      <c r="L1317" s="28">
        <v>185</v>
      </c>
      <c r="M1317" s="28">
        <v>461</v>
      </c>
      <c r="N1317" s="62">
        <v>567</v>
      </c>
      <c r="O1317" s="62"/>
      <c r="Q1317" s="28">
        <v>3150</v>
      </c>
      <c r="AE1317" s="378"/>
    </row>
    <row r="1318" spans="1:31" hidden="1">
      <c r="B1318" s="62"/>
      <c r="N1318" s="62"/>
      <c r="O1318" s="62"/>
      <c r="AE1318" s="378"/>
    </row>
    <row r="1319" spans="1:31" hidden="1">
      <c r="B1319" s="62"/>
      <c r="N1319" s="62"/>
      <c r="O1319" s="62"/>
      <c r="AE1319" s="378"/>
    </row>
    <row r="1320" spans="1:31" hidden="1">
      <c r="B1320" s="62"/>
      <c r="N1320" s="62"/>
      <c r="O1320" s="62"/>
      <c r="AE1320" s="378"/>
    </row>
    <row r="1321" spans="1:31" ht="7.9" hidden="1" customHeight="1"/>
    <row r="1322" spans="1:31" ht="7.9" hidden="1" customHeight="1"/>
    <row r="1323" spans="1:31" ht="7.9" hidden="1" customHeight="1"/>
    <row r="1324" spans="1:31" ht="7.9" hidden="1" customHeight="1"/>
    <row r="1325" spans="1:31" ht="7.9" hidden="1" customHeight="1"/>
    <row r="1326" spans="1:31" s="34" customFormat="1" ht="15.75" hidden="1">
      <c r="A1326" s="61">
        <v>53</v>
      </c>
      <c r="B1326" s="129"/>
      <c r="C1326" s="129" t="s">
        <v>699</v>
      </c>
      <c r="D1326" s="129"/>
      <c r="E1326" s="130"/>
      <c r="F1326" s="130" t="s">
        <v>352</v>
      </c>
      <c r="G1326" s="129">
        <v>420</v>
      </c>
      <c r="H1326" s="131" t="s">
        <v>353</v>
      </c>
      <c r="I1326" s="129"/>
      <c r="J1326" s="129"/>
      <c r="K1326" s="130" t="s">
        <v>354</v>
      </c>
      <c r="L1326" s="131">
        <v>5</v>
      </c>
      <c r="M1326" s="129" t="s">
        <v>355</v>
      </c>
      <c r="N1326" s="131" t="s">
        <v>1585</v>
      </c>
      <c r="O1326" s="130"/>
      <c r="P1326" s="130" t="s">
        <v>357</v>
      </c>
      <c r="Q1326" s="129">
        <v>-4</v>
      </c>
      <c r="R1326" s="131" t="s">
        <v>2324</v>
      </c>
      <c r="S1326" s="28"/>
      <c r="T1326" s="28"/>
      <c r="U1326" s="378"/>
      <c r="V1326" s="368"/>
      <c r="W1326" s="368"/>
      <c r="X1326" s="368"/>
      <c r="Y1326" s="368"/>
      <c r="Z1326" s="368"/>
      <c r="AA1326" s="368"/>
      <c r="AB1326" s="368"/>
      <c r="AC1326" s="368"/>
      <c r="AD1326" s="368"/>
      <c r="AE1326" s="510"/>
    </row>
    <row r="1327" spans="1:31" hidden="1">
      <c r="B1327" s="62"/>
      <c r="N1327" s="62"/>
      <c r="O1327" s="62"/>
      <c r="P1327" s="53"/>
      <c r="Q1327" s="45"/>
      <c r="R1327" s="45"/>
    </row>
    <row r="1328" spans="1:31" s="34" customFormat="1" hidden="1">
      <c r="B1328" s="65"/>
      <c r="C1328" s="95" t="s">
        <v>489</v>
      </c>
      <c r="D1328" s="95" t="s">
        <v>490</v>
      </c>
      <c r="E1328" s="95" t="s">
        <v>491</v>
      </c>
      <c r="F1328" s="95" t="s">
        <v>492</v>
      </c>
      <c r="G1328" s="95" t="s">
        <v>493</v>
      </c>
      <c r="H1328" s="95" t="s">
        <v>494</v>
      </c>
      <c r="I1328" s="95" t="s">
        <v>495</v>
      </c>
      <c r="J1328" s="95" t="s">
        <v>496</v>
      </c>
      <c r="K1328" s="95" t="s">
        <v>497</v>
      </c>
      <c r="L1328" s="95" t="s">
        <v>498</v>
      </c>
      <c r="M1328" s="95" t="s">
        <v>499</v>
      </c>
      <c r="N1328" s="126" t="s">
        <v>500</v>
      </c>
      <c r="O1328" s="126" t="s">
        <v>501</v>
      </c>
      <c r="P1328" s="132"/>
      <c r="Q1328" s="133"/>
      <c r="R1328" s="133"/>
      <c r="S1328" s="28"/>
      <c r="T1328" s="28"/>
      <c r="U1328" s="378"/>
      <c r="V1328" s="368"/>
      <c r="W1328" s="368"/>
      <c r="X1328" s="368"/>
      <c r="Y1328" s="368"/>
      <c r="Z1328" s="368"/>
      <c r="AA1328" s="368"/>
      <c r="AB1328" s="368"/>
      <c r="AC1328" s="368"/>
      <c r="AD1328" s="368"/>
      <c r="AE1328" s="510"/>
    </row>
    <row r="1329" spans="1:31" hidden="1">
      <c r="B1329" s="62"/>
      <c r="N1329" s="62"/>
      <c r="O1329" s="62"/>
    </row>
    <row r="1330" spans="1:31" hidden="1">
      <c r="A1330" s="28" t="s">
        <v>1209</v>
      </c>
      <c r="B1330" s="62" t="s">
        <v>2324</v>
      </c>
      <c r="C1330" s="28">
        <v>1.7</v>
      </c>
      <c r="D1330" s="28">
        <v>2.9</v>
      </c>
      <c r="E1330" s="28">
        <v>6.5</v>
      </c>
      <c r="F1330" s="28">
        <v>9.4</v>
      </c>
      <c r="G1330" s="28">
        <v>14.4</v>
      </c>
      <c r="H1330" s="28">
        <v>17.600000000000001</v>
      </c>
      <c r="I1330" s="28">
        <v>20.2</v>
      </c>
      <c r="J1330" s="28">
        <v>20</v>
      </c>
      <c r="K1330" s="28">
        <v>15.4</v>
      </c>
      <c r="L1330" s="28">
        <v>11.2</v>
      </c>
      <c r="M1330" s="28">
        <v>5.6</v>
      </c>
      <c r="N1330" s="62">
        <v>3.1</v>
      </c>
      <c r="O1330" s="62">
        <v>10.7</v>
      </c>
    </row>
    <row r="1331" spans="1:31" hidden="1">
      <c r="B1331" s="62"/>
      <c r="N1331" s="62"/>
      <c r="O1331" s="62"/>
    </row>
    <row r="1332" spans="1:31" ht="12.6" hidden="1" customHeight="1">
      <c r="A1332" s="28" t="s">
        <v>1210</v>
      </c>
      <c r="B1332" s="62" t="s">
        <v>804</v>
      </c>
      <c r="C1332" s="28">
        <v>107</v>
      </c>
      <c r="D1332" s="28">
        <v>181</v>
      </c>
      <c r="E1332" s="28">
        <v>362</v>
      </c>
      <c r="F1332" s="28">
        <v>461</v>
      </c>
      <c r="G1332" s="28">
        <v>592</v>
      </c>
      <c r="H1332" s="28">
        <v>643</v>
      </c>
      <c r="I1332" s="28">
        <v>670</v>
      </c>
      <c r="J1332" s="28">
        <v>573</v>
      </c>
      <c r="K1332" s="28">
        <v>404</v>
      </c>
      <c r="L1332" s="28">
        <v>246</v>
      </c>
      <c r="M1332" s="28">
        <v>122</v>
      </c>
      <c r="N1332" s="62">
        <v>91</v>
      </c>
      <c r="O1332" s="62">
        <v>4453</v>
      </c>
      <c r="AE1332" s="378"/>
    </row>
    <row r="1333" spans="1:31" ht="12.6" hidden="1" customHeight="1">
      <c r="A1333" s="28" t="s">
        <v>1211</v>
      </c>
      <c r="B1333" s="62" t="s">
        <v>804</v>
      </c>
      <c r="C1333" s="28">
        <v>163</v>
      </c>
      <c r="D1333" s="28">
        <v>244</v>
      </c>
      <c r="E1333" s="28">
        <v>362</v>
      </c>
      <c r="F1333" s="28">
        <v>319</v>
      </c>
      <c r="G1333" s="28">
        <v>308</v>
      </c>
      <c r="H1333" s="28">
        <v>293</v>
      </c>
      <c r="I1333" s="28">
        <v>327</v>
      </c>
      <c r="J1333" s="28">
        <v>362</v>
      </c>
      <c r="K1333" s="28">
        <v>355</v>
      </c>
      <c r="L1333" s="28">
        <v>292</v>
      </c>
      <c r="M1333" s="28">
        <v>174</v>
      </c>
      <c r="N1333" s="62">
        <v>150</v>
      </c>
      <c r="O1333" s="62">
        <v>3348</v>
      </c>
      <c r="AE1333" s="378"/>
    </row>
    <row r="1334" spans="1:31" ht="12.6" hidden="1" customHeight="1">
      <c r="A1334" s="28" t="s">
        <v>1212</v>
      </c>
      <c r="B1334" s="62" t="s">
        <v>804</v>
      </c>
      <c r="C1334" s="28">
        <v>64</v>
      </c>
      <c r="D1334" s="28">
        <v>106</v>
      </c>
      <c r="E1334" s="28">
        <v>206</v>
      </c>
      <c r="F1334" s="28">
        <v>259</v>
      </c>
      <c r="G1334" s="28">
        <v>319</v>
      </c>
      <c r="H1334" s="28">
        <v>350</v>
      </c>
      <c r="I1334" s="28">
        <v>364</v>
      </c>
      <c r="J1334" s="28">
        <v>327</v>
      </c>
      <c r="K1334" s="28">
        <v>226</v>
      </c>
      <c r="L1334" s="28">
        <v>134</v>
      </c>
      <c r="M1334" s="28">
        <v>67</v>
      </c>
      <c r="N1334" s="62">
        <v>54</v>
      </c>
      <c r="O1334" s="62">
        <v>2476</v>
      </c>
      <c r="AE1334" s="378"/>
    </row>
    <row r="1335" spans="1:31" ht="12.6" hidden="1" customHeight="1">
      <c r="A1335" s="28" t="s">
        <v>1213</v>
      </c>
      <c r="B1335" s="62" t="s">
        <v>804</v>
      </c>
      <c r="C1335" s="28">
        <v>78</v>
      </c>
      <c r="D1335" s="28">
        <v>126</v>
      </c>
      <c r="E1335" s="28">
        <v>222</v>
      </c>
      <c r="F1335" s="28">
        <v>251</v>
      </c>
      <c r="G1335" s="28">
        <v>305</v>
      </c>
      <c r="H1335" s="28">
        <v>329</v>
      </c>
      <c r="I1335" s="28">
        <v>354</v>
      </c>
      <c r="J1335" s="28">
        <v>313</v>
      </c>
      <c r="K1335" s="28">
        <v>238</v>
      </c>
      <c r="L1335" s="28">
        <v>161</v>
      </c>
      <c r="M1335" s="28">
        <v>83</v>
      </c>
      <c r="N1335" s="62">
        <v>62</v>
      </c>
      <c r="O1335" s="62">
        <v>2522</v>
      </c>
      <c r="AE1335" s="378"/>
    </row>
    <row r="1336" spans="1:31" ht="12.6" hidden="1" customHeight="1">
      <c r="A1336" s="28" t="s">
        <v>1214</v>
      </c>
      <c r="B1336" s="62" t="s">
        <v>804</v>
      </c>
      <c r="C1336" s="28">
        <v>40</v>
      </c>
      <c r="D1336" s="28">
        <v>60</v>
      </c>
      <c r="E1336" s="28">
        <v>96</v>
      </c>
      <c r="F1336" s="28">
        <v>119</v>
      </c>
      <c r="G1336" s="28">
        <v>163</v>
      </c>
      <c r="H1336" s="28">
        <v>189</v>
      </c>
      <c r="I1336" s="28">
        <v>185</v>
      </c>
      <c r="J1336" s="28">
        <v>147</v>
      </c>
      <c r="K1336" s="28">
        <v>101</v>
      </c>
      <c r="L1336" s="28">
        <v>70</v>
      </c>
      <c r="M1336" s="28">
        <v>41</v>
      </c>
      <c r="N1336" s="62">
        <v>32</v>
      </c>
      <c r="O1336" s="62">
        <v>1245</v>
      </c>
      <c r="AE1336" s="378"/>
    </row>
    <row r="1337" spans="1:31" hidden="1">
      <c r="B1337" s="62"/>
      <c r="N1337" s="62"/>
      <c r="O1337" s="62"/>
      <c r="AE1337" s="378"/>
    </row>
    <row r="1338" spans="1:31" hidden="1">
      <c r="B1338" s="62"/>
      <c r="N1338" s="62"/>
      <c r="O1338" s="62"/>
      <c r="AE1338" s="378"/>
    </row>
    <row r="1339" spans="1:31" hidden="1">
      <c r="B1339" s="62"/>
      <c r="N1339" s="62"/>
      <c r="O1339" s="62"/>
      <c r="AE1339" s="378"/>
    </row>
    <row r="1340" spans="1:31" hidden="1">
      <c r="B1340" s="62"/>
      <c r="N1340" s="62"/>
      <c r="O1340" s="62"/>
      <c r="AE1340" s="378"/>
    </row>
    <row r="1341" spans="1:31" hidden="1">
      <c r="A1341" s="28" t="s">
        <v>1886</v>
      </c>
      <c r="B1341" s="62" t="s">
        <v>1808</v>
      </c>
      <c r="C1341" s="28">
        <v>31</v>
      </c>
      <c r="D1341" s="28">
        <v>28</v>
      </c>
      <c r="E1341" s="28">
        <v>31</v>
      </c>
      <c r="F1341" s="28">
        <v>21</v>
      </c>
      <c r="G1341" s="28">
        <v>9</v>
      </c>
      <c r="H1341" s="28">
        <v>1</v>
      </c>
      <c r="I1341" s="28">
        <v>0</v>
      </c>
      <c r="J1341" s="28">
        <v>0</v>
      </c>
      <c r="K1341" s="28">
        <v>3</v>
      </c>
      <c r="L1341" s="28">
        <v>19</v>
      </c>
      <c r="M1341" s="28">
        <v>29</v>
      </c>
      <c r="N1341" s="62">
        <v>31</v>
      </c>
      <c r="O1341" s="62"/>
      <c r="Q1341" s="28">
        <v>203</v>
      </c>
      <c r="AE1341" s="378"/>
    </row>
    <row r="1342" spans="1:31" hidden="1">
      <c r="A1342" s="28" t="s">
        <v>1887</v>
      </c>
      <c r="B1342" s="62" t="s">
        <v>1810</v>
      </c>
      <c r="C1342" s="28">
        <v>567</v>
      </c>
      <c r="D1342" s="28">
        <v>479</v>
      </c>
      <c r="E1342" s="28">
        <v>419</v>
      </c>
      <c r="F1342" s="28">
        <v>223</v>
      </c>
      <c r="G1342" s="28">
        <v>50</v>
      </c>
      <c r="H1342" s="28">
        <v>2</v>
      </c>
      <c r="I1342" s="28">
        <v>0</v>
      </c>
      <c r="J1342" s="28">
        <v>0</v>
      </c>
      <c r="K1342" s="28">
        <v>14</v>
      </c>
      <c r="L1342" s="28">
        <v>167</v>
      </c>
      <c r="M1342" s="28">
        <v>418</v>
      </c>
      <c r="N1342" s="62">
        <v>524</v>
      </c>
      <c r="O1342" s="62"/>
      <c r="Q1342" s="28">
        <v>2863</v>
      </c>
      <c r="AE1342" s="378"/>
    </row>
    <row r="1343" spans="1:31" hidden="1">
      <c r="B1343" s="62"/>
      <c r="N1343" s="62"/>
      <c r="O1343" s="62"/>
      <c r="AE1343" s="378"/>
    </row>
    <row r="1344" spans="1:31" hidden="1">
      <c r="B1344" s="62"/>
      <c r="N1344" s="62"/>
      <c r="O1344" s="62"/>
      <c r="AE1344" s="378"/>
    </row>
    <row r="1345" spans="1:31" hidden="1">
      <c r="B1345" s="62"/>
      <c r="N1345" s="62"/>
      <c r="O1345" s="62"/>
      <c r="AE1345" s="378"/>
    </row>
    <row r="1346" spans="1:31" ht="7.9" hidden="1" customHeight="1"/>
    <row r="1347" spans="1:31" ht="7.9" hidden="1" customHeight="1"/>
    <row r="1348" spans="1:31" ht="7.9" hidden="1" customHeight="1"/>
    <row r="1349" spans="1:31" ht="7.9" hidden="1" customHeight="1"/>
    <row r="1350" spans="1:31" ht="7.9" hidden="1" customHeight="1"/>
    <row r="1351" spans="1:31" s="34" customFormat="1" ht="15.75" hidden="1">
      <c r="A1351" s="61">
        <v>54</v>
      </c>
      <c r="B1351" s="129"/>
      <c r="C1351" s="129" t="s">
        <v>700</v>
      </c>
      <c r="D1351" s="129"/>
      <c r="E1351" s="130"/>
      <c r="F1351" s="130" t="s">
        <v>352</v>
      </c>
      <c r="G1351" s="129">
        <v>1590</v>
      </c>
      <c r="H1351" s="131" t="s">
        <v>353</v>
      </c>
      <c r="I1351" s="129"/>
      <c r="J1351" s="129"/>
      <c r="K1351" s="130" t="s">
        <v>354</v>
      </c>
      <c r="L1351" s="131">
        <v>9</v>
      </c>
      <c r="M1351" s="129" t="s">
        <v>355</v>
      </c>
      <c r="N1351" s="131" t="s">
        <v>701</v>
      </c>
      <c r="O1351" s="130"/>
      <c r="P1351" s="130" t="s">
        <v>357</v>
      </c>
      <c r="Q1351" s="129">
        <v>-13</v>
      </c>
      <c r="R1351" s="131" t="s">
        <v>2324</v>
      </c>
      <c r="S1351" s="28"/>
      <c r="T1351" s="28"/>
      <c r="U1351" s="378"/>
      <c r="V1351" s="368"/>
      <c r="W1351" s="368"/>
      <c r="X1351" s="368"/>
      <c r="Y1351" s="368"/>
      <c r="Z1351" s="368"/>
      <c r="AA1351" s="368"/>
      <c r="AB1351" s="368"/>
      <c r="AC1351" s="368"/>
      <c r="AD1351" s="368"/>
      <c r="AE1351" s="510"/>
    </row>
    <row r="1352" spans="1:31" hidden="1">
      <c r="B1352" s="62"/>
      <c r="N1352" s="62"/>
      <c r="O1352" s="62"/>
      <c r="P1352" s="53"/>
      <c r="Q1352" s="45"/>
      <c r="R1352" s="45"/>
    </row>
    <row r="1353" spans="1:31" s="34" customFormat="1" hidden="1">
      <c r="B1353" s="65"/>
      <c r="C1353" s="95" t="s">
        <v>489</v>
      </c>
      <c r="D1353" s="95" t="s">
        <v>490</v>
      </c>
      <c r="E1353" s="95" t="s">
        <v>491</v>
      </c>
      <c r="F1353" s="95" t="s">
        <v>492</v>
      </c>
      <c r="G1353" s="95" t="s">
        <v>493</v>
      </c>
      <c r="H1353" s="95" t="s">
        <v>494</v>
      </c>
      <c r="I1353" s="95" t="s">
        <v>495</v>
      </c>
      <c r="J1353" s="95" t="s">
        <v>496</v>
      </c>
      <c r="K1353" s="95" t="s">
        <v>497</v>
      </c>
      <c r="L1353" s="95" t="s">
        <v>498</v>
      </c>
      <c r="M1353" s="95" t="s">
        <v>499</v>
      </c>
      <c r="N1353" s="126" t="s">
        <v>500</v>
      </c>
      <c r="O1353" s="126" t="s">
        <v>501</v>
      </c>
      <c r="P1353" s="132"/>
      <c r="Q1353" s="133"/>
      <c r="R1353" s="133"/>
      <c r="S1353" s="28"/>
      <c r="T1353" s="28"/>
      <c r="U1353" s="378"/>
      <c r="V1353" s="368"/>
      <c r="W1353" s="368"/>
      <c r="X1353" s="368"/>
      <c r="Y1353" s="368"/>
      <c r="Z1353" s="368"/>
      <c r="AA1353" s="368"/>
      <c r="AB1353" s="368"/>
      <c r="AC1353" s="368"/>
      <c r="AD1353" s="368"/>
      <c r="AE1353" s="510"/>
    </row>
    <row r="1354" spans="1:31" hidden="1">
      <c r="B1354" s="62"/>
      <c r="N1354" s="62"/>
      <c r="O1354" s="62"/>
    </row>
    <row r="1355" spans="1:31" hidden="1">
      <c r="A1355" s="28" t="s">
        <v>1209</v>
      </c>
      <c r="B1355" s="62" t="s">
        <v>2324</v>
      </c>
      <c r="C1355" s="28">
        <v>-4.7</v>
      </c>
      <c r="D1355" s="28">
        <v>-4.2</v>
      </c>
      <c r="E1355" s="28">
        <v>-1.1000000000000001</v>
      </c>
      <c r="F1355" s="28">
        <v>1.8</v>
      </c>
      <c r="G1355" s="28">
        <v>7.2</v>
      </c>
      <c r="H1355" s="28">
        <v>9.9</v>
      </c>
      <c r="I1355" s="28">
        <v>12.3</v>
      </c>
      <c r="J1355" s="28">
        <v>12.3</v>
      </c>
      <c r="K1355" s="28">
        <v>8.4</v>
      </c>
      <c r="L1355" s="28">
        <v>5.0999999999999996</v>
      </c>
      <c r="M1355" s="28">
        <v>-0.7</v>
      </c>
      <c r="N1355" s="62">
        <v>-3.4</v>
      </c>
      <c r="O1355" s="62">
        <v>3.6</v>
      </c>
    </row>
    <row r="1356" spans="1:31" hidden="1">
      <c r="B1356" s="62"/>
      <c r="N1356" s="62"/>
      <c r="O1356" s="62"/>
    </row>
    <row r="1357" spans="1:31" ht="12.6" hidden="1" customHeight="1">
      <c r="A1357" s="28" t="s">
        <v>1210</v>
      </c>
      <c r="B1357" s="62" t="s">
        <v>804</v>
      </c>
      <c r="C1357" s="28">
        <v>182</v>
      </c>
      <c r="D1357" s="28">
        <v>256</v>
      </c>
      <c r="E1357" s="28">
        <v>429</v>
      </c>
      <c r="F1357" s="28">
        <v>524</v>
      </c>
      <c r="G1357" s="28">
        <v>603</v>
      </c>
      <c r="H1357" s="28">
        <v>604</v>
      </c>
      <c r="I1357" s="28">
        <v>619</v>
      </c>
      <c r="J1357" s="28">
        <v>544</v>
      </c>
      <c r="K1357" s="28">
        <v>407</v>
      </c>
      <c r="L1357" s="28">
        <v>297</v>
      </c>
      <c r="M1357" s="28">
        <v>184</v>
      </c>
      <c r="N1357" s="62">
        <v>145</v>
      </c>
      <c r="O1357" s="62">
        <v>4793</v>
      </c>
      <c r="AE1357" s="378"/>
    </row>
    <row r="1358" spans="1:31" ht="12.6" hidden="1" customHeight="1">
      <c r="A1358" s="28" t="s">
        <v>1211</v>
      </c>
      <c r="B1358" s="62" t="s">
        <v>804</v>
      </c>
      <c r="C1358" s="28">
        <v>402</v>
      </c>
      <c r="D1358" s="28">
        <v>450</v>
      </c>
      <c r="E1358" s="28">
        <v>536</v>
      </c>
      <c r="F1358" s="28">
        <v>435</v>
      </c>
      <c r="G1358" s="28">
        <v>324</v>
      </c>
      <c r="H1358" s="28">
        <v>272</v>
      </c>
      <c r="I1358" s="28">
        <v>297</v>
      </c>
      <c r="J1358" s="28">
        <v>340</v>
      </c>
      <c r="K1358" s="28">
        <v>360</v>
      </c>
      <c r="L1358" s="28">
        <v>394</v>
      </c>
      <c r="M1358" s="28">
        <v>342</v>
      </c>
      <c r="N1358" s="62">
        <v>327</v>
      </c>
      <c r="O1358" s="62">
        <v>4479</v>
      </c>
      <c r="AE1358" s="378"/>
    </row>
    <row r="1359" spans="1:31" ht="12.6" hidden="1" customHeight="1">
      <c r="A1359" s="28" t="s">
        <v>1212</v>
      </c>
      <c r="B1359" s="62" t="s">
        <v>804</v>
      </c>
      <c r="C1359" s="28">
        <v>147</v>
      </c>
      <c r="D1359" s="28">
        <v>218</v>
      </c>
      <c r="E1359" s="28">
        <v>348</v>
      </c>
      <c r="F1359" s="28">
        <v>373</v>
      </c>
      <c r="G1359" s="28">
        <v>340</v>
      </c>
      <c r="H1359" s="28">
        <v>327</v>
      </c>
      <c r="I1359" s="28">
        <v>335</v>
      </c>
      <c r="J1359" s="28">
        <v>303</v>
      </c>
      <c r="K1359" s="28">
        <v>241</v>
      </c>
      <c r="L1359" s="28">
        <v>179</v>
      </c>
      <c r="M1359" s="28">
        <v>130</v>
      </c>
      <c r="N1359" s="62">
        <v>107</v>
      </c>
      <c r="O1359" s="62">
        <v>3048</v>
      </c>
      <c r="AE1359" s="378"/>
    </row>
    <row r="1360" spans="1:31" ht="12.6" hidden="1" customHeight="1">
      <c r="A1360" s="28" t="s">
        <v>1213</v>
      </c>
      <c r="B1360" s="62" t="s">
        <v>804</v>
      </c>
      <c r="C1360" s="28">
        <v>166</v>
      </c>
      <c r="D1360" s="28">
        <v>225</v>
      </c>
      <c r="E1360" s="28">
        <v>329</v>
      </c>
      <c r="F1360" s="28">
        <v>329</v>
      </c>
      <c r="G1360" s="28">
        <v>276</v>
      </c>
      <c r="H1360" s="28">
        <v>259</v>
      </c>
      <c r="I1360" s="28">
        <v>265</v>
      </c>
      <c r="J1360" s="28">
        <v>244</v>
      </c>
      <c r="K1360" s="28">
        <v>205</v>
      </c>
      <c r="L1360" s="28">
        <v>171</v>
      </c>
      <c r="M1360" s="28">
        <v>135</v>
      </c>
      <c r="N1360" s="62">
        <v>129</v>
      </c>
      <c r="O1360" s="62">
        <v>2733</v>
      </c>
      <c r="AE1360" s="378"/>
    </row>
    <row r="1361" spans="1:31" ht="12.6" hidden="1" customHeight="1">
      <c r="A1361" s="28" t="s">
        <v>1214</v>
      </c>
      <c r="B1361" s="62" t="s">
        <v>804</v>
      </c>
      <c r="C1361" s="28">
        <v>94</v>
      </c>
      <c r="D1361" s="28">
        <v>131</v>
      </c>
      <c r="E1361" s="28">
        <v>196</v>
      </c>
      <c r="F1361" s="28">
        <v>202</v>
      </c>
      <c r="G1361" s="28">
        <v>161</v>
      </c>
      <c r="H1361" s="28">
        <v>158</v>
      </c>
      <c r="I1361" s="28">
        <v>150</v>
      </c>
      <c r="J1361" s="28">
        <v>123</v>
      </c>
      <c r="K1361" s="28">
        <v>96</v>
      </c>
      <c r="L1361" s="28">
        <v>78</v>
      </c>
      <c r="M1361" s="28">
        <v>73</v>
      </c>
      <c r="N1361" s="62">
        <v>72</v>
      </c>
      <c r="O1361" s="62">
        <v>1533</v>
      </c>
      <c r="AE1361" s="378"/>
    </row>
    <row r="1362" spans="1:31" hidden="1">
      <c r="B1362" s="62"/>
      <c r="N1362" s="62"/>
      <c r="O1362" s="62"/>
      <c r="AE1362" s="378"/>
    </row>
    <row r="1363" spans="1:31" hidden="1">
      <c r="B1363" s="62"/>
      <c r="N1363" s="62"/>
      <c r="O1363" s="62"/>
      <c r="AE1363" s="378"/>
    </row>
    <row r="1364" spans="1:31" hidden="1">
      <c r="B1364" s="62"/>
      <c r="N1364" s="62"/>
      <c r="O1364" s="62"/>
      <c r="AE1364" s="378"/>
    </row>
    <row r="1365" spans="1:31" hidden="1">
      <c r="B1365" s="62"/>
      <c r="N1365" s="62"/>
      <c r="O1365" s="62"/>
      <c r="AE1365" s="378"/>
    </row>
    <row r="1366" spans="1:31" hidden="1">
      <c r="A1366" s="28" t="s">
        <v>1886</v>
      </c>
      <c r="B1366" s="62" t="s">
        <v>1808</v>
      </c>
      <c r="C1366" s="28">
        <v>31</v>
      </c>
      <c r="D1366" s="28">
        <v>28</v>
      </c>
      <c r="E1366" s="28">
        <v>31</v>
      </c>
      <c r="F1366" s="28">
        <v>30</v>
      </c>
      <c r="G1366" s="28">
        <v>29</v>
      </c>
      <c r="H1366" s="28">
        <v>18</v>
      </c>
      <c r="I1366" s="28">
        <v>14</v>
      </c>
      <c r="J1366" s="28">
        <v>18</v>
      </c>
      <c r="K1366" s="28">
        <v>24</v>
      </c>
      <c r="L1366" s="28">
        <v>31</v>
      </c>
      <c r="M1366" s="28">
        <v>30</v>
      </c>
      <c r="N1366" s="62">
        <v>31</v>
      </c>
      <c r="O1366" s="62"/>
      <c r="Q1366" s="28">
        <v>315</v>
      </c>
      <c r="AE1366" s="378"/>
    </row>
    <row r="1367" spans="1:31" hidden="1">
      <c r="A1367" s="28" t="s">
        <v>1887</v>
      </c>
      <c r="B1367" s="62" t="s">
        <v>1810</v>
      </c>
      <c r="C1367" s="28">
        <v>766</v>
      </c>
      <c r="D1367" s="28">
        <v>678</v>
      </c>
      <c r="E1367" s="28">
        <v>654</v>
      </c>
      <c r="F1367" s="28">
        <v>546</v>
      </c>
      <c r="G1367" s="28">
        <v>371</v>
      </c>
      <c r="H1367" s="28">
        <v>182</v>
      </c>
      <c r="I1367" s="28">
        <v>108</v>
      </c>
      <c r="J1367" s="28">
        <v>139</v>
      </c>
      <c r="K1367" s="28">
        <v>278</v>
      </c>
      <c r="L1367" s="28">
        <v>462</v>
      </c>
      <c r="M1367" s="28">
        <v>621</v>
      </c>
      <c r="N1367" s="62">
        <v>725</v>
      </c>
      <c r="O1367" s="62"/>
      <c r="Q1367" s="28">
        <v>5530</v>
      </c>
      <c r="AE1367" s="378"/>
    </row>
    <row r="1368" spans="1:31" hidden="1">
      <c r="B1368" s="62"/>
      <c r="N1368" s="62"/>
      <c r="O1368" s="62"/>
      <c r="AE1368" s="378"/>
    </row>
    <row r="1369" spans="1:31" hidden="1">
      <c r="B1369" s="62"/>
      <c r="N1369" s="62"/>
      <c r="O1369" s="62"/>
      <c r="AE1369" s="378"/>
    </row>
    <row r="1370" spans="1:31" hidden="1">
      <c r="B1370" s="62"/>
      <c r="N1370" s="62"/>
      <c r="O1370" s="62"/>
      <c r="AE1370" s="378"/>
    </row>
    <row r="1371" spans="1:31" ht="7.9" hidden="1" customHeight="1"/>
    <row r="1372" spans="1:31" ht="7.9" hidden="1" customHeight="1"/>
    <row r="1373" spans="1:31" ht="7.9" hidden="1" customHeight="1"/>
    <row r="1374" spans="1:31" ht="7.9" hidden="1" customHeight="1"/>
    <row r="1375" spans="1:31" ht="7.9" hidden="1" customHeight="1"/>
    <row r="1376" spans="1:31" s="34" customFormat="1" ht="15.75" hidden="1">
      <c r="A1376" s="61">
        <v>55</v>
      </c>
      <c r="B1376" s="129"/>
      <c r="C1376" s="129" t="s">
        <v>702</v>
      </c>
      <c r="D1376" s="129"/>
      <c r="E1376" s="130"/>
      <c r="F1376" s="130" t="s">
        <v>352</v>
      </c>
      <c r="G1376" s="129">
        <v>366</v>
      </c>
      <c r="H1376" s="131" t="s">
        <v>353</v>
      </c>
      <c r="I1376" s="129"/>
      <c r="J1376" s="129"/>
      <c r="K1376" s="130" t="s">
        <v>354</v>
      </c>
      <c r="L1376" s="131">
        <v>12</v>
      </c>
      <c r="M1376" s="129" t="s">
        <v>355</v>
      </c>
      <c r="N1376" s="131" t="s">
        <v>356</v>
      </c>
      <c r="O1376" s="130"/>
      <c r="P1376" s="130" t="s">
        <v>357</v>
      </c>
      <c r="Q1376" s="129">
        <v>-1</v>
      </c>
      <c r="R1376" s="131" t="s">
        <v>2324</v>
      </c>
      <c r="S1376" s="28"/>
      <c r="T1376" s="28"/>
      <c r="U1376" s="378"/>
      <c r="V1376" s="368"/>
      <c r="W1376" s="368"/>
      <c r="X1376" s="368"/>
      <c r="Y1376" s="368"/>
      <c r="Z1376" s="368"/>
      <c r="AA1376" s="368"/>
      <c r="AB1376" s="368"/>
      <c r="AC1376" s="368"/>
      <c r="AD1376" s="368"/>
      <c r="AE1376" s="510"/>
    </row>
    <row r="1377" spans="1:31" hidden="1">
      <c r="B1377" s="62"/>
      <c r="N1377" s="62"/>
      <c r="O1377" s="62"/>
      <c r="P1377" s="53"/>
      <c r="Q1377" s="45"/>
      <c r="R1377" s="45"/>
    </row>
    <row r="1378" spans="1:31" s="34" customFormat="1" hidden="1">
      <c r="B1378" s="65"/>
      <c r="C1378" s="95" t="s">
        <v>489</v>
      </c>
      <c r="D1378" s="95" t="s">
        <v>490</v>
      </c>
      <c r="E1378" s="95" t="s">
        <v>491</v>
      </c>
      <c r="F1378" s="95" t="s">
        <v>492</v>
      </c>
      <c r="G1378" s="95" t="s">
        <v>493</v>
      </c>
      <c r="H1378" s="95" t="s">
        <v>494</v>
      </c>
      <c r="I1378" s="95" t="s">
        <v>495</v>
      </c>
      <c r="J1378" s="95" t="s">
        <v>496</v>
      </c>
      <c r="K1378" s="95" t="s">
        <v>497</v>
      </c>
      <c r="L1378" s="95" t="s">
        <v>498</v>
      </c>
      <c r="M1378" s="95" t="s">
        <v>499</v>
      </c>
      <c r="N1378" s="126" t="s">
        <v>500</v>
      </c>
      <c r="O1378" s="126" t="s">
        <v>501</v>
      </c>
      <c r="P1378" s="132"/>
      <c r="Q1378" s="133"/>
      <c r="R1378" s="133"/>
      <c r="S1378" s="28"/>
      <c r="T1378" s="28"/>
      <c r="U1378" s="378"/>
      <c r="V1378" s="368"/>
      <c r="W1378" s="368"/>
      <c r="X1378" s="368"/>
      <c r="Y1378" s="368"/>
      <c r="Z1378" s="368"/>
      <c r="AA1378" s="368"/>
      <c r="AB1378" s="368"/>
      <c r="AC1378" s="368"/>
      <c r="AD1378" s="368"/>
      <c r="AE1378" s="510"/>
    </row>
    <row r="1379" spans="1:31" hidden="1">
      <c r="B1379" s="62"/>
      <c r="N1379" s="62"/>
      <c r="O1379" s="62"/>
    </row>
    <row r="1380" spans="1:31" hidden="1">
      <c r="A1380" s="28" t="s">
        <v>1209</v>
      </c>
      <c r="B1380" s="62" t="s">
        <v>2324</v>
      </c>
      <c r="C1380" s="28">
        <v>3.3</v>
      </c>
      <c r="D1380" s="28">
        <v>4.9000000000000004</v>
      </c>
      <c r="E1380" s="28">
        <v>9</v>
      </c>
      <c r="F1380" s="28">
        <v>11.5</v>
      </c>
      <c r="G1380" s="28">
        <v>15.8</v>
      </c>
      <c r="H1380" s="28">
        <v>19.100000000000001</v>
      </c>
      <c r="I1380" s="28">
        <v>21.7</v>
      </c>
      <c r="J1380" s="28">
        <v>21.5</v>
      </c>
      <c r="K1380" s="28">
        <v>17</v>
      </c>
      <c r="L1380" s="28">
        <v>12.6</v>
      </c>
      <c r="M1380" s="28">
        <v>7.3</v>
      </c>
      <c r="N1380" s="62">
        <v>4.4000000000000004</v>
      </c>
      <c r="O1380" s="62">
        <v>12.3</v>
      </c>
    </row>
    <row r="1381" spans="1:31" hidden="1">
      <c r="B1381" s="62"/>
      <c r="N1381" s="62"/>
      <c r="O1381" s="62"/>
    </row>
    <row r="1382" spans="1:31" ht="12.6" hidden="1" customHeight="1">
      <c r="A1382" s="28" t="s">
        <v>1210</v>
      </c>
      <c r="B1382" s="62" t="s">
        <v>804</v>
      </c>
      <c r="C1382" s="28">
        <v>158</v>
      </c>
      <c r="D1382" s="28">
        <v>227</v>
      </c>
      <c r="E1382" s="28">
        <v>391</v>
      </c>
      <c r="F1382" s="28">
        <v>443</v>
      </c>
      <c r="G1382" s="28">
        <v>536</v>
      </c>
      <c r="H1382" s="28">
        <v>614</v>
      </c>
      <c r="I1382" s="28">
        <v>648</v>
      </c>
      <c r="J1382" s="28">
        <v>570</v>
      </c>
      <c r="K1382" s="28">
        <v>391</v>
      </c>
      <c r="L1382" s="28">
        <v>252</v>
      </c>
      <c r="M1382" s="28">
        <v>153</v>
      </c>
      <c r="N1382" s="62">
        <v>129</v>
      </c>
      <c r="O1382" s="62">
        <v>4513</v>
      </c>
      <c r="AE1382" s="378"/>
    </row>
    <row r="1383" spans="1:31" ht="12.6" hidden="1" customHeight="1">
      <c r="A1383" s="28" t="s">
        <v>1211</v>
      </c>
      <c r="B1383" s="62" t="s">
        <v>804</v>
      </c>
      <c r="C1383" s="28">
        <v>319</v>
      </c>
      <c r="D1383" s="28">
        <v>341</v>
      </c>
      <c r="E1383" s="28">
        <v>404</v>
      </c>
      <c r="F1383" s="28">
        <v>306</v>
      </c>
      <c r="G1383" s="28">
        <v>276</v>
      </c>
      <c r="H1383" s="28">
        <v>277</v>
      </c>
      <c r="I1383" s="28">
        <v>316</v>
      </c>
      <c r="J1383" s="28">
        <v>356</v>
      </c>
      <c r="K1383" s="28">
        <v>342</v>
      </c>
      <c r="L1383" s="28">
        <v>319</v>
      </c>
      <c r="M1383" s="28">
        <v>264</v>
      </c>
      <c r="N1383" s="62">
        <v>271</v>
      </c>
      <c r="O1383" s="62">
        <v>3791</v>
      </c>
      <c r="AE1383" s="378"/>
    </row>
    <row r="1384" spans="1:31" ht="12.6" hidden="1" customHeight="1">
      <c r="A1384" s="28" t="s">
        <v>1212</v>
      </c>
      <c r="B1384" s="62" t="s">
        <v>804</v>
      </c>
      <c r="C1384" s="28">
        <v>102</v>
      </c>
      <c r="D1384" s="28">
        <v>152</v>
      </c>
      <c r="E1384" s="28">
        <v>236</v>
      </c>
      <c r="F1384" s="28">
        <v>246</v>
      </c>
      <c r="G1384" s="28">
        <v>281</v>
      </c>
      <c r="H1384" s="28">
        <v>319</v>
      </c>
      <c r="I1384" s="28">
        <v>340</v>
      </c>
      <c r="J1384" s="28">
        <v>313</v>
      </c>
      <c r="K1384" s="28">
        <v>223</v>
      </c>
      <c r="L1384" s="28">
        <v>155</v>
      </c>
      <c r="M1384" s="28">
        <v>93</v>
      </c>
      <c r="N1384" s="62">
        <v>78</v>
      </c>
      <c r="O1384" s="62">
        <v>2539</v>
      </c>
      <c r="AE1384" s="378"/>
    </row>
    <row r="1385" spans="1:31" ht="12.6" hidden="1" customHeight="1">
      <c r="A1385" s="28" t="s">
        <v>1213</v>
      </c>
      <c r="B1385" s="62" t="s">
        <v>804</v>
      </c>
      <c r="C1385" s="28">
        <v>110</v>
      </c>
      <c r="D1385" s="28">
        <v>140</v>
      </c>
      <c r="E1385" s="28">
        <v>222</v>
      </c>
      <c r="F1385" s="28">
        <v>241</v>
      </c>
      <c r="G1385" s="28">
        <v>268</v>
      </c>
      <c r="H1385" s="28">
        <v>298</v>
      </c>
      <c r="I1385" s="28">
        <v>321</v>
      </c>
      <c r="J1385" s="28">
        <v>295</v>
      </c>
      <c r="K1385" s="28">
        <v>220</v>
      </c>
      <c r="L1385" s="28">
        <v>142</v>
      </c>
      <c r="M1385" s="28">
        <v>91</v>
      </c>
      <c r="N1385" s="62">
        <v>86</v>
      </c>
      <c r="O1385" s="62">
        <v>2434</v>
      </c>
      <c r="AE1385" s="378"/>
    </row>
    <row r="1386" spans="1:31" ht="12.6" hidden="1" customHeight="1">
      <c r="A1386" s="28" t="s">
        <v>1214</v>
      </c>
      <c r="B1386" s="62" t="s">
        <v>804</v>
      </c>
      <c r="C1386" s="28">
        <v>46</v>
      </c>
      <c r="D1386" s="28">
        <v>60</v>
      </c>
      <c r="E1386" s="28">
        <v>86</v>
      </c>
      <c r="F1386" s="28">
        <v>101</v>
      </c>
      <c r="G1386" s="28">
        <v>131</v>
      </c>
      <c r="H1386" s="28">
        <v>156</v>
      </c>
      <c r="I1386" s="28">
        <v>161</v>
      </c>
      <c r="J1386" s="28">
        <v>131</v>
      </c>
      <c r="K1386" s="28">
        <v>88</v>
      </c>
      <c r="L1386" s="28">
        <v>59</v>
      </c>
      <c r="M1386" s="28">
        <v>39</v>
      </c>
      <c r="N1386" s="62">
        <v>35</v>
      </c>
      <c r="O1386" s="62">
        <v>1092</v>
      </c>
      <c r="AE1386" s="378"/>
    </row>
    <row r="1387" spans="1:31" hidden="1">
      <c r="B1387" s="62"/>
      <c r="N1387" s="62"/>
      <c r="O1387" s="62"/>
      <c r="AE1387" s="378"/>
    </row>
    <row r="1388" spans="1:31" hidden="1">
      <c r="B1388" s="62"/>
      <c r="N1388" s="62"/>
      <c r="O1388" s="62"/>
      <c r="AE1388" s="378"/>
    </row>
    <row r="1389" spans="1:31" hidden="1">
      <c r="B1389" s="62"/>
      <c r="N1389" s="62"/>
      <c r="O1389" s="62"/>
      <c r="AE1389" s="378"/>
    </row>
    <row r="1390" spans="1:31" hidden="1">
      <c r="B1390" s="62"/>
      <c r="N1390" s="62"/>
      <c r="O1390" s="62"/>
      <c r="AE1390" s="378"/>
    </row>
    <row r="1391" spans="1:31" hidden="1">
      <c r="A1391" s="28" t="s">
        <v>1886</v>
      </c>
      <c r="B1391" s="62" t="s">
        <v>1808</v>
      </c>
      <c r="C1391" s="28">
        <v>31</v>
      </c>
      <c r="D1391" s="28">
        <v>28</v>
      </c>
      <c r="E1391" s="28">
        <v>28</v>
      </c>
      <c r="F1391" s="28">
        <v>16</v>
      </c>
      <c r="G1391" s="28">
        <v>4</v>
      </c>
      <c r="H1391" s="28">
        <v>1</v>
      </c>
      <c r="I1391" s="28">
        <v>0</v>
      </c>
      <c r="J1391" s="28">
        <v>0</v>
      </c>
      <c r="K1391" s="28">
        <v>1</v>
      </c>
      <c r="L1391" s="28">
        <v>13</v>
      </c>
      <c r="M1391" s="28">
        <v>29</v>
      </c>
      <c r="N1391" s="62">
        <v>31</v>
      </c>
      <c r="O1391" s="62"/>
      <c r="Q1391" s="28">
        <v>182</v>
      </c>
      <c r="AE1391" s="378"/>
    </row>
    <row r="1392" spans="1:31" hidden="1">
      <c r="A1392" s="28" t="s">
        <v>1887</v>
      </c>
      <c r="B1392" s="62" t="s">
        <v>1810</v>
      </c>
      <c r="C1392" s="28">
        <v>518</v>
      </c>
      <c r="D1392" s="28">
        <v>423</v>
      </c>
      <c r="E1392" s="28">
        <v>308</v>
      </c>
      <c r="F1392" s="28">
        <v>136</v>
      </c>
      <c r="G1392" s="28">
        <v>17</v>
      </c>
      <c r="H1392" s="28">
        <v>1</v>
      </c>
      <c r="I1392" s="28">
        <v>0</v>
      </c>
      <c r="J1392" s="28">
        <v>0</v>
      </c>
      <c r="K1392" s="28">
        <v>3</v>
      </c>
      <c r="L1392" s="28">
        <v>96</v>
      </c>
      <c r="M1392" s="28">
        <v>368</v>
      </c>
      <c r="N1392" s="62">
        <v>484</v>
      </c>
      <c r="O1392" s="62"/>
      <c r="Q1392" s="28">
        <v>2354</v>
      </c>
      <c r="AE1392" s="378"/>
    </row>
    <row r="1393" spans="1:31" hidden="1">
      <c r="B1393" s="62"/>
      <c r="N1393" s="62"/>
      <c r="O1393" s="62"/>
      <c r="AE1393" s="378"/>
    </row>
    <row r="1394" spans="1:31" hidden="1">
      <c r="B1394" s="62"/>
      <c r="N1394" s="62"/>
      <c r="O1394" s="62"/>
      <c r="AE1394" s="378"/>
    </row>
    <row r="1395" spans="1:31" hidden="1">
      <c r="B1395" s="62"/>
      <c r="N1395" s="62"/>
      <c r="O1395" s="62"/>
      <c r="AE1395" s="378"/>
    </row>
    <row r="1396" spans="1:31" ht="7.9" hidden="1" customHeight="1"/>
    <row r="1397" spans="1:31" ht="7.9" hidden="1" customHeight="1"/>
    <row r="1398" spans="1:31" ht="7.9" hidden="1" customHeight="1"/>
    <row r="1399" spans="1:31" ht="7.9" hidden="1" customHeight="1"/>
    <row r="1400" spans="1:31" ht="7.9" hidden="1" customHeight="1"/>
    <row r="1401" spans="1:31" s="34" customFormat="1" ht="15.75" hidden="1">
      <c r="A1401" s="61">
        <v>56</v>
      </c>
      <c r="B1401" s="129"/>
      <c r="C1401" s="129" t="s">
        <v>703</v>
      </c>
      <c r="D1401" s="129"/>
      <c r="E1401" s="130"/>
      <c r="F1401" s="130" t="s">
        <v>352</v>
      </c>
      <c r="G1401" s="129">
        <v>779</v>
      </c>
      <c r="H1401" s="131" t="s">
        <v>353</v>
      </c>
      <c r="I1401" s="129"/>
      <c r="J1401" s="129"/>
      <c r="K1401" s="130" t="s">
        <v>354</v>
      </c>
      <c r="L1401" s="131">
        <v>3</v>
      </c>
      <c r="M1401" s="129" t="s">
        <v>355</v>
      </c>
      <c r="N1401" s="131" t="s">
        <v>704</v>
      </c>
      <c r="O1401" s="130"/>
      <c r="P1401" s="130" t="s">
        <v>357</v>
      </c>
      <c r="Q1401" s="129">
        <v>-9</v>
      </c>
      <c r="R1401" s="131" t="s">
        <v>2324</v>
      </c>
      <c r="S1401" s="28"/>
      <c r="T1401" s="28"/>
      <c r="U1401" s="378"/>
      <c r="V1401" s="368"/>
      <c r="W1401" s="368"/>
      <c r="X1401" s="368"/>
      <c r="Y1401" s="368"/>
      <c r="Z1401" s="368"/>
      <c r="AA1401" s="368"/>
      <c r="AB1401" s="368"/>
      <c r="AC1401" s="368"/>
      <c r="AD1401" s="368"/>
      <c r="AE1401" s="510"/>
    </row>
    <row r="1402" spans="1:31" hidden="1">
      <c r="B1402" s="62"/>
      <c r="N1402" s="62"/>
      <c r="O1402" s="62"/>
      <c r="P1402" s="53"/>
      <c r="Q1402" s="45"/>
      <c r="R1402" s="45"/>
    </row>
    <row r="1403" spans="1:31" s="34" customFormat="1" hidden="1">
      <c r="B1403" s="65"/>
      <c r="C1403" s="95" t="s">
        <v>489</v>
      </c>
      <c r="D1403" s="95" t="s">
        <v>490</v>
      </c>
      <c r="E1403" s="95" t="s">
        <v>491</v>
      </c>
      <c r="F1403" s="95" t="s">
        <v>492</v>
      </c>
      <c r="G1403" s="95" t="s">
        <v>493</v>
      </c>
      <c r="H1403" s="95" t="s">
        <v>494</v>
      </c>
      <c r="I1403" s="95" t="s">
        <v>495</v>
      </c>
      <c r="J1403" s="95" t="s">
        <v>496</v>
      </c>
      <c r="K1403" s="95" t="s">
        <v>497</v>
      </c>
      <c r="L1403" s="95" t="s">
        <v>498</v>
      </c>
      <c r="M1403" s="95" t="s">
        <v>499</v>
      </c>
      <c r="N1403" s="126" t="s">
        <v>500</v>
      </c>
      <c r="O1403" s="126" t="s">
        <v>501</v>
      </c>
      <c r="P1403" s="132"/>
      <c r="Q1403" s="133"/>
      <c r="R1403" s="133"/>
      <c r="S1403" s="28"/>
      <c r="T1403" s="28"/>
      <c r="U1403" s="378"/>
      <c r="V1403" s="368"/>
      <c r="W1403" s="368"/>
      <c r="X1403" s="368"/>
      <c r="Y1403" s="368"/>
      <c r="Z1403" s="368"/>
      <c r="AA1403" s="368"/>
      <c r="AB1403" s="368"/>
      <c r="AC1403" s="368"/>
      <c r="AD1403" s="368"/>
      <c r="AE1403" s="510"/>
    </row>
    <row r="1404" spans="1:31" hidden="1">
      <c r="B1404" s="62"/>
      <c r="N1404" s="62"/>
      <c r="O1404" s="62"/>
    </row>
    <row r="1405" spans="1:31" hidden="1">
      <c r="A1405" s="28" t="s">
        <v>1209</v>
      </c>
      <c r="B1405" s="62" t="s">
        <v>2324</v>
      </c>
      <c r="C1405" s="28">
        <v>-0.3</v>
      </c>
      <c r="D1405" s="28">
        <v>0.7</v>
      </c>
      <c r="E1405" s="28">
        <v>4.0999999999999996</v>
      </c>
      <c r="F1405" s="28">
        <v>6.9</v>
      </c>
      <c r="G1405" s="28">
        <v>12</v>
      </c>
      <c r="H1405" s="28">
        <v>14.7</v>
      </c>
      <c r="I1405" s="28">
        <v>16.899999999999999</v>
      </c>
      <c r="J1405" s="28">
        <v>17.100000000000001</v>
      </c>
      <c r="K1405" s="28">
        <v>12.8</v>
      </c>
      <c r="L1405" s="28">
        <v>9</v>
      </c>
      <c r="M1405" s="28">
        <v>3.5</v>
      </c>
      <c r="N1405" s="62">
        <v>1.1000000000000001</v>
      </c>
      <c r="O1405" s="62">
        <v>8.1999999999999993</v>
      </c>
    </row>
    <row r="1406" spans="1:31" hidden="1">
      <c r="B1406" s="62"/>
      <c r="N1406" s="62"/>
      <c r="O1406" s="62"/>
    </row>
    <row r="1407" spans="1:31" ht="12.6" hidden="1" customHeight="1">
      <c r="A1407" s="28" t="s">
        <v>1210</v>
      </c>
      <c r="B1407" s="62" t="s">
        <v>804</v>
      </c>
      <c r="C1407" s="28">
        <v>112</v>
      </c>
      <c r="D1407" s="28">
        <v>169</v>
      </c>
      <c r="E1407" s="28">
        <v>308</v>
      </c>
      <c r="F1407" s="28">
        <v>407</v>
      </c>
      <c r="G1407" s="28">
        <v>522</v>
      </c>
      <c r="H1407" s="28">
        <v>550</v>
      </c>
      <c r="I1407" s="28">
        <v>576</v>
      </c>
      <c r="J1407" s="28">
        <v>504</v>
      </c>
      <c r="K1407" s="28">
        <v>334</v>
      </c>
      <c r="L1407" s="28">
        <v>209</v>
      </c>
      <c r="M1407" s="28">
        <v>117</v>
      </c>
      <c r="N1407" s="62">
        <v>86</v>
      </c>
      <c r="O1407" s="62">
        <v>3894</v>
      </c>
      <c r="AE1407" s="378"/>
    </row>
    <row r="1408" spans="1:31" ht="12.6" hidden="1" customHeight="1">
      <c r="A1408" s="28" t="s">
        <v>1211</v>
      </c>
      <c r="B1408" s="62" t="s">
        <v>804</v>
      </c>
      <c r="C1408" s="28">
        <v>193</v>
      </c>
      <c r="D1408" s="28">
        <v>244</v>
      </c>
      <c r="E1408" s="28">
        <v>319</v>
      </c>
      <c r="F1408" s="28">
        <v>283</v>
      </c>
      <c r="G1408" s="28">
        <v>271</v>
      </c>
      <c r="H1408" s="28">
        <v>251</v>
      </c>
      <c r="I1408" s="28">
        <v>281</v>
      </c>
      <c r="J1408" s="28">
        <v>313</v>
      </c>
      <c r="K1408" s="28">
        <v>285</v>
      </c>
      <c r="L1408" s="28">
        <v>241</v>
      </c>
      <c r="M1408" s="28">
        <v>171</v>
      </c>
      <c r="N1408" s="62">
        <v>145</v>
      </c>
      <c r="O1408" s="62">
        <v>2997</v>
      </c>
      <c r="AE1408" s="378"/>
    </row>
    <row r="1409" spans="1:31" ht="12.6" hidden="1" customHeight="1">
      <c r="A1409" s="28" t="s">
        <v>1212</v>
      </c>
      <c r="B1409" s="62" t="s">
        <v>804</v>
      </c>
      <c r="C1409" s="28">
        <v>75</v>
      </c>
      <c r="D1409" s="28">
        <v>119</v>
      </c>
      <c r="E1409" s="28">
        <v>198</v>
      </c>
      <c r="F1409" s="28">
        <v>241</v>
      </c>
      <c r="G1409" s="28">
        <v>292</v>
      </c>
      <c r="H1409" s="28">
        <v>293</v>
      </c>
      <c r="I1409" s="28">
        <v>311</v>
      </c>
      <c r="J1409" s="28">
        <v>279</v>
      </c>
      <c r="K1409" s="28">
        <v>187</v>
      </c>
      <c r="L1409" s="28">
        <v>115</v>
      </c>
      <c r="M1409" s="28">
        <v>70</v>
      </c>
      <c r="N1409" s="62">
        <v>56</v>
      </c>
      <c r="O1409" s="62">
        <v>2235</v>
      </c>
      <c r="AE1409" s="378"/>
    </row>
    <row r="1410" spans="1:31" ht="12.6" hidden="1" customHeight="1">
      <c r="A1410" s="28" t="s">
        <v>1213</v>
      </c>
      <c r="B1410" s="62" t="s">
        <v>804</v>
      </c>
      <c r="C1410" s="28">
        <v>86</v>
      </c>
      <c r="D1410" s="28">
        <v>133</v>
      </c>
      <c r="E1410" s="28">
        <v>206</v>
      </c>
      <c r="F1410" s="28">
        <v>236</v>
      </c>
      <c r="G1410" s="28">
        <v>284</v>
      </c>
      <c r="H1410" s="28">
        <v>295</v>
      </c>
      <c r="I1410" s="28">
        <v>319</v>
      </c>
      <c r="J1410" s="28">
        <v>292</v>
      </c>
      <c r="K1410" s="28">
        <v>205</v>
      </c>
      <c r="L1410" s="28">
        <v>137</v>
      </c>
      <c r="M1410" s="28">
        <v>78</v>
      </c>
      <c r="N1410" s="62">
        <v>59</v>
      </c>
      <c r="O1410" s="62">
        <v>2329</v>
      </c>
      <c r="AE1410" s="378"/>
    </row>
    <row r="1411" spans="1:31" ht="12.6" hidden="1" customHeight="1">
      <c r="A1411" s="28" t="s">
        <v>1214</v>
      </c>
      <c r="B1411" s="62" t="s">
        <v>804</v>
      </c>
      <c r="C1411" s="28">
        <v>51</v>
      </c>
      <c r="D1411" s="28">
        <v>73</v>
      </c>
      <c r="E1411" s="28">
        <v>112</v>
      </c>
      <c r="F1411" s="28">
        <v>127</v>
      </c>
      <c r="G1411" s="28">
        <v>161</v>
      </c>
      <c r="H1411" s="28">
        <v>176</v>
      </c>
      <c r="I1411" s="28">
        <v>174</v>
      </c>
      <c r="J1411" s="28">
        <v>139</v>
      </c>
      <c r="K1411" s="28">
        <v>96</v>
      </c>
      <c r="L1411" s="28">
        <v>64</v>
      </c>
      <c r="M1411" s="28">
        <v>44</v>
      </c>
      <c r="N1411" s="62">
        <v>37</v>
      </c>
      <c r="O1411" s="62">
        <v>1255</v>
      </c>
      <c r="AE1411" s="378"/>
    </row>
    <row r="1412" spans="1:31" hidden="1">
      <c r="B1412" s="62"/>
      <c r="N1412" s="62"/>
      <c r="O1412" s="62"/>
      <c r="AE1412" s="378"/>
    </row>
    <row r="1413" spans="1:31" hidden="1">
      <c r="B1413" s="62"/>
      <c r="N1413" s="62"/>
      <c r="O1413" s="62"/>
      <c r="AE1413" s="378"/>
    </row>
    <row r="1414" spans="1:31" hidden="1">
      <c r="B1414" s="62"/>
      <c r="N1414" s="62"/>
      <c r="O1414" s="62"/>
      <c r="AE1414" s="378"/>
    </row>
    <row r="1415" spans="1:31" hidden="1">
      <c r="B1415" s="62"/>
      <c r="N1415" s="62"/>
      <c r="O1415" s="62"/>
      <c r="AE1415" s="378"/>
    </row>
    <row r="1416" spans="1:31" hidden="1">
      <c r="A1416" s="28" t="s">
        <v>1886</v>
      </c>
      <c r="B1416" s="62" t="s">
        <v>1808</v>
      </c>
      <c r="C1416" s="28">
        <v>31</v>
      </c>
      <c r="D1416" s="28">
        <v>28</v>
      </c>
      <c r="E1416" s="28">
        <v>31</v>
      </c>
      <c r="F1416" s="28">
        <v>25</v>
      </c>
      <c r="G1416" s="28">
        <v>20</v>
      </c>
      <c r="H1416" s="28">
        <v>7</v>
      </c>
      <c r="I1416" s="28">
        <v>4</v>
      </c>
      <c r="J1416" s="28">
        <v>5</v>
      </c>
      <c r="K1416" s="28">
        <v>11</v>
      </c>
      <c r="L1416" s="28">
        <v>25</v>
      </c>
      <c r="M1416" s="28">
        <v>28</v>
      </c>
      <c r="N1416" s="62">
        <v>31</v>
      </c>
      <c r="O1416" s="62"/>
      <c r="Q1416" s="28">
        <v>246</v>
      </c>
      <c r="AE1416" s="378"/>
    </row>
    <row r="1417" spans="1:31" hidden="1">
      <c r="A1417" s="28" t="s">
        <v>1887</v>
      </c>
      <c r="B1417" s="62" t="s">
        <v>1810</v>
      </c>
      <c r="C1417" s="28">
        <v>629</v>
      </c>
      <c r="D1417" s="28">
        <v>540</v>
      </c>
      <c r="E1417" s="28">
        <v>493</v>
      </c>
      <c r="F1417" s="28">
        <v>328</v>
      </c>
      <c r="G1417" s="28">
        <v>160</v>
      </c>
      <c r="H1417" s="28">
        <v>37</v>
      </c>
      <c r="I1417" s="28">
        <v>12</v>
      </c>
      <c r="J1417" s="28">
        <v>15</v>
      </c>
      <c r="K1417" s="28">
        <v>79</v>
      </c>
      <c r="L1417" s="28">
        <v>275</v>
      </c>
      <c r="M1417" s="28">
        <v>462</v>
      </c>
      <c r="N1417" s="62">
        <v>586</v>
      </c>
      <c r="O1417" s="62"/>
      <c r="Q1417" s="28">
        <v>3616</v>
      </c>
      <c r="AE1417" s="378"/>
    </row>
    <row r="1418" spans="1:31" hidden="1">
      <c r="B1418" s="62"/>
      <c r="N1418" s="62"/>
      <c r="O1418" s="62"/>
      <c r="AE1418" s="378"/>
    </row>
    <row r="1419" spans="1:31" hidden="1">
      <c r="B1419" s="62"/>
      <c r="N1419" s="62"/>
      <c r="O1419" s="62"/>
      <c r="AE1419" s="378"/>
    </row>
    <row r="1420" spans="1:31" hidden="1">
      <c r="B1420" s="62"/>
      <c r="N1420" s="62"/>
      <c r="O1420" s="62"/>
      <c r="AE1420" s="378"/>
    </row>
    <row r="1421" spans="1:31" ht="7.9" hidden="1" customHeight="1"/>
    <row r="1422" spans="1:31" ht="7.9" hidden="1" customHeight="1"/>
    <row r="1423" spans="1:31" ht="7.9" hidden="1" customHeight="1"/>
    <row r="1424" spans="1:31" ht="7.9" hidden="1" customHeight="1"/>
    <row r="1425" spans="1:31" ht="7.9" hidden="1" customHeight="1"/>
    <row r="1426" spans="1:31" s="34" customFormat="1" ht="15.75" hidden="1">
      <c r="A1426" s="61">
        <v>57</v>
      </c>
      <c r="B1426" s="129"/>
      <c r="C1426" s="129" t="s">
        <v>705</v>
      </c>
      <c r="D1426" s="129"/>
      <c r="E1426" s="130"/>
      <c r="F1426" s="130" t="s">
        <v>352</v>
      </c>
      <c r="G1426" s="129">
        <v>1320</v>
      </c>
      <c r="H1426" s="131" t="s">
        <v>353</v>
      </c>
      <c r="I1426" s="129"/>
      <c r="J1426" s="129"/>
      <c r="K1426" s="130" t="s">
        <v>354</v>
      </c>
      <c r="L1426" s="131">
        <v>8</v>
      </c>
      <c r="M1426" s="129" t="s">
        <v>355</v>
      </c>
      <c r="N1426" s="131" t="s">
        <v>1583</v>
      </c>
      <c r="O1426" s="130"/>
      <c r="P1426" s="130" t="s">
        <v>357</v>
      </c>
      <c r="Q1426" s="129">
        <v>-10</v>
      </c>
      <c r="R1426" s="131" t="s">
        <v>2324</v>
      </c>
      <c r="S1426" s="28"/>
      <c r="T1426" s="28"/>
      <c r="U1426" s="378"/>
      <c r="V1426" s="368"/>
      <c r="W1426" s="368"/>
      <c r="X1426" s="368"/>
      <c r="Y1426" s="368"/>
      <c r="Z1426" s="368"/>
      <c r="AA1426" s="368"/>
      <c r="AB1426" s="368"/>
      <c r="AC1426" s="368"/>
      <c r="AD1426" s="368"/>
      <c r="AE1426" s="510"/>
    </row>
    <row r="1427" spans="1:31" hidden="1">
      <c r="B1427" s="62"/>
      <c r="N1427" s="62"/>
      <c r="O1427" s="62"/>
      <c r="P1427" s="53"/>
      <c r="Q1427" s="45"/>
      <c r="R1427" s="45"/>
    </row>
    <row r="1428" spans="1:31" s="34" customFormat="1" hidden="1">
      <c r="B1428" s="65"/>
      <c r="C1428" s="95" t="s">
        <v>489</v>
      </c>
      <c r="D1428" s="95" t="s">
        <v>490</v>
      </c>
      <c r="E1428" s="95" t="s">
        <v>491</v>
      </c>
      <c r="F1428" s="95" t="s">
        <v>492</v>
      </c>
      <c r="G1428" s="95" t="s">
        <v>493</v>
      </c>
      <c r="H1428" s="95" t="s">
        <v>494</v>
      </c>
      <c r="I1428" s="95" t="s">
        <v>495</v>
      </c>
      <c r="J1428" s="95" t="s">
        <v>496</v>
      </c>
      <c r="K1428" s="95" t="s">
        <v>497</v>
      </c>
      <c r="L1428" s="95" t="s">
        <v>498</v>
      </c>
      <c r="M1428" s="95" t="s">
        <v>499</v>
      </c>
      <c r="N1428" s="126" t="s">
        <v>500</v>
      </c>
      <c r="O1428" s="126" t="s">
        <v>501</v>
      </c>
      <c r="P1428" s="132"/>
      <c r="Q1428" s="133"/>
      <c r="R1428" s="133"/>
      <c r="S1428" s="28"/>
      <c r="T1428" s="28"/>
      <c r="U1428" s="378"/>
      <c r="V1428" s="368"/>
      <c r="W1428" s="368"/>
      <c r="X1428" s="368"/>
      <c r="Y1428" s="368"/>
      <c r="Z1428" s="368"/>
      <c r="AA1428" s="368"/>
      <c r="AB1428" s="368"/>
      <c r="AC1428" s="368"/>
      <c r="AD1428" s="368"/>
      <c r="AE1428" s="510"/>
    </row>
    <row r="1429" spans="1:31" hidden="1">
      <c r="B1429" s="62"/>
      <c r="N1429" s="62"/>
      <c r="O1429" s="62"/>
    </row>
    <row r="1430" spans="1:31" hidden="1">
      <c r="A1430" s="28" t="s">
        <v>1209</v>
      </c>
      <c r="B1430" s="62" t="s">
        <v>2324</v>
      </c>
      <c r="C1430" s="28">
        <v>-1.2</v>
      </c>
      <c r="D1430" s="28">
        <v>-0.9</v>
      </c>
      <c r="E1430" s="28">
        <v>1.7</v>
      </c>
      <c r="F1430" s="28">
        <v>4.0999999999999996</v>
      </c>
      <c r="G1430" s="28">
        <v>9.1999999999999993</v>
      </c>
      <c r="H1430" s="28">
        <v>11.8</v>
      </c>
      <c r="I1430" s="28">
        <v>14.2</v>
      </c>
      <c r="J1430" s="28">
        <v>14.4</v>
      </c>
      <c r="K1430" s="28">
        <v>10.5</v>
      </c>
      <c r="L1430" s="28">
        <v>7.3</v>
      </c>
      <c r="M1430" s="28">
        <v>2</v>
      </c>
      <c r="N1430" s="62">
        <v>0</v>
      </c>
      <c r="O1430" s="62">
        <v>6.1</v>
      </c>
    </row>
    <row r="1431" spans="1:31" hidden="1">
      <c r="B1431" s="62"/>
      <c r="N1431" s="62"/>
      <c r="O1431" s="62"/>
    </row>
    <row r="1432" spans="1:31" ht="12.6" hidden="1" customHeight="1">
      <c r="A1432" s="28" t="s">
        <v>1210</v>
      </c>
      <c r="B1432" s="62" t="s">
        <v>804</v>
      </c>
      <c r="C1432" s="28">
        <v>150</v>
      </c>
      <c r="D1432" s="28">
        <v>213</v>
      </c>
      <c r="E1432" s="28">
        <v>364</v>
      </c>
      <c r="F1432" s="28">
        <v>443</v>
      </c>
      <c r="G1432" s="28">
        <v>530</v>
      </c>
      <c r="H1432" s="28">
        <v>537</v>
      </c>
      <c r="I1432" s="28">
        <v>560</v>
      </c>
      <c r="J1432" s="28">
        <v>493</v>
      </c>
      <c r="K1432" s="28">
        <v>371</v>
      </c>
      <c r="L1432" s="28">
        <v>254</v>
      </c>
      <c r="M1432" s="28">
        <v>150</v>
      </c>
      <c r="N1432" s="62">
        <v>121</v>
      </c>
      <c r="O1432" s="62">
        <v>4186</v>
      </c>
      <c r="AE1432" s="378"/>
    </row>
    <row r="1433" spans="1:31" ht="12.6" hidden="1" customHeight="1">
      <c r="A1433" s="28" t="s">
        <v>1211</v>
      </c>
      <c r="B1433" s="62" t="s">
        <v>804</v>
      </c>
      <c r="C1433" s="28">
        <v>297</v>
      </c>
      <c r="D1433" s="28">
        <v>331</v>
      </c>
      <c r="E1433" s="28">
        <v>431</v>
      </c>
      <c r="F1433" s="28">
        <v>293</v>
      </c>
      <c r="G1433" s="28">
        <v>268</v>
      </c>
      <c r="H1433" s="28">
        <v>236</v>
      </c>
      <c r="I1433" s="28">
        <v>265</v>
      </c>
      <c r="J1433" s="28">
        <v>300</v>
      </c>
      <c r="K1433" s="28">
        <v>314</v>
      </c>
      <c r="L1433" s="28">
        <v>359</v>
      </c>
      <c r="M1433" s="28">
        <v>262</v>
      </c>
      <c r="N1433" s="62">
        <v>244</v>
      </c>
      <c r="O1433" s="62">
        <v>3600</v>
      </c>
      <c r="AE1433" s="378"/>
    </row>
    <row r="1434" spans="1:31" ht="12.6" hidden="1" customHeight="1">
      <c r="A1434" s="28" t="s">
        <v>1212</v>
      </c>
      <c r="B1434" s="62" t="s">
        <v>804</v>
      </c>
      <c r="C1434" s="28">
        <v>96</v>
      </c>
      <c r="D1434" s="28">
        <v>143</v>
      </c>
      <c r="E1434" s="28">
        <v>271</v>
      </c>
      <c r="F1434" s="28">
        <v>233</v>
      </c>
      <c r="G1434" s="28">
        <v>295</v>
      </c>
      <c r="H1434" s="28">
        <v>311</v>
      </c>
      <c r="I1434" s="28">
        <v>327</v>
      </c>
      <c r="J1434" s="28">
        <v>279</v>
      </c>
      <c r="K1434" s="28">
        <v>197</v>
      </c>
      <c r="L1434" s="28">
        <v>179</v>
      </c>
      <c r="M1434" s="28">
        <v>96</v>
      </c>
      <c r="N1434" s="62">
        <v>78</v>
      </c>
      <c r="O1434" s="62">
        <v>2504</v>
      </c>
      <c r="AE1434" s="378"/>
    </row>
    <row r="1435" spans="1:31" ht="12.6" hidden="1" customHeight="1">
      <c r="A1435" s="28" t="s">
        <v>1213</v>
      </c>
      <c r="B1435" s="62" t="s">
        <v>804</v>
      </c>
      <c r="C1435" s="28">
        <v>134</v>
      </c>
      <c r="D1435" s="28">
        <v>169</v>
      </c>
      <c r="E1435" s="28">
        <v>257</v>
      </c>
      <c r="F1435" s="28">
        <v>181</v>
      </c>
      <c r="G1435" s="28">
        <v>198</v>
      </c>
      <c r="H1435" s="28">
        <v>187</v>
      </c>
      <c r="I1435" s="28">
        <v>198</v>
      </c>
      <c r="J1435" s="28">
        <v>187</v>
      </c>
      <c r="K1435" s="28">
        <v>156</v>
      </c>
      <c r="L1435" s="28">
        <v>190</v>
      </c>
      <c r="M1435" s="28">
        <v>122</v>
      </c>
      <c r="N1435" s="62">
        <v>104</v>
      </c>
      <c r="O1435" s="62">
        <v>2084</v>
      </c>
      <c r="AE1435" s="378"/>
    </row>
    <row r="1436" spans="1:31" ht="12.6" hidden="1" customHeight="1">
      <c r="A1436" s="28" t="s">
        <v>1214</v>
      </c>
      <c r="B1436" s="62" t="s">
        <v>804</v>
      </c>
      <c r="C1436" s="28">
        <v>75</v>
      </c>
      <c r="D1436" s="28">
        <v>102</v>
      </c>
      <c r="E1436" s="28">
        <v>171</v>
      </c>
      <c r="F1436" s="28">
        <v>101</v>
      </c>
      <c r="G1436" s="28">
        <v>129</v>
      </c>
      <c r="H1436" s="28">
        <v>140</v>
      </c>
      <c r="I1436" s="28">
        <v>139</v>
      </c>
      <c r="J1436" s="28">
        <v>112</v>
      </c>
      <c r="K1436" s="28">
        <v>83</v>
      </c>
      <c r="L1436" s="28">
        <v>123</v>
      </c>
      <c r="M1436" s="28">
        <v>75</v>
      </c>
      <c r="N1436" s="62">
        <v>62</v>
      </c>
      <c r="O1436" s="62">
        <v>1312</v>
      </c>
      <c r="AE1436" s="378"/>
    </row>
    <row r="1437" spans="1:31" hidden="1">
      <c r="B1437" s="62"/>
      <c r="N1437" s="62"/>
      <c r="O1437" s="62"/>
      <c r="AE1437" s="378"/>
    </row>
    <row r="1438" spans="1:31" hidden="1">
      <c r="B1438" s="62"/>
      <c r="N1438" s="62"/>
      <c r="O1438" s="62"/>
      <c r="AE1438" s="378"/>
    </row>
    <row r="1439" spans="1:31" hidden="1">
      <c r="B1439" s="62"/>
      <c r="N1439" s="62"/>
      <c r="O1439" s="62"/>
      <c r="AE1439" s="378"/>
    </row>
    <row r="1440" spans="1:31" hidden="1">
      <c r="B1440" s="62"/>
      <c r="N1440" s="62"/>
      <c r="O1440" s="62"/>
      <c r="AE1440" s="378"/>
    </row>
    <row r="1441" spans="1:31" hidden="1">
      <c r="A1441" s="28" t="s">
        <v>1886</v>
      </c>
      <c r="B1441" s="62" t="s">
        <v>1808</v>
      </c>
      <c r="C1441" s="28">
        <v>31</v>
      </c>
      <c r="D1441" s="28">
        <v>28</v>
      </c>
      <c r="E1441" s="28">
        <v>31</v>
      </c>
      <c r="F1441" s="28">
        <v>29</v>
      </c>
      <c r="G1441" s="28">
        <v>24</v>
      </c>
      <c r="H1441" s="28">
        <v>11</v>
      </c>
      <c r="I1441" s="28">
        <v>6</v>
      </c>
      <c r="J1441" s="28">
        <v>8</v>
      </c>
      <c r="K1441" s="28">
        <v>13</v>
      </c>
      <c r="L1441" s="28">
        <v>26</v>
      </c>
      <c r="M1441" s="28">
        <v>30</v>
      </c>
      <c r="N1441" s="62">
        <v>31</v>
      </c>
      <c r="O1441" s="62"/>
      <c r="Q1441" s="28">
        <v>268</v>
      </c>
      <c r="AE1441" s="378"/>
    </row>
    <row r="1442" spans="1:31" hidden="1">
      <c r="A1442" s="28" t="s">
        <v>1887</v>
      </c>
      <c r="B1442" s="62" t="s">
        <v>1810</v>
      </c>
      <c r="C1442" s="28">
        <v>657</v>
      </c>
      <c r="D1442" s="28">
        <v>585</v>
      </c>
      <c r="E1442" s="28">
        <v>567</v>
      </c>
      <c r="F1442" s="28">
        <v>461</v>
      </c>
      <c r="G1442" s="28">
        <v>259</v>
      </c>
      <c r="H1442" s="28">
        <v>90</v>
      </c>
      <c r="I1442" s="28">
        <v>35</v>
      </c>
      <c r="J1442" s="28">
        <v>45</v>
      </c>
      <c r="K1442" s="28">
        <v>124</v>
      </c>
      <c r="L1442" s="28">
        <v>330</v>
      </c>
      <c r="M1442" s="28">
        <v>540</v>
      </c>
      <c r="N1442" s="62">
        <v>620</v>
      </c>
      <c r="O1442" s="62"/>
      <c r="Q1442" s="28">
        <v>4313</v>
      </c>
      <c r="AE1442" s="378"/>
    </row>
    <row r="1443" spans="1:31" hidden="1">
      <c r="B1443" s="62"/>
      <c r="N1443" s="62"/>
      <c r="O1443" s="62"/>
      <c r="AE1443" s="378"/>
    </row>
    <row r="1444" spans="1:31" hidden="1">
      <c r="B1444" s="62"/>
      <c r="N1444" s="62"/>
      <c r="O1444" s="62"/>
      <c r="AE1444" s="378"/>
    </row>
    <row r="1445" spans="1:31" hidden="1">
      <c r="B1445" s="62"/>
      <c r="N1445" s="62"/>
      <c r="O1445" s="62"/>
      <c r="AE1445" s="378"/>
    </row>
    <row r="1446" spans="1:31" ht="7.9" hidden="1" customHeight="1"/>
    <row r="1447" spans="1:31" ht="7.9" hidden="1" customHeight="1"/>
    <row r="1448" spans="1:31" ht="7.9" hidden="1" customHeight="1"/>
    <row r="1449" spans="1:31" ht="7.9" hidden="1" customHeight="1"/>
    <row r="1450" spans="1:31" ht="7.9" hidden="1" customHeight="1"/>
    <row r="1451" spans="1:31" s="34" customFormat="1" ht="15.75" hidden="1">
      <c r="A1451" s="61">
        <v>58</v>
      </c>
      <c r="B1451" s="129"/>
      <c r="C1451" s="129" t="s">
        <v>706</v>
      </c>
      <c r="D1451" s="129"/>
      <c r="E1451" s="130"/>
      <c r="F1451" s="130" t="s">
        <v>352</v>
      </c>
      <c r="G1451" s="129">
        <v>437</v>
      </c>
      <c r="H1451" s="131" t="s">
        <v>353</v>
      </c>
      <c r="I1451" s="129"/>
      <c r="J1451" s="129"/>
      <c r="K1451" s="130" t="s">
        <v>354</v>
      </c>
      <c r="L1451" s="131">
        <v>3</v>
      </c>
      <c r="M1451" s="129" t="s">
        <v>355</v>
      </c>
      <c r="N1451" s="131" t="s">
        <v>1583</v>
      </c>
      <c r="O1451" s="130"/>
      <c r="P1451" s="130" t="s">
        <v>357</v>
      </c>
      <c r="Q1451" s="129">
        <v>-8</v>
      </c>
      <c r="R1451" s="131" t="s">
        <v>2324</v>
      </c>
      <c r="S1451" s="28"/>
      <c r="T1451" s="28"/>
      <c r="U1451" s="378"/>
      <c r="V1451" s="368"/>
      <c r="W1451" s="368"/>
      <c r="X1451" s="368"/>
      <c r="Y1451" s="368"/>
      <c r="Z1451" s="368"/>
      <c r="AA1451" s="368"/>
      <c r="AB1451" s="368"/>
      <c r="AC1451" s="368"/>
      <c r="AD1451" s="368"/>
      <c r="AE1451" s="510"/>
    </row>
    <row r="1452" spans="1:31" hidden="1">
      <c r="B1452" s="62"/>
      <c r="N1452" s="62"/>
      <c r="O1452" s="62"/>
      <c r="P1452" s="53"/>
      <c r="Q1452" s="45"/>
      <c r="R1452" s="45"/>
    </row>
    <row r="1453" spans="1:31" s="34" customFormat="1" hidden="1">
      <c r="B1453" s="65"/>
      <c r="C1453" s="95" t="s">
        <v>489</v>
      </c>
      <c r="D1453" s="95" t="s">
        <v>490</v>
      </c>
      <c r="E1453" s="95" t="s">
        <v>491</v>
      </c>
      <c r="F1453" s="95" t="s">
        <v>492</v>
      </c>
      <c r="G1453" s="95" t="s">
        <v>493</v>
      </c>
      <c r="H1453" s="95" t="s">
        <v>494</v>
      </c>
      <c r="I1453" s="95" t="s">
        <v>495</v>
      </c>
      <c r="J1453" s="95" t="s">
        <v>496</v>
      </c>
      <c r="K1453" s="95" t="s">
        <v>497</v>
      </c>
      <c r="L1453" s="95" t="s">
        <v>498</v>
      </c>
      <c r="M1453" s="95" t="s">
        <v>499</v>
      </c>
      <c r="N1453" s="126" t="s">
        <v>500</v>
      </c>
      <c r="O1453" s="126" t="s">
        <v>501</v>
      </c>
      <c r="P1453" s="132"/>
      <c r="Q1453" s="133"/>
      <c r="R1453" s="133"/>
      <c r="S1453" s="28"/>
      <c r="T1453" s="28"/>
      <c r="U1453" s="378"/>
      <c r="V1453" s="368"/>
      <c r="W1453" s="368"/>
      <c r="X1453" s="368"/>
      <c r="Y1453" s="368"/>
      <c r="Z1453" s="368"/>
      <c r="AA1453" s="368"/>
      <c r="AB1453" s="368"/>
      <c r="AC1453" s="368"/>
      <c r="AD1453" s="368"/>
      <c r="AE1453" s="510"/>
    </row>
    <row r="1454" spans="1:31" hidden="1">
      <c r="B1454" s="62"/>
      <c r="N1454" s="62"/>
      <c r="O1454" s="62"/>
    </row>
    <row r="1455" spans="1:31" hidden="1">
      <c r="A1455" s="28" t="s">
        <v>1209</v>
      </c>
      <c r="B1455" s="62" t="s">
        <v>2324</v>
      </c>
      <c r="C1455" s="28">
        <v>0.1</v>
      </c>
      <c r="D1455" s="28">
        <v>1.3</v>
      </c>
      <c r="E1455" s="28">
        <v>5.4</v>
      </c>
      <c r="F1455" s="28">
        <v>8.6999999999999993</v>
      </c>
      <c r="G1455" s="28">
        <v>13.8</v>
      </c>
      <c r="H1455" s="28">
        <v>16.5</v>
      </c>
      <c r="I1455" s="28">
        <v>18.7</v>
      </c>
      <c r="J1455" s="28">
        <v>18.600000000000001</v>
      </c>
      <c r="K1455" s="28">
        <v>14.1</v>
      </c>
      <c r="L1455" s="28">
        <v>9.6</v>
      </c>
      <c r="M1455" s="28">
        <v>4.0999999999999996</v>
      </c>
      <c r="N1455" s="62">
        <v>1.5</v>
      </c>
      <c r="O1455" s="62">
        <v>9.4</v>
      </c>
    </row>
    <row r="1456" spans="1:31" hidden="1">
      <c r="B1456" s="62"/>
      <c r="N1456" s="62"/>
      <c r="O1456" s="62"/>
    </row>
    <row r="1457" spans="1:31" ht="12.6" hidden="1" customHeight="1">
      <c r="A1457" s="28" t="s">
        <v>1210</v>
      </c>
      <c r="B1457" s="62" t="s">
        <v>804</v>
      </c>
      <c r="C1457" s="28">
        <v>96</v>
      </c>
      <c r="D1457" s="28">
        <v>162</v>
      </c>
      <c r="E1457" s="28">
        <v>305</v>
      </c>
      <c r="F1457" s="28">
        <v>417</v>
      </c>
      <c r="G1457" s="28">
        <v>554</v>
      </c>
      <c r="H1457" s="28">
        <v>594</v>
      </c>
      <c r="I1457" s="28">
        <v>611</v>
      </c>
      <c r="J1457" s="28">
        <v>530</v>
      </c>
      <c r="K1457" s="28">
        <v>358</v>
      </c>
      <c r="L1457" s="28">
        <v>206</v>
      </c>
      <c r="M1457" s="28">
        <v>101</v>
      </c>
      <c r="N1457" s="62">
        <v>75</v>
      </c>
      <c r="O1457" s="62">
        <v>4010</v>
      </c>
      <c r="AE1457" s="378"/>
    </row>
    <row r="1458" spans="1:31" ht="12.6" hidden="1" customHeight="1">
      <c r="A1458" s="28" t="s">
        <v>1211</v>
      </c>
      <c r="B1458" s="62" t="s">
        <v>804</v>
      </c>
      <c r="C1458" s="28">
        <v>139</v>
      </c>
      <c r="D1458" s="28">
        <v>210</v>
      </c>
      <c r="E1458" s="28">
        <v>297</v>
      </c>
      <c r="F1458" s="28">
        <v>290</v>
      </c>
      <c r="G1458" s="28">
        <v>295</v>
      </c>
      <c r="H1458" s="28">
        <v>280</v>
      </c>
      <c r="I1458" s="28">
        <v>308</v>
      </c>
      <c r="J1458" s="28">
        <v>343</v>
      </c>
      <c r="K1458" s="28">
        <v>314</v>
      </c>
      <c r="L1458" s="28">
        <v>236</v>
      </c>
      <c r="M1458" s="28">
        <v>130</v>
      </c>
      <c r="N1458" s="62">
        <v>110</v>
      </c>
      <c r="O1458" s="62">
        <v>2952</v>
      </c>
      <c r="AE1458" s="378"/>
    </row>
    <row r="1459" spans="1:31" ht="12.6" hidden="1" customHeight="1">
      <c r="A1459" s="28" t="s">
        <v>1212</v>
      </c>
      <c r="B1459" s="62" t="s">
        <v>804</v>
      </c>
      <c r="C1459" s="28">
        <v>59</v>
      </c>
      <c r="D1459" s="28">
        <v>102</v>
      </c>
      <c r="E1459" s="28">
        <v>187</v>
      </c>
      <c r="F1459" s="28">
        <v>246</v>
      </c>
      <c r="G1459" s="28">
        <v>316</v>
      </c>
      <c r="H1459" s="28">
        <v>334</v>
      </c>
      <c r="I1459" s="28">
        <v>354</v>
      </c>
      <c r="J1459" s="28">
        <v>313</v>
      </c>
      <c r="K1459" s="28">
        <v>207</v>
      </c>
      <c r="L1459" s="28">
        <v>110</v>
      </c>
      <c r="M1459" s="28">
        <v>57</v>
      </c>
      <c r="N1459" s="62">
        <v>46</v>
      </c>
      <c r="O1459" s="62">
        <v>2331</v>
      </c>
      <c r="AE1459" s="378"/>
    </row>
    <row r="1460" spans="1:31" ht="12.6" hidden="1" customHeight="1">
      <c r="A1460" s="28" t="s">
        <v>1213</v>
      </c>
      <c r="B1460" s="62" t="s">
        <v>804</v>
      </c>
      <c r="C1460" s="28">
        <v>59</v>
      </c>
      <c r="D1460" s="28">
        <v>99</v>
      </c>
      <c r="E1460" s="28">
        <v>161</v>
      </c>
      <c r="F1460" s="28">
        <v>202</v>
      </c>
      <c r="G1460" s="28">
        <v>268</v>
      </c>
      <c r="H1460" s="28">
        <v>288</v>
      </c>
      <c r="I1460" s="28">
        <v>300</v>
      </c>
      <c r="J1460" s="28">
        <v>260</v>
      </c>
      <c r="K1460" s="28">
        <v>184</v>
      </c>
      <c r="L1460" s="28">
        <v>121</v>
      </c>
      <c r="M1460" s="28">
        <v>57</v>
      </c>
      <c r="N1460" s="62">
        <v>43</v>
      </c>
      <c r="O1460" s="62">
        <v>2041</v>
      </c>
      <c r="AE1460" s="378"/>
    </row>
    <row r="1461" spans="1:31" ht="12.6" hidden="1" customHeight="1">
      <c r="A1461" s="28" t="s">
        <v>1214</v>
      </c>
      <c r="B1461" s="62" t="s">
        <v>804</v>
      </c>
      <c r="C1461" s="28">
        <v>40</v>
      </c>
      <c r="D1461" s="28">
        <v>58</v>
      </c>
      <c r="E1461" s="28">
        <v>91</v>
      </c>
      <c r="F1461" s="28">
        <v>117</v>
      </c>
      <c r="G1461" s="28">
        <v>158</v>
      </c>
      <c r="H1461" s="28">
        <v>179</v>
      </c>
      <c r="I1461" s="28">
        <v>174</v>
      </c>
      <c r="J1461" s="28">
        <v>139</v>
      </c>
      <c r="K1461" s="28">
        <v>96</v>
      </c>
      <c r="L1461" s="28">
        <v>64</v>
      </c>
      <c r="M1461" s="28">
        <v>36</v>
      </c>
      <c r="N1461" s="62">
        <v>29</v>
      </c>
      <c r="O1461" s="62">
        <v>1182</v>
      </c>
      <c r="AE1461" s="378"/>
    </row>
    <row r="1462" spans="1:31" hidden="1">
      <c r="B1462" s="62"/>
      <c r="N1462" s="62"/>
      <c r="O1462" s="62"/>
      <c r="AE1462" s="378"/>
    </row>
    <row r="1463" spans="1:31" hidden="1">
      <c r="B1463" s="62"/>
      <c r="N1463" s="62"/>
      <c r="O1463" s="62"/>
      <c r="AE1463" s="378"/>
    </row>
    <row r="1464" spans="1:31" hidden="1">
      <c r="B1464" s="62"/>
      <c r="N1464" s="62"/>
      <c r="O1464" s="62"/>
      <c r="AE1464" s="378"/>
    </row>
    <row r="1465" spans="1:31" hidden="1">
      <c r="B1465" s="62"/>
      <c r="N1465" s="62"/>
      <c r="O1465" s="62"/>
      <c r="AE1465" s="378"/>
    </row>
    <row r="1466" spans="1:31" hidden="1">
      <c r="A1466" s="28" t="s">
        <v>1886</v>
      </c>
      <c r="B1466" s="62" t="s">
        <v>1808</v>
      </c>
      <c r="C1466" s="28">
        <v>31</v>
      </c>
      <c r="D1466" s="28">
        <v>28</v>
      </c>
      <c r="E1466" s="28">
        <v>31</v>
      </c>
      <c r="F1466" s="28">
        <v>23</v>
      </c>
      <c r="G1466" s="28">
        <v>15</v>
      </c>
      <c r="H1466" s="28">
        <v>4</v>
      </c>
      <c r="I1466" s="28">
        <v>2</v>
      </c>
      <c r="J1466" s="28">
        <v>2</v>
      </c>
      <c r="K1466" s="28">
        <v>8</v>
      </c>
      <c r="L1466" s="28">
        <v>23</v>
      </c>
      <c r="M1466" s="28">
        <v>29</v>
      </c>
      <c r="N1466" s="62">
        <v>31</v>
      </c>
      <c r="O1466" s="62"/>
      <c r="Q1466" s="28">
        <v>227</v>
      </c>
      <c r="AE1466" s="378"/>
    </row>
    <row r="1467" spans="1:31" hidden="1">
      <c r="A1467" s="28" t="s">
        <v>1887</v>
      </c>
      <c r="B1467" s="62" t="s">
        <v>1810</v>
      </c>
      <c r="C1467" s="28">
        <v>617</v>
      </c>
      <c r="D1467" s="28">
        <v>524</v>
      </c>
      <c r="E1467" s="28">
        <v>453</v>
      </c>
      <c r="F1467" s="28">
        <v>260</v>
      </c>
      <c r="G1467" s="28">
        <v>93</v>
      </c>
      <c r="H1467" s="28">
        <v>14</v>
      </c>
      <c r="I1467" s="28">
        <v>3</v>
      </c>
      <c r="J1467" s="28">
        <v>3</v>
      </c>
      <c r="K1467" s="28">
        <v>47</v>
      </c>
      <c r="L1467" s="28">
        <v>239</v>
      </c>
      <c r="M1467" s="28">
        <v>461</v>
      </c>
      <c r="N1467" s="62">
        <v>574</v>
      </c>
      <c r="O1467" s="62"/>
      <c r="Q1467" s="28">
        <v>3288</v>
      </c>
      <c r="AE1467" s="378"/>
    </row>
    <row r="1468" spans="1:31" hidden="1">
      <c r="B1468" s="62"/>
      <c r="N1468" s="62"/>
      <c r="O1468" s="62"/>
      <c r="AE1468" s="378"/>
    </row>
    <row r="1469" spans="1:31" hidden="1">
      <c r="B1469" s="62"/>
      <c r="N1469" s="62"/>
      <c r="O1469" s="62"/>
      <c r="AE1469" s="378"/>
    </row>
    <row r="1470" spans="1:31" hidden="1">
      <c r="B1470" s="62"/>
      <c r="N1470" s="62"/>
      <c r="O1470" s="62"/>
      <c r="AE1470" s="378"/>
    </row>
    <row r="1471" spans="1:31" ht="7.9" hidden="1" customHeight="1"/>
    <row r="1472" spans="1:31" ht="7.9" hidden="1" customHeight="1"/>
    <row r="1473" spans="1:31" ht="7.9" hidden="1" customHeight="1"/>
    <row r="1474" spans="1:31" ht="7.9" hidden="1" customHeight="1"/>
    <row r="1475" spans="1:31" ht="7.9" hidden="1" customHeight="1"/>
    <row r="1476" spans="1:31" s="34" customFormat="1" ht="15.75" hidden="1">
      <c r="A1476" s="61">
        <v>59</v>
      </c>
      <c r="B1476" s="129"/>
      <c r="C1476" s="129" t="s">
        <v>707</v>
      </c>
      <c r="D1476" s="129"/>
      <c r="E1476" s="130"/>
      <c r="F1476" s="130" t="s">
        <v>352</v>
      </c>
      <c r="G1476" s="129">
        <v>381</v>
      </c>
      <c r="H1476" s="131" t="s">
        <v>353</v>
      </c>
      <c r="I1476" s="129"/>
      <c r="J1476" s="129"/>
      <c r="K1476" s="130" t="s">
        <v>354</v>
      </c>
      <c r="L1476" s="131">
        <v>8</v>
      </c>
      <c r="M1476" s="129" t="s">
        <v>355</v>
      </c>
      <c r="N1476" s="131" t="s">
        <v>1585</v>
      </c>
      <c r="O1476" s="130"/>
      <c r="P1476" s="130" t="s">
        <v>357</v>
      </c>
      <c r="Q1476" s="129">
        <v>-6</v>
      </c>
      <c r="R1476" s="131" t="s">
        <v>2324</v>
      </c>
      <c r="S1476" s="28"/>
      <c r="T1476" s="28"/>
      <c r="U1476" s="378"/>
      <c r="V1476" s="368"/>
      <c r="W1476" s="368"/>
      <c r="X1476" s="368"/>
      <c r="Y1476" s="368"/>
      <c r="Z1476" s="368"/>
      <c r="AA1476" s="368"/>
      <c r="AB1476" s="368"/>
      <c r="AC1476" s="368"/>
      <c r="AD1476" s="368"/>
      <c r="AE1476" s="510"/>
    </row>
    <row r="1477" spans="1:31" hidden="1">
      <c r="B1477" s="62"/>
      <c r="N1477" s="62"/>
      <c r="O1477" s="62"/>
      <c r="P1477" s="53"/>
      <c r="Q1477" s="45"/>
      <c r="R1477" s="45"/>
    </row>
    <row r="1478" spans="1:31" s="34" customFormat="1" hidden="1">
      <c r="B1478" s="65"/>
      <c r="C1478" s="95" t="s">
        <v>489</v>
      </c>
      <c r="D1478" s="95" t="s">
        <v>490</v>
      </c>
      <c r="E1478" s="95" t="s">
        <v>491</v>
      </c>
      <c r="F1478" s="95" t="s">
        <v>492</v>
      </c>
      <c r="G1478" s="95" t="s">
        <v>493</v>
      </c>
      <c r="H1478" s="95" t="s">
        <v>494</v>
      </c>
      <c r="I1478" s="95" t="s">
        <v>495</v>
      </c>
      <c r="J1478" s="95" t="s">
        <v>496</v>
      </c>
      <c r="K1478" s="95" t="s">
        <v>497</v>
      </c>
      <c r="L1478" s="95" t="s">
        <v>498</v>
      </c>
      <c r="M1478" s="95" t="s">
        <v>499</v>
      </c>
      <c r="N1478" s="126" t="s">
        <v>500</v>
      </c>
      <c r="O1478" s="126" t="s">
        <v>501</v>
      </c>
      <c r="P1478" s="132"/>
      <c r="Q1478" s="133"/>
      <c r="R1478" s="133"/>
      <c r="S1478" s="28"/>
      <c r="T1478" s="28"/>
      <c r="U1478" s="378"/>
      <c r="V1478" s="368"/>
      <c r="W1478" s="368"/>
      <c r="X1478" s="368"/>
      <c r="Y1478" s="368"/>
      <c r="Z1478" s="368"/>
      <c r="AA1478" s="368"/>
      <c r="AB1478" s="368"/>
      <c r="AC1478" s="368"/>
      <c r="AD1478" s="368"/>
      <c r="AE1478" s="510"/>
    </row>
    <row r="1479" spans="1:31" hidden="1">
      <c r="B1479" s="62"/>
      <c r="N1479" s="62"/>
      <c r="O1479" s="62"/>
    </row>
    <row r="1480" spans="1:31" hidden="1">
      <c r="A1480" s="28" t="s">
        <v>1209</v>
      </c>
      <c r="B1480" s="62" t="s">
        <v>2324</v>
      </c>
      <c r="C1480" s="28">
        <v>1.1000000000000001</v>
      </c>
      <c r="D1480" s="28">
        <v>2.5</v>
      </c>
      <c r="E1480" s="28">
        <v>6.2</v>
      </c>
      <c r="F1480" s="28">
        <v>9.3000000000000007</v>
      </c>
      <c r="G1480" s="28">
        <v>14.1</v>
      </c>
      <c r="H1480" s="28">
        <v>16.899999999999999</v>
      </c>
      <c r="I1480" s="28">
        <v>19.100000000000001</v>
      </c>
      <c r="J1480" s="28">
        <v>18.899999999999999</v>
      </c>
      <c r="K1480" s="28">
        <v>14.6</v>
      </c>
      <c r="L1480" s="28">
        <v>10.5</v>
      </c>
      <c r="M1480" s="28">
        <v>5.0999999999999996</v>
      </c>
      <c r="N1480" s="62">
        <v>2.2999999999999998</v>
      </c>
      <c r="O1480" s="62">
        <v>10.1</v>
      </c>
    </row>
    <row r="1481" spans="1:31" hidden="1">
      <c r="B1481" s="62"/>
      <c r="N1481" s="62"/>
      <c r="O1481" s="62"/>
    </row>
    <row r="1482" spans="1:31" ht="12.6" hidden="1" customHeight="1">
      <c r="A1482" s="28" t="s">
        <v>1210</v>
      </c>
      <c r="B1482" s="62" t="s">
        <v>804</v>
      </c>
      <c r="C1482" s="28">
        <v>139</v>
      </c>
      <c r="D1482" s="28">
        <v>201</v>
      </c>
      <c r="E1482" s="28">
        <v>362</v>
      </c>
      <c r="F1482" s="28">
        <v>456</v>
      </c>
      <c r="G1482" s="28">
        <v>570</v>
      </c>
      <c r="H1482" s="28">
        <v>599</v>
      </c>
      <c r="I1482" s="28">
        <v>632</v>
      </c>
      <c r="J1482" s="28">
        <v>549</v>
      </c>
      <c r="K1482" s="28">
        <v>394</v>
      </c>
      <c r="L1482" s="28">
        <v>262</v>
      </c>
      <c r="M1482" s="28">
        <v>145</v>
      </c>
      <c r="N1482" s="62">
        <v>112</v>
      </c>
      <c r="O1482" s="62">
        <v>4422</v>
      </c>
      <c r="AE1482" s="378"/>
    </row>
    <row r="1483" spans="1:31" ht="12.6" hidden="1" customHeight="1">
      <c r="A1483" s="28" t="s">
        <v>1211</v>
      </c>
      <c r="B1483" s="62" t="s">
        <v>804</v>
      </c>
      <c r="C1483" s="28">
        <v>238</v>
      </c>
      <c r="D1483" s="28">
        <v>273</v>
      </c>
      <c r="E1483" s="28">
        <v>354</v>
      </c>
      <c r="F1483" s="28">
        <v>308</v>
      </c>
      <c r="G1483" s="28">
        <v>295</v>
      </c>
      <c r="H1483" s="28">
        <v>270</v>
      </c>
      <c r="I1483" s="28">
        <v>305</v>
      </c>
      <c r="J1483" s="28">
        <v>340</v>
      </c>
      <c r="K1483" s="28">
        <v>340</v>
      </c>
      <c r="L1483" s="28">
        <v>316</v>
      </c>
      <c r="M1483" s="28">
        <v>220</v>
      </c>
      <c r="N1483" s="62">
        <v>196</v>
      </c>
      <c r="O1483" s="62">
        <v>3455</v>
      </c>
      <c r="AE1483" s="378"/>
    </row>
    <row r="1484" spans="1:31" ht="12.6" hidden="1" customHeight="1">
      <c r="A1484" s="28" t="s">
        <v>1212</v>
      </c>
      <c r="B1484" s="62" t="s">
        <v>804</v>
      </c>
      <c r="C1484" s="28">
        <v>94</v>
      </c>
      <c r="D1484" s="28">
        <v>128</v>
      </c>
      <c r="E1484" s="28">
        <v>212</v>
      </c>
      <c r="F1484" s="28">
        <v>249</v>
      </c>
      <c r="G1484" s="28">
        <v>303</v>
      </c>
      <c r="H1484" s="28">
        <v>321</v>
      </c>
      <c r="I1484" s="28">
        <v>332</v>
      </c>
      <c r="J1484" s="28">
        <v>308</v>
      </c>
      <c r="K1484" s="28">
        <v>228</v>
      </c>
      <c r="L1484" s="28">
        <v>161</v>
      </c>
      <c r="M1484" s="28">
        <v>91</v>
      </c>
      <c r="N1484" s="62">
        <v>72</v>
      </c>
      <c r="O1484" s="62">
        <v>2498</v>
      </c>
      <c r="AE1484" s="378"/>
    </row>
    <row r="1485" spans="1:31" ht="12.6" hidden="1" customHeight="1">
      <c r="A1485" s="28" t="s">
        <v>1213</v>
      </c>
      <c r="B1485" s="62" t="s">
        <v>804</v>
      </c>
      <c r="C1485" s="28">
        <v>75</v>
      </c>
      <c r="D1485" s="28">
        <v>109</v>
      </c>
      <c r="E1485" s="28">
        <v>185</v>
      </c>
      <c r="F1485" s="28">
        <v>210</v>
      </c>
      <c r="G1485" s="28">
        <v>244</v>
      </c>
      <c r="H1485" s="28">
        <v>259</v>
      </c>
      <c r="I1485" s="28">
        <v>279</v>
      </c>
      <c r="J1485" s="28">
        <v>249</v>
      </c>
      <c r="K1485" s="28">
        <v>194</v>
      </c>
      <c r="L1485" s="28">
        <v>131</v>
      </c>
      <c r="M1485" s="28">
        <v>70</v>
      </c>
      <c r="N1485" s="62">
        <v>54</v>
      </c>
      <c r="O1485" s="62">
        <v>2058</v>
      </c>
      <c r="AE1485" s="378"/>
    </row>
    <row r="1486" spans="1:31" ht="12.6" hidden="1" customHeight="1">
      <c r="A1486" s="28" t="s">
        <v>1214</v>
      </c>
      <c r="B1486" s="62" t="s">
        <v>804</v>
      </c>
      <c r="C1486" s="28">
        <v>48</v>
      </c>
      <c r="D1486" s="28">
        <v>60</v>
      </c>
      <c r="E1486" s="28">
        <v>94</v>
      </c>
      <c r="F1486" s="28">
        <v>114</v>
      </c>
      <c r="G1486" s="28">
        <v>147</v>
      </c>
      <c r="H1486" s="28">
        <v>163</v>
      </c>
      <c r="I1486" s="28">
        <v>158</v>
      </c>
      <c r="J1486" s="28">
        <v>131</v>
      </c>
      <c r="K1486" s="28">
        <v>98</v>
      </c>
      <c r="L1486" s="28">
        <v>70</v>
      </c>
      <c r="M1486" s="28">
        <v>44</v>
      </c>
      <c r="N1486" s="62">
        <v>37</v>
      </c>
      <c r="O1486" s="62">
        <v>1166</v>
      </c>
      <c r="AE1486" s="378"/>
    </row>
    <row r="1487" spans="1:31" hidden="1">
      <c r="B1487" s="62"/>
      <c r="N1487" s="62"/>
      <c r="O1487" s="62"/>
      <c r="AE1487" s="378"/>
    </row>
    <row r="1488" spans="1:31" hidden="1">
      <c r="B1488" s="62"/>
      <c r="N1488" s="62"/>
      <c r="O1488" s="62"/>
      <c r="AE1488" s="378"/>
    </row>
    <row r="1489" spans="1:31" hidden="1">
      <c r="B1489" s="62"/>
      <c r="N1489" s="62"/>
      <c r="O1489" s="62"/>
      <c r="AE1489" s="378"/>
    </row>
    <row r="1490" spans="1:31" hidden="1">
      <c r="B1490" s="62"/>
      <c r="N1490" s="62"/>
      <c r="O1490" s="62"/>
      <c r="AE1490" s="378"/>
    </row>
    <row r="1491" spans="1:31" hidden="1">
      <c r="A1491" s="28" t="s">
        <v>1886</v>
      </c>
      <c r="B1491" s="62" t="s">
        <v>1808</v>
      </c>
      <c r="C1491" s="28">
        <v>31</v>
      </c>
      <c r="D1491" s="28">
        <v>28</v>
      </c>
      <c r="E1491" s="28">
        <v>31</v>
      </c>
      <c r="F1491" s="28">
        <v>23</v>
      </c>
      <c r="G1491" s="28">
        <v>10</v>
      </c>
      <c r="H1491" s="28">
        <v>2</v>
      </c>
      <c r="I1491" s="28">
        <v>0</v>
      </c>
      <c r="J1491" s="28">
        <v>0</v>
      </c>
      <c r="K1491" s="28">
        <v>4</v>
      </c>
      <c r="L1491" s="28">
        <v>17</v>
      </c>
      <c r="M1491" s="28">
        <v>29</v>
      </c>
      <c r="N1491" s="62">
        <v>31</v>
      </c>
      <c r="O1491" s="62"/>
      <c r="Q1491" s="28">
        <v>206</v>
      </c>
      <c r="AE1491" s="378"/>
    </row>
    <row r="1492" spans="1:31" hidden="1">
      <c r="A1492" s="28" t="s">
        <v>1887</v>
      </c>
      <c r="B1492" s="62" t="s">
        <v>1810</v>
      </c>
      <c r="C1492" s="28">
        <v>586</v>
      </c>
      <c r="D1492" s="28">
        <v>490</v>
      </c>
      <c r="E1492" s="28">
        <v>428</v>
      </c>
      <c r="F1492" s="28">
        <v>246</v>
      </c>
      <c r="G1492" s="28">
        <v>59</v>
      </c>
      <c r="H1492" s="28">
        <v>6</v>
      </c>
      <c r="I1492" s="28">
        <v>0</v>
      </c>
      <c r="J1492" s="28">
        <v>0</v>
      </c>
      <c r="K1492" s="28">
        <v>22</v>
      </c>
      <c r="L1492" s="28">
        <v>162</v>
      </c>
      <c r="M1492" s="28">
        <v>432</v>
      </c>
      <c r="N1492" s="62">
        <v>549</v>
      </c>
      <c r="O1492" s="62"/>
      <c r="Q1492" s="28">
        <v>2980</v>
      </c>
      <c r="AE1492" s="378"/>
    </row>
    <row r="1493" spans="1:31" hidden="1">
      <c r="B1493" s="62"/>
      <c r="N1493" s="62"/>
      <c r="O1493" s="62"/>
      <c r="AE1493" s="378"/>
    </row>
    <row r="1494" spans="1:31" hidden="1">
      <c r="B1494" s="62"/>
      <c r="N1494" s="62"/>
      <c r="O1494" s="62"/>
      <c r="AE1494" s="378"/>
    </row>
    <row r="1495" spans="1:31" hidden="1">
      <c r="B1495" s="62"/>
      <c r="N1495" s="62"/>
      <c r="O1495" s="62"/>
      <c r="AE1495" s="378"/>
    </row>
    <row r="1496" spans="1:31" ht="7.9" hidden="1" customHeight="1"/>
    <row r="1497" spans="1:31" ht="7.9" hidden="1" customHeight="1"/>
    <row r="1498" spans="1:31" ht="7.9" hidden="1" customHeight="1"/>
    <row r="1499" spans="1:31" ht="7.9" hidden="1" customHeight="1"/>
    <row r="1500" spans="1:31" ht="7.9" hidden="1" customHeight="1"/>
    <row r="1501" spans="1:31" s="34" customFormat="1" ht="15.75" hidden="1">
      <c r="A1501" s="61">
        <v>60</v>
      </c>
      <c r="B1501" s="129"/>
      <c r="C1501" s="129" t="s">
        <v>708</v>
      </c>
      <c r="D1501" s="129"/>
      <c r="E1501" s="130"/>
      <c r="F1501" s="130" t="s">
        <v>352</v>
      </c>
      <c r="G1501" s="129">
        <v>565</v>
      </c>
      <c r="H1501" s="131" t="s">
        <v>353</v>
      </c>
      <c r="I1501" s="129"/>
      <c r="J1501" s="129"/>
      <c r="K1501" s="130" t="s">
        <v>354</v>
      </c>
      <c r="L1501" s="131">
        <v>4</v>
      </c>
      <c r="M1501" s="129" t="s">
        <v>355</v>
      </c>
      <c r="N1501" s="131" t="s">
        <v>1585</v>
      </c>
      <c r="O1501" s="130"/>
      <c r="P1501" s="130" t="s">
        <v>357</v>
      </c>
      <c r="Q1501" s="129">
        <v>-7</v>
      </c>
      <c r="R1501" s="131" t="s">
        <v>2324</v>
      </c>
      <c r="S1501" s="28"/>
      <c r="T1501" s="28"/>
      <c r="U1501" s="378"/>
      <c r="V1501" s="368"/>
      <c r="W1501" s="368"/>
      <c r="X1501" s="368"/>
      <c r="Y1501" s="368"/>
      <c r="Z1501" s="368"/>
      <c r="AA1501" s="368"/>
      <c r="AB1501" s="368"/>
      <c r="AC1501" s="368"/>
      <c r="AD1501" s="368"/>
      <c r="AE1501" s="510"/>
    </row>
    <row r="1502" spans="1:31" hidden="1">
      <c r="B1502" s="62"/>
      <c r="N1502" s="62"/>
      <c r="O1502" s="62"/>
      <c r="P1502" s="53"/>
      <c r="Q1502" s="45"/>
      <c r="R1502" s="45"/>
    </row>
    <row r="1503" spans="1:31" s="34" customFormat="1" hidden="1">
      <c r="B1503" s="65"/>
      <c r="C1503" s="95" t="s">
        <v>489</v>
      </c>
      <c r="D1503" s="95" t="s">
        <v>490</v>
      </c>
      <c r="E1503" s="95" t="s">
        <v>491</v>
      </c>
      <c r="F1503" s="95" t="s">
        <v>492</v>
      </c>
      <c r="G1503" s="95" t="s">
        <v>493</v>
      </c>
      <c r="H1503" s="95" t="s">
        <v>494</v>
      </c>
      <c r="I1503" s="95" t="s">
        <v>495</v>
      </c>
      <c r="J1503" s="95" t="s">
        <v>496</v>
      </c>
      <c r="K1503" s="95" t="s">
        <v>497</v>
      </c>
      <c r="L1503" s="95" t="s">
        <v>498</v>
      </c>
      <c r="M1503" s="95" t="s">
        <v>499</v>
      </c>
      <c r="N1503" s="126" t="s">
        <v>500</v>
      </c>
      <c r="O1503" s="126" t="s">
        <v>501</v>
      </c>
      <c r="P1503" s="132"/>
      <c r="Q1503" s="133"/>
      <c r="R1503" s="133"/>
      <c r="S1503" s="28"/>
      <c r="T1503" s="28"/>
      <c r="U1503" s="378"/>
      <c r="V1503" s="368"/>
      <c r="W1503" s="368"/>
      <c r="X1503" s="368"/>
      <c r="Y1503" s="368"/>
      <c r="Z1503" s="368"/>
      <c r="AA1503" s="368"/>
      <c r="AB1503" s="368"/>
      <c r="AC1503" s="368"/>
      <c r="AD1503" s="368"/>
      <c r="AE1503" s="510"/>
    </row>
    <row r="1504" spans="1:31" hidden="1">
      <c r="B1504" s="62"/>
      <c r="N1504" s="62"/>
      <c r="O1504" s="62"/>
    </row>
    <row r="1505" spans="1:31" hidden="1">
      <c r="A1505" s="28" t="s">
        <v>1209</v>
      </c>
      <c r="B1505" s="62" t="s">
        <v>2324</v>
      </c>
      <c r="C1505" s="28">
        <v>-0.1</v>
      </c>
      <c r="D1505" s="28">
        <v>1.3</v>
      </c>
      <c r="E1505" s="28">
        <v>5.3</v>
      </c>
      <c r="F1505" s="28">
        <v>8.1</v>
      </c>
      <c r="G1505" s="28">
        <v>13.2</v>
      </c>
      <c r="H1505" s="28">
        <v>16.100000000000001</v>
      </c>
      <c r="I1505" s="28">
        <v>18.399999999999999</v>
      </c>
      <c r="J1505" s="28">
        <v>18.399999999999999</v>
      </c>
      <c r="K1505" s="28">
        <v>13.9</v>
      </c>
      <c r="L1505" s="28">
        <v>9.6</v>
      </c>
      <c r="M1505" s="28">
        <v>3.9</v>
      </c>
      <c r="N1505" s="62">
        <v>1.2</v>
      </c>
      <c r="O1505" s="62">
        <v>9.1</v>
      </c>
    </row>
    <row r="1506" spans="1:31" hidden="1">
      <c r="B1506" s="62"/>
      <c r="N1506" s="62"/>
      <c r="O1506" s="62"/>
    </row>
    <row r="1507" spans="1:31" ht="12.6" hidden="1" customHeight="1">
      <c r="A1507" s="28" t="s">
        <v>1210</v>
      </c>
      <c r="B1507" s="62" t="s">
        <v>804</v>
      </c>
      <c r="C1507" s="28">
        <v>118</v>
      </c>
      <c r="D1507" s="28">
        <v>181</v>
      </c>
      <c r="E1507" s="28">
        <v>335</v>
      </c>
      <c r="F1507" s="28">
        <v>420</v>
      </c>
      <c r="G1507" s="28">
        <v>546</v>
      </c>
      <c r="H1507" s="28">
        <v>594</v>
      </c>
      <c r="I1507" s="28">
        <v>624</v>
      </c>
      <c r="J1507" s="28">
        <v>544</v>
      </c>
      <c r="K1507" s="28">
        <v>373</v>
      </c>
      <c r="L1507" s="28">
        <v>230</v>
      </c>
      <c r="M1507" s="28">
        <v>122</v>
      </c>
      <c r="N1507" s="62">
        <v>91</v>
      </c>
      <c r="O1507" s="62">
        <v>4178</v>
      </c>
      <c r="AE1507" s="378"/>
    </row>
    <row r="1508" spans="1:31" ht="12.6" hidden="1" customHeight="1">
      <c r="A1508" s="28" t="s">
        <v>1211</v>
      </c>
      <c r="B1508" s="62" t="s">
        <v>804</v>
      </c>
      <c r="C1508" s="28">
        <v>201</v>
      </c>
      <c r="D1508" s="28">
        <v>252</v>
      </c>
      <c r="E1508" s="28">
        <v>337</v>
      </c>
      <c r="F1508" s="28">
        <v>285</v>
      </c>
      <c r="G1508" s="28">
        <v>284</v>
      </c>
      <c r="H1508" s="28">
        <v>270</v>
      </c>
      <c r="I1508" s="28">
        <v>305</v>
      </c>
      <c r="J1508" s="28">
        <v>343</v>
      </c>
      <c r="K1508" s="28">
        <v>324</v>
      </c>
      <c r="L1508" s="28">
        <v>271</v>
      </c>
      <c r="M1508" s="28">
        <v>179</v>
      </c>
      <c r="N1508" s="62">
        <v>153</v>
      </c>
      <c r="O1508" s="62">
        <v>3203</v>
      </c>
      <c r="AE1508" s="378"/>
    </row>
    <row r="1509" spans="1:31" ht="12.6" hidden="1" customHeight="1">
      <c r="A1509" s="28" t="s">
        <v>1212</v>
      </c>
      <c r="B1509" s="62" t="s">
        <v>804</v>
      </c>
      <c r="C1509" s="28">
        <v>75</v>
      </c>
      <c r="D1509" s="28">
        <v>116</v>
      </c>
      <c r="E1509" s="28">
        <v>204</v>
      </c>
      <c r="F1509" s="28">
        <v>244</v>
      </c>
      <c r="G1509" s="28">
        <v>305</v>
      </c>
      <c r="H1509" s="28">
        <v>329</v>
      </c>
      <c r="I1509" s="28">
        <v>348</v>
      </c>
      <c r="J1509" s="28">
        <v>316</v>
      </c>
      <c r="K1509" s="28">
        <v>213</v>
      </c>
      <c r="L1509" s="28">
        <v>126</v>
      </c>
      <c r="M1509" s="28">
        <v>67</v>
      </c>
      <c r="N1509" s="62">
        <v>54</v>
      </c>
      <c r="O1509" s="62">
        <v>2396</v>
      </c>
      <c r="AE1509" s="378"/>
    </row>
    <row r="1510" spans="1:31" ht="12.6" hidden="1" customHeight="1">
      <c r="A1510" s="28" t="s">
        <v>1213</v>
      </c>
      <c r="B1510" s="62" t="s">
        <v>804</v>
      </c>
      <c r="C1510" s="28">
        <v>88</v>
      </c>
      <c r="D1510" s="28">
        <v>126</v>
      </c>
      <c r="E1510" s="28">
        <v>204</v>
      </c>
      <c r="F1510" s="28">
        <v>228</v>
      </c>
      <c r="G1510" s="28">
        <v>281</v>
      </c>
      <c r="H1510" s="28">
        <v>306</v>
      </c>
      <c r="I1510" s="28">
        <v>332</v>
      </c>
      <c r="J1510" s="28">
        <v>297</v>
      </c>
      <c r="K1510" s="28">
        <v>220</v>
      </c>
      <c r="L1510" s="28">
        <v>145</v>
      </c>
      <c r="M1510" s="28">
        <v>80</v>
      </c>
      <c r="N1510" s="62">
        <v>64</v>
      </c>
      <c r="O1510" s="62">
        <v>2372</v>
      </c>
      <c r="AE1510" s="378"/>
    </row>
    <row r="1511" spans="1:31" ht="12.6" hidden="1" customHeight="1">
      <c r="A1511" s="28" t="s">
        <v>1214</v>
      </c>
      <c r="B1511" s="62" t="s">
        <v>804</v>
      </c>
      <c r="C1511" s="28">
        <v>48</v>
      </c>
      <c r="D1511" s="28">
        <v>65</v>
      </c>
      <c r="E1511" s="28">
        <v>99</v>
      </c>
      <c r="F1511" s="28">
        <v>119</v>
      </c>
      <c r="G1511" s="28">
        <v>161</v>
      </c>
      <c r="H1511" s="28">
        <v>181</v>
      </c>
      <c r="I1511" s="28">
        <v>182</v>
      </c>
      <c r="J1511" s="28">
        <v>145</v>
      </c>
      <c r="K1511" s="28">
        <v>98</v>
      </c>
      <c r="L1511" s="28">
        <v>67</v>
      </c>
      <c r="M1511" s="28">
        <v>41</v>
      </c>
      <c r="N1511" s="62">
        <v>35</v>
      </c>
      <c r="O1511" s="62">
        <v>1243</v>
      </c>
      <c r="AE1511" s="378"/>
    </row>
    <row r="1512" spans="1:31" hidden="1">
      <c r="B1512" s="62"/>
      <c r="N1512" s="62"/>
      <c r="O1512" s="62"/>
      <c r="AE1512" s="378"/>
    </row>
    <row r="1513" spans="1:31" hidden="1">
      <c r="B1513" s="62"/>
      <c r="N1513" s="62"/>
      <c r="O1513" s="62"/>
      <c r="AE1513" s="378"/>
    </row>
    <row r="1514" spans="1:31" hidden="1">
      <c r="B1514" s="62"/>
      <c r="N1514" s="62"/>
      <c r="O1514" s="62"/>
      <c r="AE1514" s="378"/>
    </row>
    <row r="1515" spans="1:31" hidden="1">
      <c r="B1515" s="62"/>
      <c r="N1515" s="62"/>
      <c r="O1515" s="62"/>
      <c r="AE1515" s="378"/>
    </row>
    <row r="1516" spans="1:31" hidden="1">
      <c r="A1516" s="28" t="s">
        <v>1886</v>
      </c>
      <c r="B1516" s="62" t="s">
        <v>1808</v>
      </c>
      <c r="C1516" s="28">
        <v>31</v>
      </c>
      <c r="D1516" s="28">
        <v>28</v>
      </c>
      <c r="E1516" s="28">
        <v>31</v>
      </c>
      <c r="F1516" s="28">
        <v>24</v>
      </c>
      <c r="G1516" s="28">
        <v>14</v>
      </c>
      <c r="H1516" s="28">
        <v>4</v>
      </c>
      <c r="I1516" s="28">
        <v>2</v>
      </c>
      <c r="J1516" s="28">
        <v>2</v>
      </c>
      <c r="K1516" s="28">
        <v>7</v>
      </c>
      <c r="L1516" s="28">
        <v>22</v>
      </c>
      <c r="M1516" s="28">
        <v>30</v>
      </c>
      <c r="N1516" s="62">
        <v>31</v>
      </c>
      <c r="O1516" s="62"/>
      <c r="Q1516" s="28">
        <v>226</v>
      </c>
      <c r="AE1516" s="378"/>
    </row>
    <row r="1517" spans="1:31" hidden="1">
      <c r="A1517" s="28" t="s">
        <v>1887</v>
      </c>
      <c r="B1517" s="62" t="s">
        <v>1810</v>
      </c>
      <c r="C1517" s="28">
        <v>623</v>
      </c>
      <c r="D1517" s="28">
        <v>524</v>
      </c>
      <c r="E1517" s="28">
        <v>456</v>
      </c>
      <c r="F1517" s="28">
        <v>286</v>
      </c>
      <c r="G1517" s="28">
        <v>95</v>
      </c>
      <c r="H1517" s="28">
        <v>16</v>
      </c>
      <c r="I1517" s="28">
        <v>3</v>
      </c>
      <c r="J1517" s="28">
        <v>3</v>
      </c>
      <c r="K1517" s="28">
        <v>43</v>
      </c>
      <c r="L1517" s="28">
        <v>229</v>
      </c>
      <c r="M1517" s="28">
        <v>483</v>
      </c>
      <c r="N1517" s="62">
        <v>583</v>
      </c>
      <c r="O1517" s="62"/>
      <c r="Q1517" s="28">
        <v>3344</v>
      </c>
      <c r="AE1517" s="378"/>
    </row>
    <row r="1518" spans="1:31" hidden="1">
      <c r="B1518" s="62"/>
      <c r="N1518" s="62"/>
      <c r="O1518" s="62"/>
      <c r="AE1518" s="378"/>
    </row>
    <row r="1519" spans="1:31" hidden="1">
      <c r="B1519" s="62"/>
      <c r="N1519" s="62"/>
      <c r="O1519" s="62"/>
      <c r="AE1519" s="378"/>
    </row>
    <row r="1520" spans="1:31" hidden="1">
      <c r="B1520" s="62"/>
      <c r="N1520" s="62"/>
      <c r="O1520" s="62"/>
      <c r="AE1520" s="378"/>
    </row>
    <row r="1521" spans="1:31" ht="7.9" hidden="1" customHeight="1"/>
    <row r="1522" spans="1:31" ht="7.9" hidden="1" customHeight="1"/>
    <row r="1523" spans="1:31" ht="7.9" hidden="1" customHeight="1"/>
    <row r="1524" spans="1:31" ht="7.9" hidden="1" customHeight="1"/>
    <row r="1525" spans="1:31" ht="7.9" hidden="1" customHeight="1"/>
    <row r="1526" spans="1:31" s="34" customFormat="1" ht="15.75" hidden="1">
      <c r="A1526" s="61">
        <v>61</v>
      </c>
      <c r="B1526" s="129"/>
      <c r="C1526" s="129" t="s">
        <v>709</v>
      </c>
      <c r="D1526" s="129"/>
      <c r="E1526" s="130"/>
      <c r="F1526" s="130" t="s">
        <v>352</v>
      </c>
      <c r="G1526" s="129">
        <v>387</v>
      </c>
      <c r="H1526" s="131" t="s">
        <v>353</v>
      </c>
      <c r="I1526" s="129"/>
      <c r="J1526" s="129"/>
      <c r="K1526" s="130" t="s">
        <v>354</v>
      </c>
      <c r="L1526" s="131">
        <v>4</v>
      </c>
      <c r="M1526" s="129" t="s">
        <v>355</v>
      </c>
      <c r="N1526" s="131" t="s">
        <v>1585</v>
      </c>
      <c r="O1526" s="130"/>
      <c r="P1526" s="130" t="s">
        <v>357</v>
      </c>
      <c r="Q1526" s="129">
        <v>-7</v>
      </c>
      <c r="R1526" s="131" t="s">
        <v>2324</v>
      </c>
      <c r="S1526" s="28"/>
      <c r="T1526" s="28"/>
      <c r="U1526" s="378"/>
      <c r="V1526" s="368"/>
      <c r="W1526" s="368"/>
      <c r="X1526" s="368"/>
      <c r="Y1526" s="368"/>
      <c r="Z1526" s="368"/>
      <c r="AA1526" s="368"/>
      <c r="AB1526" s="368"/>
      <c r="AC1526" s="368"/>
      <c r="AD1526" s="368"/>
      <c r="AE1526" s="510"/>
    </row>
    <row r="1527" spans="1:31" hidden="1">
      <c r="B1527" s="62"/>
      <c r="N1527" s="62"/>
      <c r="O1527" s="62"/>
      <c r="P1527" s="53"/>
      <c r="Q1527" s="45"/>
      <c r="R1527" s="45"/>
    </row>
    <row r="1528" spans="1:31" s="34" customFormat="1" hidden="1">
      <c r="B1528" s="65"/>
      <c r="C1528" s="95" t="s">
        <v>489</v>
      </c>
      <c r="D1528" s="95" t="s">
        <v>490</v>
      </c>
      <c r="E1528" s="95" t="s">
        <v>491</v>
      </c>
      <c r="F1528" s="95" t="s">
        <v>492</v>
      </c>
      <c r="G1528" s="95" t="s">
        <v>493</v>
      </c>
      <c r="H1528" s="95" t="s">
        <v>494</v>
      </c>
      <c r="I1528" s="95" t="s">
        <v>495</v>
      </c>
      <c r="J1528" s="95" t="s">
        <v>496</v>
      </c>
      <c r="K1528" s="95" t="s">
        <v>497</v>
      </c>
      <c r="L1528" s="95" t="s">
        <v>498</v>
      </c>
      <c r="M1528" s="95" t="s">
        <v>499</v>
      </c>
      <c r="N1528" s="126" t="s">
        <v>500</v>
      </c>
      <c r="O1528" s="126" t="s">
        <v>501</v>
      </c>
      <c r="P1528" s="132"/>
      <c r="Q1528" s="133"/>
      <c r="R1528" s="133"/>
      <c r="S1528" s="28"/>
      <c r="T1528" s="28"/>
      <c r="U1528" s="378"/>
      <c r="V1528" s="368"/>
      <c r="W1528" s="368"/>
      <c r="X1528" s="368"/>
      <c r="Y1528" s="368"/>
      <c r="Z1528" s="368"/>
      <c r="AA1528" s="368"/>
      <c r="AB1528" s="368"/>
      <c r="AC1528" s="368"/>
      <c r="AD1528" s="368"/>
      <c r="AE1528" s="510"/>
    </row>
    <row r="1529" spans="1:31" hidden="1">
      <c r="B1529" s="62"/>
      <c r="N1529" s="62"/>
      <c r="O1529" s="62"/>
    </row>
    <row r="1530" spans="1:31" hidden="1">
      <c r="A1530" s="28" t="s">
        <v>1209</v>
      </c>
      <c r="B1530" s="62" t="s">
        <v>2324</v>
      </c>
      <c r="C1530" s="28">
        <v>0.6</v>
      </c>
      <c r="D1530" s="28">
        <v>1.7</v>
      </c>
      <c r="E1530" s="28">
        <v>5.8</v>
      </c>
      <c r="F1530" s="28">
        <v>8.8000000000000007</v>
      </c>
      <c r="G1530" s="28">
        <v>14</v>
      </c>
      <c r="H1530" s="28">
        <v>16.8</v>
      </c>
      <c r="I1530" s="28">
        <v>18.899999999999999</v>
      </c>
      <c r="J1530" s="28">
        <v>18.7</v>
      </c>
      <c r="K1530" s="28">
        <v>14.2</v>
      </c>
      <c r="L1530" s="28">
        <v>10</v>
      </c>
      <c r="M1530" s="28">
        <v>4.4000000000000004</v>
      </c>
      <c r="N1530" s="62">
        <v>2</v>
      </c>
      <c r="O1530" s="62">
        <v>9.6999999999999993</v>
      </c>
    </row>
    <row r="1531" spans="1:31" hidden="1">
      <c r="B1531" s="62"/>
      <c r="N1531" s="62"/>
      <c r="O1531" s="62"/>
    </row>
    <row r="1532" spans="1:31" ht="12.6" hidden="1" customHeight="1">
      <c r="A1532" s="28" t="s">
        <v>1210</v>
      </c>
      <c r="B1532" s="62" t="s">
        <v>804</v>
      </c>
      <c r="C1532" s="28">
        <v>86</v>
      </c>
      <c r="D1532" s="28">
        <v>148</v>
      </c>
      <c r="E1532" s="28">
        <v>284</v>
      </c>
      <c r="F1532" s="28">
        <v>391</v>
      </c>
      <c r="G1532" s="28">
        <v>522</v>
      </c>
      <c r="H1532" s="28">
        <v>560</v>
      </c>
      <c r="I1532" s="28">
        <v>581</v>
      </c>
      <c r="J1532" s="28">
        <v>501</v>
      </c>
      <c r="K1532" s="28">
        <v>334</v>
      </c>
      <c r="L1532" s="28">
        <v>187</v>
      </c>
      <c r="M1532" s="28">
        <v>91</v>
      </c>
      <c r="N1532" s="62">
        <v>67</v>
      </c>
      <c r="O1532" s="62">
        <v>3752</v>
      </c>
      <c r="AE1532" s="378"/>
    </row>
    <row r="1533" spans="1:31" ht="12.6" hidden="1" customHeight="1">
      <c r="A1533" s="28" t="s">
        <v>1211</v>
      </c>
      <c r="B1533" s="62" t="s">
        <v>804</v>
      </c>
      <c r="C1533" s="28">
        <v>115</v>
      </c>
      <c r="D1533" s="28">
        <v>181</v>
      </c>
      <c r="E1533" s="28">
        <v>268</v>
      </c>
      <c r="F1533" s="28">
        <v>270</v>
      </c>
      <c r="G1533" s="28">
        <v>279</v>
      </c>
      <c r="H1533" s="28">
        <v>264</v>
      </c>
      <c r="I1533" s="28">
        <v>292</v>
      </c>
      <c r="J1533" s="28">
        <v>316</v>
      </c>
      <c r="K1533" s="28">
        <v>283</v>
      </c>
      <c r="L1533" s="28">
        <v>201</v>
      </c>
      <c r="M1533" s="28">
        <v>109</v>
      </c>
      <c r="N1533" s="62">
        <v>88</v>
      </c>
      <c r="O1533" s="62">
        <v>2666</v>
      </c>
      <c r="AE1533" s="378"/>
    </row>
    <row r="1534" spans="1:31" ht="12.6" hidden="1" customHeight="1">
      <c r="A1534" s="28" t="s">
        <v>1212</v>
      </c>
      <c r="B1534" s="62" t="s">
        <v>804</v>
      </c>
      <c r="C1534" s="28">
        <v>48</v>
      </c>
      <c r="D1534" s="28">
        <v>87</v>
      </c>
      <c r="E1534" s="28">
        <v>161</v>
      </c>
      <c r="F1534" s="28">
        <v>213</v>
      </c>
      <c r="G1534" s="28">
        <v>276</v>
      </c>
      <c r="H1534" s="28">
        <v>293</v>
      </c>
      <c r="I1534" s="28">
        <v>311</v>
      </c>
      <c r="J1534" s="28">
        <v>271</v>
      </c>
      <c r="K1534" s="28">
        <v>176</v>
      </c>
      <c r="L1534" s="28">
        <v>91</v>
      </c>
      <c r="M1534" s="28">
        <v>47</v>
      </c>
      <c r="N1534" s="62">
        <v>35</v>
      </c>
      <c r="O1534" s="62">
        <v>2007</v>
      </c>
      <c r="AE1534" s="378"/>
    </row>
    <row r="1535" spans="1:31" ht="12.6" hidden="1" customHeight="1">
      <c r="A1535" s="28" t="s">
        <v>1213</v>
      </c>
      <c r="B1535" s="62" t="s">
        <v>804</v>
      </c>
      <c r="C1535" s="28">
        <v>59</v>
      </c>
      <c r="D1535" s="28">
        <v>97</v>
      </c>
      <c r="E1535" s="28">
        <v>166</v>
      </c>
      <c r="F1535" s="28">
        <v>207</v>
      </c>
      <c r="G1535" s="28">
        <v>273</v>
      </c>
      <c r="H1535" s="28">
        <v>290</v>
      </c>
      <c r="I1535" s="28">
        <v>311</v>
      </c>
      <c r="J1535" s="28">
        <v>273</v>
      </c>
      <c r="K1535" s="28">
        <v>197</v>
      </c>
      <c r="L1535" s="28">
        <v>121</v>
      </c>
      <c r="M1535" s="28">
        <v>60</v>
      </c>
      <c r="N1535" s="62">
        <v>40</v>
      </c>
      <c r="O1535" s="62">
        <v>2094</v>
      </c>
      <c r="AE1535" s="378"/>
    </row>
    <row r="1536" spans="1:31" ht="12.6" hidden="1" customHeight="1">
      <c r="A1536" s="28" t="s">
        <v>1214</v>
      </c>
      <c r="B1536" s="62" t="s">
        <v>804</v>
      </c>
      <c r="C1536" s="28">
        <v>37</v>
      </c>
      <c r="D1536" s="28">
        <v>58</v>
      </c>
      <c r="E1536" s="28">
        <v>88</v>
      </c>
      <c r="F1536" s="28">
        <v>114</v>
      </c>
      <c r="G1536" s="28">
        <v>153</v>
      </c>
      <c r="H1536" s="28">
        <v>171</v>
      </c>
      <c r="I1536" s="28">
        <v>174</v>
      </c>
      <c r="J1536" s="28">
        <v>139</v>
      </c>
      <c r="K1536" s="28">
        <v>96</v>
      </c>
      <c r="L1536" s="28">
        <v>62</v>
      </c>
      <c r="M1536" s="28">
        <v>34</v>
      </c>
      <c r="N1536" s="62">
        <v>27</v>
      </c>
      <c r="O1536" s="62">
        <v>1153</v>
      </c>
      <c r="AE1536" s="378"/>
    </row>
    <row r="1537" spans="1:31" hidden="1">
      <c r="B1537" s="62"/>
      <c r="N1537" s="62"/>
      <c r="O1537" s="62"/>
      <c r="AE1537" s="378"/>
    </row>
    <row r="1538" spans="1:31" hidden="1">
      <c r="B1538" s="62"/>
      <c r="N1538" s="62"/>
      <c r="O1538" s="62"/>
      <c r="AE1538" s="378"/>
    </row>
    <row r="1539" spans="1:31" hidden="1">
      <c r="B1539" s="62"/>
      <c r="N1539" s="62"/>
      <c r="O1539" s="62"/>
      <c r="AE1539" s="378"/>
    </row>
    <row r="1540" spans="1:31" hidden="1">
      <c r="B1540" s="62"/>
      <c r="N1540" s="62"/>
      <c r="O1540" s="62"/>
      <c r="AE1540" s="378"/>
    </row>
    <row r="1541" spans="1:31" hidden="1">
      <c r="A1541" s="28" t="s">
        <v>1886</v>
      </c>
      <c r="B1541" s="62" t="s">
        <v>1808</v>
      </c>
      <c r="C1541" s="28">
        <v>31</v>
      </c>
      <c r="D1541" s="28">
        <v>28</v>
      </c>
      <c r="E1541" s="28">
        <v>31</v>
      </c>
      <c r="F1541" s="28">
        <v>24</v>
      </c>
      <c r="G1541" s="28">
        <v>14</v>
      </c>
      <c r="H1541" s="28">
        <v>3</v>
      </c>
      <c r="I1541" s="28">
        <v>1</v>
      </c>
      <c r="J1541" s="28">
        <v>1</v>
      </c>
      <c r="K1541" s="28">
        <v>7</v>
      </c>
      <c r="L1541" s="28">
        <v>22</v>
      </c>
      <c r="M1541" s="28">
        <v>30</v>
      </c>
      <c r="N1541" s="62">
        <v>31</v>
      </c>
      <c r="O1541" s="62"/>
      <c r="Q1541" s="28">
        <v>223</v>
      </c>
      <c r="AE1541" s="378"/>
    </row>
    <row r="1542" spans="1:31" hidden="1">
      <c r="A1542" s="28" t="s">
        <v>1887</v>
      </c>
      <c r="B1542" s="62" t="s">
        <v>1810</v>
      </c>
      <c r="C1542" s="28">
        <v>601</v>
      </c>
      <c r="D1542" s="28">
        <v>512</v>
      </c>
      <c r="E1542" s="28">
        <v>440</v>
      </c>
      <c r="F1542" s="28">
        <v>269</v>
      </c>
      <c r="G1542" s="28">
        <v>84</v>
      </c>
      <c r="H1542" s="28">
        <v>10</v>
      </c>
      <c r="I1542" s="28">
        <v>1</v>
      </c>
      <c r="J1542" s="28">
        <v>1</v>
      </c>
      <c r="K1542" s="28">
        <v>41</v>
      </c>
      <c r="L1542" s="28">
        <v>220</v>
      </c>
      <c r="M1542" s="28">
        <v>468</v>
      </c>
      <c r="N1542" s="62">
        <v>558</v>
      </c>
      <c r="O1542" s="62"/>
      <c r="Q1542" s="28">
        <v>3205</v>
      </c>
      <c r="AE1542" s="378"/>
    </row>
    <row r="1543" spans="1:31" hidden="1">
      <c r="B1543" s="62"/>
      <c r="N1543" s="62"/>
      <c r="O1543" s="62"/>
      <c r="AE1543" s="378"/>
    </row>
    <row r="1544" spans="1:31" hidden="1">
      <c r="B1544" s="62"/>
      <c r="N1544" s="62"/>
      <c r="O1544" s="62"/>
      <c r="AE1544" s="378"/>
    </row>
    <row r="1545" spans="1:31" hidden="1">
      <c r="B1545" s="62"/>
      <c r="N1545" s="62"/>
      <c r="O1545" s="62"/>
      <c r="AE1545" s="378"/>
    </row>
    <row r="1546" spans="1:31" ht="7.9" hidden="1" customHeight="1"/>
    <row r="1547" spans="1:31" ht="7.9" hidden="1" customHeight="1"/>
    <row r="1548" spans="1:31" ht="7.9" hidden="1" customHeight="1"/>
    <row r="1549" spans="1:31" ht="7.9" hidden="1" customHeight="1"/>
    <row r="1550" spans="1:31" ht="7.9" hidden="1" customHeight="1"/>
    <row r="1551" spans="1:31" s="34" customFormat="1" ht="15.75" hidden="1">
      <c r="A1551" s="61">
        <v>62</v>
      </c>
      <c r="B1551" s="129"/>
      <c r="C1551" s="129" t="s">
        <v>710</v>
      </c>
      <c r="D1551" s="129"/>
      <c r="E1551" s="130"/>
      <c r="F1551" s="130" t="s">
        <v>352</v>
      </c>
      <c r="G1551" s="129">
        <v>456</v>
      </c>
      <c r="H1551" s="131" t="s">
        <v>353</v>
      </c>
      <c r="I1551" s="129"/>
      <c r="J1551" s="129"/>
      <c r="K1551" s="130" t="s">
        <v>354</v>
      </c>
      <c r="L1551" s="131">
        <v>7</v>
      </c>
      <c r="M1551" s="129" t="s">
        <v>355</v>
      </c>
      <c r="N1551" s="131" t="s">
        <v>1585</v>
      </c>
      <c r="O1551" s="130"/>
      <c r="P1551" s="130" t="s">
        <v>357</v>
      </c>
      <c r="Q1551" s="129">
        <v>-6</v>
      </c>
      <c r="R1551" s="131" t="s">
        <v>2324</v>
      </c>
      <c r="S1551" s="28"/>
      <c r="T1551" s="28"/>
      <c r="U1551" s="378"/>
      <c r="V1551" s="368"/>
      <c r="W1551" s="368"/>
      <c r="X1551" s="368"/>
      <c r="Y1551" s="368"/>
      <c r="Z1551" s="368"/>
      <c r="AA1551" s="368"/>
      <c r="AB1551" s="368"/>
      <c r="AC1551" s="368"/>
      <c r="AD1551" s="368"/>
      <c r="AE1551" s="510"/>
    </row>
    <row r="1552" spans="1:31" hidden="1">
      <c r="B1552" s="62"/>
      <c r="N1552" s="62"/>
      <c r="O1552" s="62"/>
      <c r="P1552" s="53"/>
      <c r="Q1552" s="45"/>
      <c r="R1552" s="45"/>
    </row>
    <row r="1553" spans="1:31" s="34" customFormat="1" hidden="1">
      <c r="B1553" s="65"/>
      <c r="C1553" s="95" t="s">
        <v>489</v>
      </c>
      <c r="D1553" s="95" t="s">
        <v>490</v>
      </c>
      <c r="E1553" s="95" t="s">
        <v>491</v>
      </c>
      <c r="F1553" s="95" t="s">
        <v>492</v>
      </c>
      <c r="G1553" s="95" t="s">
        <v>493</v>
      </c>
      <c r="H1553" s="95" t="s">
        <v>494</v>
      </c>
      <c r="I1553" s="95" t="s">
        <v>495</v>
      </c>
      <c r="J1553" s="95" t="s">
        <v>496</v>
      </c>
      <c r="K1553" s="95" t="s">
        <v>497</v>
      </c>
      <c r="L1553" s="95" t="s">
        <v>498</v>
      </c>
      <c r="M1553" s="95" t="s">
        <v>499</v>
      </c>
      <c r="N1553" s="126" t="s">
        <v>500</v>
      </c>
      <c r="O1553" s="126" t="s">
        <v>501</v>
      </c>
      <c r="P1553" s="132"/>
      <c r="Q1553" s="133"/>
      <c r="R1553" s="133"/>
      <c r="S1553" s="28"/>
      <c r="T1553" s="28"/>
      <c r="U1553" s="378"/>
      <c r="V1553" s="368"/>
      <c r="W1553" s="368"/>
      <c r="X1553" s="368"/>
      <c r="Y1553" s="368"/>
      <c r="Z1553" s="368"/>
      <c r="AA1553" s="368"/>
      <c r="AB1553" s="368"/>
      <c r="AC1553" s="368"/>
      <c r="AD1553" s="368"/>
      <c r="AE1553" s="510"/>
    </row>
    <row r="1554" spans="1:31" hidden="1">
      <c r="B1554" s="62"/>
      <c r="N1554" s="62"/>
      <c r="O1554" s="62"/>
    </row>
    <row r="1555" spans="1:31" hidden="1">
      <c r="A1555" s="28" t="s">
        <v>1209</v>
      </c>
      <c r="B1555" s="62" t="s">
        <v>2324</v>
      </c>
      <c r="C1555" s="28">
        <v>0.5</v>
      </c>
      <c r="D1555" s="28">
        <v>1.8</v>
      </c>
      <c r="E1555" s="28">
        <v>5.7</v>
      </c>
      <c r="F1555" s="28">
        <v>8.8000000000000007</v>
      </c>
      <c r="G1555" s="28">
        <v>13.9</v>
      </c>
      <c r="H1555" s="28">
        <v>16.7</v>
      </c>
      <c r="I1555" s="28">
        <v>19</v>
      </c>
      <c r="J1555" s="28">
        <v>18.8</v>
      </c>
      <c r="K1555" s="28">
        <v>14.4</v>
      </c>
      <c r="L1555" s="28">
        <v>10.199999999999999</v>
      </c>
      <c r="M1555" s="28">
        <v>4.5</v>
      </c>
      <c r="N1555" s="62">
        <v>2</v>
      </c>
      <c r="O1555" s="62">
        <v>9.6999999999999993</v>
      </c>
    </row>
    <row r="1556" spans="1:31" hidden="1">
      <c r="B1556" s="62"/>
      <c r="N1556" s="62"/>
      <c r="O1556" s="62"/>
    </row>
    <row r="1557" spans="1:31" ht="12.6" hidden="1" customHeight="1">
      <c r="A1557" s="28" t="s">
        <v>1210</v>
      </c>
      <c r="B1557" s="62" t="s">
        <v>804</v>
      </c>
      <c r="C1557" s="28">
        <v>102</v>
      </c>
      <c r="D1557" s="28">
        <v>162</v>
      </c>
      <c r="E1557" s="28">
        <v>305</v>
      </c>
      <c r="F1557" s="28">
        <v>394</v>
      </c>
      <c r="G1557" s="28">
        <v>496</v>
      </c>
      <c r="H1557" s="28">
        <v>529</v>
      </c>
      <c r="I1557" s="28">
        <v>557</v>
      </c>
      <c r="J1557" s="28">
        <v>493</v>
      </c>
      <c r="K1557" s="28">
        <v>334</v>
      </c>
      <c r="L1557" s="28">
        <v>206</v>
      </c>
      <c r="M1557" s="28">
        <v>109</v>
      </c>
      <c r="N1557" s="62">
        <v>80</v>
      </c>
      <c r="O1557" s="62">
        <v>3767</v>
      </c>
      <c r="AE1557" s="378"/>
    </row>
    <row r="1558" spans="1:31" ht="12.6" hidden="1" customHeight="1">
      <c r="A1558" s="28" t="s">
        <v>1211</v>
      </c>
      <c r="B1558" s="62" t="s">
        <v>804</v>
      </c>
      <c r="C1558" s="28">
        <v>153</v>
      </c>
      <c r="D1558" s="28">
        <v>208</v>
      </c>
      <c r="E1558" s="28">
        <v>295</v>
      </c>
      <c r="F1558" s="28">
        <v>262</v>
      </c>
      <c r="G1558" s="28">
        <v>257</v>
      </c>
      <c r="H1558" s="28">
        <v>244</v>
      </c>
      <c r="I1558" s="28">
        <v>273</v>
      </c>
      <c r="J1558" s="28">
        <v>305</v>
      </c>
      <c r="K1558" s="28">
        <v>280</v>
      </c>
      <c r="L1558" s="28">
        <v>233</v>
      </c>
      <c r="M1558" s="28">
        <v>143</v>
      </c>
      <c r="N1558" s="62">
        <v>118</v>
      </c>
      <c r="O1558" s="62">
        <v>2770</v>
      </c>
      <c r="AE1558" s="378"/>
    </row>
    <row r="1559" spans="1:31" ht="12.6" hidden="1" customHeight="1">
      <c r="A1559" s="28" t="s">
        <v>1212</v>
      </c>
      <c r="B1559" s="62" t="s">
        <v>804</v>
      </c>
      <c r="C1559" s="28">
        <v>67</v>
      </c>
      <c r="D1559" s="28">
        <v>104</v>
      </c>
      <c r="E1559" s="28">
        <v>185</v>
      </c>
      <c r="F1559" s="28">
        <v>228</v>
      </c>
      <c r="G1559" s="28">
        <v>284</v>
      </c>
      <c r="H1559" s="28">
        <v>301</v>
      </c>
      <c r="I1559" s="28">
        <v>321</v>
      </c>
      <c r="J1559" s="28">
        <v>287</v>
      </c>
      <c r="K1559" s="28">
        <v>192</v>
      </c>
      <c r="L1559" s="28">
        <v>118</v>
      </c>
      <c r="M1559" s="28">
        <v>62</v>
      </c>
      <c r="N1559" s="62">
        <v>51</v>
      </c>
      <c r="O1559" s="62">
        <v>2199</v>
      </c>
      <c r="AE1559" s="378"/>
    </row>
    <row r="1560" spans="1:31" ht="12.6" hidden="1" customHeight="1">
      <c r="A1560" s="28" t="s">
        <v>1213</v>
      </c>
      <c r="B1560" s="62" t="s">
        <v>804</v>
      </c>
      <c r="C1560" s="28">
        <v>62</v>
      </c>
      <c r="D1560" s="28">
        <v>104</v>
      </c>
      <c r="E1560" s="28">
        <v>174</v>
      </c>
      <c r="F1560" s="28">
        <v>200</v>
      </c>
      <c r="G1560" s="28">
        <v>244</v>
      </c>
      <c r="H1560" s="28">
        <v>257</v>
      </c>
      <c r="I1560" s="28">
        <v>276</v>
      </c>
      <c r="J1560" s="28">
        <v>254</v>
      </c>
      <c r="K1560" s="28">
        <v>184</v>
      </c>
      <c r="L1560" s="28">
        <v>121</v>
      </c>
      <c r="M1560" s="28">
        <v>62</v>
      </c>
      <c r="N1560" s="62">
        <v>46</v>
      </c>
      <c r="O1560" s="62">
        <v>1982</v>
      </c>
      <c r="AE1560" s="378"/>
    </row>
    <row r="1561" spans="1:31" ht="12.6" hidden="1" customHeight="1">
      <c r="A1561" s="28" t="s">
        <v>1214</v>
      </c>
      <c r="B1561" s="62" t="s">
        <v>804</v>
      </c>
      <c r="C1561" s="28">
        <v>43</v>
      </c>
      <c r="D1561" s="28">
        <v>60</v>
      </c>
      <c r="E1561" s="28">
        <v>94</v>
      </c>
      <c r="F1561" s="28">
        <v>114</v>
      </c>
      <c r="G1561" s="28">
        <v>153</v>
      </c>
      <c r="H1561" s="28">
        <v>171</v>
      </c>
      <c r="I1561" s="28">
        <v>171</v>
      </c>
      <c r="J1561" s="28">
        <v>137</v>
      </c>
      <c r="K1561" s="28">
        <v>96</v>
      </c>
      <c r="L1561" s="28">
        <v>64</v>
      </c>
      <c r="M1561" s="28">
        <v>39</v>
      </c>
      <c r="N1561" s="62">
        <v>32</v>
      </c>
      <c r="O1561" s="62">
        <v>1174</v>
      </c>
      <c r="AE1561" s="378"/>
    </row>
    <row r="1562" spans="1:31" hidden="1">
      <c r="B1562" s="62"/>
      <c r="N1562" s="62"/>
      <c r="O1562" s="62"/>
      <c r="AE1562" s="378"/>
    </row>
    <row r="1563" spans="1:31" hidden="1">
      <c r="B1563" s="62"/>
      <c r="N1563" s="62"/>
      <c r="O1563" s="62"/>
      <c r="AE1563" s="378"/>
    </row>
    <row r="1564" spans="1:31" hidden="1">
      <c r="B1564" s="62"/>
      <c r="N1564" s="62"/>
      <c r="O1564" s="62"/>
      <c r="AE1564" s="378"/>
    </row>
    <row r="1565" spans="1:31" hidden="1">
      <c r="B1565" s="62"/>
      <c r="N1565" s="62"/>
      <c r="O1565" s="62"/>
      <c r="AE1565" s="378"/>
    </row>
    <row r="1566" spans="1:31" hidden="1">
      <c r="A1566" s="28" t="s">
        <v>1886</v>
      </c>
      <c r="B1566" s="62" t="s">
        <v>1808</v>
      </c>
      <c r="C1566" s="28">
        <v>31</v>
      </c>
      <c r="D1566" s="28">
        <v>28</v>
      </c>
      <c r="E1566" s="28">
        <v>31</v>
      </c>
      <c r="F1566" s="28">
        <v>24</v>
      </c>
      <c r="G1566" s="28">
        <v>14</v>
      </c>
      <c r="H1566" s="28">
        <v>5</v>
      </c>
      <c r="I1566" s="28">
        <v>2</v>
      </c>
      <c r="J1566" s="28">
        <v>2</v>
      </c>
      <c r="K1566" s="28">
        <v>7</v>
      </c>
      <c r="L1566" s="28">
        <v>23</v>
      </c>
      <c r="M1566" s="28">
        <v>30</v>
      </c>
      <c r="N1566" s="62">
        <v>31</v>
      </c>
      <c r="O1566" s="62"/>
      <c r="Q1566" s="28">
        <v>228</v>
      </c>
      <c r="AE1566" s="378"/>
    </row>
    <row r="1567" spans="1:31" hidden="1">
      <c r="A1567" s="28" t="s">
        <v>1887</v>
      </c>
      <c r="B1567" s="62" t="s">
        <v>1810</v>
      </c>
      <c r="C1567" s="28">
        <v>605</v>
      </c>
      <c r="D1567" s="28">
        <v>510</v>
      </c>
      <c r="E1567" s="28">
        <v>443</v>
      </c>
      <c r="F1567" s="28">
        <v>269</v>
      </c>
      <c r="G1567" s="28">
        <v>85</v>
      </c>
      <c r="H1567" s="28">
        <v>17</v>
      </c>
      <c r="I1567" s="28">
        <v>2</v>
      </c>
      <c r="J1567" s="28">
        <v>2</v>
      </c>
      <c r="K1567" s="28">
        <v>39</v>
      </c>
      <c r="L1567" s="28">
        <v>225</v>
      </c>
      <c r="M1567" s="28">
        <v>465</v>
      </c>
      <c r="N1567" s="62">
        <v>558</v>
      </c>
      <c r="O1567" s="62"/>
      <c r="Q1567" s="28">
        <v>3220</v>
      </c>
      <c r="AE1567" s="378"/>
    </row>
    <row r="1568" spans="1:31" hidden="1">
      <c r="B1568" s="62"/>
      <c r="N1568" s="62"/>
      <c r="O1568" s="62"/>
      <c r="AE1568" s="378"/>
    </row>
    <row r="1569" spans="1:31" hidden="1">
      <c r="B1569" s="62"/>
      <c r="N1569" s="62"/>
      <c r="O1569" s="62"/>
      <c r="AE1569" s="378"/>
    </row>
    <row r="1570" spans="1:31" hidden="1">
      <c r="B1570" s="62"/>
      <c r="N1570" s="62"/>
      <c r="O1570" s="62"/>
      <c r="AE1570" s="378"/>
    </row>
    <row r="1571" spans="1:31" ht="7.9" hidden="1" customHeight="1"/>
    <row r="1572" spans="1:31" ht="7.9" hidden="1" customHeight="1"/>
    <row r="1573" spans="1:31" ht="7.9" hidden="1" customHeight="1"/>
    <row r="1574" spans="1:31" ht="7.9" hidden="1" customHeight="1"/>
    <row r="1575" spans="1:31" ht="7.9" hidden="1" customHeight="1"/>
    <row r="1576" spans="1:31" s="34" customFormat="1" ht="15.75" hidden="1">
      <c r="A1576" s="61">
        <v>63</v>
      </c>
      <c r="B1576" s="129"/>
      <c r="C1576" s="129" t="s">
        <v>711</v>
      </c>
      <c r="D1576" s="129"/>
      <c r="E1576" s="130"/>
      <c r="F1576" s="130" t="s">
        <v>352</v>
      </c>
      <c r="G1576" s="129">
        <v>440</v>
      </c>
      <c r="H1576" s="131" t="s">
        <v>353</v>
      </c>
      <c r="I1576" s="129"/>
      <c r="J1576" s="129"/>
      <c r="K1576" s="130" t="s">
        <v>354</v>
      </c>
      <c r="L1576" s="131">
        <v>3</v>
      </c>
      <c r="M1576" s="129" t="s">
        <v>355</v>
      </c>
      <c r="N1576" s="131" t="s">
        <v>1585</v>
      </c>
      <c r="O1576" s="130"/>
      <c r="P1576" s="130" t="s">
        <v>357</v>
      </c>
      <c r="Q1576" s="129">
        <v>-7</v>
      </c>
      <c r="R1576" s="131" t="s">
        <v>2324</v>
      </c>
      <c r="S1576" s="28"/>
      <c r="T1576" s="28"/>
      <c r="U1576" s="378"/>
      <c r="V1576" s="368"/>
      <c r="W1576" s="368"/>
      <c r="X1576" s="368"/>
      <c r="Y1576" s="368"/>
      <c r="Z1576" s="368"/>
      <c r="AA1576" s="368"/>
      <c r="AB1576" s="368"/>
      <c r="AC1576" s="368"/>
      <c r="AD1576" s="368"/>
      <c r="AE1576" s="510"/>
    </row>
    <row r="1577" spans="1:31" hidden="1">
      <c r="B1577" s="62"/>
      <c r="N1577" s="62"/>
      <c r="O1577" s="62"/>
      <c r="P1577" s="53"/>
      <c r="Q1577" s="45"/>
      <c r="R1577" s="45"/>
    </row>
    <row r="1578" spans="1:31" s="34" customFormat="1" hidden="1">
      <c r="B1578" s="65"/>
      <c r="C1578" s="95" t="s">
        <v>489</v>
      </c>
      <c r="D1578" s="95" t="s">
        <v>490</v>
      </c>
      <c r="E1578" s="95" t="s">
        <v>491</v>
      </c>
      <c r="F1578" s="95" t="s">
        <v>492</v>
      </c>
      <c r="G1578" s="95" t="s">
        <v>493</v>
      </c>
      <c r="H1578" s="95" t="s">
        <v>494</v>
      </c>
      <c r="I1578" s="95" t="s">
        <v>495</v>
      </c>
      <c r="J1578" s="95" t="s">
        <v>496</v>
      </c>
      <c r="K1578" s="95" t="s">
        <v>497</v>
      </c>
      <c r="L1578" s="95" t="s">
        <v>498</v>
      </c>
      <c r="M1578" s="95" t="s">
        <v>499</v>
      </c>
      <c r="N1578" s="126" t="s">
        <v>500</v>
      </c>
      <c r="O1578" s="126" t="s">
        <v>501</v>
      </c>
      <c r="P1578" s="132"/>
      <c r="Q1578" s="133"/>
      <c r="R1578" s="133"/>
      <c r="S1578" s="28"/>
      <c r="T1578" s="28"/>
      <c r="U1578" s="378"/>
      <c r="V1578" s="368"/>
      <c r="W1578" s="368"/>
      <c r="X1578" s="368"/>
      <c r="Y1578" s="368"/>
      <c r="Z1578" s="368"/>
      <c r="AA1578" s="368"/>
      <c r="AB1578" s="368"/>
      <c r="AC1578" s="368"/>
      <c r="AD1578" s="368"/>
      <c r="AE1578" s="510"/>
    </row>
    <row r="1579" spans="1:31" hidden="1">
      <c r="B1579" s="62"/>
      <c r="N1579" s="62"/>
      <c r="O1579" s="62"/>
    </row>
    <row r="1580" spans="1:31" hidden="1">
      <c r="A1580" s="28" t="s">
        <v>1209</v>
      </c>
      <c r="B1580" s="62" t="s">
        <v>2324</v>
      </c>
      <c r="C1580" s="28">
        <v>0.3</v>
      </c>
      <c r="D1580" s="28">
        <v>1.3</v>
      </c>
      <c r="E1580" s="28">
        <v>5.0999999999999996</v>
      </c>
      <c r="F1580" s="28">
        <v>8.1999999999999993</v>
      </c>
      <c r="G1580" s="28">
        <v>13.4</v>
      </c>
      <c r="H1580" s="28">
        <v>16.2</v>
      </c>
      <c r="I1580" s="28">
        <v>18.399999999999999</v>
      </c>
      <c r="J1580" s="28">
        <v>18.3</v>
      </c>
      <c r="K1580" s="28">
        <v>13.9</v>
      </c>
      <c r="L1580" s="28">
        <v>9.6</v>
      </c>
      <c r="M1580" s="28">
        <v>4.2</v>
      </c>
      <c r="N1580" s="62">
        <v>1.8</v>
      </c>
      <c r="O1580" s="62">
        <v>9.1999999999999993</v>
      </c>
    </row>
    <row r="1581" spans="1:31" hidden="1">
      <c r="B1581" s="62"/>
      <c r="N1581" s="62"/>
      <c r="O1581" s="62"/>
    </row>
    <row r="1582" spans="1:31" ht="12.6" hidden="1" customHeight="1">
      <c r="A1582" s="28" t="s">
        <v>1210</v>
      </c>
      <c r="B1582" s="62" t="s">
        <v>804</v>
      </c>
      <c r="C1582" s="28">
        <v>96</v>
      </c>
      <c r="D1582" s="28">
        <v>157</v>
      </c>
      <c r="E1582" s="28">
        <v>311</v>
      </c>
      <c r="F1582" s="28">
        <v>428</v>
      </c>
      <c r="G1582" s="28">
        <v>557</v>
      </c>
      <c r="H1582" s="28">
        <v>588</v>
      </c>
      <c r="I1582" s="28">
        <v>603</v>
      </c>
      <c r="J1582" s="28">
        <v>522</v>
      </c>
      <c r="K1582" s="28">
        <v>345</v>
      </c>
      <c r="L1582" s="28">
        <v>201</v>
      </c>
      <c r="M1582" s="28">
        <v>101</v>
      </c>
      <c r="N1582" s="62">
        <v>72</v>
      </c>
      <c r="O1582" s="62">
        <v>3981</v>
      </c>
      <c r="AE1582" s="378"/>
    </row>
    <row r="1583" spans="1:31" ht="12.6" hidden="1" customHeight="1">
      <c r="A1583" s="28" t="s">
        <v>1211</v>
      </c>
      <c r="B1583" s="62" t="s">
        <v>804</v>
      </c>
      <c r="C1583" s="28">
        <v>134</v>
      </c>
      <c r="D1583" s="28">
        <v>201</v>
      </c>
      <c r="E1583" s="28">
        <v>305</v>
      </c>
      <c r="F1583" s="28">
        <v>298</v>
      </c>
      <c r="G1583" s="28">
        <v>297</v>
      </c>
      <c r="H1583" s="28">
        <v>277</v>
      </c>
      <c r="I1583" s="28">
        <v>303</v>
      </c>
      <c r="J1583" s="28">
        <v>337</v>
      </c>
      <c r="K1583" s="28">
        <v>301</v>
      </c>
      <c r="L1583" s="28">
        <v>225</v>
      </c>
      <c r="M1583" s="28">
        <v>130</v>
      </c>
      <c r="N1583" s="62">
        <v>102</v>
      </c>
      <c r="O1583" s="62">
        <v>2910</v>
      </c>
      <c r="AE1583" s="378"/>
    </row>
    <row r="1584" spans="1:31" ht="12.6" hidden="1" customHeight="1">
      <c r="A1584" s="28" t="s">
        <v>1212</v>
      </c>
      <c r="B1584" s="62" t="s">
        <v>804</v>
      </c>
      <c r="C1584" s="28">
        <v>59</v>
      </c>
      <c r="D1584" s="28">
        <v>99</v>
      </c>
      <c r="E1584" s="28">
        <v>187</v>
      </c>
      <c r="F1584" s="28">
        <v>251</v>
      </c>
      <c r="G1584" s="28">
        <v>313</v>
      </c>
      <c r="H1584" s="28">
        <v>327</v>
      </c>
      <c r="I1584" s="28">
        <v>343</v>
      </c>
      <c r="J1584" s="28">
        <v>297</v>
      </c>
      <c r="K1584" s="28">
        <v>192</v>
      </c>
      <c r="L1584" s="28">
        <v>107</v>
      </c>
      <c r="M1584" s="28">
        <v>57</v>
      </c>
      <c r="N1584" s="62">
        <v>43</v>
      </c>
      <c r="O1584" s="62">
        <v>2276</v>
      </c>
      <c r="AE1584" s="378"/>
    </row>
    <row r="1585" spans="1:31" ht="12.6" hidden="1" customHeight="1">
      <c r="A1585" s="28" t="s">
        <v>1213</v>
      </c>
      <c r="B1585" s="62" t="s">
        <v>804</v>
      </c>
      <c r="C1585" s="28">
        <v>62</v>
      </c>
      <c r="D1585" s="28">
        <v>104</v>
      </c>
      <c r="E1585" s="28">
        <v>185</v>
      </c>
      <c r="F1585" s="28">
        <v>228</v>
      </c>
      <c r="G1585" s="28">
        <v>289</v>
      </c>
      <c r="H1585" s="28">
        <v>303</v>
      </c>
      <c r="I1585" s="28">
        <v>319</v>
      </c>
      <c r="J1585" s="28">
        <v>289</v>
      </c>
      <c r="K1585" s="28">
        <v>207</v>
      </c>
      <c r="L1585" s="28">
        <v>126</v>
      </c>
      <c r="M1585" s="28">
        <v>62</v>
      </c>
      <c r="N1585" s="62">
        <v>43</v>
      </c>
      <c r="O1585" s="62">
        <v>2217</v>
      </c>
      <c r="AE1585" s="378"/>
    </row>
    <row r="1586" spans="1:31" ht="12.6" hidden="1" customHeight="1">
      <c r="A1586" s="28" t="s">
        <v>1214</v>
      </c>
      <c r="B1586" s="62" t="s">
        <v>804</v>
      </c>
      <c r="C1586" s="28">
        <v>40</v>
      </c>
      <c r="D1586" s="28">
        <v>58</v>
      </c>
      <c r="E1586" s="28">
        <v>96</v>
      </c>
      <c r="F1586" s="28">
        <v>122</v>
      </c>
      <c r="G1586" s="28">
        <v>163</v>
      </c>
      <c r="H1586" s="28">
        <v>181</v>
      </c>
      <c r="I1586" s="28">
        <v>179</v>
      </c>
      <c r="J1586" s="28">
        <v>142</v>
      </c>
      <c r="K1586" s="28">
        <v>98</v>
      </c>
      <c r="L1586" s="28">
        <v>64</v>
      </c>
      <c r="M1586" s="28">
        <v>39</v>
      </c>
      <c r="N1586" s="62">
        <v>29</v>
      </c>
      <c r="O1586" s="62">
        <v>1214</v>
      </c>
      <c r="AE1586" s="378"/>
    </row>
    <row r="1587" spans="1:31" hidden="1">
      <c r="B1587" s="62"/>
      <c r="N1587" s="62"/>
      <c r="O1587" s="62"/>
      <c r="AE1587" s="378"/>
    </row>
    <row r="1588" spans="1:31" hidden="1">
      <c r="B1588" s="62"/>
      <c r="N1588" s="62"/>
      <c r="O1588" s="62"/>
      <c r="AE1588" s="378"/>
    </row>
    <row r="1589" spans="1:31" hidden="1">
      <c r="B1589" s="62"/>
      <c r="N1589" s="62"/>
      <c r="O1589" s="62"/>
      <c r="AE1589" s="378"/>
    </row>
    <row r="1590" spans="1:31" hidden="1">
      <c r="B1590" s="62"/>
      <c r="N1590" s="62"/>
      <c r="O1590" s="62"/>
      <c r="AE1590" s="378"/>
    </row>
    <row r="1591" spans="1:31" hidden="1">
      <c r="A1591" s="28" t="s">
        <v>1886</v>
      </c>
      <c r="B1591" s="62" t="s">
        <v>1808</v>
      </c>
      <c r="C1591" s="28">
        <v>31</v>
      </c>
      <c r="D1591" s="28">
        <v>28</v>
      </c>
      <c r="E1591" s="28">
        <v>31</v>
      </c>
      <c r="F1591" s="28">
        <v>24</v>
      </c>
      <c r="G1591" s="28">
        <v>16</v>
      </c>
      <c r="H1591" s="28">
        <v>4</v>
      </c>
      <c r="I1591" s="28">
        <v>1</v>
      </c>
      <c r="J1591" s="28">
        <v>1</v>
      </c>
      <c r="K1591" s="28">
        <v>7</v>
      </c>
      <c r="L1591" s="28">
        <v>24</v>
      </c>
      <c r="M1591" s="28">
        <v>30</v>
      </c>
      <c r="N1591" s="62">
        <v>31</v>
      </c>
      <c r="O1591" s="62"/>
      <c r="Q1591" s="28">
        <v>228</v>
      </c>
      <c r="AE1591" s="378"/>
    </row>
    <row r="1592" spans="1:31" hidden="1">
      <c r="A1592" s="28" t="s">
        <v>1887</v>
      </c>
      <c r="B1592" s="62" t="s">
        <v>1810</v>
      </c>
      <c r="C1592" s="28">
        <v>611</v>
      </c>
      <c r="D1592" s="28">
        <v>524</v>
      </c>
      <c r="E1592" s="28">
        <v>462</v>
      </c>
      <c r="F1592" s="28">
        <v>283</v>
      </c>
      <c r="G1592" s="28">
        <v>106</v>
      </c>
      <c r="H1592" s="28">
        <v>15</v>
      </c>
      <c r="I1592" s="28">
        <v>2</v>
      </c>
      <c r="J1592" s="28">
        <v>2</v>
      </c>
      <c r="K1592" s="28">
        <v>43</v>
      </c>
      <c r="L1592" s="28">
        <v>250</v>
      </c>
      <c r="M1592" s="28">
        <v>474</v>
      </c>
      <c r="N1592" s="62">
        <v>564</v>
      </c>
      <c r="O1592" s="62"/>
      <c r="Q1592" s="28">
        <v>3336</v>
      </c>
      <c r="AE1592" s="378"/>
    </row>
    <row r="1593" spans="1:31" hidden="1">
      <c r="B1593" s="62"/>
      <c r="N1593" s="62"/>
      <c r="O1593" s="62"/>
      <c r="AE1593" s="378"/>
    </row>
    <row r="1594" spans="1:31" hidden="1">
      <c r="B1594" s="62"/>
      <c r="N1594" s="62"/>
      <c r="O1594" s="62"/>
      <c r="AE1594" s="378"/>
    </row>
    <row r="1595" spans="1:31" hidden="1">
      <c r="B1595" s="62"/>
      <c r="N1595" s="62"/>
      <c r="O1595" s="62"/>
      <c r="AE1595" s="378"/>
    </row>
    <row r="1596" spans="1:31" ht="7.9" hidden="1" customHeight="1"/>
    <row r="1597" spans="1:31" ht="7.9" hidden="1" customHeight="1"/>
    <row r="1598" spans="1:31" ht="7.9" hidden="1" customHeight="1"/>
    <row r="1599" spans="1:31" ht="7.9" hidden="1" customHeight="1"/>
    <row r="1600" spans="1:31" ht="7.9" hidden="1" customHeight="1"/>
    <row r="1601" spans="1:31" s="34" customFormat="1" ht="15.75" hidden="1">
      <c r="A1601" s="61">
        <v>64</v>
      </c>
      <c r="B1601" s="129"/>
      <c r="C1601" s="129" t="s">
        <v>712</v>
      </c>
      <c r="D1601" s="129"/>
      <c r="E1601" s="130"/>
      <c r="F1601" s="130" t="s">
        <v>352</v>
      </c>
      <c r="G1601" s="129">
        <v>580</v>
      </c>
      <c r="H1601" s="131" t="s">
        <v>353</v>
      </c>
      <c r="I1601" s="129"/>
      <c r="J1601" s="129"/>
      <c r="K1601" s="130" t="s">
        <v>354</v>
      </c>
      <c r="L1601" s="131">
        <v>8</v>
      </c>
      <c r="M1601" s="129" t="s">
        <v>355</v>
      </c>
      <c r="N1601" s="131" t="s">
        <v>1585</v>
      </c>
      <c r="O1601" s="130"/>
      <c r="P1601" s="130" t="s">
        <v>357</v>
      </c>
      <c r="Q1601" s="129">
        <v>-7</v>
      </c>
      <c r="R1601" s="131" t="s">
        <v>2324</v>
      </c>
      <c r="S1601" s="28"/>
      <c r="T1601" s="28"/>
      <c r="U1601" s="378"/>
      <c r="V1601" s="368"/>
      <c r="W1601" s="368"/>
      <c r="X1601" s="368"/>
      <c r="Y1601" s="368"/>
      <c r="Z1601" s="368"/>
      <c r="AA1601" s="368"/>
      <c r="AB1601" s="368"/>
      <c r="AC1601" s="368"/>
      <c r="AD1601" s="368"/>
      <c r="AE1601" s="510"/>
    </row>
    <row r="1602" spans="1:31" hidden="1">
      <c r="B1602" s="62"/>
      <c r="N1602" s="62"/>
      <c r="O1602" s="62"/>
      <c r="P1602" s="53"/>
      <c r="Q1602" s="45"/>
      <c r="R1602" s="45"/>
    </row>
    <row r="1603" spans="1:31" s="34" customFormat="1" hidden="1">
      <c r="B1603" s="65"/>
      <c r="C1603" s="95" t="s">
        <v>489</v>
      </c>
      <c r="D1603" s="95" t="s">
        <v>490</v>
      </c>
      <c r="E1603" s="95" t="s">
        <v>491</v>
      </c>
      <c r="F1603" s="95" t="s">
        <v>492</v>
      </c>
      <c r="G1603" s="95" t="s">
        <v>493</v>
      </c>
      <c r="H1603" s="95" t="s">
        <v>494</v>
      </c>
      <c r="I1603" s="95" t="s">
        <v>495</v>
      </c>
      <c r="J1603" s="95" t="s">
        <v>496</v>
      </c>
      <c r="K1603" s="95" t="s">
        <v>497</v>
      </c>
      <c r="L1603" s="95" t="s">
        <v>498</v>
      </c>
      <c r="M1603" s="95" t="s">
        <v>499</v>
      </c>
      <c r="N1603" s="126" t="s">
        <v>500</v>
      </c>
      <c r="O1603" s="126" t="s">
        <v>501</v>
      </c>
      <c r="P1603" s="132"/>
      <c r="Q1603" s="133"/>
      <c r="R1603" s="133"/>
      <c r="S1603" s="28"/>
      <c r="T1603" s="28"/>
      <c r="U1603" s="378"/>
      <c r="V1603" s="368"/>
      <c r="W1603" s="368"/>
      <c r="X1603" s="368"/>
      <c r="Y1603" s="368"/>
      <c r="Z1603" s="368"/>
      <c r="AA1603" s="368"/>
      <c r="AB1603" s="368"/>
      <c r="AC1603" s="368"/>
      <c r="AD1603" s="368"/>
      <c r="AE1603" s="510"/>
    </row>
    <row r="1604" spans="1:31" hidden="1">
      <c r="B1604" s="62"/>
      <c r="N1604" s="62"/>
      <c r="O1604" s="62"/>
    </row>
    <row r="1605" spans="1:31" hidden="1">
      <c r="A1605" s="28" t="s">
        <v>1209</v>
      </c>
      <c r="B1605" s="62" t="s">
        <v>2324</v>
      </c>
      <c r="C1605" s="28">
        <v>-0.6</v>
      </c>
      <c r="D1605" s="28">
        <v>0.8</v>
      </c>
      <c r="E1605" s="28">
        <v>4.8</v>
      </c>
      <c r="F1605" s="28">
        <v>7.9</v>
      </c>
      <c r="G1605" s="28">
        <v>13</v>
      </c>
      <c r="H1605" s="28">
        <v>15.7</v>
      </c>
      <c r="I1605" s="28">
        <v>18</v>
      </c>
      <c r="J1605" s="28">
        <v>17.8</v>
      </c>
      <c r="K1605" s="28">
        <v>13.5</v>
      </c>
      <c r="L1605" s="28">
        <v>9.3000000000000007</v>
      </c>
      <c r="M1605" s="28">
        <v>3.7</v>
      </c>
      <c r="N1605" s="62">
        <v>0.9</v>
      </c>
      <c r="O1605" s="62">
        <v>8.6999999999999993</v>
      </c>
    </row>
    <row r="1606" spans="1:31" hidden="1">
      <c r="B1606" s="62"/>
      <c r="N1606" s="62"/>
      <c r="O1606" s="62"/>
    </row>
    <row r="1607" spans="1:31" ht="12.6" hidden="1" customHeight="1">
      <c r="A1607" s="28" t="s">
        <v>1210</v>
      </c>
      <c r="B1607" s="62" t="s">
        <v>804</v>
      </c>
      <c r="C1607" s="28">
        <v>123</v>
      </c>
      <c r="D1607" s="28">
        <v>181</v>
      </c>
      <c r="E1607" s="28">
        <v>329</v>
      </c>
      <c r="F1607" s="28">
        <v>433</v>
      </c>
      <c r="G1607" s="28">
        <v>549</v>
      </c>
      <c r="H1607" s="28">
        <v>568</v>
      </c>
      <c r="I1607" s="28">
        <v>592</v>
      </c>
      <c r="J1607" s="28">
        <v>512</v>
      </c>
      <c r="K1607" s="28">
        <v>363</v>
      </c>
      <c r="L1607" s="28">
        <v>230</v>
      </c>
      <c r="M1607" s="28">
        <v>127</v>
      </c>
      <c r="N1607" s="62">
        <v>94</v>
      </c>
      <c r="O1607" s="62">
        <v>4101</v>
      </c>
      <c r="AE1607" s="378"/>
    </row>
    <row r="1608" spans="1:31" ht="12.6" hidden="1" customHeight="1">
      <c r="A1608" s="28" t="s">
        <v>1211</v>
      </c>
      <c r="B1608" s="62" t="s">
        <v>804</v>
      </c>
      <c r="C1608" s="28">
        <v>198</v>
      </c>
      <c r="D1608" s="28">
        <v>240</v>
      </c>
      <c r="E1608" s="28">
        <v>319</v>
      </c>
      <c r="F1608" s="28">
        <v>288</v>
      </c>
      <c r="G1608" s="28">
        <v>276</v>
      </c>
      <c r="H1608" s="28">
        <v>249</v>
      </c>
      <c r="I1608" s="28">
        <v>281</v>
      </c>
      <c r="J1608" s="28">
        <v>313</v>
      </c>
      <c r="K1608" s="28">
        <v>303</v>
      </c>
      <c r="L1608" s="28">
        <v>252</v>
      </c>
      <c r="M1608" s="28">
        <v>176</v>
      </c>
      <c r="N1608" s="62">
        <v>142</v>
      </c>
      <c r="O1608" s="62">
        <v>3037</v>
      </c>
      <c r="AE1608" s="378"/>
    </row>
    <row r="1609" spans="1:31" ht="12.6" hidden="1" customHeight="1">
      <c r="A1609" s="28" t="s">
        <v>1212</v>
      </c>
      <c r="B1609" s="62" t="s">
        <v>804</v>
      </c>
      <c r="C1609" s="28">
        <v>62</v>
      </c>
      <c r="D1609" s="28">
        <v>92</v>
      </c>
      <c r="E1609" s="28">
        <v>158</v>
      </c>
      <c r="F1609" s="28">
        <v>210</v>
      </c>
      <c r="G1609" s="28">
        <v>284</v>
      </c>
      <c r="H1609" s="28">
        <v>301</v>
      </c>
      <c r="I1609" s="28">
        <v>316</v>
      </c>
      <c r="J1609" s="28">
        <v>262</v>
      </c>
      <c r="K1609" s="28">
        <v>168</v>
      </c>
      <c r="L1609" s="28">
        <v>96</v>
      </c>
      <c r="M1609" s="28">
        <v>52</v>
      </c>
      <c r="N1609" s="62">
        <v>40</v>
      </c>
      <c r="O1609" s="62">
        <v>2042</v>
      </c>
      <c r="AE1609" s="378"/>
    </row>
    <row r="1610" spans="1:31" ht="12.6" hidden="1" customHeight="1">
      <c r="A1610" s="28" t="s">
        <v>1213</v>
      </c>
      <c r="B1610" s="62" t="s">
        <v>804</v>
      </c>
      <c r="C1610" s="28">
        <v>80</v>
      </c>
      <c r="D1610" s="28">
        <v>114</v>
      </c>
      <c r="E1610" s="28">
        <v>185</v>
      </c>
      <c r="F1610" s="28">
        <v>218</v>
      </c>
      <c r="G1610" s="28">
        <v>252</v>
      </c>
      <c r="H1610" s="28">
        <v>251</v>
      </c>
      <c r="I1610" s="28">
        <v>271</v>
      </c>
      <c r="J1610" s="28">
        <v>249</v>
      </c>
      <c r="K1610" s="28">
        <v>189</v>
      </c>
      <c r="L1610" s="28">
        <v>121</v>
      </c>
      <c r="M1610" s="28">
        <v>73</v>
      </c>
      <c r="N1610" s="62">
        <v>56</v>
      </c>
      <c r="O1610" s="62">
        <v>2058</v>
      </c>
      <c r="AE1610" s="378"/>
    </row>
    <row r="1611" spans="1:31" ht="12.6" hidden="1" customHeight="1">
      <c r="A1611" s="28" t="s">
        <v>1214</v>
      </c>
      <c r="B1611" s="62" t="s">
        <v>804</v>
      </c>
      <c r="C1611" s="28">
        <v>46</v>
      </c>
      <c r="D1611" s="28">
        <v>65</v>
      </c>
      <c r="E1611" s="28">
        <v>94</v>
      </c>
      <c r="F1611" s="28">
        <v>109</v>
      </c>
      <c r="G1611" s="28">
        <v>142</v>
      </c>
      <c r="H1611" s="28">
        <v>158</v>
      </c>
      <c r="I1611" s="28">
        <v>155</v>
      </c>
      <c r="J1611" s="28">
        <v>126</v>
      </c>
      <c r="K1611" s="28">
        <v>91</v>
      </c>
      <c r="L1611" s="28">
        <v>62</v>
      </c>
      <c r="M1611" s="28">
        <v>39</v>
      </c>
      <c r="N1611" s="62">
        <v>32</v>
      </c>
      <c r="O1611" s="62">
        <v>1118</v>
      </c>
      <c r="AE1611" s="378"/>
    </row>
    <row r="1612" spans="1:31" hidden="1">
      <c r="B1612" s="62"/>
      <c r="N1612" s="62"/>
      <c r="O1612" s="62"/>
      <c r="AE1612" s="378"/>
    </row>
    <row r="1613" spans="1:31" hidden="1">
      <c r="B1613" s="62"/>
      <c r="N1613" s="62"/>
      <c r="O1613" s="62"/>
      <c r="AE1613" s="378"/>
    </row>
    <row r="1614" spans="1:31" hidden="1">
      <c r="B1614" s="62"/>
      <c r="N1614" s="62"/>
      <c r="O1614" s="62"/>
      <c r="AE1614" s="378"/>
    </row>
    <row r="1615" spans="1:31" hidden="1">
      <c r="B1615" s="62"/>
      <c r="N1615" s="62"/>
      <c r="O1615" s="62"/>
      <c r="AE1615" s="378"/>
    </row>
    <row r="1616" spans="1:31" hidden="1">
      <c r="A1616" s="28" t="s">
        <v>1886</v>
      </c>
      <c r="B1616" s="62" t="s">
        <v>1808</v>
      </c>
      <c r="C1616" s="28">
        <v>31</v>
      </c>
      <c r="D1616" s="28">
        <v>28</v>
      </c>
      <c r="E1616" s="28">
        <v>31</v>
      </c>
      <c r="F1616" s="28">
        <v>23</v>
      </c>
      <c r="G1616" s="28">
        <v>14</v>
      </c>
      <c r="H1616" s="28">
        <v>5</v>
      </c>
      <c r="I1616" s="28">
        <v>2</v>
      </c>
      <c r="J1616" s="28">
        <v>3</v>
      </c>
      <c r="K1616" s="28">
        <v>8</v>
      </c>
      <c r="L1616" s="28">
        <v>24</v>
      </c>
      <c r="M1616" s="28">
        <v>29</v>
      </c>
      <c r="N1616" s="62">
        <v>31</v>
      </c>
      <c r="O1616" s="62"/>
      <c r="Q1616" s="28">
        <v>229</v>
      </c>
      <c r="AE1616" s="378"/>
    </row>
    <row r="1617" spans="1:31" hidden="1">
      <c r="A1617" s="28" t="s">
        <v>1887</v>
      </c>
      <c r="B1617" s="62" t="s">
        <v>1810</v>
      </c>
      <c r="C1617" s="28">
        <v>639</v>
      </c>
      <c r="D1617" s="28">
        <v>538</v>
      </c>
      <c r="E1617" s="28">
        <v>471</v>
      </c>
      <c r="F1617" s="28">
        <v>278</v>
      </c>
      <c r="G1617" s="28">
        <v>98</v>
      </c>
      <c r="H1617" s="28">
        <v>22</v>
      </c>
      <c r="I1617" s="28">
        <v>4</v>
      </c>
      <c r="J1617" s="28">
        <v>7</v>
      </c>
      <c r="K1617" s="28">
        <v>52</v>
      </c>
      <c r="L1617" s="28">
        <v>257</v>
      </c>
      <c r="M1617" s="28">
        <v>473</v>
      </c>
      <c r="N1617" s="62">
        <v>592</v>
      </c>
      <c r="O1617" s="62"/>
      <c r="Q1617" s="28">
        <v>3431</v>
      </c>
      <c r="AE1617" s="378"/>
    </row>
    <row r="1618" spans="1:31" hidden="1">
      <c r="B1618" s="62"/>
      <c r="N1618" s="62"/>
      <c r="O1618" s="62"/>
      <c r="AE1618" s="378"/>
    </row>
    <row r="1619" spans="1:31" hidden="1">
      <c r="B1619" s="62"/>
      <c r="N1619" s="62"/>
      <c r="O1619" s="62"/>
      <c r="AE1619" s="378"/>
    </row>
    <row r="1620" spans="1:31" hidden="1">
      <c r="B1620" s="62"/>
      <c r="N1620" s="62"/>
      <c r="O1620" s="62"/>
      <c r="AE1620" s="378"/>
    </row>
    <row r="1621" spans="1:31" ht="7.9" hidden="1" customHeight="1"/>
    <row r="1622" spans="1:31" ht="7.9" hidden="1" customHeight="1"/>
    <row r="1623" spans="1:31" ht="7.9" hidden="1" customHeight="1"/>
    <row r="1624" spans="1:31" ht="7.9" hidden="1" customHeight="1"/>
    <row r="1625" spans="1:31" ht="7.9" hidden="1" customHeight="1"/>
    <row r="1626" spans="1:31" s="34" customFormat="1" ht="15.75" hidden="1">
      <c r="A1626" s="61">
        <v>65</v>
      </c>
      <c r="B1626" s="129"/>
      <c r="C1626" s="129" t="s">
        <v>713</v>
      </c>
      <c r="D1626" s="129"/>
      <c r="E1626" s="130"/>
      <c r="F1626" s="130" t="s">
        <v>352</v>
      </c>
      <c r="G1626" s="129">
        <v>1190</v>
      </c>
      <c r="H1626" s="131" t="s">
        <v>353</v>
      </c>
      <c r="I1626" s="129"/>
      <c r="J1626" s="129"/>
      <c r="K1626" s="130" t="s">
        <v>354</v>
      </c>
      <c r="L1626" s="131">
        <v>9</v>
      </c>
      <c r="M1626" s="129" t="s">
        <v>355</v>
      </c>
      <c r="N1626" s="131" t="s">
        <v>356</v>
      </c>
      <c r="O1626" s="130"/>
      <c r="P1626" s="130" t="s">
        <v>357</v>
      </c>
      <c r="Q1626" s="129">
        <v>-10</v>
      </c>
      <c r="R1626" s="131" t="s">
        <v>2324</v>
      </c>
      <c r="S1626" s="28"/>
      <c r="T1626" s="28"/>
      <c r="U1626" s="378"/>
      <c r="V1626" s="368"/>
      <c r="W1626" s="368"/>
      <c r="X1626" s="368"/>
      <c r="Y1626" s="368"/>
      <c r="Z1626" s="368"/>
      <c r="AA1626" s="368"/>
      <c r="AB1626" s="368"/>
      <c r="AC1626" s="368"/>
      <c r="AD1626" s="368"/>
      <c r="AE1626" s="510"/>
    </row>
    <row r="1627" spans="1:31" hidden="1">
      <c r="B1627" s="62"/>
      <c r="N1627" s="62"/>
      <c r="O1627" s="62"/>
      <c r="P1627" s="53"/>
      <c r="Q1627" s="45"/>
      <c r="R1627" s="45"/>
    </row>
    <row r="1628" spans="1:31" s="34" customFormat="1" hidden="1">
      <c r="B1628" s="65"/>
      <c r="C1628" s="95" t="s">
        <v>489</v>
      </c>
      <c r="D1628" s="95" t="s">
        <v>490</v>
      </c>
      <c r="E1628" s="95" t="s">
        <v>491</v>
      </c>
      <c r="F1628" s="95" t="s">
        <v>492</v>
      </c>
      <c r="G1628" s="95" t="s">
        <v>493</v>
      </c>
      <c r="H1628" s="95" t="s">
        <v>494</v>
      </c>
      <c r="I1628" s="95" t="s">
        <v>495</v>
      </c>
      <c r="J1628" s="95" t="s">
        <v>496</v>
      </c>
      <c r="K1628" s="95" t="s">
        <v>497</v>
      </c>
      <c r="L1628" s="95" t="s">
        <v>498</v>
      </c>
      <c r="M1628" s="95" t="s">
        <v>499</v>
      </c>
      <c r="N1628" s="126" t="s">
        <v>500</v>
      </c>
      <c r="O1628" s="126" t="s">
        <v>501</v>
      </c>
      <c r="P1628" s="132"/>
      <c r="Q1628" s="133"/>
      <c r="R1628" s="133"/>
      <c r="S1628" s="28"/>
      <c r="T1628" s="28"/>
      <c r="U1628" s="378"/>
      <c r="V1628" s="368"/>
      <c r="W1628" s="368"/>
      <c r="X1628" s="368"/>
      <c r="Y1628" s="368"/>
      <c r="Z1628" s="368"/>
      <c r="AA1628" s="368"/>
      <c r="AB1628" s="368"/>
      <c r="AC1628" s="368"/>
      <c r="AD1628" s="368"/>
      <c r="AE1628" s="510"/>
    </row>
    <row r="1629" spans="1:31" hidden="1">
      <c r="B1629" s="62"/>
      <c r="N1629" s="62"/>
      <c r="O1629" s="62"/>
    </row>
    <row r="1630" spans="1:31" hidden="1">
      <c r="A1630" s="28" t="s">
        <v>1209</v>
      </c>
      <c r="B1630" s="62" t="s">
        <v>2324</v>
      </c>
      <c r="C1630" s="28">
        <v>-1.1000000000000001</v>
      </c>
      <c r="D1630" s="28">
        <v>-0.8</v>
      </c>
      <c r="E1630" s="28">
        <v>2.2000000000000002</v>
      </c>
      <c r="F1630" s="28">
        <v>4.9000000000000004</v>
      </c>
      <c r="G1630" s="28">
        <v>10.199999999999999</v>
      </c>
      <c r="H1630" s="28">
        <v>12.9</v>
      </c>
      <c r="I1630" s="28">
        <v>15.3</v>
      </c>
      <c r="J1630" s="28">
        <v>15.3</v>
      </c>
      <c r="K1630" s="28">
        <v>11.3</v>
      </c>
      <c r="L1630" s="28">
        <v>8</v>
      </c>
      <c r="M1630" s="28">
        <v>2.2999999999999998</v>
      </c>
      <c r="N1630" s="62">
        <v>-0.1</v>
      </c>
      <c r="O1630" s="62">
        <v>6.7</v>
      </c>
    </row>
    <row r="1631" spans="1:31" hidden="1">
      <c r="B1631" s="62"/>
      <c r="N1631" s="62"/>
      <c r="O1631" s="62"/>
    </row>
    <row r="1632" spans="1:31" ht="12.6" hidden="1" customHeight="1">
      <c r="A1632" s="28" t="s">
        <v>1210</v>
      </c>
      <c r="B1632" s="62" t="s">
        <v>804</v>
      </c>
      <c r="C1632" s="28">
        <v>161</v>
      </c>
      <c r="D1632" s="28">
        <v>235</v>
      </c>
      <c r="E1632" s="28">
        <v>404</v>
      </c>
      <c r="F1632" s="28">
        <v>469</v>
      </c>
      <c r="G1632" s="28">
        <v>552</v>
      </c>
      <c r="H1632" s="28">
        <v>588</v>
      </c>
      <c r="I1632" s="28">
        <v>611</v>
      </c>
      <c r="J1632" s="28">
        <v>533</v>
      </c>
      <c r="K1632" s="28">
        <v>391</v>
      </c>
      <c r="L1632" s="28">
        <v>265</v>
      </c>
      <c r="M1632" s="28">
        <v>158</v>
      </c>
      <c r="N1632" s="62">
        <v>129</v>
      </c>
      <c r="O1632" s="62">
        <v>4496</v>
      </c>
      <c r="AE1632" s="378"/>
    </row>
    <row r="1633" spans="1:31" ht="12.6" hidden="1" customHeight="1">
      <c r="A1633" s="28" t="s">
        <v>1211</v>
      </c>
      <c r="B1633" s="62" t="s">
        <v>804</v>
      </c>
      <c r="C1633" s="28">
        <v>321</v>
      </c>
      <c r="D1633" s="28">
        <v>392</v>
      </c>
      <c r="E1633" s="28">
        <v>474</v>
      </c>
      <c r="F1633" s="28">
        <v>345</v>
      </c>
      <c r="G1633" s="28">
        <v>281</v>
      </c>
      <c r="H1633" s="28">
        <v>259</v>
      </c>
      <c r="I1633" s="28">
        <v>292</v>
      </c>
      <c r="J1633" s="28">
        <v>329</v>
      </c>
      <c r="K1633" s="28">
        <v>340</v>
      </c>
      <c r="L1633" s="28">
        <v>324</v>
      </c>
      <c r="M1633" s="28">
        <v>264</v>
      </c>
      <c r="N1633" s="62">
        <v>260</v>
      </c>
      <c r="O1633" s="62">
        <v>3882</v>
      </c>
      <c r="AE1633" s="378"/>
    </row>
    <row r="1634" spans="1:31" ht="12.6" hidden="1" customHeight="1">
      <c r="A1634" s="28" t="s">
        <v>1212</v>
      </c>
      <c r="B1634" s="62" t="s">
        <v>804</v>
      </c>
      <c r="C1634" s="28">
        <v>107</v>
      </c>
      <c r="D1634" s="28">
        <v>174</v>
      </c>
      <c r="E1634" s="28">
        <v>289</v>
      </c>
      <c r="F1634" s="28">
        <v>298</v>
      </c>
      <c r="G1634" s="28">
        <v>313</v>
      </c>
      <c r="H1634" s="28">
        <v>327</v>
      </c>
      <c r="I1634" s="28">
        <v>348</v>
      </c>
      <c r="J1634" s="28">
        <v>321</v>
      </c>
      <c r="K1634" s="28">
        <v>226</v>
      </c>
      <c r="L1634" s="28">
        <v>131</v>
      </c>
      <c r="M1634" s="28">
        <v>86</v>
      </c>
      <c r="N1634" s="62">
        <v>80</v>
      </c>
      <c r="O1634" s="62">
        <v>2701</v>
      </c>
      <c r="AE1634" s="378"/>
    </row>
    <row r="1635" spans="1:31" ht="12.6" hidden="1" customHeight="1">
      <c r="A1635" s="28" t="s">
        <v>1213</v>
      </c>
      <c r="B1635" s="62" t="s">
        <v>804</v>
      </c>
      <c r="C1635" s="28">
        <v>142</v>
      </c>
      <c r="D1635" s="28">
        <v>198</v>
      </c>
      <c r="E1635" s="28">
        <v>279</v>
      </c>
      <c r="F1635" s="28">
        <v>241</v>
      </c>
      <c r="G1635" s="28">
        <v>228</v>
      </c>
      <c r="H1635" s="28">
        <v>233</v>
      </c>
      <c r="I1635" s="28">
        <v>241</v>
      </c>
      <c r="J1635" s="28">
        <v>217</v>
      </c>
      <c r="K1635" s="28">
        <v>176</v>
      </c>
      <c r="L1635" s="28">
        <v>139</v>
      </c>
      <c r="M1635" s="28">
        <v>106</v>
      </c>
      <c r="N1635" s="62">
        <v>110</v>
      </c>
      <c r="O1635" s="62">
        <v>2311</v>
      </c>
      <c r="AE1635" s="378"/>
    </row>
    <row r="1636" spans="1:31" ht="12.6" hidden="1" customHeight="1">
      <c r="A1636" s="28" t="s">
        <v>1214</v>
      </c>
      <c r="B1636" s="62" t="s">
        <v>804</v>
      </c>
      <c r="C1636" s="28">
        <v>83</v>
      </c>
      <c r="D1636" s="28">
        <v>123</v>
      </c>
      <c r="E1636" s="28">
        <v>166</v>
      </c>
      <c r="F1636" s="28">
        <v>143</v>
      </c>
      <c r="G1636" s="28">
        <v>134</v>
      </c>
      <c r="H1636" s="28">
        <v>143</v>
      </c>
      <c r="I1636" s="28">
        <v>142</v>
      </c>
      <c r="J1636" s="28">
        <v>118</v>
      </c>
      <c r="K1636" s="28">
        <v>83</v>
      </c>
      <c r="L1636" s="28">
        <v>62</v>
      </c>
      <c r="M1636" s="28">
        <v>57</v>
      </c>
      <c r="N1636" s="62">
        <v>62</v>
      </c>
      <c r="O1636" s="62">
        <v>1314</v>
      </c>
      <c r="AE1636" s="378"/>
    </row>
    <row r="1637" spans="1:31" hidden="1">
      <c r="B1637" s="62"/>
      <c r="N1637" s="62"/>
      <c r="O1637" s="62"/>
      <c r="AE1637" s="378"/>
    </row>
    <row r="1638" spans="1:31" hidden="1">
      <c r="B1638" s="62"/>
      <c r="N1638" s="62"/>
      <c r="O1638" s="62"/>
      <c r="AE1638" s="378"/>
    </row>
    <row r="1639" spans="1:31" hidden="1">
      <c r="B1639" s="62"/>
      <c r="N1639" s="62"/>
      <c r="O1639" s="62"/>
      <c r="AE1639" s="378"/>
    </row>
    <row r="1640" spans="1:31" hidden="1">
      <c r="B1640" s="62"/>
      <c r="N1640" s="62"/>
      <c r="O1640" s="62"/>
      <c r="AE1640" s="378"/>
    </row>
    <row r="1641" spans="1:31" hidden="1">
      <c r="A1641" s="28" t="s">
        <v>1886</v>
      </c>
      <c r="B1641" s="62" t="s">
        <v>1808</v>
      </c>
      <c r="C1641" s="28">
        <v>31</v>
      </c>
      <c r="D1641" s="28">
        <v>28</v>
      </c>
      <c r="E1641" s="28">
        <v>31</v>
      </c>
      <c r="F1641" s="28">
        <v>29</v>
      </c>
      <c r="G1641" s="28">
        <v>24</v>
      </c>
      <c r="H1641" s="28">
        <v>11</v>
      </c>
      <c r="I1641" s="28">
        <v>6</v>
      </c>
      <c r="J1641" s="28">
        <v>8</v>
      </c>
      <c r="K1641" s="28">
        <v>13</v>
      </c>
      <c r="L1641" s="28">
        <v>26</v>
      </c>
      <c r="M1641" s="28">
        <v>30</v>
      </c>
      <c r="N1641" s="62">
        <v>31</v>
      </c>
      <c r="O1641" s="62"/>
      <c r="Q1641" s="28">
        <v>268</v>
      </c>
      <c r="AE1641" s="378"/>
    </row>
    <row r="1642" spans="1:31" hidden="1">
      <c r="A1642" s="28" t="s">
        <v>1887</v>
      </c>
      <c r="B1642" s="62" t="s">
        <v>1810</v>
      </c>
      <c r="C1642" s="28">
        <v>654</v>
      </c>
      <c r="D1642" s="28">
        <v>582</v>
      </c>
      <c r="E1642" s="28">
        <v>552</v>
      </c>
      <c r="F1642" s="28">
        <v>438</v>
      </c>
      <c r="G1642" s="28">
        <v>235</v>
      </c>
      <c r="H1642" s="28">
        <v>78</v>
      </c>
      <c r="I1642" s="28">
        <v>28</v>
      </c>
      <c r="J1642" s="28">
        <v>38</v>
      </c>
      <c r="K1642" s="28">
        <v>113</v>
      </c>
      <c r="L1642" s="28">
        <v>312</v>
      </c>
      <c r="M1642" s="28">
        <v>531</v>
      </c>
      <c r="N1642" s="62">
        <v>623</v>
      </c>
      <c r="O1642" s="62"/>
      <c r="Q1642" s="28">
        <v>4184</v>
      </c>
      <c r="AE1642" s="378"/>
    </row>
    <row r="1643" spans="1:31" hidden="1">
      <c r="B1643" s="62"/>
      <c r="N1643" s="62"/>
      <c r="O1643" s="62"/>
      <c r="AE1643" s="378"/>
    </row>
    <row r="1644" spans="1:31" hidden="1">
      <c r="B1644" s="62"/>
      <c r="N1644" s="62"/>
      <c r="O1644" s="62"/>
      <c r="AE1644" s="378"/>
    </row>
    <row r="1645" spans="1:31" hidden="1">
      <c r="B1645" s="62"/>
      <c r="N1645" s="62"/>
      <c r="O1645" s="62"/>
      <c r="AE1645" s="378"/>
    </row>
    <row r="1646" spans="1:31" ht="7.9" hidden="1" customHeight="1"/>
    <row r="1647" spans="1:31" ht="7.9" hidden="1" customHeight="1"/>
    <row r="1648" spans="1:31" ht="7.9" hidden="1" customHeight="1"/>
    <row r="1649" spans="1:31" ht="7.9" hidden="1" customHeight="1"/>
    <row r="1650" spans="1:31" ht="7.9" hidden="1" customHeight="1"/>
    <row r="1651" spans="1:31" s="34" customFormat="1" ht="15.75" hidden="1">
      <c r="A1651" s="61">
        <v>66</v>
      </c>
      <c r="B1651" s="129"/>
      <c r="C1651" s="129" t="s">
        <v>714</v>
      </c>
      <c r="D1651" s="129"/>
      <c r="E1651" s="130"/>
      <c r="F1651" s="130" t="s">
        <v>352</v>
      </c>
      <c r="G1651" s="129">
        <v>515</v>
      </c>
      <c r="H1651" s="131" t="s">
        <v>353</v>
      </c>
      <c r="I1651" s="129"/>
      <c r="J1651" s="129"/>
      <c r="K1651" s="130" t="s">
        <v>354</v>
      </c>
      <c r="L1651" s="131">
        <v>6</v>
      </c>
      <c r="M1651" s="129" t="s">
        <v>355</v>
      </c>
      <c r="N1651" s="131" t="s">
        <v>1443</v>
      </c>
      <c r="O1651" s="130"/>
      <c r="P1651" s="130" t="s">
        <v>357</v>
      </c>
      <c r="Q1651" s="129">
        <v>-8</v>
      </c>
      <c r="R1651" s="131" t="s">
        <v>2324</v>
      </c>
      <c r="S1651" s="28"/>
      <c r="T1651" s="28"/>
      <c r="U1651" s="378"/>
      <c r="V1651" s="368"/>
      <c r="W1651" s="368"/>
      <c r="X1651" s="368"/>
      <c r="Y1651" s="368"/>
      <c r="Z1651" s="368"/>
      <c r="AA1651" s="368"/>
      <c r="AB1651" s="368"/>
      <c r="AC1651" s="368"/>
      <c r="AD1651" s="368"/>
      <c r="AE1651" s="510"/>
    </row>
    <row r="1652" spans="1:31" hidden="1">
      <c r="B1652" s="62"/>
      <c r="N1652" s="62"/>
      <c r="O1652" s="62"/>
      <c r="P1652" s="53"/>
      <c r="Q1652" s="45"/>
      <c r="R1652" s="45"/>
    </row>
    <row r="1653" spans="1:31" s="34" customFormat="1" hidden="1">
      <c r="B1653" s="65"/>
      <c r="C1653" s="95" t="s">
        <v>489</v>
      </c>
      <c r="D1653" s="95" t="s">
        <v>490</v>
      </c>
      <c r="E1653" s="95" t="s">
        <v>491</v>
      </c>
      <c r="F1653" s="95" t="s">
        <v>492</v>
      </c>
      <c r="G1653" s="95" t="s">
        <v>493</v>
      </c>
      <c r="H1653" s="95" t="s">
        <v>494</v>
      </c>
      <c r="I1653" s="95" t="s">
        <v>495</v>
      </c>
      <c r="J1653" s="95" t="s">
        <v>496</v>
      </c>
      <c r="K1653" s="95" t="s">
        <v>497</v>
      </c>
      <c r="L1653" s="95" t="s">
        <v>498</v>
      </c>
      <c r="M1653" s="95" t="s">
        <v>499</v>
      </c>
      <c r="N1653" s="126" t="s">
        <v>500</v>
      </c>
      <c r="O1653" s="126" t="s">
        <v>501</v>
      </c>
      <c r="P1653" s="132"/>
      <c r="Q1653" s="133"/>
      <c r="R1653" s="133"/>
      <c r="S1653" s="28"/>
      <c r="T1653" s="28"/>
      <c r="U1653" s="378"/>
      <c r="V1653" s="368"/>
      <c r="W1653" s="368"/>
      <c r="X1653" s="368"/>
      <c r="Y1653" s="368"/>
      <c r="Z1653" s="368"/>
      <c r="AA1653" s="368"/>
      <c r="AB1653" s="368"/>
      <c r="AC1653" s="368"/>
      <c r="AD1653" s="368"/>
      <c r="AE1653" s="510"/>
    </row>
    <row r="1654" spans="1:31" hidden="1">
      <c r="B1654" s="62"/>
      <c r="N1654" s="62"/>
      <c r="O1654" s="62"/>
    </row>
    <row r="1655" spans="1:31" hidden="1">
      <c r="A1655" s="28" t="s">
        <v>1209</v>
      </c>
      <c r="B1655" s="62" t="s">
        <v>2324</v>
      </c>
      <c r="C1655" s="28">
        <v>-0.6</v>
      </c>
      <c r="D1655" s="28">
        <v>0.6</v>
      </c>
      <c r="E1655" s="28">
        <v>4.7</v>
      </c>
      <c r="F1655" s="28">
        <v>8.3000000000000007</v>
      </c>
      <c r="G1655" s="28">
        <v>13.3</v>
      </c>
      <c r="H1655" s="28">
        <v>15.7</v>
      </c>
      <c r="I1655" s="28">
        <v>17.7</v>
      </c>
      <c r="J1655" s="28">
        <v>17.600000000000001</v>
      </c>
      <c r="K1655" s="28">
        <v>13.5</v>
      </c>
      <c r="L1655" s="28">
        <v>9.6</v>
      </c>
      <c r="M1655" s="28">
        <v>3.9</v>
      </c>
      <c r="N1655" s="62">
        <v>0.9</v>
      </c>
      <c r="O1655" s="62">
        <v>8.8000000000000007</v>
      </c>
    </row>
    <row r="1656" spans="1:31" hidden="1">
      <c r="B1656" s="62"/>
      <c r="N1656" s="62"/>
      <c r="O1656" s="62"/>
    </row>
    <row r="1657" spans="1:31" ht="12.6" hidden="1" customHeight="1">
      <c r="A1657" s="28" t="s">
        <v>1210</v>
      </c>
      <c r="B1657" s="62" t="s">
        <v>804</v>
      </c>
      <c r="C1657" s="28">
        <v>118</v>
      </c>
      <c r="D1657" s="28">
        <v>172</v>
      </c>
      <c r="E1657" s="28">
        <v>295</v>
      </c>
      <c r="F1657" s="28">
        <v>412</v>
      </c>
      <c r="G1657" s="28">
        <v>530</v>
      </c>
      <c r="H1657" s="28">
        <v>531</v>
      </c>
      <c r="I1657" s="28">
        <v>541</v>
      </c>
      <c r="J1657" s="28">
        <v>471</v>
      </c>
      <c r="K1657" s="28">
        <v>314</v>
      </c>
      <c r="L1657" s="28">
        <v>212</v>
      </c>
      <c r="M1657" s="28">
        <v>122</v>
      </c>
      <c r="N1657" s="62">
        <v>91</v>
      </c>
      <c r="O1657" s="62">
        <v>3809</v>
      </c>
      <c r="AE1657" s="378"/>
    </row>
    <row r="1658" spans="1:31" ht="12.6" hidden="1" customHeight="1">
      <c r="A1658" s="28" t="s">
        <v>1211</v>
      </c>
      <c r="B1658" s="62" t="s">
        <v>804</v>
      </c>
      <c r="C1658" s="28">
        <v>182</v>
      </c>
      <c r="D1658" s="28">
        <v>218</v>
      </c>
      <c r="E1658" s="28">
        <v>271</v>
      </c>
      <c r="F1658" s="28">
        <v>267</v>
      </c>
      <c r="G1658" s="28">
        <v>268</v>
      </c>
      <c r="H1658" s="28">
        <v>236</v>
      </c>
      <c r="I1658" s="28">
        <v>260</v>
      </c>
      <c r="J1658" s="28">
        <v>284</v>
      </c>
      <c r="K1658" s="28">
        <v>246</v>
      </c>
      <c r="L1658" s="28">
        <v>217</v>
      </c>
      <c r="M1658" s="28">
        <v>161</v>
      </c>
      <c r="N1658" s="62">
        <v>137</v>
      </c>
      <c r="O1658" s="62">
        <v>2745</v>
      </c>
      <c r="AE1658" s="378"/>
    </row>
    <row r="1659" spans="1:31" ht="12.6" hidden="1" customHeight="1">
      <c r="A1659" s="28" t="s">
        <v>1212</v>
      </c>
      <c r="B1659" s="62" t="s">
        <v>804</v>
      </c>
      <c r="C1659" s="28">
        <v>75</v>
      </c>
      <c r="D1659" s="28">
        <v>104</v>
      </c>
      <c r="E1659" s="28">
        <v>161</v>
      </c>
      <c r="F1659" s="28">
        <v>197</v>
      </c>
      <c r="G1659" s="28">
        <v>244</v>
      </c>
      <c r="H1659" s="28">
        <v>244</v>
      </c>
      <c r="I1659" s="28">
        <v>252</v>
      </c>
      <c r="J1659" s="28">
        <v>228</v>
      </c>
      <c r="K1659" s="28">
        <v>156</v>
      </c>
      <c r="L1659" s="28">
        <v>107</v>
      </c>
      <c r="M1659" s="28">
        <v>65</v>
      </c>
      <c r="N1659" s="62">
        <v>51</v>
      </c>
      <c r="O1659" s="62">
        <v>1882</v>
      </c>
      <c r="AE1659" s="378"/>
    </row>
    <row r="1660" spans="1:31" ht="12.6" hidden="1" customHeight="1">
      <c r="A1660" s="28" t="s">
        <v>1213</v>
      </c>
      <c r="B1660" s="62" t="s">
        <v>804</v>
      </c>
      <c r="C1660" s="28">
        <v>51</v>
      </c>
      <c r="D1660" s="28">
        <v>77</v>
      </c>
      <c r="E1660" s="28">
        <v>110</v>
      </c>
      <c r="F1660" s="28">
        <v>166</v>
      </c>
      <c r="G1660" s="28">
        <v>225</v>
      </c>
      <c r="H1660" s="28">
        <v>218</v>
      </c>
      <c r="I1660" s="28">
        <v>222</v>
      </c>
      <c r="J1660" s="28">
        <v>196</v>
      </c>
      <c r="K1660" s="28">
        <v>104</v>
      </c>
      <c r="L1660" s="28">
        <v>67</v>
      </c>
      <c r="M1660" s="28">
        <v>41</v>
      </c>
      <c r="N1660" s="62">
        <v>35</v>
      </c>
      <c r="O1660" s="62">
        <v>1511</v>
      </c>
      <c r="AE1660" s="378"/>
    </row>
    <row r="1661" spans="1:31" ht="12.6" hidden="1" customHeight="1">
      <c r="A1661" s="28" t="s">
        <v>1214</v>
      </c>
      <c r="B1661" s="62" t="s">
        <v>804</v>
      </c>
      <c r="C1661" s="28">
        <v>43</v>
      </c>
      <c r="D1661" s="28">
        <v>60</v>
      </c>
      <c r="E1661" s="28">
        <v>86</v>
      </c>
      <c r="F1661" s="28">
        <v>101</v>
      </c>
      <c r="G1661" s="28">
        <v>129</v>
      </c>
      <c r="H1661" s="28">
        <v>135</v>
      </c>
      <c r="I1661" s="28">
        <v>131</v>
      </c>
      <c r="J1661" s="28">
        <v>112</v>
      </c>
      <c r="K1661" s="28">
        <v>80</v>
      </c>
      <c r="L1661" s="28">
        <v>56</v>
      </c>
      <c r="M1661" s="28">
        <v>36</v>
      </c>
      <c r="N1661" s="62">
        <v>29</v>
      </c>
      <c r="O1661" s="62">
        <v>1000</v>
      </c>
      <c r="AE1661" s="378"/>
    </row>
    <row r="1662" spans="1:31" hidden="1">
      <c r="B1662" s="62"/>
      <c r="N1662" s="62"/>
      <c r="O1662" s="62"/>
      <c r="AE1662" s="378"/>
    </row>
    <row r="1663" spans="1:31" hidden="1">
      <c r="B1663" s="62"/>
      <c r="N1663" s="62"/>
      <c r="O1663" s="62"/>
      <c r="AE1663" s="378"/>
    </row>
    <row r="1664" spans="1:31" hidden="1">
      <c r="B1664" s="62"/>
      <c r="N1664" s="62"/>
      <c r="O1664" s="62"/>
      <c r="AE1664" s="378"/>
    </row>
    <row r="1665" spans="1:31" hidden="1">
      <c r="B1665" s="62"/>
      <c r="N1665" s="62"/>
      <c r="O1665" s="62"/>
      <c r="AE1665" s="378"/>
    </row>
    <row r="1666" spans="1:31" hidden="1">
      <c r="A1666" s="28" t="s">
        <v>1886</v>
      </c>
      <c r="B1666" s="62" t="s">
        <v>1808</v>
      </c>
      <c r="C1666" s="28">
        <v>31</v>
      </c>
      <c r="D1666" s="28">
        <v>28</v>
      </c>
      <c r="E1666" s="28">
        <v>31</v>
      </c>
      <c r="F1666" s="28">
        <v>24</v>
      </c>
      <c r="G1666" s="28">
        <v>16</v>
      </c>
      <c r="H1666" s="28">
        <v>5</v>
      </c>
      <c r="I1666" s="28">
        <v>2</v>
      </c>
      <c r="J1666" s="28">
        <v>3</v>
      </c>
      <c r="K1666" s="28">
        <v>9</v>
      </c>
      <c r="L1666" s="28">
        <v>24</v>
      </c>
      <c r="M1666" s="28">
        <v>29</v>
      </c>
      <c r="N1666" s="62">
        <v>31</v>
      </c>
      <c r="O1666" s="62"/>
      <c r="Q1666" s="28">
        <v>233</v>
      </c>
      <c r="AE1666" s="378"/>
    </row>
    <row r="1667" spans="1:31" hidden="1">
      <c r="A1667" s="28" t="s">
        <v>1887</v>
      </c>
      <c r="B1667" s="62" t="s">
        <v>1810</v>
      </c>
      <c r="C1667" s="28">
        <v>639</v>
      </c>
      <c r="D1667" s="28">
        <v>543</v>
      </c>
      <c r="E1667" s="28">
        <v>474</v>
      </c>
      <c r="F1667" s="28">
        <v>281</v>
      </c>
      <c r="G1667" s="28">
        <v>107</v>
      </c>
      <c r="H1667" s="28">
        <v>22</v>
      </c>
      <c r="I1667" s="28">
        <v>5</v>
      </c>
      <c r="J1667" s="28">
        <v>7</v>
      </c>
      <c r="K1667" s="28">
        <v>59</v>
      </c>
      <c r="L1667" s="28">
        <v>250</v>
      </c>
      <c r="M1667" s="28">
        <v>467</v>
      </c>
      <c r="N1667" s="62">
        <v>592</v>
      </c>
      <c r="O1667" s="62"/>
      <c r="Q1667" s="28">
        <v>3446</v>
      </c>
      <c r="AE1667" s="378"/>
    </row>
    <row r="1668" spans="1:31" hidden="1">
      <c r="B1668" s="62"/>
      <c r="N1668" s="62"/>
      <c r="O1668" s="62"/>
      <c r="AE1668" s="378"/>
    </row>
    <row r="1669" spans="1:31" hidden="1">
      <c r="B1669" s="62"/>
      <c r="N1669" s="62"/>
      <c r="O1669" s="62"/>
      <c r="AE1669" s="378"/>
    </row>
    <row r="1670" spans="1:31" hidden="1">
      <c r="B1670" s="62"/>
      <c r="N1670" s="62"/>
      <c r="O1670" s="62"/>
      <c r="AE1670" s="378"/>
    </row>
    <row r="1671" spans="1:31" ht="7.9" hidden="1" customHeight="1"/>
    <row r="1672" spans="1:31" ht="7.9" hidden="1" customHeight="1"/>
    <row r="1673" spans="1:31" ht="7.9" hidden="1" customHeight="1"/>
    <row r="1674" spans="1:31" ht="7.9" hidden="1" customHeight="1"/>
    <row r="1675" spans="1:31" ht="7.9" hidden="1" customHeight="1"/>
    <row r="1676" spans="1:31" s="34" customFormat="1" ht="15.75" hidden="1">
      <c r="A1676" s="61">
        <v>67</v>
      </c>
      <c r="B1676" s="129"/>
      <c r="C1676" s="129" t="s">
        <v>715</v>
      </c>
      <c r="D1676" s="129"/>
      <c r="E1676" s="130"/>
      <c r="F1676" s="130" t="s">
        <v>352</v>
      </c>
      <c r="G1676" s="129">
        <v>1202</v>
      </c>
      <c r="H1676" s="131" t="s">
        <v>353</v>
      </c>
      <c r="I1676" s="129"/>
      <c r="J1676" s="129"/>
      <c r="K1676" s="130" t="s">
        <v>354</v>
      </c>
      <c r="L1676" s="131">
        <v>2</v>
      </c>
      <c r="M1676" s="129" t="s">
        <v>355</v>
      </c>
      <c r="N1676" s="131" t="s">
        <v>716</v>
      </c>
      <c r="O1676" s="130"/>
      <c r="P1676" s="130" t="s">
        <v>357</v>
      </c>
      <c r="Q1676" s="129">
        <v>-10</v>
      </c>
      <c r="R1676" s="131" t="s">
        <v>2324</v>
      </c>
      <c r="S1676" s="28"/>
      <c r="T1676" s="28"/>
      <c r="U1676" s="378"/>
      <c r="V1676" s="368"/>
      <c r="W1676" s="368"/>
      <c r="X1676" s="368"/>
      <c r="Y1676" s="368"/>
      <c r="Z1676" s="368"/>
      <c r="AA1676" s="368"/>
      <c r="AB1676" s="368"/>
      <c r="AC1676" s="368"/>
      <c r="AD1676" s="368"/>
      <c r="AE1676" s="510"/>
    </row>
    <row r="1677" spans="1:31" hidden="1">
      <c r="B1677" s="62"/>
      <c r="N1677" s="62"/>
      <c r="O1677" s="62"/>
      <c r="P1677" s="53"/>
      <c r="Q1677" s="45"/>
      <c r="R1677" s="45"/>
    </row>
    <row r="1678" spans="1:31" s="34" customFormat="1" hidden="1">
      <c r="B1678" s="65"/>
      <c r="C1678" s="95" t="s">
        <v>489</v>
      </c>
      <c r="D1678" s="95" t="s">
        <v>490</v>
      </c>
      <c r="E1678" s="95" t="s">
        <v>491</v>
      </c>
      <c r="F1678" s="95" t="s">
        <v>492</v>
      </c>
      <c r="G1678" s="95" t="s">
        <v>493</v>
      </c>
      <c r="H1678" s="95" t="s">
        <v>494</v>
      </c>
      <c r="I1678" s="95" t="s">
        <v>495</v>
      </c>
      <c r="J1678" s="95" t="s">
        <v>496</v>
      </c>
      <c r="K1678" s="95" t="s">
        <v>497</v>
      </c>
      <c r="L1678" s="95" t="s">
        <v>498</v>
      </c>
      <c r="M1678" s="95" t="s">
        <v>499</v>
      </c>
      <c r="N1678" s="126" t="s">
        <v>500</v>
      </c>
      <c r="O1678" s="126" t="s">
        <v>501</v>
      </c>
      <c r="P1678" s="132"/>
      <c r="Q1678" s="133"/>
      <c r="R1678" s="133"/>
      <c r="S1678" s="28"/>
      <c r="T1678" s="28"/>
      <c r="U1678" s="378"/>
      <c r="V1678" s="368"/>
      <c r="W1678" s="368"/>
      <c r="X1678" s="368"/>
      <c r="Y1678" s="368"/>
      <c r="Z1678" s="368"/>
      <c r="AA1678" s="368"/>
      <c r="AB1678" s="368"/>
      <c r="AC1678" s="368"/>
      <c r="AD1678" s="368"/>
      <c r="AE1678" s="510"/>
    </row>
    <row r="1679" spans="1:31" hidden="1">
      <c r="B1679" s="62"/>
      <c r="N1679" s="62"/>
      <c r="O1679" s="62"/>
    </row>
    <row r="1680" spans="1:31" hidden="1">
      <c r="A1680" s="28" t="s">
        <v>1209</v>
      </c>
      <c r="B1680" s="62" t="s">
        <v>2324</v>
      </c>
      <c r="C1680" s="28">
        <v>-1.2</v>
      </c>
      <c r="D1680" s="28">
        <v>-0.8</v>
      </c>
      <c r="E1680" s="28">
        <v>1.6</v>
      </c>
      <c r="F1680" s="28">
        <v>3.8</v>
      </c>
      <c r="G1680" s="28">
        <v>8.8000000000000007</v>
      </c>
      <c r="H1680" s="28">
        <v>11.7</v>
      </c>
      <c r="I1680" s="28">
        <v>14.2</v>
      </c>
      <c r="J1680" s="28">
        <v>14.5</v>
      </c>
      <c r="K1680" s="28">
        <v>10.4</v>
      </c>
      <c r="L1680" s="28">
        <v>7.1</v>
      </c>
      <c r="M1680" s="28">
        <v>2</v>
      </c>
      <c r="N1680" s="62">
        <v>0.1</v>
      </c>
      <c r="O1680" s="62">
        <v>6</v>
      </c>
    </row>
    <row r="1681" spans="1:31" hidden="1">
      <c r="B1681" s="62"/>
      <c r="N1681" s="62"/>
      <c r="O1681" s="62"/>
    </row>
    <row r="1682" spans="1:31" ht="12.6" hidden="1" customHeight="1">
      <c r="A1682" s="28" t="s">
        <v>1210</v>
      </c>
      <c r="B1682" s="62" t="s">
        <v>804</v>
      </c>
      <c r="C1682" s="28">
        <v>145</v>
      </c>
      <c r="D1682" s="28">
        <v>203</v>
      </c>
      <c r="E1682" s="28">
        <v>346</v>
      </c>
      <c r="F1682" s="28">
        <v>420</v>
      </c>
      <c r="G1682" s="28">
        <v>520</v>
      </c>
      <c r="H1682" s="28">
        <v>562</v>
      </c>
      <c r="I1682" s="28">
        <v>597</v>
      </c>
      <c r="J1682" s="28">
        <v>520</v>
      </c>
      <c r="K1682" s="28">
        <v>358</v>
      </c>
      <c r="L1682" s="28">
        <v>236</v>
      </c>
      <c r="M1682" s="28">
        <v>140</v>
      </c>
      <c r="N1682" s="62">
        <v>112</v>
      </c>
      <c r="O1682" s="62">
        <v>4158</v>
      </c>
      <c r="AE1682" s="378"/>
    </row>
    <row r="1683" spans="1:31" ht="12.6" hidden="1" customHeight="1">
      <c r="A1683" s="28" t="s">
        <v>1211</v>
      </c>
      <c r="B1683" s="62" t="s">
        <v>804</v>
      </c>
      <c r="C1683" s="28">
        <v>273</v>
      </c>
      <c r="D1683" s="28">
        <v>298</v>
      </c>
      <c r="E1683" s="28">
        <v>348</v>
      </c>
      <c r="F1683" s="28">
        <v>285</v>
      </c>
      <c r="G1683" s="28">
        <v>271</v>
      </c>
      <c r="H1683" s="28">
        <v>257</v>
      </c>
      <c r="I1683" s="28">
        <v>289</v>
      </c>
      <c r="J1683" s="28">
        <v>324</v>
      </c>
      <c r="K1683" s="28">
        <v>308</v>
      </c>
      <c r="L1683" s="28">
        <v>292</v>
      </c>
      <c r="M1683" s="28">
        <v>233</v>
      </c>
      <c r="N1683" s="62">
        <v>225</v>
      </c>
      <c r="O1683" s="62">
        <v>3403</v>
      </c>
      <c r="AE1683" s="378"/>
    </row>
    <row r="1684" spans="1:31" ht="12.6" hidden="1" customHeight="1">
      <c r="A1684" s="28" t="s">
        <v>1212</v>
      </c>
      <c r="B1684" s="62" t="s">
        <v>804</v>
      </c>
      <c r="C1684" s="28">
        <v>104</v>
      </c>
      <c r="D1684" s="28">
        <v>140</v>
      </c>
      <c r="E1684" s="28">
        <v>222</v>
      </c>
      <c r="F1684" s="28">
        <v>264</v>
      </c>
      <c r="G1684" s="28">
        <v>308</v>
      </c>
      <c r="H1684" s="28">
        <v>342</v>
      </c>
      <c r="I1684" s="28">
        <v>359</v>
      </c>
      <c r="J1684" s="28">
        <v>332</v>
      </c>
      <c r="K1684" s="28">
        <v>228</v>
      </c>
      <c r="L1684" s="28">
        <v>158</v>
      </c>
      <c r="M1684" s="28">
        <v>101</v>
      </c>
      <c r="N1684" s="62">
        <v>80</v>
      </c>
      <c r="O1684" s="62">
        <v>2640</v>
      </c>
      <c r="AE1684" s="378"/>
    </row>
    <row r="1685" spans="1:31" ht="12.6" hidden="1" customHeight="1">
      <c r="A1685" s="28" t="s">
        <v>1213</v>
      </c>
      <c r="B1685" s="62" t="s">
        <v>804</v>
      </c>
      <c r="C1685" s="28">
        <v>86</v>
      </c>
      <c r="D1685" s="28">
        <v>121</v>
      </c>
      <c r="E1685" s="28">
        <v>196</v>
      </c>
      <c r="F1685" s="28">
        <v>205</v>
      </c>
      <c r="G1685" s="28">
        <v>249</v>
      </c>
      <c r="H1685" s="28">
        <v>267</v>
      </c>
      <c r="I1685" s="28">
        <v>292</v>
      </c>
      <c r="J1685" s="28">
        <v>257</v>
      </c>
      <c r="K1685" s="28">
        <v>197</v>
      </c>
      <c r="L1685" s="28">
        <v>139</v>
      </c>
      <c r="M1685" s="28">
        <v>78</v>
      </c>
      <c r="N1685" s="62">
        <v>67</v>
      </c>
      <c r="O1685" s="62">
        <v>2153</v>
      </c>
      <c r="AE1685" s="378"/>
    </row>
    <row r="1686" spans="1:31" ht="12.6" hidden="1" customHeight="1">
      <c r="A1686" s="28" t="s">
        <v>1214</v>
      </c>
      <c r="B1686" s="62" t="s">
        <v>804</v>
      </c>
      <c r="C1686" s="28">
        <v>40</v>
      </c>
      <c r="D1686" s="28">
        <v>53</v>
      </c>
      <c r="E1686" s="28">
        <v>88</v>
      </c>
      <c r="F1686" s="28">
        <v>114</v>
      </c>
      <c r="G1686" s="28">
        <v>147</v>
      </c>
      <c r="H1686" s="28">
        <v>174</v>
      </c>
      <c r="I1686" s="28">
        <v>171</v>
      </c>
      <c r="J1686" s="28">
        <v>137</v>
      </c>
      <c r="K1686" s="28">
        <v>93</v>
      </c>
      <c r="L1686" s="28">
        <v>64</v>
      </c>
      <c r="M1686" s="28">
        <v>41</v>
      </c>
      <c r="N1686" s="62">
        <v>35</v>
      </c>
      <c r="O1686" s="62">
        <v>1159</v>
      </c>
      <c r="AE1686" s="378"/>
    </row>
    <row r="1687" spans="1:31" hidden="1">
      <c r="B1687" s="62"/>
      <c r="N1687" s="62"/>
      <c r="O1687" s="62"/>
      <c r="AE1687" s="378"/>
    </row>
    <row r="1688" spans="1:31" hidden="1">
      <c r="B1688" s="62"/>
      <c r="N1688" s="62"/>
      <c r="O1688" s="62"/>
      <c r="AE1688" s="378"/>
    </row>
    <row r="1689" spans="1:31" hidden="1">
      <c r="B1689" s="62"/>
      <c r="N1689" s="62"/>
      <c r="O1689" s="62"/>
      <c r="AE1689" s="378"/>
    </row>
    <row r="1690" spans="1:31" hidden="1">
      <c r="B1690" s="62"/>
      <c r="N1690" s="62"/>
      <c r="O1690" s="62"/>
      <c r="AE1690" s="378"/>
    </row>
    <row r="1691" spans="1:31" hidden="1">
      <c r="A1691" s="28" t="s">
        <v>1886</v>
      </c>
      <c r="B1691" s="62" t="s">
        <v>1808</v>
      </c>
      <c r="C1691" s="28">
        <v>31</v>
      </c>
      <c r="D1691" s="28">
        <v>28</v>
      </c>
      <c r="E1691" s="28">
        <v>31</v>
      </c>
      <c r="F1691" s="28">
        <v>28</v>
      </c>
      <c r="G1691" s="28">
        <v>23</v>
      </c>
      <c r="H1691" s="28">
        <v>13</v>
      </c>
      <c r="I1691" s="28">
        <v>7</v>
      </c>
      <c r="J1691" s="28">
        <v>9</v>
      </c>
      <c r="K1691" s="28">
        <v>13</v>
      </c>
      <c r="L1691" s="28">
        <v>24</v>
      </c>
      <c r="M1691" s="28">
        <v>30</v>
      </c>
      <c r="N1691" s="62">
        <v>31</v>
      </c>
      <c r="O1691" s="62"/>
      <c r="Q1691" s="28">
        <v>268</v>
      </c>
      <c r="AE1691" s="378"/>
    </row>
    <row r="1692" spans="1:31" hidden="1">
      <c r="A1692" s="28" t="s">
        <v>1887</v>
      </c>
      <c r="B1692" s="62" t="s">
        <v>1810</v>
      </c>
      <c r="C1692" s="28">
        <v>657</v>
      </c>
      <c r="D1692" s="28">
        <v>582</v>
      </c>
      <c r="E1692" s="28">
        <v>570</v>
      </c>
      <c r="F1692" s="28">
        <v>454</v>
      </c>
      <c r="G1692" s="28">
        <v>258</v>
      </c>
      <c r="H1692" s="28">
        <v>108</v>
      </c>
      <c r="I1692" s="28">
        <v>41</v>
      </c>
      <c r="J1692" s="28">
        <v>50</v>
      </c>
      <c r="K1692" s="28">
        <v>125</v>
      </c>
      <c r="L1692" s="28">
        <v>310</v>
      </c>
      <c r="M1692" s="28">
        <v>540</v>
      </c>
      <c r="N1692" s="62">
        <v>617</v>
      </c>
      <c r="O1692" s="62"/>
      <c r="Q1692" s="28">
        <v>4312</v>
      </c>
      <c r="AE1692" s="378"/>
    </row>
    <row r="1693" spans="1:31" hidden="1">
      <c r="B1693" s="62"/>
      <c r="N1693" s="62"/>
      <c r="O1693" s="62"/>
      <c r="AE1693" s="378"/>
    </row>
    <row r="1694" spans="1:31" hidden="1">
      <c r="B1694" s="62"/>
      <c r="N1694" s="62"/>
      <c r="O1694" s="62"/>
      <c r="AE1694" s="378"/>
    </row>
    <row r="1695" spans="1:31" hidden="1">
      <c r="B1695" s="62"/>
      <c r="N1695" s="62"/>
      <c r="O1695" s="62"/>
      <c r="AE1695" s="378"/>
    </row>
    <row r="1696" spans="1:31" ht="7.9" hidden="1" customHeight="1"/>
    <row r="1697" spans="1:31" ht="7.9" hidden="1" customHeight="1"/>
    <row r="1698" spans="1:31" ht="7.9" hidden="1" customHeight="1"/>
    <row r="1699" spans="1:31" ht="7.9" hidden="1" customHeight="1"/>
    <row r="1700" spans="1:31" ht="7.9" hidden="1" customHeight="1"/>
    <row r="1701" spans="1:31" s="34" customFormat="1" ht="15.75" hidden="1">
      <c r="A1701" s="61">
        <v>68</v>
      </c>
      <c r="B1701" s="129"/>
      <c r="C1701" s="129" t="s">
        <v>717</v>
      </c>
      <c r="D1701" s="129"/>
      <c r="E1701" s="130"/>
      <c r="F1701" s="130" t="s">
        <v>352</v>
      </c>
      <c r="G1701" s="129">
        <v>273</v>
      </c>
      <c r="H1701" s="131" t="s">
        <v>353</v>
      </c>
      <c r="I1701" s="129"/>
      <c r="J1701" s="129"/>
      <c r="K1701" s="130" t="s">
        <v>354</v>
      </c>
      <c r="L1701" s="131">
        <v>12</v>
      </c>
      <c r="M1701" s="129" t="s">
        <v>355</v>
      </c>
      <c r="N1701" s="131" t="s">
        <v>1437</v>
      </c>
      <c r="O1701" s="130"/>
      <c r="P1701" s="130" t="s">
        <v>357</v>
      </c>
      <c r="Q1701" s="129">
        <v>-1</v>
      </c>
      <c r="R1701" s="131" t="s">
        <v>2324</v>
      </c>
      <c r="S1701" s="28"/>
      <c r="T1701" s="28"/>
      <c r="U1701" s="378"/>
      <c r="V1701" s="368"/>
      <c r="W1701" s="368"/>
      <c r="X1701" s="368"/>
      <c r="Y1701" s="368"/>
      <c r="Z1701" s="368"/>
      <c r="AA1701" s="368"/>
      <c r="AB1701" s="368"/>
      <c r="AC1701" s="368"/>
      <c r="AD1701" s="368"/>
      <c r="AE1701" s="510"/>
    </row>
    <row r="1702" spans="1:31" hidden="1">
      <c r="B1702" s="62"/>
      <c r="N1702" s="62"/>
      <c r="O1702" s="62"/>
      <c r="P1702" s="53"/>
      <c r="Q1702" s="45"/>
      <c r="R1702" s="45"/>
    </row>
    <row r="1703" spans="1:31" s="34" customFormat="1" hidden="1">
      <c r="B1703" s="65"/>
      <c r="C1703" s="95" t="s">
        <v>489</v>
      </c>
      <c r="D1703" s="95" t="s">
        <v>490</v>
      </c>
      <c r="E1703" s="95" t="s">
        <v>491</v>
      </c>
      <c r="F1703" s="95" t="s">
        <v>492</v>
      </c>
      <c r="G1703" s="95" t="s">
        <v>493</v>
      </c>
      <c r="H1703" s="95" t="s">
        <v>494</v>
      </c>
      <c r="I1703" s="95" t="s">
        <v>495</v>
      </c>
      <c r="J1703" s="95" t="s">
        <v>496</v>
      </c>
      <c r="K1703" s="95" t="s">
        <v>497</v>
      </c>
      <c r="L1703" s="95" t="s">
        <v>498</v>
      </c>
      <c r="M1703" s="95" t="s">
        <v>499</v>
      </c>
      <c r="N1703" s="126" t="s">
        <v>500</v>
      </c>
      <c r="O1703" s="126" t="s">
        <v>501</v>
      </c>
      <c r="P1703" s="132"/>
      <c r="Q1703" s="133"/>
      <c r="R1703" s="133"/>
      <c r="S1703" s="28"/>
      <c r="T1703" s="28"/>
      <c r="U1703" s="378"/>
      <c r="V1703" s="368"/>
      <c r="W1703" s="368"/>
      <c r="X1703" s="368"/>
      <c r="Y1703" s="368"/>
      <c r="Z1703" s="368"/>
      <c r="AA1703" s="368"/>
      <c r="AB1703" s="368"/>
      <c r="AC1703" s="368"/>
      <c r="AD1703" s="368"/>
      <c r="AE1703" s="510"/>
    </row>
    <row r="1704" spans="1:31" hidden="1">
      <c r="B1704" s="62"/>
      <c r="N1704" s="62"/>
      <c r="O1704" s="62"/>
    </row>
    <row r="1705" spans="1:31" hidden="1">
      <c r="A1705" s="28" t="s">
        <v>1209</v>
      </c>
      <c r="B1705" s="62" t="s">
        <v>2324</v>
      </c>
      <c r="C1705" s="28">
        <v>3.3</v>
      </c>
      <c r="D1705" s="28">
        <v>4.8</v>
      </c>
      <c r="E1705" s="28">
        <v>8.6</v>
      </c>
      <c r="F1705" s="28">
        <v>11.3</v>
      </c>
      <c r="G1705" s="28">
        <v>15.8</v>
      </c>
      <c r="H1705" s="28">
        <v>19.3</v>
      </c>
      <c r="I1705" s="28">
        <v>22</v>
      </c>
      <c r="J1705" s="28">
        <v>21.7</v>
      </c>
      <c r="K1705" s="28">
        <v>17.3</v>
      </c>
      <c r="L1705" s="28">
        <v>12.9</v>
      </c>
      <c r="M1705" s="28">
        <v>7.8</v>
      </c>
      <c r="N1705" s="62">
        <v>4.5</v>
      </c>
      <c r="O1705" s="62">
        <v>12.4</v>
      </c>
    </row>
    <row r="1706" spans="1:31" hidden="1">
      <c r="B1706" s="62"/>
      <c r="N1706" s="62"/>
      <c r="O1706" s="62"/>
    </row>
    <row r="1707" spans="1:31" ht="12.6" hidden="1" customHeight="1">
      <c r="A1707" s="28" t="s">
        <v>1210</v>
      </c>
      <c r="B1707" s="62" t="s">
        <v>804</v>
      </c>
      <c r="C1707" s="28">
        <v>153</v>
      </c>
      <c r="D1707" s="28">
        <v>218</v>
      </c>
      <c r="E1707" s="28">
        <v>370</v>
      </c>
      <c r="F1707" s="28">
        <v>420</v>
      </c>
      <c r="G1707" s="28">
        <v>525</v>
      </c>
      <c r="H1707" s="28">
        <v>601</v>
      </c>
      <c r="I1707" s="28">
        <v>643</v>
      </c>
      <c r="J1707" s="28">
        <v>581</v>
      </c>
      <c r="K1707" s="28">
        <v>397</v>
      </c>
      <c r="L1707" s="28">
        <v>249</v>
      </c>
      <c r="M1707" s="28">
        <v>150</v>
      </c>
      <c r="N1707" s="62">
        <v>123</v>
      </c>
      <c r="O1707" s="62">
        <v>4429</v>
      </c>
      <c r="AE1707" s="378"/>
    </row>
    <row r="1708" spans="1:31" ht="12.6" hidden="1" customHeight="1">
      <c r="A1708" s="28" t="s">
        <v>1211</v>
      </c>
      <c r="B1708" s="62" t="s">
        <v>804</v>
      </c>
      <c r="C1708" s="28">
        <v>287</v>
      </c>
      <c r="D1708" s="28">
        <v>314</v>
      </c>
      <c r="E1708" s="28">
        <v>370</v>
      </c>
      <c r="F1708" s="28">
        <v>285</v>
      </c>
      <c r="G1708" s="28">
        <v>271</v>
      </c>
      <c r="H1708" s="28">
        <v>275</v>
      </c>
      <c r="I1708" s="28">
        <v>313</v>
      </c>
      <c r="J1708" s="28">
        <v>364</v>
      </c>
      <c r="K1708" s="28">
        <v>345</v>
      </c>
      <c r="L1708" s="28">
        <v>308</v>
      </c>
      <c r="M1708" s="28">
        <v>251</v>
      </c>
      <c r="N1708" s="62">
        <v>246</v>
      </c>
      <c r="O1708" s="62">
        <v>3629</v>
      </c>
      <c r="AE1708" s="378"/>
    </row>
    <row r="1709" spans="1:31" ht="12.6" hidden="1" customHeight="1">
      <c r="A1709" s="28" t="s">
        <v>1212</v>
      </c>
      <c r="B1709" s="62" t="s">
        <v>804</v>
      </c>
      <c r="C1709" s="28">
        <v>86</v>
      </c>
      <c r="D1709" s="28">
        <v>131</v>
      </c>
      <c r="E1709" s="28">
        <v>212</v>
      </c>
      <c r="F1709" s="28">
        <v>223</v>
      </c>
      <c r="G1709" s="28">
        <v>252</v>
      </c>
      <c r="H1709" s="28">
        <v>285</v>
      </c>
      <c r="I1709" s="28">
        <v>311</v>
      </c>
      <c r="J1709" s="28">
        <v>297</v>
      </c>
      <c r="K1709" s="28">
        <v>218</v>
      </c>
      <c r="L1709" s="28">
        <v>137</v>
      </c>
      <c r="M1709" s="28">
        <v>78</v>
      </c>
      <c r="N1709" s="62">
        <v>64</v>
      </c>
      <c r="O1709" s="62">
        <v>2292</v>
      </c>
      <c r="AE1709" s="378"/>
    </row>
    <row r="1710" spans="1:31" ht="12.6" hidden="1" customHeight="1">
      <c r="A1710" s="28" t="s">
        <v>1213</v>
      </c>
      <c r="B1710" s="62" t="s">
        <v>804</v>
      </c>
      <c r="C1710" s="28">
        <v>112</v>
      </c>
      <c r="D1710" s="28">
        <v>148</v>
      </c>
      <c r="E1710" s="28">
        <v>214</v>
      </c>
      <c r="F1710" s="28">
        <v>223</v>
      </c>
      <c r="G1710" s="28">
        <v>265</v>
      </c>
      <c r="H1710" s="28">
        <v>306</v>
      </c>
      <c r="I1710" s="28">
        <v>332</v>
      </c>
      <c r="J1710" s="28">
        <v>316</v>
      </c>
      <c r="K1710" s="28">
        <v>231</v>
      </c>
      <c r="L1710" s="28">
        <v>153</v>
      </c>
      <c r="M1710" s="28">
        <v>101</v>
      </c>
      <c r="N1710" s="62">
        <v>94</v>
      </c>
      <c r="O1710" s="62">
        <v>2495</v>
      </c>
      <c r="AE1710" s="378"/>
    </row>
    <row r="1711" spans="1:31" ht="12.6" hidden="1" customHeight="1">
      <c r="A1711" s="28" t="s">
        <v>1214</v>
      </c>
      <c r="B1711" s="62" t="s">
        <v>804</v>
      </c>
      <c r="C1711" s="28">
        <v>46</v>
      </c>
      <c r="D1711" s="28">
        <v>65</v>
      </c>
      <c r="E1711" s="28">
        <v>94</v>
      </c>
      <c r="F1711" s="28">
        <v>106</v>
      </c>
      <c r="G1711" s="28">
        <v>142</v>
      </c>
      <c r="H1711" s="28">
        <v>163</v>
      </c>
      <c r="I1711" s="28">
        <v>166</v>
      </c>
      <c r="J1711" s="28">
        <v>137</v>
      </c>
      <c r="K1711" s="28">
        <v>96</v>
      </c>
      <c r="L1711" s="28">
        <v>64</v>
      </c>
      <c r="M1711" s="28">
        <v>41</v>
      </c>
      <c r="N1711" s="62">
        <v>37</v>
      </c>
      <c r="O1711" s="62">
        <v>1158</v>
      </c>
      <c r="AE1711" s="378"/>
    </row>
    <row r="1712" spans="1:31" hidden="1">
      <c r="B1712" s="62"/>
      <c r="N1712" s="62"/>
      <c r="O1712" s="62"/>
      <c r="AE1712" s="378"/>
    </row>
    <row r="1713" spans="1:31" hidden="1">
      <c r="B1713" s="62"/>
      <c r="N1713" s="62"/>
      <c r="O1713" s="62"/>
      <c r="AE1713" s="378"/>
    </row>
    <row r="1714" spans="1:31" hidden="1">
      <c r="B1714" s="62"/>
      <c r="N1714" s="62"/>
      <c r="O1714" s="62"/>
      <c r="AE1714" s="378"/>
    </row>
    <row r="1715" spans="1:31" hidden="1">
      <c r="B1715" s="62"/>
      <c r="N1715" s="62"/>
      <c r="O1715" s="62"/>
      <c r="AE1715" s="378"/>
    </row>
    <row r="1716" spans="1:31" hidden="1">
      <c r="A1716" s="28" t="s">
        <v>1886</v>
      </c>
      <c r="B1716" s="62" t="s">
        <v>1808</v>
      </c>
      <c r="C1716" s="28">
        <v>31</v>
      </c>
      <c r="D1716" s="28">
        <v>28</v>
      </c>
      <c r="E1716" s="28">
        <v>29</v>
      </c>
      <c r="F1716" s="28">
        <v>17</v>
      </c>
      <c r="G1716" s="28">
        <v>4</v>
      </c>
      <c r="H1716" s="28">
        <v>1</v>
      </c>
      <c r="I1716" s="28">
        <v>0</v>
      </c>
      <c r="J1716" s="28">
        <v>0</v>
      </c>
      <c r="K1716" s="28">
        <v>1</v>
      </c>
      <c r="L1716" s="28">
        <v>11</v>
      </c>
      <c r="M1716" s="28">
        <v>29</v>
      </c>
      <c r="N1716" s="62">
        <v>31</v>
      </c>
      <c r="O1716" s="62"/>
      <c r="Q1716" s="28">
        <v>182</v>
      </c>
      <c r="AE1716" s="378"/>
    </row>
    <row r="1717" spans="1:31" hidden="1">
      <c r="A1717" s="28" t="s">
        <v>1887</v>
      </c>
      <c r="B1717" s="62" t="s">
        <v>1810</v>
      </c>
      <c r="C1717" s="28">
        <v>518</v>
      </c>
      <c r="D1717" s="28">
        <v>426</v>
      </c>
      <c r="E1717" s="28">
        <v>331</v>
      </c>
      <c r="F1717" s="28">
        <v>148</v>
      </c>
      <c r="G1717" s="28">
        <v>17</v>
      </c>
      <c r="H1717" s="28">
        <v>1</v>
      </c>
      <c r="I1717" s="28">
        <v>0</v>
      </c>
      <c r="J1717" s="28">
        <v>0</v>
      </c>
      <c r="K1717" s="28">
        <v>3</v>
      </c>
      <c r="L1717" s="28">
        <v>78</v>
      </c>
      <c r="M1717" s="28">
        <v>354</v>
      </c>
      <c r="N1717" s="62">
        <v>481</v>
      </c>
      <c r="O1717" s="62"/>
      <c r="Q1717" s="28">
        <v>2357</v>
      </c>
      <c r="AE1717" s="378"/>
    </row>
    <row r="1718" spans="1:31" hidden="1">
      <c r="B1718" s="62"/>
      <c r="N1718" s="62"/>
      <c r="O1718" s="62"/>
      <c r="AE1718" s="378"/>
    </row>
    <row r="1719" spans="1:31" hidden="1">
      <c r="B1719" s="62"/>
      <c r="N1719" s="62"/>
      <c r="O1719" s="62"/>
      <c r="AE1719" s="378"/>
    </row>
    <row r="1720" spans="1:31" hidden="1">
      <c r="B1720" s="62"/>
      <c r="N1720" s="62"/>
      <c r="O1720" s="62"/>
      <c r="AE1720" s="378"/>
    </row>
    <row r="1721" spans="1:31" ht="7.9" hidden="1" customHeight="1"/>
    <row r="1722" spans="1:31" ht="7.9" hidden="1" customHeight="1"/>
    <row r="1723" spans="1:31" ht="7.9" hidden="1" customHeight="1"/>
    <row r="1724" spans="1:31" ht="7.9" hidden="1" customHeight="1"/>
    <row r="1725" spans="1:31" ht="7.9" hidden="1" customHeight="1"/>
    <row r="1726" spans="1:31" s="34" customFormat="1" ht="15.75" hidden="1">
      <c r="A1726" s="61">
        <v>69</v>
      </c>
      <c r="B1726" s="129"/>
      <c r="C1726" s="129" t="s">
        <v>718</v>
      </c>
      <c r="D1726" s="129"/>
      <c r="E1726" s="130"/>
      <c r="F1726" s="130" t="s">
        <v>352</v>
      </c>
      <c r="G1726" s="129">
        <v>197</v>
      </c>
      <c r="H1726" s="131" t="s">
        <v>353</v>
      </c>
      <c r="I1726" s="129"/>
      <c r="J1726" s="129"/>
      <c r="K1726" s="130" t="s">
        <v>354</v>
      </c>
      <c r="L1726" s="131">
        <v>12</v>
      </c>
      <c r="M1726" s="129" t="s">
        <v>355</v>
      </c>
      <c r="N1726" s="131" t="s">
        <v>1585</v>
      </c>
      <c r="O1726" s="130"/>
      <c r="P1726" s="130" t="s">
        <v>357</v>
      </c>
      <c r="Q1726" s="129">
        <v>-3</v>
      </c>
      <c r="R1726" s="131" t="s">
        <v>2324</v>
      </c>
      <c r="S1726" s="28"/>
      <c r="T1726" s="28"/>
      <c r="U1726" s="378"/>
      <c r="V1726" s="368"/>
      <c r="W1726" s="368"/>
      <c r="X1726" s="368"/>
      <c r="Y1726" s="368"/>
      <c r="Z1726" s="368"/>
      <c r="AA1726" s="368"/>
      <c r="AB1726" s="368"/>
      <c r="AC1726" s="368"/>
      <c r="AD1726" s="368"/>
      <c r="AE1726" s="510"/>
    </row>
    <row r="1727" spans="1:31" hidden="1">
      <c r="B1727" s="62"/>
      <c r="N1727" s="62"/>
      <c r="O1727" s="62"/>
      <c r="P1727" s="53"/>
      <c r="Q1727" s="45"/>
      <c r="R1727" s="45"/>
    </row>
    <row r="1728" spans="1:31" s="34" customFormat="1" hidden="1">
      <c r="B1728" s="65"/>
      <c r="C1728" s="95" t="s">
        <v>489</v>
      </c>
      <c r="D1728" s="95" t="s">
        <v>490</v>
      </c>
      <c r="E1728" s="95" t="s">
        <v>491</v>
      </c>
      <c r="F1728" s="95" t="s">
        <v>492</v>
      </c>
      <c r="G1728" s="95" t="s">
        <v>493</v>
      </c>
      <c r="H1728" s="95" t="s">
        <v>494</v>
      </c>
      <c r="I1728" s="95" t="s">
        <v>495</v>
      </c>
      <c r="J1728" s="95" t="s">
        <v>496</v>
      </c>
      <c r="K1728" s="95" t="s">
        <v>497</v>
      </c>
      <c r="L1728" s="95" t="s">
        <v>498</v>
      </c>
      <c r="M1728" s="95" t="s">
        <v>499</v>
      </c>
      <c r="N1728" s="126" t="s">
        <v>500</v>
      </c>
      <c r="O1728" s="126" t="s">
        <v>501</v>
      </c>
      <c r="P1728" s="132"/>
      <c r="Q1728" s="133"/>
      <c r="R1728" s="133"/>
      <c r="S1728" s="28"/>
      <c r="T1728" s="28"/>
      <c r="U1728" s="378"/>
      <c r="V1728" s="368"/>
      <c r="W1728" s="368"/>
      <c r="X1728" s="368"/>
      <c r="Y1728" s="368"/>
      <c r="Z1728" s="368"/>
      <c r="AA1728" s="368"/>
      <c r="AB1728" s="368"/>
      <c r="AC1728" s="368"/>
      <c r="AD1728" s="368"/>
      <c r="AE1728" s="510"/>
    </row>
    <row r="1729" spans="1:31" hidden="1">
      <c r="B1729" s="62"/>
      <c r="N1729" s="62"/>
      <c r="O1729" s="62"/>
    </row>
    <row r="1730" spans="1:31" hidden="1">
      <c r="A1730" s="28" t="s">
        <v>1209</v>
      </c>
      <c r="B1730" s="62" t="s">
        <v>2324</v>
      </c>
      <c r="C1730" s="28">
        <v>1.2</v>
      </c>
      <c r="D1730" s="28">
        <v>3.5</v>
      </c>
      <c r="E1730" s="28">
        <v>8.1999999999999993</v>
      </c>
      <c r="F1730" s="28">
        <v>11.4</v>
      </c>
      <c r="G1730" s="28">
        <v>16</v>
      </c>
      <c r="H1730" s="28">
        <v>19.399999999999999</v>
      </c>
      <c r="I1730" s="28">
        <v>21.8</v>
      </c>
      <c r="J1730" s="28">
        <v>21.3</v>
      </c>
      <c r="K1730" s="28">
        <v>16.8</v>
      </c>
      <c r="L1730" s="28">
        <v>11.9</v>
      </c>
      <c r="M1730" s="28">
        <v>6.1</v>
      </c>
      <c r="N1730" s="62">
        <v>2.2999999999999998</v>
      </c>
      <c r="O1730" s="62">
        <v>11.7</v>
      </c>
    </row>
    <row r="1731" spans="1:31" hidden="1">
      <c r="B1731" s="62"/>
      <c r="N1731" s="62"/>
      <c r="O1731" s="62"/>
    </row>
    <row r="1732" spans="1:31" ht="12.6" hidden="1" customHeight="1">
      <c r="A1732" s="28" t="s">
        <v>1210</v>
      </c>
      <c r="B1732" s="62" t="s">
        <v>804</v>
      </c>
      <c r="C1732" s="28">
        <v>150</v>
      </c>
      <c r="D1732" s="28">
        <v>215</v>
      </c>
      <c r="E1732" s="28">
        <v>370</v>
      </c>
      <c r="F1732" s="28">
        <v>420</v>
      </c>
      <c r="G1732" s="28">
        <v>506</v>
      </c>
      <c r="H1732" s="28">
        <v>591</v>
      </c>
      <c r="I1732" s="28">
        <v>629</v>
      </c>
      <c r="J1732" s="28">
        <v>554</v>
      </c>
      <c r="K1732" s="28">
        <v>378</v>
      </c>
      <c r="L1732" s="28">
        <v>241</v>
      </c>
      <c r="M1732" s="28">
        <v>148</v>
      </c>
      <c r="N1732" s="62">
        <v>118</v>
      </c>
      <c r="O1732" s="62">
        <v>4321</v>
      </c>
      <c r="AE1732" s="378"/>
    </row>
    <row r="1733" spans="1:31" ht="12.6" hidden="1" customHeight="1">
      <c r="A1733" s="28" t="s">
        <v>1211</v>
      </c>
      <c r="B1733" s="62" t="s">
        <v>804</v>
      </c>
      <c r="C1733" s="28">
        <v>287</v>
      </c>
      <c r="D1733" s="28">
        <v>307</v>
      </c>
      <c r="E1733" s="28">
        <v>364</v>
      </c>
      <c r="F1733" s="28">
        <v>280</v>
      </c>
      <c r="G1733" s="28">
        <v>252</v>
      </c>
      <c r="H1733" s="28">
        <v>262</v>
      </c>
      <c r="I1733" s="28">
        <v>300</v>
      </c>
      <c r="J1733" s="28">
        <v>340</v>
      </c>
      <c r="K1733" s="28">
        <v>321</v>
      </c>
      <c r="L1733" s="28">
        <v>295</v>
      </c>
      <c r="M1733" s="28">
        <v>238</v>
      </c>
      <c r="N1733" s="62">
        <v>222</v>
      </c>
      <c r="O1733" s="62">
        <v>3469</v>
      </c>
      <c r="AE1733" s="378"/>
    </row>
    <row r="1734" spans="1:31" ht="12.6" hidden="1" customHeight="1">
      <c r="A1734" s="28" t="s">
        <v>1212</v>
      </c>
      <c r="B1734" s="62" t="s">
        <v>804</v>
      </c>
      <c r="C1734" s="28">
        <v>99</v>
      </c>
      <c r="D1734" s="28">
        <v>135</v>
      </c>
      <c r="E1734" s="28">
        <v>214</v>
      </c>
      <c r="F1734" s="28">
        <v>231</v>
      </c>
      <c r="G1734" s="28">
        <v>265</v>
      </c>
      <c r="H1734" s="28">
        <v>303</v>
      </c>
      <c r="I1734" s="28">
        <v>329</v>
      </c>
      <c r="J1734" s="28">
        <v>303</v>
      </c>
      <c r="K1734" s="28">
        <v>213</v>
      </c>
      <c r="L1734" s="28">
        <v>139</v>
      </c>
      <c r="M1734" s="28">
        <v>86</v>
      </c>
      <c r="N1734" s="62">
        <v>75</v>
      </c>
      <c r="O1734" s="62">
        <v>2392</v>
      </c>
      <c r="AE1734" s="378"/>
    </row>
    <row r="1735" spans="1:31" ht="12.6" hidden="1" customHeight="1">
      <c r="A1735" s="28" t="s">
        <v>1213</v>
      </c>
      <c r="B1735" s="62" t="s">
        <v>804</v>
      </c>
      <c r="C1735" s="28">
        <v>110</v>
      </c>
      <c r="D1735" s="28">
        <v>143</v>
      </c>
      <c r="E1735" s="28">
        <v>214</v>
      </c>
      <c r="F1735" s="28">
        <v>228</v>
      </c>
      <c r="G1735" s="28">
        <v>254</v>
      </c>
      <c r="H1735" s="28">
        <v>293</v>
      </c>
      <c r="I1735" s="28">
        <v>321</v>
      </c>
      <c r="J1735" s="28">
        <v>295</v>
      </c>
      <c r="K1735" s="28">
        <v>220</v>
      </c>
      <c r="L1735" s="28">
        <v>145</v>
      </c>
      <c r="M1735" s="28">
        <v>96</v>
      </c>
      <c r="N1735" s="62">
        <v>78</v>
      </c>
      <c r="O1735" s="62">
        <v>2397</v>
      </c>
      <c r="AE1735" s="378"/>
    </row>
    <row r="1736" spans="1:31" ht="12.6" hidden="1" customHeight="1">
      <c r="A1736" s="28" t="s">
        <v>1214</v>
      </c>
      <c r="B1736" s="62" t="s">
        <v>804</v>
      </c>
      <c r="C1736" s="28">
        <v>48</v>
      </c>
      <c r="D1736" s="28">
        <v>65</v>
      </c>
      <c r="E1736" s="28">
        <v>91</v>
      </c>
      <c r="F1736" s="28">
        <v>104</v>
      </c>
      <c r="G1736" s="28">
        <v>137</v>
      </c>
      <c r="H1736" s="28">
        <v>163</v>
      </c>
      <c r="I1736" s="28">
        <v>166</v>
      </c>
      <c r="J1736" s="28">
        <v>134</v>
      </c>
      <c r="K1736" s="28">
        <v>91</v>
      </c>
      <c r="L1736" s="28">
        <v>62</v>
      </c>
      <c r="M1736" s="28">
        <v>39</v>
      </c>
      <c r="N1736" s="62">
        <v>35</v>
      </c>
      <c r="O1736" s="62">
        <v>1134</v>
      </c>
      <c r="AE1736" s="378"/>
    </row>
    <row r="1737" spans="1:31" hidden="1">
      <c r="B1737" s="62"/>
      <c r="N1737" s="62"/>
      <c r="O1737" s="62"/>
      <c r="AE1737" s="378"/>
    </row>
    <row r="1738" spans="1:31" hidden="1">
      <c r="B1738" s="62"/>
      <c r="N1738" s="62"/>
      <c r="O1738" s="62"/>
      <c r="AE1738" s="378"/>
    </row>
    <row r="1739" spans="1:31" hidden="1">
      <c r="B1739" s="62"/>
      <c r="N1739" s="62"/>
      <c r="O1739" s="62"/>
      <c r="AE1739" s="378"/>
    </row>
    <row r="1740" spans="1:31" hidden="1">
      <c r="B1740" s="62"/>
      <c r="N1740" s="62"/>
      <c r="O1740" s="62"/>
      <c r="AE1740" s="378"/>
    </row>
    <row r="1741" spans="1:31" hidden="1">
      <c r="A1741" s="28" t="s">
        <v>1886</v>
      </c>
      <c r="B1741" s="62" t="s">
        <v>1808</v>
      </c>
      <c r="C1741" s="28">
        <v>31</v>
      </c>
      <c r="D1741" s="28">
        <v>28</v>
      </c>
      <c r="E1741" s="28">
        <v>28</v>
      </c>
      <c r="F1741" s="28">
        <v>16</v>
      </c>
      <c r="G1741" s="28">
        <v>4</v>
      </c>
      <c r="H1741" s="28">
        <v>1</v>
      </c>
      <c r="I1741" s="28">
        <v>0</v>
      </c>
      <c r="J1741" s="28">
        <v>0</v>
      </c>
      <c r="K1741" s="28">
        <v>1</v>
      </c>
      <c r="L1741" s="28">
        <v>13</v>
      </c>
      <c r="M1741" s="28">
        <v>29</v>
      </c>
      <c r="N1741" s="62">
        <v>31</v>
      </c>
      <c r="O1741" s="62"/>
      <c r="Q1741" s="28">
        <v>182</v>
      </c>
      <c r="AE1741" s="378"/>
    </row>
    <row r="1742" spans="1:31" hidden="1">
      <c r="A1742" s="28" t="s">
        <v>1887</v>
      </c>
      <c r="B1742" s="62" t="s">
        <v>1810</v>
      </c>
      <c r="C1742" s="28">
        <v>583</v>
      </c>
      <c r="D1742" s="28">
        <v>462</v>
      </c>
      <c r="E1742" s="28">
        <v>330</v>
      </c>
      <c r="F1742" s="28">
        <v>138</v>
      </c>
      <c r="G1742" s="28">
        <v>16</v>
      </c>
      <c r="H1742" s="28">
        <v>1</v>
      </c>
      <c r="I1742" s="28">
        <v>0</v>
      </c>
      <c r="J1742" s="28">
        <v>0</v>
      </c>
      <c r="K1742" s="28">
        <v>3</v>
      </c>
      <c r="L1742" s="28">
        <v>105</v>
      </c>
      <c r="M1742" s="28">
        <v>403</v>
      </c>
      <c r="N1742" s="62">
        <v>549</v>
      </c>
      <c r="O1742" s="62"/>
      <c r="Q1742" s="28">
        <v>2590</v>
      </c>
      <c r="AE1742" s="378"/>
    </row>
    <row r="1743" spans="1:31" hidden="1">
      <c r="B1743" s="62"/>
      <c r="N1743" s="62"/>
      <c r="O1743" s="62"/>
      <c r="AE1743" s="378"/>
    </row>
    <row r="1744" spans="1:31" hidden="1">
      <c r="B1744" s="62"/>
      <c r="N1744" s="62"/>
      <c r="O1744" s="62"/>
      <c r="AE1744" s="378"/>
    </row>
    <row r="1745" spans="1:31" hidden="1">
      <c r="B1745" s="62"/>
      <c r="N1745" s="62"/>
      <c r="O1745" s="62"/>
      <c r="AE1745" s="378"/>
    </row>
    <row r="1746" spans="1:31" ht="7.9" hidden="1" customHeight="1"/>
    <row r="1747" spans="1:31" ht="7.9" hidden="1" customHeight="1"/>
    <row r="1748" spans="1:31" ht="7.9" hidden="1" customHeight="1"/>
    <row r="1749" spans="1:31" ht="7.9" hidden="1" customHeight="1"/>
    <row r="1750" spans="1:31" ht="7.9" hidden="1" customHeight="1"/>
    <row r="1751" spans="1:31" s="34" customFormat="1" ht="15.75" hidden="1">
      <c r="A1751" s="61">
        <v>70</v>
      </c>
      <c r="B1751" s="129"/>
      <c r="C1751" s="129" t="s">
        <v>719</v>
      </c>
      <c r="D1751" s="129"/>
      <c r="E1751" s="130"/>
      <c r="F1751" s="130" t="s">
        <v>352</v>
      </c>
      <c r="G1751" s="129">
        <v>490</v>
      </c>
      <c r="H1751" s="131" t="s">
        <v>353</v>
      </c>
      <c r="I1751" s="129"/>
      <c r="J1751" s="129"/>
      <c r="K1751" s="130" t="s">
        <v>354</v>
      </c>
      <c r="L1751" s="131">
        <v>5</v>
      </c>
      <c r="M1751" s="129" t="s">
        <v>355</v>
      </c>
      <c r="N1751" s="131" t="s">
        <v>1585</v>
      </c>
      <c r="O1751" s="130"/>
      <c r="P1751" s="130" t="s">
        <v>357</v>
      </c>
      <c r="Q1751" s="129">
        <v>-7</v>
      </c>
      <c r="R1751" s="131" t="s">
        <v>2324</v>
      </c>
      <c r="S1751" s="28"/>
      <c r="T1751" s="28"/>
      <c r="U1751" s="378"/>
      <c r="V1751" s="368"/>
      <c r="W1751" s="368"/>
      <c r="X1751" s="368"/>
      <c r="Y1751" s="368"/>
      <c r="Z1751" s="368"/>
      <c r="AA1751" s="368"/>
      <c r="AB1751" s="368"/>
      <c r="AC1751" s="368"/>
      <c r="AD1751" s="368"/>
      <c r="AE1751" s="510"/>
    </row>
    <row r="1752" spans="1:31" hidden="1">
      <c r="B1752" s="62"/>
      <c r="N1752" s="62"/>
      <c r="O1752" s="62"/>
      <c r="P1752" s="53"/>
      <c r="Q1752" s="45"/>
      <c r="R1752" s="45"/>
    </row>
    <row r="1753" spans="1:31" s="34" customFormat="1" hidden="1">
      <c r="B1753" s="65"/>
      <c r="C1753" s="95" t="s">
        <v>489</v>
      </c>
      <c r="D1753" s="95" t="s">
        <v>490</v>
      </c>
      <c r="E1753" s="95" t="s">
        <v>491</v>
      </c>
      <c r="F1753" s="95" t="s">
        <v>492</v>
      </c>
      <c r="G1753" s="95" t="s">
        <v>493</v>
      </c>
      <c r="H1753" s="95" t="s">
        <v>494</v>
      </c>
      <c r="I1753" s="95" t="s">
        <v>495</v>
      </c>
      <c r="J1753" s="95" t="s">
        <v>496</v>
      </c>
      <c r="K1753" s="95" t="s">
        <v>497</v>
      </c>
      <c r="L1753" s="95" t="s">
        <v>498</v>
      </c>
      <c r="M1753" s="95" t="s">
        <v>499</v>
      </c>
      <c r="N1753" s="126" t="s">
        <v>500</v>
      </c>
      <c r="O1753" s="126" t="s">
        <v>501</v>
      </c>
      <c r="P1753" s="132"/>
      <c r="Q1753" s="133"/>
      <c r="R1753" s="133"/>
      <c r="S1753" s="28"/>
      <c r="T1753" s="28"/>
      <c r="U1753" s="378"/>
      <c r="V1753" s="368"/>
      <c r="W1753" s="368"/>
      <c r="X1753" s="368"/>
      <c r="Y1753" s="368"/>
      <c r="Z1753" s="368"/>
      <c r="AA1753" s="368"/>
      <c r="AB1753" s="368"/>
      <c r="AC1753" s="368"/>
      <c r="AD1753" s="368"/>
      <c r="AE1753" s="510"/>
    </row>
    <row r="1754" spans="1:31" hidden="1">
      <c r="B1754" s="62"/>
      <c r="N1754" s="62"/>
      <c r="O1754" s="62"/>
    </row>
    <row r="1755" spans="1:31" hidden="1">
      <c r="A1755" s="28" t="s">
        <v>1209</v>
      </c>
      <c r="B1755" s="62" t="s">
        <v>2324</v>
      </c>
      <c r="C1755" s="28">
        <v>0.3</v>
      </c>
      <c r="D1755" s="28">
        <v>1.6</v>
      </c>
      <c r="E1755" s="28">
        <v>5.5</v>
      </c>
      <c r="F1755" s="28">
        <v>8.3000000000000007</v>
      </c>
      <c r="G1755" s="28">
        <v>13.4</v>
      </c>
      <c r="H1755" s="28">
        <v>16.399999999999999</v>
      </c>
      <c r="I1755" s="28">
        <v>18.7</v>
      </c>
      <c r="J1755" s="28">
        <v>18.600000000000001</v>
      </c>
      <c r="K1755" s="28">
        <v>14.1</v>
      </c>
      <c r="L1755" s="28">
        <v>9.9</v>
      </c>
      <c r="M1755" s="28">
        <v>4.2</v>
      </c>
      <c r="N1755" s="62">
        <v>1.7</v>
      </c>
      <c r="O1755" s="62">
        <v>9.4</v>
      </c>
    </row>
    <row r="1756" spans="1:31" hidden="1">
      <c r="B1756" s="62"/>
      <c r="N1756" s="62"/>
      <c r="O1756" s="62"/>
    </row>
    <row r="1757" spans="1:31" ht="12.6" hidden="1" customHeight="1">
      <c r="A1757" s="28" t="s">
        <v>1210</v>
      </c>
      <c r="B1757" s="62" t="s">
        <v>804</v>
      </c>
      <c r="C1757" s="28">
        <v>107</v>
      </c>
      <c r="D1757" s="28">
        <v>174</v>
      </c>
      <c r="E1757" s="28">
        <v>340</v>
      </c>
      <c r="F1757" s="28">
        <v>435</v>
      </c>
      <c r="G1757" s="28">
        <v>562</v>
      </c>
      <c r="H1757" s="28">
        <v>614</v>
      </c>
      <c r="I1757" s="28">
        <v>640</v>
      </c>
      <c r="J1757" s="28">
        <v>552</v>
      </c>
      <c r="K1757" s="28">
        <v>376</v>
      </c>
      <c r="L1757" s="28">
        <v>222</v>
      </c>
      <c r="M1757" s="28">
        <v>114</v>
      </c>
      <c r="N1757" s="62">
        <v>86</v>
      </c>
      <c r="O1757" s="62">
        <v>4223</v>
      </c>
      <c r="AE1757" s="378"/>
    </row>
    <row r="1758" spans="1:31" ht="12.6" hidden="1" customHeight="1">
      <c r="A1758" s="28" t="s">
        <v>1211</v>
      </c>
      <c r="B1758" s="62" t="s">
        <v>804</v>
      </c>
      <c r="C1758" s="28">
        <v>166</v>
      </c>
      <c r="D1758" s="28">
        <v>230</v>
      </c>
      <c r="E1758" s="28">
        <v>340</v>
      </c>
      <c r="F1758" s="28">
        <v>298</v>
      </c>
      <c r="G1758" s="28">
        <v>297</v>
      </c>
      <c r="H1758" s="28">
        <v>283</v>
      </c>
      <c r="I1758" s="28">
        <v>313</v>
      </c>
      <c r="J1758" s="28">
        <v>351</v>
      </c>
      <c r="K1758" s="28">
        <v>329</v>
      </c>
      <c r="L1758" s="28">
        <v>257</v>
      </c>
      <c r="M1758" s="28">
        <v>161</v>
      </c>
      <c r="N1758" s="62">
        <v>137</v>
      </c>
      <c r="O1758" s="62">
        <v>3162</v>
      </c>
      <c r="AE1758" s="378"/>
    </row>
    <row r="1759" spans="1:31" ht="12.6" hidden="1" customHeight="1">
      <c r="A1759" s="28" t="s">
        <v>1212</v>
      </c>
      <c r="B1759" s="62" t="s">
        <v>804</v>
      </c>
      <c r="C1759" s="28">
        <v>70</v>
      </c>
      <c r="D1759" s="28">
        <v>109</v>
      </c>
      <c r="E1759" s="28">
        <v>201</v>
      </c>
      <c r="F1759" s="28">
        <v>251</v>
      </c>
      <c r="G1759" s="28">
        <v>308</v>
      </c>
      <c r="H1759" s="28">
        <v>342</v>
      </c>
      <c r="I1759" s="28">
        <v>359</v>
      </c>
      <c r="J1759" s="28">
        <v>321</v>
      </c>
      <c r="K1759" s="28">
        <v>213</v>
      </c>
      <c r="L1759" s="28">
        <v>123</v>
      </c>
      <c r="M1759" s="28">
        <v>67</v>
      </c>
      <c r="N1759" s="62">
        <v>54</v>
      </c>
      <c r="O1759" s="62">
        <v>2418</v>
      </c>
      <c r="AE1759" s="378"/>
    </row>
    <row r="1760" spans="1:31" ht="12.6" hidden="1" customHeight="1">
      <c r="A1760" s="28" t="s">
        <v>1213</v>
      </c>
      <c r="B1760" s="62" t="s">
        <v>804</v>
      </c>
      <c r="C1760" s="28">
        <v>75</v>
      </c>
      <c r="D1760" s="28">
        <v>119</v>
      </c>
      <c r="E1760" s="28">
        <v>214</v>
      </c>
      <c r="F1760" s="28">
        <v>244</v>
      </c>
      <c r="G1760" s="28">
        <v>303</v>
      </c>
      <c r="H1760" s="28">
        <v>321</v>
      </c>
      <c r="I1760" s="28">
        <v>346</v>
      </c>
      <c r="J1760" s="28">
        <v>308</v>
      </c>
      <c r="K1760" s="28">
        <v>231</v>
      </c>
      <c r="L1760" s="28">
        <v>145</v>
      </c>
      <c r="M1760" s="28">
        <v>73</v>
      </c>
      <c r="N1760" s="62">
        <v>56</v>
      </c>
      <c r="O1760" s="62">
        <v>2433</v>
      </c>
      <c r="AE1760" s="378"/>
    </row>
    <row r="1761" spans="1:31" ht="12.6" hidden="1" customHeight="1">
      <c r="A1761" s="28" t="s">
        <v>1214</v>
      </c>
      <c r="B1761" s="62" t="s">
        <v>804</v>
      </c>
      <c r="C1761" s="28">
        <v>46</v>
      </c>
      <c r="D1761" s="28">
        <v>63</v>
      </c>
      <c r="E1761" s="28">
        <v>96</v>
      </c>
      <c r="F1761" s="28">
        <v>122</v>
      </c>
      <c r="G1761" s="28">
        <v>163</v>
      </c>
      <c r="H1761" s="28">
        <v>187</v>
      </c>
      <c r="I1761" s="28">
        <v>182</v>
      </c>
      <c r="J1761" s="28">
        <v>147</v>
      </c>
      <c r="K1761" s="28">
        <v>101</v>
      </c>
      <c r="L1761" s="28">
        <v>70</v>
      </c>
      <c r="M1761" s="28">
        <v>41</v>
      </c>
      <c r="N1761" s="62">
        <v>35</v>
      </c>
      <c r="O1761" s="62">
        <v>1253</v>
      </c>
      <c r="AE1761" s="378"/>
    </row>
    <row r="1762" spans="1:31" hidden="1">
      <c r="B1762" s="62"/>
      <c r="N1762" s="62"/>
      <c r="O1762" s="62"/>
      <c r="AE1762" s="378"/>
    </row>
    <row r="1763" spans="1:31" hidden="1">
      <c r="B1763" s="62"/>
      <c r="N1763" s="62"/>
      <c r="O1763" s="62"/>
      <c r="AE1763" s="378"/>
    </row>
    <row r="1764" spans="1:31" hidden="1">
      <c r="B1764" s="62"/>
      <c r="N1764" s="62"/>
      <c r="O1764" s="62"/>
      <c r="AE1764" s="378"/>
    </row>
    <row r="1765" spans="1:31" hidden="1">
      <c r="B1765" s="62"/>
      <c r="N1765" s="62"/>
      <c r="O1765" s="62"/>
      <c r="AE1765" s="378"/>
    </row>
    <row r="1766" spans="1:31" hidden="1">
      <c r="A1766" s="28" t="s">
        <v>1886</v>
      </c>
      <c r="B1766" s="62" t="s">
        <v>1808</v>
      </c>
      <c r="C1766" s="28">
        <v>31</v>
      </c>
      <c r="D1766" s="28">
        <v>28</v>
      </c>
      <c r="E1766" s="28">
        <v>31</v>
      </c>
      <c r="F1766" s="28">
        <v>26</v>
      </c>
      <c r="G1766" s="28">
        <v>16</v>
      </c>
      <c r="H1766" s="28">
        <v>4</v>
      </c>
      <c r="I1766" s="28">
        <v>2</v>
      </c>
      <c r="J1766" s="28">
        <v>2</v>
      </c>
      <c r="K1766" s="28">
        <v>8</v>
      </c>
      <c r="L1766" s="28">
        <v>21</v>
      </c>
      <c r="M1766" s="28">
        <v>29</v>
      </c>
      <c r="N1766" s="62">
        <v>31</v>
      </c>
      <c r="O1766" s="62"/>
      <c r="Q1766" s="28">
        <v>229</v>
      </c>
      <c r="AE1766" s="378"/>
    </row>
    <row r="1767" spans="1:31" hidden="1">
      <c r="A1767" s="28" t="s">
        <v>1887</v>
      </c>
      <c r="B1767" s="62" t="s">
        <v>1810</v>
      </c>
      <c r="C1767" s="28">
        <v>611</v>
      </c>
      <c r="D1767" s="28">
        <v>515</v>
      </c>
      <c r="E1767" s="28">
        <v>450</v>
      </c>
      <c r="F1767" s="28">
        <v>304</v>
      </c>
      <c r="G1767" s="28">
        <v>106</v>
      </c>
      <c r="H1767" s="28">
        <v>14</v>
      </c>
      <c r="I1767" s="28">
        <v>3</v>
      </c>
      <c r="J1767" s="28">
        <v>3</v>
      </c>
      <c r="K1767" s="28">
        <v>47</v>
      </c>
      <c r="L1767" s="28">
        <v>212</v>
      </c>
      <c r="M1767" s="28">
        <v>458</v>
      </c>
      <c r="N1767" s="62">
        <v>567</v>
      </c>
      <c r="O1767" s="62"/>
      <c r="Q1767" s="28">
        <v>3290</v>
      </c>
      <c r="AE1767" s="378"/>
    </row>
    <row r="1768" spans="1:31" hidden="1">
      <c r="B1768" s="62"/>
      <c r="N1768" s="62"/>
      <c r="O1768" s="62"/>
      <c r="AE1768" s="378"/>
    </row>
    <row r="1769" spans="1:31" hidden="1">
      <c r="B1769" s="62"/>
      <c r="N1769" s="62"/>
      <c r="O1769" s="62"/>
      <c r="AE1769" s="378"/>
    </row>
    <row r="1770" spans="1:31" hidden="1">
      <c r="B1770" s="62"/>
      <c r="N1770" s="62"/>
      <c r="O1770" s="62"/>
      <c r="AE1770" s="378"/>
    </row>
    <row r="1771" spans="1:31" ht="7.9" hidden="1" customHeight="1"/>
    <row r="1772" spans="1:31" ht="7.9" hidden="1" customHeight="1"/>
    <row r="1773" spans="1:31" ht="7.9" hidden="1" customHeight="1"/>
    <row r="1774" spans="1:31" ht="7.9" hidden="1" customHeight="1"/>
    <row r="1775" spans="1:31" ht="7.9" hidden="1" customHeight="1"/>
    <row r="1776" spans="1:31" s="34" customFormat="1" ht="15.75" hidden="1">
      <c r="A1776" s="61">
        <v>71</v>
      </c>
      <c r="B1776" s="129"/>
      <c r="C1776" s="129" t="s">
        <v>720</v>
      </c>
      <c r="D1776" s="129"/>
      <c r="E1776" s="130"/>
      <c r="F1776" s="130" t="s">
        <v>352</v>
      </c>
      <c r="G1776" s="129">
        <v>316</v>
      </c>
      <c r="H1776" s="131" t="s">
        <v>353</v>
      </c>
      <c r="I1776" s="129"/>
      <c r="J1776" s="129"/>
      <c r="K1776" s="130" t="s">
        <v>354</v>
      </c>
      <c r="L1776" s="131">
        <v>1</v>
      </c>
      <c r="M1776" s="129" t="s">
        <v>355</v>
      </c>
      <c r="N1776" s="131" t="s">
        <v>1439</v>
      </c>
      <c r="O1776" s="130"/>
      <c r="P1776" s="130" t="s">
        <v>357</v>
      </c>
      <c r="Q1776" s="129">
        <v>-7</v>
      </c>
      <c r="R1776" s="131" t="s">
        <v>2324</v>
      </c>
      <c r="S1776" s="28"/>
      <c r="T1776" s="28"/>
      <c r="U1776" s="378"/>
      <c r="V1776" s="368"/>
      <c r="W1776" s="368"/>
      <c r="X1776" s="368"/>
      <c r="Y1776" s="368"/>
      <c r="Z1776" s="368"/>
      <c r="AA1776" s="368"/>
      <c r="AB1776" s="368"/>
      <c r="AC1776" s="368"/>
      <c r="AD1776" s="368"/>
      <c r="AE1776" s="510"/>
    </row>
    <row r="1777" spans="1:31" hidden="1">
      <c r="B1777" s="62"/>
      <c r="N1777" s="62"/>
      <c r="O1777" s="62"/>
      <c r="P1777" s="53"/>
      <c r="Q1777" s="45"/>
      <c r="R1777" s="45"/>
    </row>
    <row r="1778" spans="1:31" s="34" customFormat="1" hidden="1">
      <c r="B1778" s="65"/>
      <c r="C1778" s="95" t="s">
        <v>489</v>
      </c>
      <c r="D1778" s="95" t="s">
        <v>490</v>
      </c>
      <c r="E1778" s="95" t="s">
        <v>491</v>
      </c>
      <c r="F1778" s="95" t="s">
        <v>492</v>
      </c>
      <c r="G1778" s="95" t="s">
        <v>493</v>
      </c>
      <c r="H1778" s="95" t="s">
        <v>494</v>
      </c>
      <c r="I1778" s="95" t="s">
        <v>495</v>
      </c>
      <c r="J1778" s="95" t="s">
        <v>496</v>
      </c>
      <c r="K1778" s="95" t="s">
        <v>497</v>
      </c>
      <c r="L1778" s="95" t="s">
        <v>498</v>
      </c>
      <c r="M1778" s="95" t="s">
        <v>499</v>
      </c>
      <c r="N1778" s="126" t="s">
        <v>500</v>
      </c>
      <c r="O1778" s="126" t="s">
        <v>501</v>
      </c>
      <c r="P1778" s="132"/>
      <c r="Q1778" s="133"/>
      <c r="R1778" s="133"/>
      <c r="S1778" s="28"/>
      <c r="T1778" s="28"/>
      <c r="U1778" s="378"/>
      <c r="V1778" s="368"/>
      <c r="W1778" s="368"/>
      <c r="X1778" s="368"/>
      <c r="Y1778" s="368"/>
      <c r="Z1778" s="368"/>
      <c r="AA1778" s="368"/>
      <c r="AB1778" s="368"/>
      <c r="AC1778" s="368"/>
      <c r="AD1778" s="368"/>
      <c r="AE1778" s="510"/>
    </row>
    <row r="1779" spans="1:31" hidden="1">
      <c r="B1779" s="62"/>
      <c r="N1779" s="62"/>
      <c r="O1779" s="62"/>
    </row>
    <row r="1780" spans="1:31" hidden="1">
      <c r="A1780" s="28" t="s">
        <v>1209</v>
      </c>
      <c r="B1780" s="62" t="s">
        <v>2324</v>
      </c>
      <c r="C1780" s="28">
        <v>1.7</v>
      </c>
      <c r="D1780" s="28">
        <v>2.9</v>
      </c>
      <c r="E1780" s="28">
        <v>6.8</v>
      </c>
      <c r="F1780" s="28">
        <v>9.6</v>
      </c>
      <c r="G1780" s="28">
        <v>14.2</v>
      </c>
      <c r="H1780" s="28">
        <v>17.2</v>
      </c>
      <c r="I1780" s="28">
        <v>19.5</v>
      </c>
      <c r="J1780" s="28">
        <v>19.399999999999999</v>
      </c>
      <c r="K1780" s="28">
        <v>14.9</v>
      </c>
      <c r="L1780" s="28">
        <v>10.9</v>
      </c>
      <c r="M1780" s="28">
        <v>5.4</v>
      </c>
      <c r="N1780" s="62">
        <v>3</v>
      </c>
      <c r="O1780" s="62">
        <v>10.5</v>
      </c>
    </row>
    <row r="1781" spans="1:31" hidden="1">
      <c r="B1781" s="62"/>
      <c r="N1781" s="62"/>
      <c r="O1781" s="62"/>
    </row>
    <row r="1782" spans="1:31" ht="12.6" hidden="1" customHeight="1">
      <c r="A1782" s="28" t="s">
        <v>1210</v>
      </c>
      <c r="B1782" s="62" t="s">
        <v>804</v>
      </c>
      <c r="C1782" s="28">
        <v>110</v>
      </c>
      <c r="D1782" s="28">
        <v>167</v>
      </c>
      <c r="E1782" s="28">
        <v>305</v>
      </c>
      <c r="F1782" s="28">
        <v>410</v>
      </c>
      <c r="G1782" s="28">
        <v>528</v>
      </c>
      <c r="H1782" s="28">
        <v>583</v>
      </c>
      <c r="I1782" s="28">
        <v>605</v>
      </c>
      <c r="J1782" s="28">
        <v>530</v>
      </c>
      <c r="K1782" s="28">
        <v>358</v>
      </c>
      <c r="L1782" s="28">
        <v>225</v>
      </c>
      <c r="M1782" s="28">
        <v>119</v>
      </c>
      <c r="N1782" s="62">
        <v>86</v>
      </c>
      <c r="O1782" s="62">
        <v>4026</v>
      </c>
      <c r="AE1782" s="378"/>
    </row>
    <row r="1783" spans="1:31" ht="12.6" hidden="1" customHeight="1">
      <c r="A1783" s="28" t="s">
        <v>1211</v>
      </c>
      <c r="B1783" s="62" t="s">
        <v>804</v>
      </c>
      <c r="C1783" s="28">
        <v>190</v>
      </c>
      <c r="D1783" s="28">
        <v>232</v>
      </c>
      <c r="E1783" s="28">
        <v>303</v>
      </c>
      <c r="F1783" s="28">
        <v>283</v>
      </c>
      <c r="G1783" s="28">
        <v>281</v>
      </c>
      <c r="H1783" s="28">
        <v>275</v>
      </c>
      <c r="I1783" s="28">
        <v>303</v>
      </c>
      <c r="J1783" s="28">
        <v>337</v>
      </c>
      <c r="K1783" s="28">
        <v>314</v>
      </c>
      <c r="L1783" s="28">
        <v>279</v>
      </c>
      <c r="M1783" s="28">
        <v>187</v>
      </c>
      <c r="N1783" s="62">
        <v>150</v>
      </c>
      <c r="O1783" s="62">
        <v>3133</v>
      </c>
      <c r="AE1783" s="378"/>
    </row>
    <row r="1784" spans="1:31" ht="12.6" hidden="1" customHeight="1">
      <c r="A1784" s="28" t="s">
        <v>1212</v>
      </c>
      <c r="B1784" s="62" t="s">
        <v>804</v>
      </c>
      <c r="C1784" s="28">
        <v>72</v>
      </c>
      <c r="D1784" s="28">
        <v>109</v>
      </c>
      <c r="E1784" s="28">
        <v>182</v>
      </c>
      <c r="F1784" s="28">
        <v>231</v>
      </c>
      <c r="G1784" s="28">
        <v>295</v>
      </c>
      <c r="H1784" s="28">
        <v>321</v>
      </c>
      <c r="I1784" s="28">
        <v>332</v>
      </c>
      <c r="J1784" s="28">
        <v>303</v>
      </c>
      <c r="K1784" s="28">
        <v>202</v>
      </c>
      <c r="L1784" s="28">
        <v>131</v>
      </c>
      <c r="M1784" s="28">
        <v>73</v>
      </c>
      <c r="N1784" s="62">
        <v>54</v>
      </c>
      <c r="O1784" s="62">
        <v>2304</v>
      </c>
      <c r="AE1784" s="378"/>
    </row>
    <row r="1785" spans="1:31" ht="12.6" hidden="1" customHeight="1">
      <c r="A1785" s="28" t="s">
        <v>1213</v>
      </c>
      <c r="B1785" s="62" t="s">
        <v>804</v>
      </c>
      <c r="C1785" s="28">
        <v>80</v>
      </c>
      <c r="D1785" s="28">
        <v>119</v>
      </c>
      <c r="E1785" s="28">
        <v>193</v>
      </c>
      <c r="F1785" s="28">
        <v>236</v>
      </c>
      <c r="G1785" s="28">
        <v>292</v>
      </c>
      <c r="H1785" s="28">
        <v>327</v>
      </c>
      <c r="I1785" s="28">
        <v>346</v>
      </c>
      <c r="J1785" s="28">
        <v>313</v>
      </c>
      <c r="K1785" s="28">
        <v>223</v>
      </c>
      <c r="L1785" s="28">
        <v>150</v>
      </c>
      <c r="M1785" s="28">
        <v>80</v>
      </c>
      <c r="N1785" s="62">
        <v>59</v>
      </c>
      <c r="O1785" s="62">
        <v>2417</v>
      </c>
      <c r="AE1785" s="378"/>
    </row>
    <row r="1786" spans="1:31" ht="12.6" hidden="1" customHeight="1">
      <c r="A1786" s="28" t="s">
        <v>1214</v>
      </c>
      <c r="B1786" s="62" t="s">
        <v>804</v>
      </c>
      <c r="C1786" s="28">
        <v>43</v>
      </c>
      <c r="D1786" s="28">
        <v>60</v>
      </c>
      <c r="E1786" s="28">
        <v>94</v>
      </c>
      <c r="F1786" s="28">
        <v>119</v>
      </c>
      <c r="G1786" s="28">
        <v>161</v>
      </c>
      <c r="H1786" s="28">
        <v>189</v>
      </c>
      <c r="I1786" s="28">
        <v>185</v>
      </c>
      <c r="J1786" s="28">
        <v>147</v>
      </c>
      <c r="K1786" s="28">
        <v>101</v>
      </c>
      <c r="L1786" s="28">
        <v>67</v>
      </c>
      <c r="M1786" s="28">
        <v>41</v>
      </c>
      <c r="N1786" s="62">
        <v>32</v>
      </c>
      <c r="O1786" s="62">
        <v>1240</v>
      </c>
      <c r="AE1786" s="378"/>
    </row>
    <row r="1787" spans="1:31" hidden="1">
      <c r="B1787" s="62"/>
      <c r="N1787" s="62"/>
      <c r="O1787" s="62"/>
      <c r="AE1787" s="378"/>
    </row>
    <row r="1788" spans="1:31" hidden="1">
      <c r="B1788" s="62"/>
      <c r="N1788" s="62"/>
      <c r="O1788" s="62"/>
      <c r="AE1788" s="378"/>
    </row>
    <row r="1789" spans="1:31" hidden="1">
      <c r="B1789" s="62"/>
      <c r="N1789" s="62"/>
      <c r="O1789" s="62"/>
      <c r="AE1789" s="378"/>
    </row>
    <row r="1790" spans="1:31" hidden="1">
      <c r="B1790" s="62"/>
      <c r="N1790" s="62"/>
      <c r="O1790" s="62"/>
      <c r="AE1790" s="378"/>
    </row>
    <row r="1791" spans="1:31" hidden="1">
      <c r="A1791" s="28" t="s">
        <v>1886</v>
      </c>
      <c r="B1791" s="62" t="s">
        <v>1808</v>
      </c>
      <c r="C1791" s="28">
        <v>31</v>
      </c>
      <c r="D1791" s="28">
        <v>28</v>
      </c>
      <c r="E1791" s="28">
        <v>30</v>
      </c>
      <c r="F1791" s="28">
        <v>23</v>
      </c>
      <c r="G1791" s="28">
        <v>12</v>
      </c>
      <c r="H1791" s="28">
        <v>3</v>
      </c>
      <c r="I1791" s="28">
        <v>1</v>
      </c>
      <c r="J1791" s="28">
        <v>1</v>
      </c>
      <c r="K1791" s="28">
        <v>5</v>
      </c>
      <c r="L1791" s="28">
        <v>20</v>
      </c>
      <c r="M1791" s="28">
        <v>29</v>
      </c>
      <c r="N1791" s="62">
        <v>31</v>
      </c>
      <c r="O1791" s="62"/>
      <c r="Q1791" s="28">
        <v>214</v>
      </c>
      <c r="AE1791" s="378"/>
    </row>
    <row r="1792" spans="1:31" hidden="1">
      <c r="A1792" s="28" t="s">
        <v>1887</v>
      </c>
      <c r="B1792" s="62" t="s">
        <v>1810</v>
      </c>
      <c r="C1792" s="28">
        <v>567</v>
      </c>
      <c r="D1792" s="28">
        <v>479</v>
      </c>
      <c r="E1792" s="28">
        <v>396</v>
      </c>
      <c r="F1792" s="28">
        <v>239</v>
      </c>
      <c r="G1792" s="28">
        <v>70</v>
      </c>
      <c r="H1792" s="28">
        <v>8</v>
      </c>
      <c r="I1792" s="28">
        <v>1</v>
      </c>
      <c r="J1792" s="28">
        <v>1</v>
      </c>
      <c r="K1792" s="28">
        <v>26</v>
      </c>
      <c r="L1792" s="28">
        <v>182</v>
      </c>
      <c r="M1792" s="28">
        <v>423</v>
      </c>
      <c r="N1792" s="62">
        <v>527</v>
      </c>
      <c r="O1792" s="62"/>
      <c r="Q1792" s="28">
        <v>2919</v>
      </c>
      <c r="AE1792" s="378"/>
    </row>
    <row r="1793" spans="1:31" hidden="1">
      <c r="B1793" s="62"/>
      <c r="N1793" s="62"/>
      <c r="O1793" s="62"/>
      <c r="AE1793" s="378"/>
    </row>
    <row r="1794" spans="1:31" hidden="1">
      <c r="B1794" s="62"/>
      <c r="N1794" s="62"/>
      <c r="O1794" s="62"/>
      <c r="AE1794" s="378"/>
    </row>
    <row r="1795" spans="1:31" hidden="1">
      <c r="B1795" s="62"/>
      <c r="N1795" s="62"/>
      <c r="O1795" s="62"/>
      <c r="AE1795" s="378"/>
    </row>
    <row r="1796" spans="1:31" ht="7.9" hidden="1" customHeight="1"/>
    <row r="1797" spans="1:31" ht="7.9" hidden="1" customHeight="1"/>
    <row r="1798" spans="1:31" ht="7.9" hidden="1" customHeight="1"/>
    <row r="1799" spans="1:31" ht="7.9" hidden="1" customHeight="1"/>
    <row r="1800" spans="1:31" ht="7.9" hidden="1" customHeight="1"/>
    <row r="1801" spans="1:31" s="34" customFormat="1" ht="15.75" hidden="1">
      <c r="A1801" s="61">
        <v>72</v>
      </c>
      <c r="B1801" s="129"/>
      <c r="C1801" s="129" t="s">
        <v>721</v>
      </c>
      <c r="D1801" s="129"/>
      <c r="E1801" s="130"/>
      <c r="F1801" s="130" t="s">
        <v>352</v>
      </c>
      <c r="G1801" s="129">
        <v>1007</v>
      </c>
      <c r="H1801" s="131" t="s">
        <v>353</v>
      </c>
      <c r="I1801" s="129"/>
      <c r="J1801" s="129"/>
      <c r="K1801" s="130" t="s">
        <v>354</v>
      </c>
      <c r="L1801" s="131">
        <v>12</v>
      </c>
      <c r="M1801" s="129" t="s">
        <v>355</v>
      </c>
      <c r="N1801" s="131" t="s">
        <v>1585</v>
      </c>
      <c r="O1801" s="130"/>
      <c r="P1801" s="130" t="s">
        <v>357</v>
      </c>
      <c r="Q1801" s="129">
        <v>-7</v>
      </c>
      <c r="R1801" s="131" t="s">
        <v>2324</v>
      </c>
      <c r="S1801" s="28"/>
      <c r="T1801" s="28"/>
      <c r="U1801" s="378"/>
      <c r="V1801" s="368"/>
      <c r="W1801" s="368"/>
      <c r="X1801" s="368"/>
      <c r="Y1801" s="368"/>
      <c r="Z1801" s="368"/>
      <c r="AA1801" s="368"/>
      <c r="AB1801" s="368"/>
      <c r="AC1801" s="368"/>
      <c r="AD1801" s="368"/>
      <c r="AE1801" s="510"/>
    </row>
    <row r="1802" spans="1:31" hidden="1">
      <c r="B1802" s="62"/>
      <c r="N1802" s="62"/>
      <c r="O1802" s="62"/>
      <c r="P1802" s="53"/>
      <c r="Q1802" s="45"/>
      <c r="R1802" s="45"/>
    </row>
    <row r="1803" spans="1:31" s="34" customFormat="1" hidden="1">
      <c r="B1803" s="65"/>
      <c r="C1803" s="95" t="s">
        <v>489</v>
      </c>
      <c r="D1803" s="95" t="s">
        <v>490</v>
      </c>
      <c r="E1803" s="95" t="s">
        <v>491</v>
      </c>
      <c r="F1803" s="95" t="s">
        <v>492</v>
      </c>
      <c r="G1803" s="95" t="s">
        <v>493</v>
      </c>
      <c r="H1803" s="95" t="s">
        <v>494</v>
      </c>
      <c r="I1803" s="95" t="s">
        <v>495</v>
      </c>
      <c r="J1803" s="95" t="s">
        <v>496</v>
      </c>
      <c r="K1803" s="95" t="s">
        <v>497</v>
      </c>
      <c r="L1803" s="95" t="s">
        <v>498</v>
      </c>
      <c r="M1803" s="95" t="s">
        <v>499</v>
      </c>
      <c r="N1803" s="126" t="s">
        <v>500</v>
      </c>
      <c r="O1803" s="126" t="s">
        <v>501</v>
      </c>
      <c r="P1803" s="132"/>
      <c r="Q1803" s="133"/>
      <c r="R1803" s="133"/>
      <c r="S1803" s="28"/>
      <c r="T1803" s="28"/>
      <c r="U1803" s="378"/>
      <c r="V1803" s="368"/>
      <c r="W1803" s="368"/>
      <c r="X1803" s="368"/>
      <c r="Y1803" s="368"/>
      <c r="Z1803" s="368"/>
      <c r="AA1803" s="368"/>
      <c r="AB1803" s="368"/>
      <c r="AC1803" s="368"/>
      <c r="AD1803" s="368"/>
      <c r="AE1803" s="510"/>
    </row>
    <row r="1804" spans="1:31" hidden="1">
      <c r="B1804" s="62"/>
      <c r="N1804" s="62"/>
      <c r="O1804" s="62"/>
    </row>
    <row r="1805" spans="1:31" hidden="1">
      <c r="A1805" s="28" t="s">
        <v>1209</v>
      </c>
      <c r="B1805" s="62" t="s">
        <v>2324</v>
      </c>
      <c r="C1805" s="28">
        <v>-1.3</v>
      </c>
      <c r="D1805" s="28">
        <v>0.1</v>
      </c>
      <c r="E1805" s="28">
        <v>3.9</v>
      </c>
      <c r="F1805" s="28">
        <v>6.6</v>
      </c>
      <c r="G1805" s="28">
        <v>11.4</v>
      </c>
      <c r="H1805" s="28">
        <v>14.7</v>
      </c>
      <c r="I1805" s="28">
        <v>17.2</v>
      </c>
      <c r="J1805" s="28">
        <v>16.8</v>
      </c>
      <c r="K1805" s="28">
        <v>12.6</v>
      </c>
      <c r="L1805" s="28">
        <v>8.3000000000000007</v>
      </c>
      <c r="M1805" s="28">
        <v>2.9</v>
      </c>
      <c r="N1805" s="62">
        <v>0</v>
      </c>
      <c r="O1805" s="62">
        <v>7.8</v>
      </c>
    </row>
    <row r="1806" spans="1:31" hidden="1">
      <c r="B1806" s="62"/>
      <c r="N1806" s="62"/>
      <c r="O1806" s="62"/>
    </row>
    <row r="1807" spans="1:31" ht="12.6" hidden="1" customHeight="1">
      <c r="A1807" s="28" t="s">
        <v>1210</v>
      </c>
      <c r="B1807" s="62" t="s">
        <v>804</v>
      </c>
      <c r="C1807" s="28">
        <v>88</v>
      </c>
      <c r="D1807" s="28">
        <v>198</v>
      </c>
      <c r="E1807" s="28">
        <v>375</v>
      </c>
      <c r="F1807" s="28">
        <v>435</v>
      </c>
      <c r="G1807" s="28">
        <v>490</v>
      </c>
      <c r="H1807" s="28">
        <v>560</v>
      </c>
      <c r="I1807" s="28">
        <v>595</v>
      </c>
      <c r="J1807" s="28">
        <v>517</v>
      </c>
      <c r="K1807" s="28">
        <v>363</v>
      </c>
      <c r="L1807" s="28">
        <v>228</v>
      </c>
      <c r="M1807" s="28">
        <v>106</v>
      </c>
      <c r="N1807" s="62">
        <v>62</v>
      </c>
      <c r="O1807" s="62">
        <v>4017</v>
      </c>
      <c r="AE1807" s="378"/>
    </row>
    <row r="1808" spans="1:31" ht="12.6" hidden="1" customHeight="1">
      <c r="A1808" s="28" t="s">
        <v>1211</v>
      </c>
      <c r="B1808" s="62" t="s">
        <v>804</v>
      </c>
      <c r="C1808" s="28">
        <v>99</v>
      </c>
      <c r="D1808" s="28">
        <v>314</v>
      </c>
      <c r="E1808" s="28">
        <v>418</v>
      </c>
      <c r="F1808" s="28">
        <v>295</v>
      </c>
      <c r="G1808" s="28">
        <v>233</v>
      </c>
      <c r="H1808" s="28">
        <v>238</v>
      </c>
      <c r="I1808" s="28">
        <v>273</v>
      </c>
      <c r="J1808" s="28">
        <v>308</v>
      </c>
      <c r="K1808" s="28">
        <v>301</v>
      </c>
      <c r="L1808" s="28">
        <v>257</v>
      </c>
      <c r="M1808" s="28">
        <v>119</v>
      </c>
      <c r="N1808" s="62">
        <v>40</v>
      </c>
      <c r="O1808" s="62">
        <v>2897</v>
      </c>
      <c r="AE1808" s="378"/>
    </row>
    <row r="1809" spans="1:31" ht="12.6" hidden="1" customHeight="1">
      <c r="A1809" s="28" t="s">
        <v>1212</v>
      </c>
      <c r="B1809" s="62" t="s">
        <v>804</v>
      </c>
      <c r="C1809" s="28">
        <v>62</v>
      </c>
      <c r="D1809" s="28">
        <v>194</v>
      </c>
      <c r="E1809" s="28">
        <v>268</v>
      </c>
      <c r="F1809" s="28">
        <v>236</v>
      </c>
      <c r="G1809" s="28">
        <v>241</v>
      </c>
      <c r="H1809" s="28">
        <v>275</v>
      </c>
      <c r="I1809" s="28">
        <v>297</v>
      </c>
      <c r="J1809" s="28">
        <v>273</v>
      </c>
      <c r="K1809" s="28">
        <v>202</v>
      </c>
      <c r="L1809" s="28">
        <v>142</v>
      </c>
      <c r="M1809" s="28">
        <v>70</v>
      </c>
      <c r="N1809" s="62">
        <v>35</v>
      </c>
      <c r="O1809" s="62">
        <v>2294</v>
      </c>
      <c r="AE1809" s="378"/>
    </row>
    <row r="1810" spans="1:31" ht="12.6" hidden="1" customHeight="1">
      <c r="A1810" s="28" t="s">
        <v>1213</v>
      </c>
      <c r="B1810" s="62" t="s">
        <v>804</v>
      </c>
      <c r="C1810" s="28">
        <v>54</v>
      </c>
      <c r="D1810" s="28">
        <v>131</v>
      </c>
      <c r="E1810" s="28">
        <v>230</v>
      </c>
      <c r="F1810" s="28">
        <v>220</v>
      </c>
      <c r="G1810" s="28">
        <v>217</v>
      </c>
      <c r="H1810" s="28">
        <v>241</v>
      </c>
      <c r="I1810" s="28">
        <v>254</v>
      </c>
      <c r="J1810" s="28">
        <v>233</v>
      </c>
      <c r="K1810" s="28">
        <v>171</v>
      </c>
      <c r="L1810" s="28">
        <v>91</v>
      </c>
      <c r="M1810" s="28">
        <v>41</v>
      </c>
      <c r="N1810" s="62">
        <v>32</v>
      </c>
      <c r="O1810" s="62">
        <v>1916</v>
      </c>
      <c r="AE1810" s="378"/>
    </row>
    <row r="1811" spans="1:31" ht="12.6" hidden="1" customHeight="1">
      <c r="A1811" s="28" t="s">
        <v>1214</v>
      </c>
      <c r="B1811" s="62" t="s">
        <v>804</v>
      </c>
      <c r="C1811" s="28">
        <v>48</v>
      </c>
      <c r="D1811" s="28">
        <v>109</v>
      </c>
      <c r="E1811" s="28">
        <v>139</v>
      </c>
      <c r="F1811" s="28">
        <v>106</v>
      </c>
      <c r="G1811" s="28">
        <v>110</v>
      </c>
      <c r="H1811" s="28">
        <v>127</v>
      </c>
      <c r="I1811" s="28">
        <v>131</v>
      </c>
      <c r="J1811" s="28">
        <v>110</v>
      </c>
      <c r="K1811" s="28">
        <v>75</v>
      </c>
      <c r="L1811" s="28">
        <v>51</v>
      </c>
      <c r="M1811" s="28">
        <v>34</v>
      </c>
      <c r="N1811" s="62">
        <v>29</v>
      </c>
      <c r="O1811" s="62">
        <v>1070</v>
      </c>
      <c r="AE1811" s="378"/>
    </row>
    <row r="1812" spans="1:31" hidden="1">
      <c r="B1812" s="62"/>
      <c r="N1812" s="62"/>
      <c r="O1812" s="62"/>
      <c r="AE1812" s="378"/>
    </row>
    <row r="1813" spans="1:31" hidden="1">
      <c r="B1813" s="62"/>
      <c r="N1813" s="62"/>
      <c r="O1813" s="62"/>
      <c r="AE1813" s="378"/>
    </row>
    <row r="1814" spans="1:31" hidden="1">
      <c r="B1814" s="62"/>
      <c r="N1814" s="62"/>
      <c r="O1814" s="62"/>
      <c r="AE1814" s="378"/>
    </row>
    <row r="1815" spans="1:31" hidden="1">
      <c r="B1815" s="62"/>
      <c r="N1815" s="62"/>
      <c r="O1815" s="62"/>
      <c r="AE1815" s="378"/>
    </row>
    <row r="1816" spans="1:31" hidden="1">
      <c r="A1816" s="28" t="s">
        <v>1886</v>
      </c>
      <c r="B1816" s="62" t="s">
        <v>1808</v>
      </c>
      <c r="C1816" s="28">
        <v>31</v>
      </c>
      <c r="D1816" s="28">
        <v>28</v>
      </c>
      <c r="E1816" s="28">
        <v>31</v>
      </c>
      <c r="F1816" s="28">
        <v>30</v>
      </c>
      <c r="G1816" s="28">
        <v>25</v>
      </c>
      <c r="H1816" s="28">
        <v>9</v>
      </c>
      <c r="I1816" s="28">
        <v>3</v>
      </c>
      <c r="J1816" s="28">
        <v>5</v>
      </c>
      <c r="K1816" s="28">
        <v>14</v>
      </c>
      <c r="L1816" s="28">
        <v>30</v>
      </c>
      <c r="M1816" s="28">
        <v>30</v>
      </c>
      <c r="N1816" s="62">
        <v>31</v>
      </c>
      <c r="O1816" s="62"/>
      <c r="Q1816" s="28">
        <v>272</v>
      </c>
      <c r="AE1816" s="378"/>
    </row>
    <row r="1817" spans="1:31" hidden="1">
      <c r="A1817" s="28" t="s">
        <v>1887</v>
      </c>
      <c r="B1817" s="62" t="s">
        <v>1810</v>
      </c>
      <c r="C1817" s="28">
        <v>660</v>
      </c>
      <c r="D1817" s="28">
        <v>557</v>
      </c>
      <c r="E1817" s="28">
        <v>499</v>
      </c>
      <c r="F1817" s="28">
        <v>402</v>
      </c>
      <c r="G1817" s="28">
        <v>215</v>
      </c>
      <c r="H1817" s="28">
        <v>48</v>
      </c>
      <c r="I1817" s="28">
        <v>8</v>
      </c>
      <c r="J1817" s="28">
        <v>16</v>
      </c>
      <c r="K1817" s="28">
        <v>104</v>
      </c>
      <c r="L1817" s="28">
        <v>351</v>
      </c>
      <c r="M1817" s="28">
        <v>513</v>
      </c>
      <c r="N1817" s="62">
        <v>620</v>
      </c>
      <c r="O1817" s="62"/>
      <c r="Q1817" s="28">
        <v>3993</v>
      </c>
      <c r="AE1817" s="378"/>
    </row>
    <row r="1818" spans="1:31" hidden="1">
      <c r="B1818" s="62"/>
      <c r="N1818" s="62"/>
      <c r="O1818" s="62"/>
      <c r="AE1818" s="378"/>
    </row>
    <row r="1819" spans="1:31" hidden="1">
      <c r="B1819" s="62"/>
      <c r="N1819" s="62"/>
      <c r="O1819" s="62"/>
      <c r="AE1819" s="378"/>
    </row>
    <row r="1820" spans="1:31" hidden="1">
      <c r="B1820" s="62"/>
      <c r="N1820" s="62"/>
      <c r="O1820" s="62"/>
      <c r="AE1820" s="378"/>
    </row>
    <row r="1821" spans="1:31" ht="7.9" hidden="1" customHeight="1"/>
    <row r="1822" spans="1:31" ht="7.9" hidden="1" customHeight="1"/>
    <row r="1823" spans="1:31" ht="7.9" hidden="1" customHeight="1"/>
    <row r="1824" spans="1:31" ht="7.9" hidden="1" customHeight="1"/>
    <row r="1825" spans="1:31" ht="7.9" hidden="1" customHeight="1"/>
    <row r="1826" spans="1:31" s="34" customFormat="1" ht="15.75" hidden="1">
      <c r="A1826" s="61">
        <v>73</v>
      </c>
      <c r="B1826" s="129"/>
      <c r="C1826" s="129" t="s">
        <v>722</v>
      </c>
      <c r="D1826" s="129"/>
      <c r="E1826" s="130"/>
      <c r="F1826" s="130" t="s">
        <v>352</v>
      </c>
      <c r="G1826" s="129">
        <v>461</v>
      </c>
      <c r="H1826" s="131" t="s">
        <v>353</v>
      </c>
      <c r="I1826" s="129"/>
      <c r="J1826" s="129"/>
      <c r="K1826" s="130" t="s">
        <v>354</v>
      </c>
      <c r="L1826" s="131">
        <v>5</v>
      </c>
      <c r="M1826" s="129" t="s">
        <v>355</v>
      </c>
      <c r="N1826" s="131" t="s">
        <v>356</v>
      </c>
      <c r="O1826" s="130"/>
      <c r="P1826" s="130" t="s">
        <v>357</v>
      </c>
      <c r="Q1826" s="129">
        <v>-4</v>
      </c>
      <c r="R1826" s="131" t="s">
        <v>2324</v>
      </c>
      <c r="S1826" s="28"/>
      <c r="T1826" s="28"/>
      <c r="U1826" s="378"/>
      <c r="V1826" s="368"/>
      <c r="W1826" s="368"/>
      <c r="X1826" s="368"/>
      <c r="Y1826" s="368"/>
      <c r="Z1826" s="368"/>
      <c r="AA1826" s="368"/>
      <c r="AB1826" s="368"/>
      <c r="AC1826" s="368"/>
      <c r="AD1826" s="368"/>
      <c r="AE1826" s="510"/>
    </row>
    <row r="1827" spans="1:31" hidden="1">
      <c r="B1827" s="62"/>
      <c r="N1827" s="62"/>
      <c r="O1827" s="62"/>
      <c r="P1827" s="53"/>
      <c r="Q1827" s="45"/>
      <c r="R1827" s="45"/>
    </row>
    <row r="1828" spans="1:31" s="34" customFormat="1" hidden="1">
      <c r="B1828" s="65"/>
      <c r="C1828" s="95" t="s">
        <v>489</v>
      </c>
      <c r="D1828" s="95" t="s">
        <v>490</v>
      </c>
      <c r="E1828" s="95" t="s">
        <v>491</v>
      </c>
      <c r="F1828" s="95" t="s">
        <v>492</v>
      </c>
      <c r="G1828" s="95" t="s">
        <v>493</v>
      </c>
      <c r="H1828" s="95" t="s">
        <v>494</v>
      </c>
      <c r="I1828" s="95" t="s">
        <v>495</v>
      </c>
      <c r="J1828" s="95" t="s">
        <v>496</v>
      </c>
      <c r="K1828" s="95" t="s">
        <v>497</v>
      </c>
      <c r="L1828" s="95" t="s">
        <v>498</v>
      </c>
      <c r="M1828" s="95" t="s">
        <v>499</v>
      </c>
      <c r="N1828" s="126" t="s">
        <v>500</v>
      </c>
      <c r="O1828" s="126" t="s">
        <v>501</v>
      </c>
      <c r="P1828" s="132"/>
      <c r="Q1828" s="133"/>
      <c r="R1828" s="133"/>
      <c r="S1828" s="28"/>
      <c r="T1828" s="28"/>
      <c r="U1828" s="378"/>
      <c r="V1828" s="368"/>
      <c r="W1828" s="368"/>
      <c r="X1828" s="368"/>
      <c r="Y1828" s="368"/>
      <c r="Z1828" s="368"/>
      <c r="AA1828" s="368"/>
      <c r="AB1828" s="368"/>
      <c r="AC1828" s="368"/>
      <c r="AD1828" s="368"/>
      <c r="AE1828" s="510"/>
    </row>
    <row r="1829" spans="1:31" hidden="1">
      <c r="B1829" s="62"/>
      <c r="N1829" s="62"/>
      <c r="O1829" s="62"/>
    </row>
    <row r="1830" spans="1:31" hidden="1">
      <c r="A1830" s="28" t="s">
        <v>1209</v>
      </c>
      <c r="B1830" s="62" t="s">
        <v>2324</v>
      </c>
      <c r="C1830" s="28">
        <v>2.2999999999999998</v>
      </c>
      <c r="D1830" s="28">
        <v>3.3</v>
      </c>
      <c r="E1830" s="28">
        <v>6.8</v>
      </c>
      <c r="F1830" s="28">
        <v>9.5</v>
      </c>
      <c r="G1830" s="28">
        <v>14.5</v>
      </c>
      <c r="H1830" s="28">
        <v>17.5</v>
      </c>
      <c r="I1830" s="28">
        <v>20.100000000000001</v>
      </c>
      <c r="J1830" s="28">
        <v>20.100000000000001</v>
      </c>
      <c r="K1830" s="28">
        <v>15.7</v>
      </c>
      <c r="L1830" s="28">
        <v>11.6</v>
      </c>
      <c r="M1830" s="28">
        <v>6.2</v>
      </c>
      <c r="N1830" s="62">
        <v>3.6</v>
      </c>
      <c r="O1830" s="62">
        <v>10.9</v>
      </c>
    </row>
    <row r="1831" spans="1:31" hidden="1">
      <c r="B1831" s="62"/>
      <c r="N1831" s="62"/>
      <c r="O1831" s="62"/>
    </row>
    <row r="1832" spans="1:31" ht="12.6" hidden="1" customHeight="1">
      <c r="A1832" s="28" t="s">
        <v>1210</v>
      </c>
      <c r="B1832" s="62" t="s">
        <v>804</v>
      </c>
      <c r="C1832" s="28">
        <v>118</v>
      </c>
      <c r="D1832" s="28">
        <v>186</v>
      </c>
      <c r="E1832" s="28">
        <v>356</v>
      </c>
      <c r="F1832" s="28">
        <v>459</v>
      </c>
      <c r="G1832" s="28">
        <v>592</v>
      </c>
      <c r="H1832" s="28">
        <v>638</v>
      </c>
      <c r="I1832" s="28">
        <v>667</v>
      </c>
      <c r="J1832" s="28">
        <v>570</v>
      </c>
      <c r="K1832" s="28">
        <v>399</v>
      </c>
      <c r="L1832" s="28">
        <v>252</v>
      </c>
      <c r="M1832" s="28">
        <v>132</v>
      </c>
      <c r="N1832" s="62">
        <v>99</v>
      </c>
      <c r="O1832" s="62">
        <v>4468</v>
      </c>
      <c r="AE1832" s="378"/>
    </row>
    <row r="1833" spans="1:31" ht="12.6" hidden="1" customHeight="1">
      <c r="A1833" s="28" t="s">
        <v>1211</v>
      </c>
      <c r="B1833" s="62" t="s">
        <v>804</v>
      </c>
      <c r="C1833" s="28">
        <v>198</v>
      </c>
      <c r="D1833" s="28">
        <v>259</v>
      </c>
      <c r="E1833" s="28">
        <v>364</v>
      </c>
      <c r="F1833" s="28">
        <v>319</v>
      </c>
      <c r="G1833" s="28">
        <v>311</v>
      </c>
      <c r="H1833" s="28">
        <v>290</v>
      </c>
      <c r="I1833" s="28">
        <v>324</v>
      </c>
      <c r="J1833" s="28">
        <v>362</v>
      </c>
      <c r="K1833" s="28">
        <v>355</v>
      </c>
      <c r="L1833" s="28">
        <v>308</v>
      </c>
      <c r="M1833" s="28">
        <v>210</v>
      </c>
      <c r="N1833" s="62">
        <v>174</v>
      </c>
      <c r="O1833" s="62">
        <v>3474</v>
      </c>
      <c r="AE1833" s="378"/>
    </row>
    <row r="1834" spans="1:31" ht="12.6" hidden="1" customHeight="1">
      <c r="A1834" s="28" t="s">
        <v>1212</v>
      </c>
      <c r="B1834" s="62" t="s">
        <v>804</v>
      </c>
      <c r="C1834" s="28">
        <v>72</v>
      </c>
      <c r="D1834" s="28">
        <v>109</v>
      </c>
      <c r="E1834" s="28">
        <v>209</v>
      </c>
      <c r="F1834" s="28">
        <v>254</v>
      </c>
      <c r="G1834" s="28">
        <v>313</v>
      </c>
      <c r="H1834" s="28">
        <v>337</v>
      </c>
      <c r="I1834" s="28">
        <v>356</v>
      </c>
      <c r="J1834" s="28">
        <v>308</v>
      </c>
      <c r="K1834" s="28">
        <v>220</v>
      </c>
      <c r="L1834" s="28">
        <v>139</v>
      </c>
      <c r="M1834" s="28">
        <v>78</v>
      </c>
      <c r="N1834" s="62">
        <v>59</v>
      </c>
      <c r="O1834" s="62">
        <v>2455</v>
      </c>
      <c r="AE1834" s="378"/>
    </row>
    <row r="1835" spans="1:31" ht="12.6" hidden="1" customHeight="1">
      <c r="A1835" s="28" t="s">
        <v>1213</v>
      </c>
      <c r="B1835" s="62" t="s">
        <v>804</v>
      </c>
      <c r="C1835" s="28">
        <v>80</v>
      </c>
      <c r="D1835" s="28">
        <v>123</v>
      </c>
      <c r="E1835" s="28">
        <v>217</v>
      </c>
      <c r="F1835" s="28">
        <v>251</v>
      </c>
      <c r="G1835" s="28">
        <v>313</v>
      </c>
      <c r="H1835" s="28">
        <v>329</v>
      </c>
      <c r="I1835" s="28">
        <v>356</v>
      </c>
      <c r="J1835" s="28">
        <v>319</v>
      </c>
      <c r="K1835" s="28">
        <v>241</v>
      </c>
      <c r="L1835" s="28">
        <v>161</v>
      </c>
      <c r="M1835" s="28">
        <v>88</v>
      </c>
      <c r="N1835" s="62">
        <v>64</v>
      </c>
      <c r="O1835" s="62">
        <v>2544</v>
      </c>
      <c r="AE1835" s="378"/>
    </row>
    <row r="1836" spans="1:31" ht="12.6" hidden="1" customHeight="1">
      <c r="A1836" s="28" t="s">
        <v>1214</v>
      </c>
      <c r="B1836" s="62" t="s">
        <v>804</v>
      </c>
      <c r="C1836" s="28">
        <v>40</v>
      </c>
      <c r="D1836" s="28">
        <v>56</v>
      </c>
      <c r="E1836" s="28">
        <v>91</v>
      </c>
      <c r="F1836" s="28">
        <v>114</v>
      </c>
      <c r="G1836" s="28">
        <v>158</v>
      </c>
      <c r="H1836" s="28">
        <v>176</v>
      </c>
      <c r="I1836" s="28">
        <v>174</v>
      </c>
      <c r="J1836" s="28">
        <v>139</v>
      </c>
      <c r="K1836" s="28">
        <v>96</v>
      </c>
      <c r="L1836" s="28">
        <v>67</v>
      </c>
      <c r="M1836" s="28">
        <v>39</v>
      </c>
      <c r="N1836" s="62">
        <v>32</v>
      </c>
      <c r="O1836" s="62">
        <v>1182</v>
      </c>
      <c r="AE1836" s="378"/>
    </row>
    <row r="1837" spans="1:31" hidden="1">
      <c r="B1837" s="62"/>
      <c r="N1837" s="62"/>
      <c r="O1837" s="62"/>
      <c r="AE1837" s="378"/>
    </row>
    <row r="1838" spans="1:31" hidden="1">
      <c r="B1838" s="62"/>
      <c r="N1838" s="62"/>
      <c r="O1838" s="62"/>
      <c r="AE1838" s="378"/>
    </row>
    <row r="1839" spans="1:31" hidden="1">
      <c r="B1839" s="62"/>
      <c r="N1839" s="62"/>
      <c r="O1839" s="62"/>
      <c r="AE1839" s="378"/>
    </row>
    <row r="1840" spans="1:31" hidden="1">
      <c r="B1840" s="62"/>
      <c r="N1840" s="62"/>
      <c r="O1840" s="62"/>
      <c r="AE1840" s="378"/>
    </row>
    <row r="1841" spans="1:31" hidden="1">
      <c r="A1841" s="28" t="s">
        <v>1886</v>
      </c>
      <c r="B1841" s="62" t="s">
        <v>1808</v>
      </c>
      <c r="C1841" s="28">
        <v>31</v>
      </c>
      <c r="D1841" s="28">
        <v>28</v>
      </c>
      <c r="E1841" s="28">
        <v>30</v>
      </c>
      <c r="F1841" s="28">
        <v>22</v>
      </c>
      <c r="G1841" s="28">
        <v>13</v>
      </c>
      <c r="H1841" s="28">
        <v>3</v>
      </c>
      <c r="I1841" s="28">
        <v>1</v>
      </c>
      <c r="J1841" s="28">
        <v>1</v>
      </c>
      <c r="K1841" s="28">
        <v>6</v>
      </c>
      <c r="L1841" s="28">
        <v>19</v>
      </c>
      <c r="M1841" s="28">
        <v>29</v>
      </c>
      <c r="N1841" s="62">
        <v>31</v>
      </c>
      <c r="O1841" s="62"/>
      <c r="Q1841" s="28">
        <v>214</v>
      </c>
      <c r="AE1841" s="378"/>
    </row>
    <row r="1842" spans="1:31" hidden="1">
      <c r="A1842" s="28" t="s">
        <v>1887</v>
      </c>
      <c r="B1842" s="62" t="s">
        <v>1810</v>
      </c>
      <c r="C1842" s="28">
        <v>549</v>
      </c>
      <c r="D1842" s="28">
        <v>468</v>
      </c>
      <c r="E1842" s="28">
        <v>396</v>
      </c>
      <c r="F1842" s="28">
        <v>231</v>
      </c>
      <c r="G1842" s="28">
        <v>72</v>
      </c>
      <c r="H1842" s="28">
        <v>8</v>
      </c>
      <c r="I1842" s="28">
        <v>0</v>
      </c>
      <c r="J1842" s="28">
        <v>0</v>
      </c>
      <c r="K1842" s="28">
        <v>26</v>
      </c>
      <c r="L1842" s="28">
        <v>160</v>
      </c>
      <c r="M1842" s="28">
        <v>400</v>
      </c>
      <c r="N1842" s="62">
        <v>508</v>
      </c>
      <c r="O1842" s="62"/>
      <c r="Q1842" s="28">
        <v>2818</v>
      </c>
      <c r="AE1842" s="378"/>
    </row>
    <row r="1843" spans="1:31" hidden="1">
      <c r="B1843" s="62"/>
      <c r="N1843" s="62"/>
      <c r="O1843" s="62"/>
      <c r="AE1843" s="378"/>
    </row>
    <row r="1844" spans="1:31" hidden="1">
      <c r="B1844" s="62"/>
      <c r="N1844" s="62"/>
      <c r="O1844" s="62"/>
      <c r="AE1844" s="378"/>
    </row>
    <row r="1845" spans="1:31" hidden="1">
      <c r="B1845" s="62"/>
      <c r="N1845" s="62"/>
      <c r="O1845" s="62"/>
      <c r="AE1845" s="378"/>
    </row>
    <row r="1846" spans="1:31" ht="7.9" hidden="1" customHeight="1"/>
    <row r="1847" spans="1:31" ht="7.9" hidden="1" customHeight="1"/>
    <row r="1848" spans="1:31" ht="7.9" hidden="1" customHeight="1"/>
    <row r="1849" spans="1:31" ht="7.9" hidden="1" customHeight="1"/>
    <row r="1850" spans="1:31" ht="7.9" hidden="1" customHeight="1"/>
    <row r="1851" spans="1:31" s="34" customFormat="1" ht="15.75" hidden="1">
      <c r="A1851" s="61">
        <v>74</v>
      </c>
      <c r="B1851" s="129"/>
      <c r="C1851" s="129" t="s">
        <v>723</v>
      </c>
      <c r="D1851" s="129"/>
      <c r="E1851" s="130"/>
      <c r="F1851" s="130" t="s">
        <v>352</v>
      </c>
      <c r="G1851" s="129">
        <v>610</v>
      </c>
      <c r="H1851" s="131" t="s">
        <v>353</v>
      </c>
      <c r="I1851" s="129"/>
      <c r="J1851" s="129"/>
      <c r="K1851" s="130" t="s">
        <v>354</v>
      </c>
      <c r="L1851" s="131">
        <v>1</v>
      </c>
      <c r="M1851" s="129" t="s">
        <v>355</v>
      </c>
      <c r="N1851" s="131" t="s">
        <v>1585</v>
      </c>
      <c r="O1851" s="130"/>
      <c r="P1851" s="130" t="s">
        <v>357</v>
      </c>
      <c r="Q1851" s="129">
        <v>-8</v>
      </c>
      <c r="R1851" s="131" t="s">
        <v>2324</v>
      </c>
      <c r="S1851" s="28"/>
      <c r="T1851" s="28"/>
      <c r="U1851" s="378"/>
      <c r="V1851" s="368"/>
      <c r="W1851" s="368"/>
      <c r="X1851" s="368"/>
      <c r="Y1851" s="368"/>
      <c r="Z1851" s="368"/>
      <c r="AA1851" s="368"/>
      <c r="AB1851" s="368"/>
      <c r="AC1851" s="368"/>
      <c r="AD1851" s="368"/>
      <c r="AE1851" s="510"/>
    </row>
    <row r="1852" spans="1:31" hidden="1">
      <c r="B1852" s="62"/>
      <c r="N1852" s="62"/>
      <c r="O1852" s="62"/>
      <c r="P1852" s="53"/>
      <c r="Q1852" s="45"/>
      <c r="R1852" s="45"/>
    </row>
    <row r="1853" spans="1:31" s="34" customFormat="1" hidden="1">
      <c r="B1853" s="65"/>
      <c r="C1853" s="95" t="s">
        <v>489</v>
      </c>
      <c r="D1853" s="95" t="s">
        <v>490</v>
      </c>
      <c r="E1853" s="95" t="s">
        <v>491</v>
      </c>
      <c r="F1853" s="95" t="s">
        <v>492</v>
      </c>
      <c r="G1853" s="95" t="s">
        <v>493</v>
      </c>
      <c r="H1853" s="95" t="s">
        <v>494</v>
      </c>
      <c r="I1853" s="95" t="s">
        <v>495</v>
      </c>
      <c r="J1853" s="95" t="s">
        <v>496</v>
      </c>
      <c r="K1853" s="95" t="s">
        <v>497</v>
      </c>
      <c r="L1853" s="95" t="s">
        <v>498</v>
      </c>
      <c r="M1853" s="95" t="s">
        <v>499</v>
      </c>
      <c r="N1853" s="126" t="s">
        <v>500</v>
      </c>
      <c r="O1853" s="126" t="s">
        <v>501</v>
      </c>
      <c r="P1853" s="132"/>
      <c r="Q1853" s="133"/>
      <c r="R1853" s="133"/>
      <c r="S1853" s="28"/>
      <c r="T1853" s="28"/>
      <c r="U1853" s="378"/>
      <c r="V1853" s="368"/>
      <c r="W1853" s="368"/>
      <c r="X1853" s="368"/>
      <c r="Y1853" s="368"/>
      <c r="Z1853" s="368"/>
      <c r="AA1853" s="368"/>
      <c r="AB1853" s="368"/>
      <c r="AC1853" s="368"/>
      <c r="AD1853" s="368"/>
      <c r="AE1853" s="510"/>
    </row>
    <row r="1854" spans="1:31" hidden="1">
      <c r="B1854" s="62"/>
      <c r="N1854" s="62"/>
      <c r="O1854" s="62"/>
    </row>
    <row r="1855" spans="1:31" hidden="1">
      <c r="A1855" s="28" t="s">
        <v>1209</v>
      </c>
      <c r="B1855" s="62" t="s">
        <v>2324</v>
      </c>
      <c r="C1855" s="28">
        <v>0.4</v>
      </c>
      <c r="D1855" s="28">
        <v>1.5</v>
      </c>
      <c r="E1855" s="28">
        <v>5.2</v>
      </c>
      <c r="F1855" s="28">
        <v>7.8</v>
      </c>
      <c r="G1855" s="28">
        <v>12.7</v>
      </c>
      <c r="H1855" s="28">
        <v>15.6</v>
      </c>
      <c r="I1855" s="28">
        <v>17.899999999999999</v>
      </c>
      <c r="J1855" s="28">
        <v>18.100000000000001</v>
      </c>
      <c r="K1855" s="28">
        <v>13.7</v>
      </c>
      <c r="L1855" s="28">
        <v>9.8000000000000007</v>
      </c>
      <c r="M1855" s="28">
        <v>4.2</v>
      </c>
      <c r="N1855" s="62">
        <v>1.8</v>
      </c>
      <c r="O1855" s="62">
        <v>9.1</v>
      </c>
    </row>
    <row r="1856" spans="1:31" hidden="1">
      <c r="B1856" s="62"/>
      <c r="N1856" s="62"/>
      <c r="O1856" s="62"/>
    </row>
    <row r="1857" spans="1:31" ht="12.6" hidden="1" customHeight="1">
      <c r="A1857" s="28" t="s">
        <v>1210</v>
      </c>
      <c r="B1857" s="62" t="s">
        <v>804</v>
      </c>
      <c r="C1857" s="28">
        <v>115</v>
      </c>
      <c r="D1857" s="28">
        <v>174</v>
      </c>
      <c r="E1857" s="28">
        <v>311</v>
      </c>
      <c r="F1857" s="28">
        <v>412</v>
      </c>
      <c r="G1857" s="28">
        <v>530</v>
      </c>
      <c r="H1857" s="28">
        <v>581</v>
      </c>
      <c r="I1857" s="28">
        <v>600</v>
      </c>
      <c r="J1857" s="28">
        <v>525</v>
      </c>
      <c r="K1857" s="28">
        <v>358</v>
      </c>
      <c r="L1857" s="28">
        <v>225</v>
      </c>
      <c r="M1857" s="28">
        <v>119</v>
      </c>
      <c r="N1857" s="62">
        <v>88</v>
      </c>
      <c r="O1857" s="62">
        <v>4038</v>
      </c>
      <c r="AE1857" s="378"/>
    </row>
    <row r="1858" spans="1:31" ht="12.6" hidden="1" customHeight="1">
      <c r="A1858" s="28" t="s">
        <v>1211</v>
      </c>
      <c r="B1858" s="62" t="s">
        <v>804</v>
      </c>
      <c r="C1858" s="28">
        <v>193</v>
      </c>
      <c r="D1858" s="28">
        <v>235</v>
      </c>
      <c r="E1858" s="28">
        <v>305</v>
      </c>
      <c r="F1858" s="28">
        <v>283</v>
      </c>
      <c r="G1858" s="28">
        <v>279</v>
      </c>
      <c r="H1858" s="28">
        <v>270</v>
      </c>
      <c r="I1858" s="28">
        <v>297</v>
      </c>
      <c r="J1858" s="28">
        <v>332</v>
      </c>
      <c r="K1858" s="28">
        <v>311</v>
      </c>
      <c r="L1858" s="28">
        <v>268</v>
      </c>
      <c r="M1858" s="28">
        <v>176</v>
      </c>
      <c r="N1858" s="62">
        <v>147</v>
      </c>
      <c r="O1858" s="62">
        <v>3095</v>
      </c>
      <c r="AE1858" s="378"/>
    </row>
    <row r="1859" spans="1:31" ht="12.6" hidden="1" customHeight="1">
      <c r="A1859" s="28" t="s">
        <v>1212</v>
      </c>
      <c r="B1859" s="62" t="s">
        <v>804</v>
      </c>
      <c r="C1859" s="28">
        <v>78</v>
      </c>
      <c r="D1859" s="28">
        <v>109</v>
      </c>
      <c r="E1859" s="28">
        <v>190</v>
      </c>
      <c r="F1859" s="28">
        <v>244</v>
      </c>
      <c r="G1859" s="28">
        <v>303</v>
      </c>
      <c r="H1859" s="28">
        <v>324</v>
      </c>
      <c r="I1859" s="28">
        <v>343</v>
      </c>
      <c r="J1859" s="28">
        <v>313</v>
      </c>
      <c r="K1859" s="28">
        <v>215</v>
      </c>
      <c r="L1859" s="28">
        <v>137</v>
      </c>
      <c r="M1859" s="28">
        <v>75</v>
      </c>
      <c r="N1859" s="62">
        <v>59</v>
      </c>
      <c r="O1859" s="62">
        <v>2389</v>
      </c>
      <c r="AE1859" s="378"/>
    </row>
    <row r="1860" spans="1:31" ht="12.6" hidden="1" customHeight="1">
      <c r="A1860" s="28" t="s">
        <v>1213</v>
      </c>
      <c r="B1860" s="62" t="s">
        <v>804</v>
      </c>
      <c r="C1860" s="28">
        <v>67</v>
      </c>
      <c r="D1860" s="28">
        <v>104</v>
      </c>
      <c r="E1860" s="28">
        <v>177</v>
      </c>
      <c r="F1860" s="28">
        <v>228</v>
      </c>
      <c r="G1860" s="28">
        <v>284</v>
      </c>
      <c r="H1860" s="28">
        <v>308</v>
      </c>
      <c r="I1860" s="28">
        <v>324</v>
      </c>
      <c r="J1860" s="28">
        <v>292</v>
      </c>
      <c r="K1860" s="28">
        <v>205</v>
      </c>
      <c r="L1860" s="28">
        <v>131</v>
      </c>
      <c r="M1860" s="28">
        <v>67</v>
      </c>
      <c r="N1860" s="62">
        <v>48</v>
      </c>
      <c r="O1860" s="62">
        <v>2236</v>
      </c>
      <c r="AE1860" s="378"/>
    </row>
    <row r="1861" spans="1:31" ht="12.6" hidden="1" customHeight="1">
      <c r="A1861" s="28" t="s">
        <v>1214</v>
      </c>
      <c r="B1861" s="62" t="s">
        <v>804</v>
      </c>
      <c r="C1861" s="28">
        <v>37</v>
      </c>
      <c r="D1861" s="28">
        <v>53</v>
      </c>
      <c r="E1861" s="28">
        <v>88</v>
      </c>
      <c r="F1861" s="28">
        <v>117</v>
      </c>
      <c r="G1861" s="28">
        <v>158</v>
      </c>
      <c r="H1861" s="28">
        <v>184</v>
      </c>
      <c r="I1861" s="28">
        <v>182</v>
      </c>
      <c r="J1861" s="28">
        <v>145</v>
      </c>
      <c r="K1861" s="28">
        <v>98</v>
      </c>
      <c r="L1861" s="28">
        <v>67</v>
      </c>
      <c r="M1861" s="28">
        <v>39</v>
      </c>
      <c r="N1861" s="62">
        <v>32</v>
      </c>
      <c r="O1861" s="62">
        <v>1201</v>
      </c>
      <c r="AE1861" s="378"/>
    </row>
    <row r="1862" spans="1:31" hidden="1">
      <c r="B1862" s="62"/>
      <c r="N1862" s="62"/>
      <c r="O1862" s="62"/>
      <c r="AE1862" s="378"/>
    </row>
    <row r="1863" spans="1:31" hidden="1">
      <c r="B1863" s="62"/>
      <c r="N1863" s="62"/>
      <c r="O1863" s="62"/>
      <c r="AE1863" s="378"/>
    </row>
    <row r="1864" spans="1:31" hidden="1">
      <c r="B1864" s="62"/>
      <c r="N1864" s="62"/>
      <c r="O1864" s="62"/>
      <c r="AE1864" s="378"/>
    </row>
    <row r="1865" spans="1:31" hidden="1">
      <c r="B1865" s="62"/>
      <c r="N1865" s="62"/>
      <c r="O1865" s="62"/>
      <c r="AE1865" s="378"/>
    </row>
    <row r="1866" spans="1:31" hidden="1">
      <c r="A1866" s="28" t="s">
        <v>1886</v>
      </c>
      <c r="B1866" s="62" t="s">
        <v>1808</v>
      </c>
      <c r="C1866" s="28">
        <v>31</v>
      </c>
      <c r="D1866" s="28">
        <v>28</v>
      </c>
      <c r="E1866" s="28">
        <v>31</v>
      </c>
      <c r="F1866" s="28">
        <v>27</v>
      </c>
      <c r="G1866" s="28">
        <v>18</v>
      </c>
      <c r="H1866" s="28">
        <v>6</v>
      </c>
      <c r="I1866" s="28">
        <v>1</v>
      </c>
      <c r="J1866" s="28">
        <v>3</v>
      </c>
      <c r="K1866" s="28">
        <v>11</v>
      </c>
      <c r="L1866" s="28">
        <v>25</v>
      </c>
      <c r="M1866" s="28">
        <v>30</v>
      </c>
      <c r="N1866" s="62">
        <v>31</v>
      </c>
      <c r="O1866" s="62"/>
      <c r="Q1866" s="28">
        <v>242</v>
      </c>
      <c r="AE1866" s="378"/>
    </row>
    <row r="1867" spans="1:31" hidden="1">
      <c r="A1867" s="28" t="s">
        <v>1887</v>
      </c>
      <c r="B1867" s="62" t="s">
        <v>1810</v>
      </c>
      <c r="C1867" s="28">
        <v>608</v>
      </c>
      <c r="D1867" s="28">
        <v>518</v>
      </c>
      <c r="E1867" s="28">
        <v>459</v>
      </c>
      <c r="F1867" s="28">
        <v>329</v>
      </c>
      <c r="G1867" s="28">
        <v>131</v>
      </c>
      <c r="H1867" s="28">
        <v>26</v>
      </c>
      <c r="I1867" s="28">
        <v>2</v>
      </c>
      <c r="J1867" s="28">
        <v>6</v>
      </c>
      <c r="K1867" s="28">
        <v>69</v>
      </c>
      <c r="L1867" s="28">
        <v>255</v>
      </c>
      <c r="M1867" s="28">
        <v>474</v>
      </c>
      <c r="N1867" s="62">
        <v>564</v>
      </c>
      <c r="O1867" s="62"/>
      <c r="Q1867" s="28">
        <v>3441</v>
      </c>
      <c r="AE1867" s="378"/>
    </row>
    <row r="1868" spans="1:31" hidden="1">
      <c r="B1868" s="62"/>
      <c r="N1868" s="62"/>
      <c r="O1868" s="62"/>
      <c r="AE1868" s="378"/>
    </row>
    <row r="1869" spans="1:31" hidden="1">
      <c r="B1869" s="62"/>
      <c r="N1869" s="62"/>
      <c r="O1869" s="62"/>
      <c r="AE1869" s="378"/>
    </row>
    <row r="1870" spans="1:31" hidden="1">
      <c r="B1870" s="62"/>
      <c r="N1870" s="62"/>
      <c r="O1870" s="62"/>
      <c r="AE1870" s="378"/>
    </row>
    <row r="1871" spans="1:31" ht="7.9" hidden="1" customHeight="1"/>
    <row r="1872" spans="1:31" ht="7.9" hidden="1" customHeight="1"/>
    <row r="1873" spans="1:31" ht="7.9" hidden="1" customHeight="1"/>
    <row r="1874" spans="1:31" ht="7.9" hidden="1" customHeight="1"/>
    <row r="1875" spans="1:31" ht="7.9" hidden="1" customHeight="1"/>
    <row r="1876" spans="1:31" s="34" customFormat="1" ht="15.75" hidden="1">
      <c r="A1876" s="61">
        <v>75</v>
      </c>
      <c r="B1876" s="129"/>
      <c r="C1876" s="129"/>
      <c r="D1876" s="129"/>
      <c r="E1876" s="130"/>
      <c r="F1876" s="130" t="s">
        <v>352</v>
      </c>
      <c r="G1876" s="129"/>
      <c r="H1876" s="131" t="s">
        <v>353</v>
      </c>
      <c r="I1876" s="129"/>
      <c r="J1876" s="129"/>
      <c r="K1876" s="130" t="s">
        <v>354</v>
      </c>
      <c r="L1876" s="131"/>
      <c r="M1876" s="129" t="s">
        <v>355</v>
      </c>
      <c r="N1876" s="131"/>
      <c r="O1876" s="130"/>
      <c r="P1876" s="130" t="s">
        <v>357</v>
      </c>
      <c r="Q1876" s="129"/>
      <c r="R1876" s="131" t="s">
        <v>2324</v>
      </c>
      <c r="S1876" s="28"/>
      <c r="T1876" s="28"/>
      <c r="U1876" s="378"/>
      <c r="V1876" s="368"/>
      <c r="W1876" s="368"/>
      <c r="X1876" s="368"/>
      <c r="Y1876" s="368"/>
      <c r="Z1876" s="368"/>
      <c r="AA1876" s="368"/>
      <c r="AB1876" s="368"/>
      <c r="AC1876" s="368"/>
      <c r="AD1876" s="368"/>
      <c r="AE1876" s="510"/>
    </row>
    <row r="1877" spans="1:31" hidden="1">
      <c r="B1877" s="62"/>
      <c r="N1877" s="62"/>
      <c r="O1877" s="62"/>
      <c r="P1877" s="53"/>
      <c r="Q1877" s="45"/>
      <c r="R1877" s="45"/>
    </row>
    <row r="1878" spans="1:31" s="34" customFormat="1" hidden="1">
      <c r="B1878" s="65"/>
      <c r="C1878" s="95" t="s">
        <v>489</v>
      </c>
      <c r="D1878" s="95" t="s">
        <v>490</v>
      </c>
      <c r="E1878" s="95" t="s">
        <v>491</v>
      </c>
      <c r="F1878" s="95" t="s">
        <v>492</v>
      </c>
      <c r="G1878" s="95" t="s">
        <v>493</v>
      </c>
      <c r="H1878" s="95" t="s">
        <v>494</v>
      </c>
      <c r="I1878" s="95" t="s">
        <v>495</v>
      </c>
      <c r="J1878" s="95" t="s">
        <v>496</v>
      </c>
      <c r="K1878" s="95" t="s">
        <v>497</v>
      </c>
      <c r="L1878" s="95" t="s">
        <v>498</v>
      </c>
      <c r="M1878" s="95" t="s">
        <v>499</v>
      </c>
      <c r="N1878" s="126" t="s">
        <v>500</v>
      </c>
      <c r="O1878" s="126" t="s">
        <v>501</v>
      </c>
      <c r="P1878" s="132"/>
      <c r="Q1878" s="133"/>
      <c r="R1878" s="133"/>
      <c r="S1878" s="28"/>
      <c r="T1878" s="28"/>
      <c r="U1878" s="378"/>
      <c r="V1878" s="368"/>
      <c r="W1878" s="368"/>
      <c r="X1878" s="368"/>
      <c r="Y1878" s="368"/>
      <c r="Z1878" s="368"/>
      <c r="AA1878" s="368"/>
      <c r="AB1878" s="368"/>
      <c r="AC1878" s="368"/>
      <c r="AD1878" s="368"/>
      <c r="AE1878" s="510"/>
    </row>
    <row r="1879" spans="1:31" hidden="1">
      <c r="B1879" s="62"/>
      <c r="N1879" s="62"/>
      <c r="O1879" s="62"/>
    </row>
    <row r="1880" spans="1:31" hidden="1">
      <c r="A1880" s="28" t="s">
        <v>1209</v>
      </c>
      <c r="B1880" s="62" t="s">
        <v>2324</v>
      </c>
      <c r="N1880" s="62"/>
      <c r="O1880" s="62"/>
    </row>
    <row r="1881" spans="1:31" hidden="1">
      <c r="B1881" s="62"/>
      <c r="N1881" s="62"/>
      <c r="O1881" s="62"/>
    </row>
    <row r="1882" spans="1:31" ht="12.6" hidden="1" customHeight="1">
      <c r="A1882" s="28" t="s">
        <v>1210</v>
      </c>
      <c r="B1882" s="62" t="s">
        <v>804</v>
      </c>
      <c r="N1882" s="62"/>
      <c r="O1882" s="62"/>
      <c r="AE1882" s="378"/>
    </row>
    <row r="1883" spans="1:31" ht="12.6" hidden="1" customHeight="1">
      <c r="A1883" s="28" t="s">
        <v>1211</v>
      </c>
      <c r="B1883" s="62" t="s">
        <v>804</v>
      </c>
      <c r="N1883" s="62"/>
      <c r="O1883" s="62"/>
      <c r="AE1883" s="378"/>
    </row>
    <row r="1884" spans="1:31" ht="12.6" hidden="1" customHeight="1">
      <c r="A1884" s="28" t="s">
        <v>1212</v>
      </c>
      <c r="B1884" s="62" t="s">
        <v>804</v>
      </c>
      <c r="N1884" s="62"/>
      <c r="O1884" s="62"/>
      <c r="AE1884" s="378"/>
    </row>
    <row r="1885" spans="1:31" ht="12.6" hidden="1" customHeight="1">
      <c r="A1885" s="28" t="s">
        <v>1213</v>
      </c>
      <c r="B1885" s="62" t="s">
        <v>804</v>
      </c>
      <c r="N1885" s="62"/>
      <c r="O1885" s="62"/>
      <c r="AE1885" s="378"/>
    </row>
    <row r="1886" spans="1:31" ht="12.6" hidden="1" customHeight="1">
      <c r="A1886" s="28" t="s">
        <v>1214</v>
      </c>
      <c r="B1886" s="62" t="s">
        <v>804</v>
      </c>
      <c r="N1886" s="62"/>
      <c r="O1886" s="62"/>
      <c r="AE1886" s="378"/>
    </row>
    <row r="1887" spans="1:31" hidden="1">
      <c r="B1887" s="62"/>
      <c r="N1887" s="62"/>
      <c r="O1887" s="62"/>
      <c r="AE1887" s="378"/>
    </row>
    <row r="1888" spans="1:31" hidden="1">
      <c r="B1888" s="62"/>
      <c r="N1888" s="62"/>
      <c r="O1888" s="62"/>
      <c r="AE1888" s="378"/>
    </row>
    <row r="1889" spans="1:31" hidden="1">
      <c r="B1889" s="62"/>
      <c r="N1889" s="62"/>
      <c r="O1889" s="62"/>
      <c r="AE1889" s="378"/>
    </row>
    <row r="1890" spans="1:31" hidden="1">
      <c r="B1890" s="62"/>
      <c r="N1890" s="62"/>
      <c r="O1890" s="62"/>
      <c r="AE1890" s="378"/>
    </row>
    <row r="1891" spans="1:31" hidden="1">
      <c r="B1891" s="62"/>
      <c r="N1891" s="62"/>
      <c r="O1891" s="62"/>
      <c r="AE1891" s="378"/>
    </row>
    <row r="1892" spans="1:31" hidden="1">
      <c r="B1892" s="62"/>
      <c r="N1892" s="62"/>
      <c r="O1892" s="62"/>
      <c r="AE1892" s="378"/>
    </row>
    <row r="1893" spans="1:31" hidden="1">
      <c r="B1893" s="62"/>
      <c r="N1893" s="62"/>
      <c r="O1893" s="62"/>
      <c r="AE1893" s="378"/>
    </row>
    <row r="1894" spans="1:31" hidden="1">
      <c r="B1894" s="62"/>
      <c r="N1894" s="62"/>
      <c r="O1894" s="62"/>
      <c r="AE1894" s="378"/>
    </row>
    <row r="1895" spans="1:31" hidden="1">
      <c r="B1895" s="62"/>
      <c r="N1895" s="62"/>
      <c r="O1895" s="62"/>
      <c r="AE1895" s="378"/>
    </row>
    <row r="1896" spans="1:31" ht="7.9" hidden="1" customHeight="1"/>
    <row r="1897" spans="1:31" ht="7.9" hidden="1" customHeight="1"/>
    <row r="1898" spans="1:31" ht="7.9" hidden="1" customHeight="1"/>
    <row r="1899" spans="1:31" ht="7.9" hidden="1" customHeight="1"/>
    <row r="1900" spans="1:31" ht="7.9" hidden="1" customHeight="1"/>
    <row r="1901" spans="1:31" s="34" customFormat="1" ht="15.75" hidden="1">
      <c r="A1901" s="61">
        <v>76</v>
      </c>
      <c r="B1901" s="129"/>
      <c r="C1901" s="129" t="s">
        <v>724</v>
      </c>
      <c r="D1901" s="129"/>
      <c r="E1901" s="130"/>
      <c r="F1901" s="130" t="s">
        <v>352</v>
      </c>
      <c r="G1901" s="129">
        <v>482</v>
      </c>
      <c r="H1901" s="131" t="s">
        <v>353</v>
      </c>
      <c r="I1901" s="129"/>
      <c r="J1901" s="129"/>
      <c r="K1901" s="130" t="s">
        <v>354</v>
      </c>
      <c r="L1901" s="131">
        <v>10</v>
      </c>
      <c r="M1901" s="129" t="s">
        <v>355</v>
      </c>
      <c r="N1901" s="131" t="s">
        <v>1585</v>
      </c>
      <c r="O1901" s="130"/>
      <c r="P1901" s="130" t="s">
        <v>357</v>
      </c>
      <c r="Q1901" s="129">
        <v>-6</v>
      </c>
      <c r="R1901" s="131" t="s">
        <v>2324</v>
      </c>
      <c r="S1901" s="28"/>
      <c r="T1901" s="28"/>
      <c r="U1901" s="378"/>
      <c r="V1901" s="368"/>
      <c r="W1901" s="368"/>
      <c r="X1901" s="368"/>
      <c r="Y1901" s="368"/>
      <c r="Z1901" s="368"/>
      <c r="AA1901" s="368"/>
      <c r="AB1901" s="368"/>
      <c r="AC1901" s="368"/>
      <c r="AD1901" s="368"/>
      <c r="AE1901" s="510"/>
    </row>
    <row r="1902" spans="1:31" hidden="1">
      <c r="B1902" s="62"/>
      <c r="N1902" s="62"/>
      <c r="O1902" s="62"/>
      <c r="P1902" s="53"/>
      <c r="Q1902" s="45"/>
      <c r="R1902" s="45"/>
    </row>
    <row r="1903" spans="1:31" s="34" customFormat="1" hidden="1">
      <c r="B1903" s="65"/>
      <c r="C1903" s="95" t="s">
        <v>489</v>
      </c>
      <c r="D1903" s="95" t="s">
        <v>490</v>
      </c>
      <c r="E1903" s="95" t="s">
        <v>491</v>
      </c>
      <c r="F1903" s="95" t="s">
        <v>492</v>
      </c>
      <c r="G1903" s="95" t="s">
        <v>493</v>
      </c>
      <c r="H1903" s="95" t="s">
        <v>494</v>
      </c>
      <c r="I1903" s="95" t="s">
        <v>495</v>
      </c>
      <c r="J1903" s="95" t="s">
        <v>496</v>
      </c>
      <c r="K1903" s="95" t="s">
        <v>497</v>
      </c>
      <c r="L1903" s="95" t="s">
        <v>498</v>
      </c>
      <c r="M1903" s="95" t="s">
        <v>499</v>
      </c>
      <c r="N1903" s="126" t="s">
        <v>500</v>
      </c>
      <c r="O1903" s="126" t="s">
        <v>501</v>
      </c>
      <c r="P1903" s="132"/>
      <c r="Q1903" s="133"/>
      <c r="R1903" s="133"/>
      <c r="S1903" s="28"/>
      <c r="T1903" s="28"/>
      <c r="U1903" s="378"/>
      <c r="V1903" s="368"/>
      <c r="W1903" s="368"/>
      <c r="X1903" s="368"/>
      <c r="Y1903" s="368"/>
      <c r="Z1903" s="368"/>
      <c r="AA1903" s="368"/>
      <c r="AB1903" s="368"/>
      <c r="AC1903" s="368"/>
      <c r="AD1903" s="368"/>
      <c r="AE1903" s="510"/>
    </row>
    <row r="1904" spans="1:31" hidden="1">
      <c r="B1904" s="62"/>
      <c r="N1904" s="62"/>
      <c r="O1904" s="62"/>
    </row>
    <row r="1905" spans="1:31" hidden="1">
      <c r="A1905" s="28" t="s">
        <v>1209</v>
      </c>
      <c r="B1905" s="62" t="s">
        <v>2324</v>
      </c>
      <c r="C1905" s="28">
        <v>-0.1</v>
      </c>
      <c r="D1905" s="28">
        <v>2</v>
      </c>
      <c r="E1905" s="28">
        <v>6.7</v>
      </c>
      <c r="F1905" s="28">
        <v>10</v>
      </c>
      <c r="G1905" s="28">
        <v>15</v>
      </c>
      <c r="H1905" s="28">
        <v>17.8</v>
      </c>
      <c r="I1905" s="28">
        <v>19.899999999999999</v>
      </c>
      <c r="J1905" s="28">
        <v>19.399999999999999</v>
      </c>
      <c r="K1905" s="28">
        <v>15</v>
      </c>
      <c r="L1905" s="28">
        <v>10.3</v>
      </c>
      <c r="M1905" s="28">
        <v>4.3</v>
      </c>
      <c r="N1905" s="62">
        <v>0.8</v>
      </c>
      <c r="O1905" s="62">
        <v>10.1</v>
      </c>
    </row>
    <row r="1906" spans="1:31" hidden="1">
      <c r="B1906" s="62"/>
      <c r="N1906" s="62"/>
      <c r="O1906" s="62"/>
    </row>
    <row r="1907" spans="1:31" ht="12.6" hidden="1" customHeight="1">
      <c r="A1907" s="28" t="s">
        <v>1210</v>
      </c>
      <c r="B1907" s="62" t="s">
        <v>804</v>
      </c>
      <c r="C1907" s="28">
        <v>145</v>
      </c>
      <c r="D1907" s="28">
        <v>225</v>
      </c>
      <c r="E1907" s="28">
        <v>402</v>
      </c>
      <c r="F1907" s="28">
        <v>516</v>
      </c>
      <c r="G1907" s="28">
        <v>640</v>
      </c>
      <c r="H1907" s="28">
        <v>677</v>
      </c>
      <c r="I1907" s="28">
        <v>694</v>
      </c>
      <c r="J1907" s="28">
        <v>595</v>
      </c>
      <c r="K1907" s="28">
        <v>435</v>
      </c>
      <c r="L1907" s="28">
        <v>289</v>
      </c>
      <c r="M1907" s="28">
        <v>156</v>
      </c>
      <c r="N1907" s="62">
        <v>110</v>
      </c>
      <c r="O1907" s="62">
        <v>4882</v>
      </c>
      <c r="AE1907" s="378"/>
    </row>
    <row r="1908" spans="1:31" ht="12.6" hidden="1" customHeight="1">
      <c r="A1908" s="28" t="s">
        <v>1211</v>
      </c>
      <c r="B1908" s="62" t="s">
        <v>804</v>
      </c>
      <c r="C1908" s="28">
        <v>236</v>
      </c>
      <c r="D1908" s="28">
        <v>324</v>
      </c>
      <c r="E1908" s="28">
        <v>402</v>
      </c>
      <c r="F1908" s="28">
        <v>350</v>
      </c>
      <c r="G1908" s="28">
        <v>324</v>
      </c>
      <c r="H1908" s="28">
        <v>295</v>
      </c>
      <c r="I1908" s="28">
        <v>327</v>
      </c>
      <c r="J1908" s="28">
        <v>367</v>
      </c>
      <c r="K1908" s="28">
        <v>381</v>
      </c>
      <c r="L1908" s="28">
        <v>354</v>
      </c>
      <c r="M1908" s="28">
        <v>236</v>
      </c>
      <c r="N1908" s="62">
        <v>174</v>
      </c>
      <c r="O1908" s="62">
        <v>3769</v>
      </c>
      <c r="AE1908" s="378"/>
    </row>
    <row r="1909" spans="1:31" ht="12.6" hidden="1" customHeight="1">
      <c r="A1909" s="28" t="s">
        <v>1212</v>
      </c>
      <c r="B1909" s="62" t="s">
        <v>804</v>
      </c>
      <c r="C1909" s="28">
        <v>62</v>
      </c>
      <c r="D1909" s="28">
        <v>123</v>
      </c>
      <c r="E1909" s="28">
        <v>222</v>
      </c>
      <c r="F1909" s="28">
        <v>283</v>
      </c>
      <c r="G1909" s="28">
        <v>346</v>
      </c>
      <c r="H1909" s="28">
        <v>365</v>
      </c>
      <c r="I1909" s="28">
        <v>378</v>
      </c>
      <c r="J1909" s="28">
        <v>337</v>
      </c>
      <c r="K1909" s="28">
        <v>241</v>
      </c>
      <c r="L1909" s="28">
        <v>153</v>
      </c>
      <c r="M1909" s="28">
        <v>65</v>
      </c>
      <c r="N1909" s="62">
        <v>43</v>
      </c>
      <c r="O1909" s="62">
        <v>2617</v>
      </c>
      <c r="AE1909" s="378"/>
    </row>
    <row r="1910" spans="1:31" ht="12.6" hidden="1" customHeight="1">
      <c r="A1910" s="28" t="s">
        <v>1213</v>
      </c>
      <c r="B1910" s="62" t="s">
        <v>804</v>
      </c>
      <c r="C1910" s="28">
        <v>102</v>
      </c>
      <c r="D1910" s="28">
        <v>152</v>
      </c>
      <c r="E1910" s="28">
        <v>220</v>
      </c>
      <c r="F1910" s="28">
        <v>257</v>
      </c>
      <c r="G1910" s="28">
        <v>303</v>
      </c>
      <c r="H1910" s="28">
        <v>311</v>
      </c>
      <c r="I1910" s="28">
        <v>327</v>
      </c>
      <c r="J1910" s="28">
        <v>292</v>
      </c>
      <c r="K1910" s="28">
        <v>236</v>
      </c>
      <c r="L1910" s="28">
        <v>166</v>
      </c>
      <c r="M1910" s="28">
        <v>104</v>
      </c>
      <c r="N1910" s="62">
        <v>75</v>
      </c>
      <c r="O1910" s="62">
        <v>2543</v>
      </c>
      <c r="AE1910" s="378"/>
    </row>
    <row r="1911" spans="1:31" ht="12.6" hidden="1" customHeight="1">
      <c r="A1911" s="28" t="s">
        <v>1214</v>
      </c>
      <c r="B1911" s="62" t="s">
        <v>804</v>
      </c>
      <c r="C1911" s="28">
        <v>46</v>
      </c>
      <c r="D1911" s="28">
        <v>68</v>
      </c>
      <c r="E1911" s="28">
        <v>94</v>
      </c>
      <c r="F1911" s="28">
        <v>122</v>
      </c>
      <c r="G1911" s="28">
        <v>161</v>
      </c>
      <c r="H1911" s="28">
        <v>174</v>
      </c>
      <c r="I1911" s="28">
        <v>171</v>
      </c>
      <c r="J1911" s="28">
        <v>137</v>
      </c>
      <c r="K1911" s="28">
        <v>98</v>
      </c>
      <c r="L1911" s="28">
        <v>72</v>
      </c>
      <c r="M1911" s="28">
        <v>44</v>
      </c>
      <c r="N1911" s="62">
        <v>37</v>
      </c>
      <c r="O1911" s="62">
        <v>1224</v>
      </c>
      <c r="AE1911" s="378"/>
    </row>
    <row r="1912" spans="1:31" hidden="1">
      <c r="B1912" s="62"/>
      <c r="N1912" s="62"/>
      <c r="O1912" s="62"/>
      <c r="AE1912" s="378"/>
    </row>
    <row r="1913" spans="1:31" hidden="1">
      <c r="B1913" s="62"/>
      <c r="N1913" s="62"/>
      <c r="O1913" s="62"/>
      <c r="AE1913" s="378"/>
    </row>
    <row r="1914" spans="1:31" hidden="1">
      <c r="B1914" s="62"/>
      <c r="N1914" s="62"/>
      <c r="O1914" s="62"/>
      <c r="AE1914" s="378"/>
    </row>
    <row r="1915" spans="1:31" hidden="1">
      <c r="B1915" s="62"/>
      <c r="N1915" s="62"/>
      <c r="O1915" s="62"/>
      <c r="AE1915" s="378"/>
    </row>
    <row r="1916" spans="1:31" hidden="1">
      <c r="A1916" s="28" t="s">
        <v>1886</v>
      </c>
      <c r="B1916" s="62" t="s">
        <v>1808</v>
      </c>
      <c r="C1916" s="28">
        <v>31</v>
      </c>
      <c r="D1916" s="28">
        <v>28</v>
      </c>
      <c r="E1916" s="28">
        <v>30</v>
      </c>
      <c r="F1916" s="28">
        <v>19</v>
      </c>
      <c r="G1916" s="28">
        <v>8</v>
      </c>
      <c r="H1916" s="28">
        <v>1</v>
      </c>
      <c r="I1916" s="28">
        <v>0</v>
      </c>
      <c r="J1916" s="28">
        <v>1</v>
      </c>
      <c r="K1916" s="28">
        <v>4</v>
      </c>
      <c r="L1916" s="28">
        <v>19</v>
      </c>
      <c r="M1916" s="28">
        <v>30</v>
      </c>
      <c r="N1916" s="62">
        <v>31</v>
      </c>
      <c r="O1916" s="62"/>
      <c r="Q1916" s="28">
        <v>202</v>
      </c>
      <c r="AE1916" s="378"/>
    </row>
    <row r="1917" spans="1:31" hidden="1">
      <c r="A1917" s="28" t="s">
        <v>1887</v>
      </c>
      <c r="B1917" s="62" t="s">
        <v>1810</v>
      </c>
      <c r="C1917" s="28">
        <v>623</v>
      </c>
      <c r="D1917" s="28">
        <v>504</v>
      </c>
      <c r="E1917" s="28">
        <v>399</v>
      </c>
      <c r="F1917" s="28">
        <v>190</v>
      </c>
      <c r="G1917" s="28">
        <v>40</v>
      </c>
      <c r="H1917" s="28">
        <v>2</v>
      </c>
      <c r="I1917" s="28">
        <v>0</v>
      </c>
      <c r="J1917" s="28">
        <v>1</v>
      </c>
      <c r="K1917" s="28">
        <v>20</v>
      </c>
      <c r="L1917" s="28">
        <v>184</v>
      </c>
      <c r="M1917" s="28">
        <v>471</v>
      </c>
      <c r="N1917" s="62">
        <v>595</v>
      </c>
      <c r="O1917" s="62"/>
      <c r="Q1917" s="28">
        <v>3029</v>
      </c>
      <c r="AE1917" s="378"/>
    </row>
    <row r="1918" spans="1:31" hidden="1">
      <c r="B1918" s="62"/>
      <c r="N1918" s="62"/>
      <c r="O1918" s="62"/>
      <c r="AE1918" s="378"/>
    </row>
    <row r="1919" spans="1:31" hidden="1">
      <c r="B1919" s="62"/>
      <c r="N1919" s="62"/>
      <c r="O1919" s="62"/>
      <c r="AE1919" s="378"/>
    </row>
    <row r="1920" spans="1:31" hidden="1">
      <c r="B1920" s="62"/>
      <c r="N1920" s="62"/>
      <c r="O1920" s="62"/>
      <c r="AE1920" s="378"/>
    </row>
    <row r="1921" spans="1:31" ht="7.9" hidden="1" customHeight="1"/>
    <row r="1922" spans="1:31" ht="7.9" hidden="1" customHeight="1"/>
    <row r="1923" spans="1:31" ht="7.9" hidden="1" customHeight="1"/>
    <row r="1924" spans="1:31" ht="7.9" hidden="1" customHeight="1"/>
    <row r="1925" spans="1:31" ht="7.9" hidden="1" customHeight="1"/>
    <row r="1926" spans="1:31" s="34" customFormat="1" ht="15.75" hidden="1">
      <c r="A1926" s="61">
        <v>77</v>
      </c>
      <c r="B1926" s="129"/>
      <c r="C1926" s="129" t="s">
        <v>725</v>
      </c>
      <c r="D1926" s="129"/>
      <c r="E1926" s="130"/>
      <c r="F1926" s="130" t="s">
        <v>352</v>
      </c>
      <c r="G1926" s="129">
        <v>1639</v>
      </c>
      <c r="H1926" s="131" t="s">
        <v>353</v>
      </c>
      <c r="I1926" s="129"/>
      <c r="J1926" s="129"/>
      <c r="K1926" s="130" t="s">
        <v>354</v>
      </c>
      <c r="L1926" s="131">
        <v>12</v>
      </c>
      <c r="M1926" s="129" t="s">
        <v>355</v>
      </c>
      <c r="N1926" s="131" t="s">
        <v>901</v>
      </c>
      <c r="O1926" s="130"/>
      <c r="P1926" s="130" t="s">
        <v>357</v>
      </c>
      <c r="Q1926" s="129">
        <v>-11</v>
      </c>
      <c r="R1926" s="131" t="s">
        <v>2324</v>
      </c>
      <c r="S1926" s="28"/>
      <c r="T1926" s="28"/>
      <c r="U1926" s="378"/>
      <c r="V1926" s="368"/>
      <c r="W1926" s="368"/>
      <c r="X1926" s="368"/>
      <c r="Y1926" s="368"/>
      <c r="Z1926" s="368"/>
      <c r="AA1926" s="368"/>
      <c r="AB1926" s="368"/>
      <c r="AC1926" s="368"/>
      <c r="AD1926" s="368"/>
      <c r="AE1926" s="510"/>
    </row>
    <row r="1927" spans="1:31" hidden="1">
      <c r="B1927" s="62"/>
      <c r="N1927" s="62"/>
      <c r="O1927" s="62"/>
      <c r="P1927" s="53"/>
      <c r="Q1927" s="45"/>
      <c r="R1927" s="45"/>
    </row>
    <row r="1928" spans="1:31" s="34" customFormat="1" hidden="1">
      <c r="B1928" s="65"/>
      <c r="C1928" s="95" t="s">
        <v>489</v>
      </c>
      <c r="D1928" s="95" t="s">
        <v>490</v>
      </c>
      <c r="E1928" s="95" t="s">
        <v>491</v>
      </c>
      <c r="F1928" s="95" t="s">
        <v>492</v>
      </c>
      <c r="G1928" s="95" t="s">
        <v>493</v>
      </c>
      <c r="H1928" s="95" t="s">
        <v>494</v>
      </c>
      <c r="I1928" s="95" t="s">
        <v>495</v>
      </c>
      <c r="J1928" s="95" t="s">
        <v>496</v>
      </c>
      <c r="K1928" s="95" t="s">
        <v>497</v>
      </c>
      <c r="L1928" s="95" t="s">
        <v>498</v>
      </c>
      <c r="M1928" s="95" t="s">
        <v>499</v>
      </c>
      <c r="N1928" s="126" t="s">
        <v>500</v>
      </c>
      <c r="O1928" s="126" t="s">
        <v>501</v>
      </c>
      <c r="P1928" s="132"/>
      <c r="Q1928" s="133"/>
      <c r="R1928" s="133"/>
      <c r="S1928" s="28"/>
      <c r="T1928" s="28"/>
      <c r="U1928" s="378"/>
      <c r="V1928" s="368"/>
      <c r="W1928" s="368"/>
      <c r="X1928" s="368"/>
      <c r="Y1928" s="368"/>
      <c r="Z1928" s="368"/>
      <c r="AA1928" s="368"/>
      <c r="AB1928" s="368"/>
      <c r="AC1928" s="368"/>
      <c r="AD1928" s="368"/>
      <c r="AE1928" s="510"/>
    </row>
    <row r="1929" spans="1:31" hidden="1">
      <c r="B1929" s="62"/>
      <c r="N1929" s="62"/>
      <c r="O1929" s="62"/>
    </row>
    <row r="1930" spans="1:31" hidden="1">
      <c r="A1930" s="28" t="s">
        <v>1209</v>
      </c>
      <c r="B1930" s="62" t="s">
        <v>2324</v>
      </c>
      <c r="C1930" s="28">
        <v>-3.6</v>
      </c>
      <c r="D1930" s="28">
        <v>-3.4</v>
      </c>
      <c r="E1930" s="28">
        <v>-0.7</v>
      </c>
      <c r="F1930" s="28">
        <v>1.5</v>
      </c>
      <c r="G1930" s="28">
        <v>6.4</v>
      </c>
      <c r="H1930" s="28">
        <v>10.1</v>
      </c>
      <c r="I1930" s="28">
        <v>12.7</v>
      </c>
      <c r="J1930" s="28">
        <v>12.7</v>
      </c>
      <c r="K1930" s="28">
        <v>8.6</v>
      </c>
      <c r="L1930" s="28">
        <v>4.8</v>
      </c>
      <c r="M1930" s="28">
        <v>-0.2</v>
      </c>
      <c r="N1930" s="62">
        <v>-2.6</v>
      </c>
      <c r="O1930" s="62">
        <v>3.9</v>
      </c>
    </row>
    <row r="1931" spans="1:31" hidden="1">
      <c r="B1931" s="62"/>
      <c r="N1931" s="62"/>
      <c r="O1931" s="62"/>
    </row>
    <row r="1932" spans="1:31" ht="12.6" hidden="1" customHeight="1">
      <c r="A1932" s="28" t="s">
        <v>1210</v>
      </c>
      <c r="B1932" s="62" t="s">
        <v>804</v>
      </c>
      <c r="C1932" s="28">
        <v>174</v>
      </c>
      <c r="D1932" s="28">
        <v>252</v>
      </c>
      <c r="E1932" s="28">
        <v>423</v>
      </c>
      <c r="F1932" s="28">
        <v>472</v>
      </c>
      <c r="G1932" s="28">
        <v>517</v>
      </c>
      <c r="H1932" s="28">
        <v>560</v>
      </c>
      <c r="I1932" s="28">
        <v>581</v>
      </c>
      <c r="J1932" s="28">
        <v>506</v>
      </c>
      <c r="K1932" s="28">
        <v>368</v>
      </c>
      <c r="L1932" s="28">
        <v>249</v>
      </c>
      <c r="M1932" s="28">
        <v>163</v>
      </c>
      <c r="N1932" s="62">
        <v>139</v>
      </c>
      <c r="O1932" s="62">
        <v>4405</v>
      </c>
      <c r="AE1932" s="378"/>
    </row>
    <row r="1933" spans="1:31" ht="12.6" hidden="1" customHeight="1">
      <c r="A1933" s="28" t="s">
        <v>1211</v>
      </c>
      <c r="B1933" s="62" t="s">
        <v>804</v>
      </c>
      <c r="C1933" s="28">
        <v>367</v>
      </c>
      <c r="D1933" s="28">
        <v>431</v>
      </c>
      <c r="E1933" s="28">
        <v>533</v>
      </c>
      <c r="F1933" s="28">
        <v>402</v>
      </c>
      <c r="G1933" s="28">
        <v>284</v>
      </c>
      <c r="H1933" s="28">
        <v>251</v>
      </c>
      <c r="I1933" s="28">
        <v>281</v>
      </c>
      <c r="J1933" s="28">
        <v>313</v>
      </c>
      <c r="K1933" s="28">
        <v>314</v>
      </c>
      <c r="L1933" s="28">
        <v>308</v>
      </c>
      <c r="M1933" s="28">
        <v>288</v>
      </c>
      <c r="N1933" s="62">
        <v>308</v>
      </c>
      <c r="O1933" s="62">
        <v>4080</v>
      </c>
      <c r="AE1933" s="378"/>
    </row>
    <row r="1934" spans="1:31" ht="12.6" hidden="1" customHeight="1">
      <c r="A1934" s="28" t="s">
        <v>1212</v>
      </c>
      <c r="B1934" s="62" t="s">
        <v>804</v>
      </c>
      <c r="C1934" s="28">
        <v>171</v>
      </c>
      <c r="D1934" s="28">
        <v>227</v>
      </c>
      <c r="E1934" s="28">
        <v>340</v>
      </c>
      <c r="F1934" s="28">
        <v>327</v>
      </c>
      <c r="G1934" s="28">
        <v>287</v>
      </c>
      <c r="H1934" s="28">
        <v>293</v>
      </c>
      <c r="I1934" s="28">
        <v>300</v>
      </c>
      <c r="J1934" s="28">
        <v>268</v>
      </c>
      <c r="K1934" s="28">
        <v>202</v>
      </c>
      <c r="L1934" s="28">
        <v>147</v>
      </c>
      <c r="M1934" s="28">
        <v>124</v>
      </c>
      <c r="N1934" s="62">
        <v>134</v>
      </c>
      <c r="O1934" s="62">
        <v>2821</v>
      </c>
      <c r="AE1934" s="378"/>
    </row>
    <row r="1935" spans="1:31" ht="12.6" hidden="1" customHeight="1">
      <c r="A1935" s="28" t="s">
        <v>1213</v>
      </c>
      <c r="B1935" s="62" t="s">
        <v>804</v>
      </c>
      <c r="C1935" s="28">
        <v>126</v>
      </c>
      <c r="D1935" s="28">
        <v>189</v>
      </c>
      <c r="E1935" s="28">
        <v>311</v>
      </c>
      <c r="F1935" s="28">
        <v>290</v>
      </c>
      <c r="G1935" s="28">
        <v>236</v>
      </c>
      <c r="H1935" s="28">
        <v>215</v>
      </c>
      <c r="I1935" s="28">
        <v>220</v>
      </c>
      <c r="J1935" s="28">
        <v>201</v>
      </c>
      <c r="K1935" s="28">
        <v>161</v>
      </c>
      <c r="L1935" s="28">
        <v>112</v>
      </c>
      <c r="M1935" s="28">
        <v>93</v>
      </c>
      <c r="N1935" s="62">
        <v>96</v>
      </c>
      <c r="O1935" s="62">
        <v>2250</v>
      </c>
      <c r="AE1935" s="378"/>
    </row>
    <row r="1936" spans="1:31" ht="12.6" hidden="1" customHeight="1">
      <c r="A1936" s="28" t="s">
        <v>1214</v>
      </c>
      <c r="B1936" s="62" t="s">
        <v>804</v>
      </c>
      <c r="C1936" s="28">
        <v>94</v>
      </c>
      <c r="D1936" s="28">
        <v>131</v>
      </c>
      <c r="E1936" s="28">
        <v>196</v>
      </c>
      <c r="F1936" s="28">
        <v>189</v>
      </c>
      <c r="G1936" s="28">
        <v>147</v>
      </c>
      <c r="H1936" s="28">
        <v>137</v>
      </c>
      <c r="I1936" s="28">
        <v>137</v>
      </c>
      <c r="J1936" s="28">
        <v>115</v>
      </c>
      <c r="K1936" s="28">
        <v>83</v>
      </c>
      <c r="L1936" s="28">
        <v>64</v>
      </c>
      <c r="M1936" s="28">
        <v>65</v>
      </c>
      <c r="N1936" s="62">
        <v>70</v>
      </c>
      <c r="O1936" s="62">
        <v>1427</v>
      </c>
      <c r="AE1936" s="378"/>
    </row>
    <row r="1937" spans="1:31" hidden="1">
      <c r="B1937" s="62"/>
      <c r="N1937" s="62"/>
      <c r="O1937" s="62"/>
      <c r="AE1937" s="378"/>
    </row>
    <row r="1938" spans="1:31" hidden="1">
      <c r="B1938" s="62"/>
      <c r="N1938" s="62"/>
      <c r="O1938" s="62"/>
      <c r="AE1938" s="378"/>
    </row>
    <row r="1939" spans="1:31" hidden="1">
      <c r="B1939" s="62"/>
      <c r="N1939" s="62"/>
      <c r="O1939" s="62"/>
      <c r="AE1939" s="378"/>
    </row>
    <row r="1940" spans="1:31" hidden="1">
      <c r="B1940" s="62"/>
      <c r="N1940" s="62"/>
      <c r="O1940" s="62"/>
      <c r="AE1940" s="378"/>
    </row>
    <row r="1941" spans="1:31" hidden="1">
      <c r="A1941" s="28" t="s">
        <v>1886</v>
      </c>
      <c r="B1941" s="62" t="s">
        <v>1808</v>
      </c>
      <c r="C1941" s="28">
        <v>31</v>
      </c>
      <c r="D1941" s="28">
        <v>28</v>
      </c>
      <c r="E1941" s="28">
        <v>31</v>
      </c>
      <c r="F1941" s="28">
        <v>30</v>
      </c>
      <c r="G1941" s="28">
        <v>30</v>
      </c>
      <c r="H1941" s="28">
        <v>22</v>
      </c>
      <c r="I1941" s="28">
        <v>17</v>
      </c>
      <c r="J1941" s="28">
        <v>21</v>
      </c>
      <c r="K1941" s="28">
        <v>26</v>
      </c>
      <c r="L1941" s="28">
        <v>31</v>
      </c>
      <c r="M1941" s="28">
        <v>30</v>
      </c>
      <c r="N1941" s="62">
        <v>31</v>
      </c>
      <c r="O1941" s="62"/>
      <c r="Q1941" s="28">
        <v>328</v>
      </c>
      <c r="AE1941" s="378"/>
    </row>
    <row r="1942" spans="1:31" hidden="1">
      <c r="A1942" s="28" t="s">
        <v>1887</v>
      </c>
      <c r="B1942" s="62" t="s">
        <v>1810</v>
      </c>
      <c r="C1942" s="28">
        <v>732</v>
      </c>
      <c r="D1942" s="28">
        <v>655</v>
      </c>
      <c r="E1942" s="28">
        <v>642</v>
      </c>
      <c r="F1942" s="28">
        <v>555</v>
      </c>
      <c r="G1942" s="28">
        <v>408</v>
      </c>
      <c r="H1942" s="28">
        <v>218</v>
      </c>
      <c r="I1942" s="28">
        <v>124</v>
      </c>
      <c r="J1942" s="28">
        <v>153</v>
      </c>
      <c r="K1942" s="28">
        <v>296</v>
      </c>
      <c r="L1942" s="28">
        <v>471</v>
      </c>
      <c r="M1942" s="28">
        <v>606</v>
      </c>
      <c r="N1942" s="62">
        <v>701</v>
      </c>
      <c r="O1942" s="62"/>
      <c r="Q1942" s="28">
        <v>5561</v>
      </c>
      <c r="AE1942" s="378"/>
    </row>
    <row r="1943" spans="1:31" hidden="1">
      <c r="B1943" s="62"/>
      <c r="N1943" s="62"/>
      <c r="O1943" s="62"/>
      <c r="AE1943" s="378"/>
    </row>
    <row r="1944" spans="1:31" hidden="1">
      <c r="B1944" s="62"/>
      <c r="N1944" s="62"/>
      <c r="O1944" s="62"/>
      <c r="AE1944" s="378"/>
    </row>
    <row r="1945" spans="1:31" hidden="1">
      <c r="B1945" s="62"/>
      <c r="N1945" s="62"/>
      <c r="O1945" s="62"/>
      <c r="AE1945" s="378"/>
    </row>
    <row r="1946" spans="1:31" ht="7.9" hidden="1" customHeight="1"/>
    <row r="1947" spans="1:31" ht="7.9" hidden="1" customHeight="1"/>
    <row r="1948" spans="1:31" ht="7.9" hidden="1" customHeight="1"/>
    <row r="1949" spans="1:31" ht="7.9" hidden="1" customHeight="1"/>
    <row r="1950" spans="1:31" ht="7.9" hidden="1" customHeight="1"/>
    <row r="1951" spans="1:31" s="34" customFormat="1" ht="15.75" hidden="1">
      <c r="A1951" s="61">
        <v>78</v>
      </c>
      <c r="B1951" s="129"/>
      <c r="C1951" s="129" t="s">
        <v>726</v>
      </c>
      <c r="D1951" s="129"/>
      <c r="E1951" s="130"/>
      <c r="F1951" s="130" t="s">
        <v>352</v>
      </c>
      <c r="G1951" s="129">
        <v>1508</v>
      </c>
      <c r="H1951" s="131" t="s">
        <v>353</v>
      </c>
      <c r="I1951" s="129"/>
      <c r="J1951" s="129"/>
      <c r="K1951" s="130" t="s">
        <v>354</v>
      </c>
      <c r="L1951" s="131">
        <v>10</v>
      </c>
      <c r="M1951" s="129" t="s">
        <v>355</v>
      </c>
      <c r="N1951" s="131" t="s">
        <v>356</v>
      </c>
      <c r="O1951" s="130"/>
      <c r="P1951" s="130" t="s">
        <v>357</v>
      </c>
      <c r="Q1951" s="129">
        <v>-10</v>
      </c>
      <c r="R1951" s="131" t="s">
        <v>2324</v>
      </c>
      <c r="S1951" s="28"/>
      <c r="T1951" s="28"/>
      <c r="U1951" s="378"/>
      <c r="V1951" s="368"/>
      <c r="W1951" s="368"/>
      <c r="X1951" s="368"/>
      <c r="Y1951" s="368"/>
      <c r="Z1951" s="368"/>
      <c r="AA1951" s="368"/>
      <c r="AB1951" s="368"/>
      <c r="AC1951" s="368"/>
      <c r="AD1951" s="368"/>
      <c r="AE1951" s="510"/>
    </row>
    <row r="1952" spans="1:31" hidden="1">
      <c r="B1952" s="62"/>
      <c r="N1952" s="62"/>
      <c r="O1952" s="62"/>
      <c r="P1952" s="53"/>
      <c r="Q1952" s="45"/>
      <c r="R1952" s="45"/>
    </row>
    <row r="1953" spans="1:31" s="34" customFormat="1" hidden="1">
      <c r="B1953" s="65"/>
      <c r="C1953" s="95" t="s">
        <v>489</v>
      </c>
      <c r="D1953" s="95" t="s">
        <v>490</v>
      </c>
      <c r="E1953" s="95" t="s">
        <v>491</v>
      </c>
      <c r="F1953" s="95" t="s">
        <v>492</v>
      </c>
      <c r="G1953" s="95" t="s">
        <v>493</v>
      </c>
      <c r="H1953" s="95" t="s">
        <v>494</v>
      </c>
      <c r="I1953" s="95" t="s">
        <v>495</v>
      </c>
      <c r="J1953" s="95" t="s">
        <v>496</v>
      </c>
      <c r="K1953" s="95" t="s">
        <v>497</v>
      </c>
      <c r="L1953" s="95" t="s">
        <v>498</v>
      </c>
      <c r="M1953" s="95" t="s">
        <v>499</v>
      </c>
      <c r="N1953" s="126" t="s">
        <v>500</v>
      </c>
      <c r="O1953" s="126" t="s">
        <v>501</v>
      </c>
      <c r="P1953" s="132"/>
      <c r="Q1953" s="133"/>
      <c r="R1953" s="133"/>
      <c r="S1953" s="28"/>
      <c r="T1953" s="28"/>
      <c r="U1953" s="378"/>
      <c r="V1953" s="368"/>
      <c r="W1953" s="368"/>
      <c r="X1953" s="368"/>
      <c r="Y1953" s="368"/>
      <c r="Z1953" s="368"/>
      <c r="AA1953" s="368"/>
      <c r="AB1953" s="368"/>
      <c r="AC1953" s="368"/>
      <c r="AD1953" s="368"/>
      <c r="AE1953" s="510"/>
    </row>
    <row r="1954" spans="1:31" hidden="1">
      <c r="B1954" s="62"/>
      <c r="N1954" s="62"/>
      <c r="O1954" s="62"/>
    </row>
    <row r="1955" spans="1:31" hidden="1">
      <c r="A1955" s="28" t="s">
        <v>1209</v>
      </c>
      <c r="B1955" s="62" t="s">
        <v>2324</v>
      </c>
      <c r="C1955" s="28">
        <v>-1.7</v>
      </c>
      <c r="D1955" s="28">
        <v>-1.4</v>
      </c>
      <c r="E1955" s="28">
        <v>1.3</v>
      </c>
      <c r="F1955" s="28">
        <v>3.7</v>
      </c>
      <c r="G1955" s="28">
        <v>9</v>
      </c>
      <c r="H1955" s="28">
        <v>11.9</v>
      </c>
      <c r="I1955" s="28">
        <v>14.5</v>
      </c>
      <c r="J1955" s="28">
        <v>14.6</v>
      </c>
      <c r="K1955" s="28">
        <v>10.5</v>
      </c>
      <c r="L1955" s="28">
        <v>7.1</v>
      </c>
      <c r="M1955" s="28">
        <v>1.7</v>
      </c>
      <c r="N1955" s="62">
        <v>-0.4</v>
      </c>
      <c r="O1955" s="62">
        <v>5.9</v>
      </c>
    </row>
    <row r="1956" spans="1:31" hidden="1">
      <c r="B1956" s="62"/>
      <c r="N1956" s="62"/>
      <c r="O1956" s="62"/>
    </row>
    <row r="1957" spans="1:31" ht="12.6" hidden="1" customHeight="1">
      <c r="A1957" s="28" t="s">
        <v>1210</v>
      </c>
      <c r="B1957" s="62" t="s">
        <v>804</v>
      </c>
      <c r="C1957" s="28">
        <v>185</v>
      </c>
      <c r="D1957" s="28">
        <v>252</v>
      </c>
      <c r="E1957" s="28">
        <v>426</v>
      </c>
      <c r="F1957" s="28">
        <v>513</v>
      </c>
      <c r="G1957" s="28">
        <v>632</v>
      </c>
      <c r="H1957" s="28">
        <v>658</v>
      </c>
      <c r="I1957" s="28">
        <v>691</v>
      </c>
      <c r="J1957" s="28">
        <v>597</v>
      </c>
      <c r="K1957" s="28">
        <v>446</v>
      </c>
      <c r="L1957" s="28">
        <v>308</v>
      </c>
      <c r="M1957" s="28">
        <v>181</v>
      </c>
      <c r="N1957" s="62">
        <v>150</v>
      </c>
      <c r="O1957" s="62">
        <v>5040</v>
      </c>
      <c r="AE1957" s="378"/>
    </row>
    <row r="1958" spans="1:31" ht="12.6" hidden="1" customHeight="1">
      <c r="A1958" s="28" t="s">
        <v>1211</v>
      </c>
      <c r="B1958" s="62" t="s">
        <v>804</v>
      </c>
      <c r="C1958" s="28">
        <v>431</v>
      </c>
      <c r="D1958" s="28">
        <v>448</v>
      </c>
      <c r="E1958" s="28">
        <v>528</v>
      </c>
      <c r="F1958" s="28">
        <v>373</v>
      </c>
      <c r="G1958" s="28">
        <v>324</v>
      </c>
      <c r="H1958" s="28">
        <v>293</v>
      </c>
      <c r="I1958" s="28">
        <v>329</v>
      </c>
      <c r="J1958" s="28">
        <v>372</v>
      </c>
      <c r="K1958" s="28">
        <v>404</v>
      </c>
      <c r="L1958" s="28">
        <v>415</v>
      </c>
      <c r="M1958" s="28">
        <v>340</v>
      </c>
      <c r="N1958" s="62">
        <v>364</v>
      </c>
      <c r="O1958" s="62">
        <v>4622</v>
      </c>
      <c r="AE1958" s="378"/>
    </row>
    <row r="1959" spans="1:31" ht="12.6" hidden="1" customHeight="1">
      <c r="A1959" s="28" t="s">
        <v>1212</v>
      </c>
      <c r="B1959" s="62" t="s">
        <v>804</v>
      </c>
      <c r="C1959" s="28">
        <v>171</v>
      </c>
      <c r="D1959" s="28">
        <v>225</v>
      </c>
      <c r="E1959" s="28">
        <v>354</v>
      </c>
      <c r="F1959" s="28">
        <v>327</v>
      </c>
      <c r="G1959" s="28">
        <v>364</v>
      </c>
      <c r="H1959" s="28">
        <v>371</v>
      </c>
      <c r="I1959" s="28">
        <v>399</v>
      </c>
      <c r="J1959" s="28">
        <v>362</v>
      </c>
      <c r="K1959" s="28">
        <v>272</v>
      </c>
      <c r="L1959" s="28">
        <v>201</v>
      </c>
      <c r="M1959" s="28">
        <v>127</v>
      </c>
      <c r="N1959" s="62">
        <v>129</v>
      </c>
      <c r="O1959" s="62">
        <v>3301</v>
      </c>
      <c r="AE1959" s="378"/>
    </row>
    <row r="1960" spans="1:31" ht="12.6" hidden="1" customHeight="1">
      <c r="A1960" s="28" t="s">
        <v>1213</v>
      </c>
      <c r="B1960" s="62" t="s">
        <v>804</v>
      </c>
      <c r="C1960" s="28">
        <v>171</v>
      </c>
      <c r="D1960" s="28">
        <v>225</v>
      </c>
      <c r="E1960" s="28">
        <v>329</v>
      </c>
      <c r="F1960" s="28">
        <v>290</v>
      </c>
      <c r="G1960" s="28">
        <v>305</v>
      </c>
      <c r="H1960" s="28">
        <v>301</v>
      </c>
      <c r="I1960" s="28">
        <v>321</v>
      </c>
      <c r="J1960" s="28">
        <v>297</v>
      </c>
      <c r="K1960" s="28">
        <v>249</v>
      </c>
      <c r="L1960" s="28">
        <v>190</v>
      </c>
      <c r="M1960" s="28">
        <v>124</v>
      </c>
      <c r="N1960" s="62">
        <v>129</v>
      </c>
      <c r="O1960" s="62">
        <v>2933</v>
      </c>
      <c r="AE1960" s="378"/>
    </row>
    <row r="1961" spans="1:31" ht="12.6" hidden="1" customHeight="1">
      <c r="A1961" s="28" t="s">
        <v>1214</v>
      </c>
      <c r="B1961" s="62" t="s">
        <v>804</v>
      </c>
      <c r="C1961" s="28">
        <v>91</v>
      </c>
      <c r="D1961" s="28">
        <v>126</v>
      </c>
      <c r="E1961" s="28">
        <v>185</v>
      </c>
      <c r="F1961" s="28">
        <v>143</v>
      </c>
      <c r="G1961" s="28">
        <v>155</v>
      </c>
      <c r="H1961" s="28">
        <v>168</v>
      </c>
      <c r="I1961" s="28">
        <v>169</v>
      </c>
      <c r="J1961" s="28">
        <v>134</v>
      </c>
      <c r="K1961" s="28">
        <v>96</v>
      </c>
      <c r="L1961" s="28">
        <v>70</v>
      </c>
      <c r="M1961" s="28">
        <v>49</v>
      </c>
      <c r="N1961" s="62">
        <v>62</v>
      </c>
      <c r="O1961" s="62">
        <v>1447</v>
      </c>
      <c r="AE1961" s="378"/>
    </row>
    <row r="1962" spans="1:31" hidden="1">
      <c r="B1962" s="62"/>
      <c r="N1962" s="62"/>
      <c r="O1962" s="62"/>
      <c r="AE1962" s="378"/>
    </row>
    <row r="1963" spans="1:31" hidden="1">
      <c r="B1963" s="62"/>
      <c r="N1963" s="62"/>
      <c r="O1963" s="62"/>
      <c r="AE1963" s="378"/>
    </row>
    <row r="1964" spans="1:31" hidden="1">
      <c r="B1964" s="62"/>
      <c r="N1964" s="62"/>
      <c r="O1964" s="62"/>
      <c r="AE1964" s="378"/>
    </row>
    <row r="1965" spans="1:31" hidden="1">
      <c r="B1965" s="62"/>
      <c r="N1965" s="62"/>
      <c r="O1965" s="62"/>
      <c r="AE1965" s="378"/>
    </row>
    <row r="1966" spans="1:31" hidden="1">
      <c r="A1966" s="28" t="s">
        <v>1886</v>
      </c>
      <c r="B1966" s="62" t="s">
        <v>1808</v>
      </c>
      <c r="C1966" s="28">
        <v>31</v>
      </c>
      <c r="D1966" s="28">
        <v>28</v>
      </c>
      <c r="E1966" s="28">
        <v>31</v>
      </c>
      <c r="F1966" s="28">
        <v>29</v>
      </c>
      <c r="G1966" s="28">
        <v>25</v>
      </c>
      <c r="H1966" s="28">
        <v>14</v>
      </c>
      <c r="I1966" s="28">
        <v>9</v>
      </c>
      <c r="J1966" s="28">
        <v>12</v>
      </c>
      <c r="K1966" s="28">
        <v>16</v>
      </c>
      <c r="L1966" s="28">
        <v>27</v>
      </c>
      <c r="M1966" s="28">
        <v>30</v>
      </c>
      <c r="N1966" s="62">
        <v>31</v>
      </c>
      <c r="O1966" s="62"/>
      <c r="Q1966" s="28">
        <v>283</v>
      </c>
      <c r="AE1966" s="378"/>
    </row>
    <row r="1967" spans="1:31" hidden="1">
      <c r="A1967" s="28" t="s">
        <v>1887</v>
      </c>
      <c r="B1967" s="62" t="s">
        <v>1810</v>
      </c>
      <c r="C1967" s="28">
        <v>673</v>
      </c>
      <c r="D1967" s="28">
        <v>599</v>
      </c>
      <c r="E1967" s="28">
        <v>580</v>
      </c>
      <c r="F1967" s="28">
        <v>473</v>
      </c>
      <c r="G1967" s="28">
        <v>275</v>
      </c>
      <c r="H1967" s="28">
        <v>113</v>
      </c>
      <c r="I1967" s="28">
        <v>50</v>
      </c>
      <c r="J1967" s="28">
        <v>65</v>
      </c>
      <c r="K1967" s="28">
        <v>152</v>
      </c>
      <c r="L1967" s="28">
        <v>348</v>
      </c>
      <c r="M1967" s="28">
        <v>549</v>
      </c>
      <c r="N1967" s="62">
        <v>632</v>
      </c>
      <c r="O1967" s="62"/>
      <c r="Q1967" s="28">
        <v>4509</v>
      </c>
      <c r="AE1967" s="378"/>
    </row>
    <row r="1968" spans="1:31" hidden="1">
      <c r="B1968" s="62"/>
      <c r="N1968" s="62"/>
      <c r="O1968" s="62"/>
      <c r="AE1968" s="378"/>
    </row>
    <row r="1969" spans="1:31" hidden="1">
      <c r="B1969" s="62"/>
      <c r="N1969" s="62"/>
      <c r="O1969" s="62"/>
      <c r="AE1969" s="378"/>
    </row>
    <row r="1970" spans="1:31" hidden="1">
      <c r="B1970" s="62"/>
      <c r="N1970" s="62"/>
      <c r="O1970" s="62"/>
      <c r="AE1970" s="378"/>
    </row>
    <row r="1971" spans="1:31" ht="7.9" hidden="1" customHeight="1"/>
    <row r="1972" spans="1:31" ht="7.9" hidden="1" customHeight="1"/>
    <row r="1973" spans="1:31" ht="7.9" hidden="1" customHeight="1"/>
    <row r="1974" spans="1:31" ht="7.9" hidden="1" customHeight="1"/>
    <row r="1975" spans="1:31" ht="7.9" hidden="1" customHeight="1"/>
    <row r="1976" spans="1:31" s="34" customFormat="1" ht="15.75" hidden="1">
      <c r="A1976" s="61">
        <v>79</v>
      </c>
      <c r="B1976" s="129"/>
      <c r="C1976" s="129" t="s">
        <v>727</v>
      </c>
      <c r="D1976" s="129"/>
      <c r="E1976" s="130"/>
      <c r="F1976" s="130" t="s">
        <v>352</v>
      </c>
      <c r="G1976" s="129">
        <v>1345</v>
      </c>
      <c r="H1976" s="131" t="s">
        <v>353</v>
      </c>
      <c r="I1976" s="129"/>
      <c r="J1976" s="129"/>
      <c r="K1976" s="130" t="s">
        <v>354</v>
      </c>
      <c r="L1976" s="131">
        <v>10</v>
      </c>
      <c r="M1976" s="129" t="s">
        <v>355</v>
      </c>
      <c r="N1976" s="131" t="s">
        <v>1585</v>
      </c>
      <c r="O1976" s="130"/>
      <c r="P1976" s="130" t="s">
        <v>357</v>
      </c>
      <c r="Q1976" s="129">
        <v>-16</v>
      </c>
      <c r="R1976" s="131" t="s">
        <v>2324</v>
      </c>
      <c r="S1976" s="28"/>
      <c r="T1976" s="28"/>
      <c r="U1976" s="378"/>
      <c r="V1976" s="368"/>
      <c r="W1976" s="368"/>
      <c r="X1976" s="368"/>
      <c r="Y1976" s="368"/>
      <c r="Z1976" s="368"/>
      <c r="AA1976" s="368"/>
      <c r="AB1976" s="368"/>
      <c r="AC1976" s="368"/>
      <c r="AD1976" s="368"/>
      <c r="AE1976" s="510"/>
    </row>
    <row r="1977" spans="1:31" hidden="1">
      <c r="B1977" s="62"/>
      <c r="N1977" s="62"/>
      <c r="O1977" s="62"/>
      <c r="P1977" s="53"/>
      <c r="Q1977" s="45"/>
      <c r="R1977" s="45"/>
    </row>
    <row r="1978" spans="1:31" s="34" customFormat="1" hidden="1">
      <c r="B1978" s="65"/>
      <c r="C1978" s="95" t="s">
        <v>489</v>
      </c>
      <c r="D1978" s="95" t="s">
        <v>490</v>
      </c>
      <c r="E1978" s="95" t="s">
        <v>491</v>
      </c>
      <c r="F1978" s="95" t="s">
        <v>492</v>
      </c>
      <c r="G1978" s="95" t="s">
        <v>493</v>
      </c>
      <c r="H1978" s="95" t="s">
        <v>494</v>
      </c>
      <c r="I1978" s="95" t="s">
        <v>495</v>
      </c>
      <c r="J1978" s="95" t="s">
        <v>496</v>
      </c>
      <c r="K1978" s="95" t="s">
        <v>497</v>
      </c>
      <c r="L1978" s="95" t="s">
        <v>498</v>
      </c>
      <c r="M1978" s="95" t="s">
        <v>499</v>
      </c>
      <c r="N1978" s="126" t="s">
        <v>500</v>
      </c>
      <c r="O1978" s="126" t="s">
        <v>501</v>
      </c>
      <c r="P1978" s="132"/>
      <c r="Q1978" s="133"/>
      <c r="R1978" s="133"/>
      <c r="S1978" s="28"/>
      <c r="T1978" s="28"/>
      <c r="U1978" s="378"/>
      <c r="V1978" s="368"/>
      <c r="W1978" s="368"/>
      <c r="X1978" s="368"/>
      <c r="Y1978" s="368"/>
      <c r="Z1978" s="368"/>
      <c r="AA1978" s="368"/>
      <c r="AB1978" s="368"/>
      <c r="AC1978" s="368"/>
      <c r="AD1978" s="368"/>
      <c r="AE1978" s="510"/>
    </row>
    <row r="1979" spans="1:31" hidden="1">
      <c r="B1979" s="62"/>
      <c r="N1979" s="62"/>
      <c r="O1979" s="62"/>
    </row>
    <row r="1980" spans="1:31" hidden="1">
      <c r="A1980" s="28" t="s">
        <v>1209</v>
      </c>
      <c r="B1980" s="62" t="s">
        <v>2324</v>
      </c>
      <c r="C1980" s="28">
        <v>-7.5</v>
      </c>
      <c r="D1980" s="28">
        <v>-5.6</v>
      </c>
      <c r="E1980" s="28">
        <v>-0.7</v>
      </c>
      <c r="F1980" s="28">
        <v>2.8</v>
      </c>
      <c r="G1980" s="28">
        <v>8.3000000000000007</v>
      </c>
      <c r="H1980" s="28">
        <v>11.6</v>
      </c>
      <c r="I1980" s="28">
        <v>14.1</v>
      </c>
      <c r="J1980" s="28">
        <v>13.8</v>
      </c>
      <c r="K1980" s="28">
        <v>9.6</v>
      </c>
      <c r="L1980" s="28">
        <v>5.3</v>
      </c>
      <c r="M1980" s="28">
        <v>-1.4</v>
      </c>
      <c r="N1980" s="62">
        <v>-5.6</v>
      </c>
      <c r="O1980" s="62">
        <v>3.7</v>
      </c>
    </row>
    <row r="1981" spans="1:31" hidden="1">
      <c r="B1981" s="62"/>
      <c r="N1981" s="62"/>
      <c r="O1981" s="62"/>
    </row>
    <row r="1982" spans="1:31" ht="12.6" hidden="1" customHeight="1">
      <c r="A1982" s="28" t="s">
        <v>1210</v>
      </c>
      <c r="B1982" s="62" t="s">
        <v>804</v>
      </c>
      <c r="C1982" s="28">
        <v>147</v>
      </c>
      <c r="D1982" s="28">
        <v>230</v>
      </c>
      <c r="E1982" s="28">
        <v>421</v>
      </c>
      <c r="F1982" s="28">
        <v>498</v>
      </c>
      <c r="G1982" s="28">
        <v>584</v>
      </c>
      <c r="H1982" s="28">
        <v>614</v>
      </c>
      <c r="I1982" s="28">
        <v>637</v>
      </c>
      <c r="J1982" s="28">
        <v>552</v>
      </c>
      <c r="K1982" s="28">
        <v>402</v>
      </c>
      <c r="L1982" s="28">
        <v>268</v>
      </c>
      <c r="M1982" s="28">
        <v>148</v>
      </c>
      <c r="N1982" s="62">
        <v>110</v>
      </c>
      <c r="O1982" s="62">
        <v>4610</v>
      </c>
      <c r="AE1982" s="378"/>
    </row>
    <row r="1983" spans="1:31" ht="12.6" hidden="1" customHeight="1">
      <c r="A1983" s="28" t="s">
        <v>1211</v>
      </c>
      <c r="B1983" s="62" t="s">
        <v>804</v>
      </c>
      <c r="C1983" s="28">
        <v>289</v>
      </c>
      <c r="D1983" s="28">
        <v>394</v>
      </c>
      <c r="E1983" s="28">
        <v>565</v>
      </c>
      <c r="F1983" s="28">
        <v>500</v>
      </c>
      <c r="G1983" s="28">
        <v>289</v>
      </c>
      <c r="H1983" s="28">
        <v>270</v>
      </c>
      <c r="I1983" s="28">
        <v>303</v>
      </c>
      <c r="J1983" s="28">
        <v>340</v>
      </c>
      <c r="K1983" s="28">
        <v>347</v>
      </c>
      <c r="L1983" s="28">
        <v>327</v>
      </c>
      <c r="M1983" s="28">
        <v>215</v>
      </c>
      <c r="N1983" s="62">
        <v>225</v>
      </c>
      <c r="O1983" s="62">
        <v>4065</v>
      </c>
      <c r="AE1983" s="378"/>
    </row>
    <row r="1984" spans="1:31" ht="12.6" hidden="1" customHeight="1">
      <c r="A1984" s="28" t="s">
        <v>1212</v>
      </c>
      <c r="B1984" s="62" t="s">
        <v>804</v>
      </c>
      <c r="C1984" s="28">
        <v>96</v>
      </c>
      <c r="D1984" s="28">
        <v>177</v>
      </c>
      <c r="E1984" s="28">
        <v>362</v>
      </c>
      <c r="F1984" s="28">
        <v>407</v>
      </c>
      <c r="G1984" s="28">
        <v>297</v>
      </c>
      <c r="H1984" s="28">
        <v>324</v>
      </c>
      <c r="I1984" s="28">
        <v>335</v>
      </c>
      <c r="J1984" s="28">
        <v>289</v>
      </c>
      <c r="K1984" s="28">
        <v>202</v>
      </c>
      <c r="L1984" s="28">
        <v>131</v>
      </c>
      <c r="M1984" s="28">
        <v>52</v>
      </c>
      <c r="N1984" s="62">
        <v>72</v>
      </c>
      <c r="O1984" s="62">
        <v>2744</v>
      </c>
      <c r="AE1984" s="378"/>
    </row>
    <row r="1985" spans="1:31" ht="12.6" hidden="1" customHeight="1">
      <c r="A1985" s="28" t="s">
        <v>1213</v>
      </c>
      <c r="B1985" s="62" t="s">
        <v>804</v>
      </c>
      <c r="C1985" s="28">
        <v>161</v>
      </c>
      <c r="D1985" s="28">
        <v>223</v>
      </c>
      <c r="E1985" s="28">
        <v>370</v>
      </c>
      <c r="F1985" s="28">
        <v>410</v>
      </c>
      <c r="G1985" s="28">
        <v>265</v>
      </c>
      <c r="H1985" s="28">
        <v>267</v>
      </c>
      <c r="I1985" s="28">
        <v>281</v>
      </c>
      <c r="J1985" s="28">
        <v>252</v>
      </c>
      <c r="K1985" s="28">
        <v>210</v>
      </c>
      <c r="L1985" s="28">
        <v>153</v>
      </c>
      <c r="M1985" s="28">
        <v>101</v>
      </c>
      <c r="N1985" s="62">
        <v>129</v>
      </c>
      <c r="O1985" s="62">
        <v>2820</v>
      </c>
      <c r="AE1985" s="378"/>
    </row>
    <row r="1986" spans="1:31" ht="12.6" hidden="1" customHeight="1">
      <c r="A1986" s="28" t="s">
        <v>1214</v>
      </c>
      <c r="B1986" s="62" t="s">
        <v>804</v>
      </c>
      <c r="C1986" s="28">
        <v>88</v>
      </c>
      <c r="D1986" s="28">
        <v>133</v>
      </c>
      <c r="E1986" s="28">
        <v>233</v>
      </c>
      <c r="F1986" s="28">
        <v>280</v>
      </c>
      <c r="G1986" s="28">
        <v>137</v>
      </c>
      <c r="H1986" s="28">
        <v>153</v>
      </c>
      <c r="I1986" s="28">
        <v>150</v>
      </c>
      <c r="J1986" s="28">
        <v>121</v>
      </c>
      <c r="K1986" s="28">
        <v>88</v>
      </c>
      <c r="L1986" s="28">
        <v>62</v>
      </c>
      <c r="M1986" s="28">
        <v>39</v>
      </c>
      <c r="N1986" s="62">
        <v>67</v>
      </c>
      <c r="O1986" s="62">
        <v>1550</v>
      </c>
      <c r="AE1986" s="378"/>
    </row>
    <row r="1987" spans="1:31" hidden="1">
      <c r="B1987" s="62"/>
      <c r="N1987" s="62"/>
      <c r="O1987" s="62"/>
      <c r="AE1987" s="378"/>
    </row>
    <row r="1988" spans="1:31" hidden="1">
      <c r="B1988" s="62"/>
      <c r="N1988" s="62"/>
      <c r="O1988" s="62"/>
      <c r="AE1988" s="378"/>
    </row>
    <row r="1989" spans="1:31" hidden="1">
      <c r="B1989" s="62"/>
      <c r="N1989" s="62"/>
      <c r="O1989" s="62"/>
      <c r="AE1989" s="378"/>
    </row>
    <row r="1990" spans="1:31" hidden="1">
      <c r="B1990" s="62"/>
      <c r="N1990" s="62"/>
      <c r="O1990" s="62"/>
      <c r="AE1990" s="378"/>
    </row>
    <row r="1991" spans="1:31" hidden="1">
      <c r="A1991" s="28" t="s">
        <v>1886</v>
      </c>
      <c r="B1991" s="62" t="s">
        <v>1808</v>
      </c>
      <c r="C1991" s="28">
        <v>31</v>
      </c>
      <c r="D1991" s="28">
        <v>28</v>
      </c>
      <c r="E1991" s="28">
        <v>31</v>
      </c>
      <c r="F1991" s="28">
        <v>29</v>
      </c>
      <c r="G1991" s="28">
        <v>25</v>
      </c>
      <c r="H1991" s="28">
        <v>15</v>
      </c>
      <c r="I1991" s="28">
        <v>9</v>
      </c>
      <c r="J1991" s="28">
        <v>12</v>
      </c>
      <c r="K1991" s="28">
        <v>17</v>
      </c>
      <c r="L1991" s="28">
        <v>26</v>
      </c>
      <c r="M1991" s="28">
        <v>30</v>
      </c>
      <c r="N1991" s="62">
        <v>31</v>
      </c>
      <c r="O1991" s="62"/>
      <c r="Q1991" s="28">
        <v>284</v>
      </c>
      <c r="AE1991" s="378"/>
    </row>
    <row r="1992" spans="1:31" hidden="1">
      <c r="A1992" s="28" t="s">
        <v>1887</v>
      </c>
      <c r="B1992" s="62" t="s">
        <v>1810</v>
      </c>
      <c r="C1992" s="28">
        <v>853</v>
      </c>
      <c r="D1992" s="28">
        <v>717</v>
      </c>
      <c r="E1992" s="28">
        <v>642</v>
      </c>
      <c r="F1992" s="28">
        <v>499</v>
      </c>
      <c r="G1992" s="28">
        <v>293</v>
      </c>
      <c r="H1992" s="28">
        <v>126</v>
      </c>
      <c r="I1992" s="28">
        <v>53</v>
      </c>
      <c r="J1992" s="28">
        <v>74</v>
      </c>
      <c r="K1992" s="28">
        <v>177</v>
      </c>
      <c r="L1992" s="28">
        <v>382</v>
      </c>
      <c r="M1992" s="28">
        <v>642</v>
      </c>
      <c r="N1992" s="62">
        <v>794</v>
      </c>
      <c r="O1992" s="62"/>
      <c r="Q1992" s="28">
        <v>5252</v>
      </c>
      <c r="AE1992" s="378"/>
    </row>
    <row r="1993" spans="1:31" hidden="1">
      <c r="B1993" s="62"/>
      <c r="N1993" s="62"/>
      <c r="O1993" s="62"/>
      <c r="AE1993" s="378"/>
    </row>
    <row r="1994" spans="1:31" hidden="1">
      <c r="B1994" s="62"/>
      <c r="N1994" s="62"/>
      <c r="O1994" s="62"/>
      <c r="AE1994" s="378"/>
    </row>
    <row r="1995" spans="1:31" hidden="1">
      <c r="B1995" s="62"/>
      <c r="N1995" s="62"/>
      <c r="O1995" s="62"/>
      <c r="AE1995" s="378"/>
    </row>
    <row r="1996" spans="1:31" ht="7.9" hidden="1" customHeight="1"/>
    <row r="1997" spans="1:31" ht="7.9" hidden="1" customHeight="1"/>
    <row r="1998" spans="1:31" ht="7.9" hidden="1" customHeight="1"/>
    <row r="1999" spans="1:31" ht="7.9" hidden="1" customHeight="1"/>
    <row r="2000" spans="1:31" ht="7.9" hidden="1" customHeight="1"/>
    <row r="2001" spans="1:31" s="34" customFormat="1" ht="15.75" hidden="1">
      <c r="A2001" s="61">
        <v>80</v>
      </c>
      <c r="B2001" s="129"/>
      <c r="C2001" s="129" t="s">
        <v>728</v>
      </c>
      <c r="D2001" s="129"/>
      <c r="E2001" s="130"/>
      <c r="F2001" s="130" t="s">
        <v>352</v>
      </c>
      <c r="G2001" s="129">
        <v>1019</v>
      </c>
      <c r="H2001" s="131" t="s">
        <v>353</v>
      </c>
      <c r="I2001" s="129"/>
      <c r="J2001" s="129"/>
      <c r="K2001" s="130" t="s">
        <v>354</v>
      </c>
      <c r="L2001" s="131">
        <v>2</v>
      </c>
      <c r="M2001" s="129" t="s">
        <v>355</v>
      </c>
      <c r="N2001" s="131" t="s">
        <v>1585</v>
      </c>
      <c r="O2001" s="130"/>
      <c r="P2001" s="130" t="s">
        <v>357</v>
      </c>
      <c r="Q2001" s="129">
        <v>-10</v>
      </c>
      <c r="R2001" s="131" t="s">
        <v>2324</v>
      </c>
      <c r="S2001" s="28"/>
      <c r="T2001" s="28"/>
      <c r="U2001" s="378"/>
      <c r="V2001" s="368"/>
      <c r="W2001" s="368"/>
      <c r="X2001" s="368"/>
      <c r="Y2001" s="368"/>
      <c r="Z2001" s="368"/>
      <c r="AA2001" s="368"/>
      <c r="AB2001" s="368"/>
      <c r="AC2001" s="368"/>
      <c r="AD2001" s="368"/>
      <c r="AE2001" s="510"/>
    </row>
    <row r="2002" spans="1:31" hidden="1">
      <c r="B2002" s="62"/>
      <c r="N2002" s="62"/>
      <c r="O2002" s="62"/>
      <c r="P2002" s="53"/>
      <c r="Q2002" s="45"/>
      <c r="R2002" s="45"/>
    </row>
    <row r="2003" spans="1:31" s="34" customFormat="1" hidden="1">
      <c r="B2003" s="65"/>
      <c r="C2003" s="95" t="s">
        <v>489</v>
      </c>
      <c r="D2003" s="95" t="s">
        <v>490</v>
      </c>
      <c r="E2003" s="95" t="s">
        <v>491</v>
      </c>
      <c r="F2003" s="95" t="s">
        <v>492</v>
      </c>
      <c r="G2003" s="95" t="s">
        <v>493</v>
      </c>
      <c r="H2003" s="95" t="s">
        <v>494</v>
      </c>
      <c r="I2003" s="95" t="s">
        <v>495</v>
      </c>
      <c r="J2003" s="95" t="s">
        <v>496</v>
      </c>
      <c r="K2003" s="95" t="s">
        <v>497</v>
      </c>
      <c r="L2003" s="95" t="s">
        <v>498</v>
      </c>
      <c r="M2003" s="95" t="s">
        <v>499</v>
      </c>
      <c r="N2003" s="126" t="s">
        <v>500</v>
      </c>
      <c r="O2003" s="126" t="s">
        <v>501</v>
      </c>
      <c r="P2003" s="132"/>
      <c r="Q2003" s="133"/>
      <c r="R2003" s="133"/>
      <c r="S2003" s="28"/>
      <c r="T2003" s="28"/>
      <c r="U2003" s="378"/>
      <c r="V2003" s="368"/>
      <c r="W2003" s="368"/>
      <c r="X2003" s="368"/>
      <c r="Y2003" s="368"/>
      <c r="Z2003" s="368"/>
      <c r="AA2003" s="368"/>
      <c r="AB2003" s="368"/>
      <c r="AC2003" s="368"/>
      <c r="AD2003" s="368"/>
      <c r="AE2003" s="510"/>
    </row>
    <row r="2004" spans="1:31" hidden="1">
      <c r="B2004" s="62"/>
      <c r="N2004" s="62"/>
      <c r="O2004" s="62"/>
    </row>
    <row r="2005" spans="1:31" hidden="1">
      <c r="A2005" s="28" t="s">
        <v>1209</v>
      </c>
      <c r="B2005" s="62" t="s">
        <v>2324</v>
      </c>
      <c r="C2005" s="28">
        <v>-1.4</v>
      </c>
      <c r="D2005" s="28">
        <v>-0.7</v>
      </c>
      <c r="E2005" s="28">
        <v>2.1</v>
      </c>
      <c r="F2005" s="28">
        <v>4.8</v>
      </c>
      <c r="G2005" s="28">
        <v>9.8000000000000007</v>
      </c>
      <c r="H2005" s="28">
        <v>12.6</v>
      </c>
      <c r="I2005" s="28">
        <v>15</v>
      </c>
      <c r="J2005" s="28">
        <v>15.1</v>
      </c>
      <c r="K2005" s="28">
        <v>11</v>
      </c>
      <c r="L2005" s="28">
        <v>7.8</v>
      </c>
      <c r="M2005" s="28">
        <v>2.2999999999999998</v>
      </c>
      <c r="N2005" s="62">
        <v>0.1</v>
      </c>
      <c r="O2005" s="62">
        <v>6.5</v>
      </c>
    </row>
    <row r="2006" spans="1:31" hidden="1">
      <c r="B2006" s="62"/>
      <c r="N2006" s="62"/>
      <c r="O2006" s="62"/>
    </row>
    <row r="2007" spans="1:31" ht="12.6" hidden="1" customHeight="1">
      <c r="A2007" s="28" t="s">
        <v>1210</v>
      </c>
      <c r="B2007" s="62" t="s">
        <v>804</v>
      </c>
      <c r="C2007" s="28">
        <v>142</v>
      </c>
      <c r="D2007" s="28">
        <v>203</v>
      </c>
      <c r="E2007" s="28">
        <v>343</v>
      </c>
      <c r="F2007" s="28">
        <v>425</v>
      </c>
      <c r="G2007" s="28">
        <v>506</v>
      </c>
      <c r="H2007" s="28">
        <v>560</v>
      </c>
      <c r="I2007" s="28">
        <v>597</v>
      </c>
      <c r="J2007" s="28">
        <v>525</v>
      </c>
      <c r="K2007" s="28">
        <v>363</v>
      </c>
      <c r="L2007" s="28">
        <v>244</v>
      </c>
      <c r="M2007" s="28">
        <v>145</v>
      </c>
      <c r="N2007" s="62">
        <v>110</v>
      </c>
      <c r="O2007" s="62">
        <v>4163</v>
      </c>
      <c r="AE2007" s="378"/>
    </row>
    <row r="2008" spans="1:31" ht="12.6" hidden="1" customHeight="1">
      <c r="A2008" s="28" t="s">
        <v>1211</v>
      </c>
      <c r="B2008" s="62" t="s">
        <v>804</v>
      </c>
      <c r="C2008" s="28">
        <v>300</v>
      </c>
      <c r="D2008" s="28">
        <v>329</v>
      </c>
      <c r="E2008" s="28">
        <v>386</v>
      </c>
      <c r="F2008" s="28">
        <v>308</v>
      </c>
      <c r="G2008" s="28">
        <v>262</v>
      </c>
      <c r="H2008" s="28">
        <v>257</v>
      </c>
      <c r="I2008" s="28">
        <v>292</v>
      </c>
      <c r="J2008" s="28">
        <v>327</v>
      </c>
      <c r="K2008" s="28">
        <v>316</v>
      </c>
      <c r="L2008" s="28">
        <v>308</v>
      </c>
      <c r="M2008" s="28">
        <v>259</v>
      </c>
      <c r="N2008" s="62">
        <v>233</v>
      </c>
      <c r="O2008" s="62">
        <v>3577</v>
      </c>
      <c r="AE2008" s="378"/>
    </row>
    <row r="2009" spans="1:31" ht="12.6" hidden="1" customHeight="1">
      <c r="A2009" s="28" t="s">
        <v>1212</v>
      </c>
      <c r="B2009" s="62" t="s">
        <v>804</v>
      </c>
      <c r="C2009" s="28">
        <v>121</v>
      </c>
      <c r="D2009" s="28">
        <v>167</v>
      </c>
      <c r="E2009" s="28">
        <v>254</v>
      </c>
      <c r="F2009" s="28">
        <v>280</v>
      </c>
      <c r="G2009" s="28">
        <v>313</v>
      </c>
      <c r="H2009" s="28">
        <v>340</v>
      </c>
      <c r="I2009" s="28">
        <v>359</v>
      </c>
      <c r="J2009" s="28">
        <v>329</v>
      </c>
      <c r="K2009" s="28">
        <v>226</v>
      </c>
      <c r="L2009" s="28">
        <v>153</v>
      </c>
      <c r="M2009" s="28">
        <v>104</v>
      </c>
      <c r="N2009" s="62">
        <v>88</v>
      </c>
      <c r="O2009" s="62">
        <v>2733</v>
      </c>
      <c r="AE2009" s="378"/>
    </row>
    <row r="2010" spans="1:31" ht="12.6" hidden="1" customHeight="1">
      <c r="A2010" s="28" t="s">
        <v>1213</v>
      </c>
      <c r="B2010" s="62" t="s">
        <v>804</v>
      </c>
      <c r="C2010" s="28">
        <v>121</v>
      </c>
      <c r="D2010" s="28">
        <v>167</v>
      </c>
      <c r="E2010" s="28">
        <v>238</v>
      </c>
      <c r="F2010" s="28">
        <v>241</v>
      </c>
      <c r="G2010" s="28">
        <v>252</v>
      </c>
      <c r="H2010" s="28">
        <v>277</v>
      </c>
      <c r="I2010" s="28">
        <v>311</v>
      </c>
      <c r="J2010" s="28">
        <v>276</v>
      </c>
      <c r="K2010" s="28">
        <v>205</v>
      </c>
      <c r="L2010" s="28">
        <v>147</v>
      </c>
      <c r="M2010" s="28">
        <v>101</v>
      </c>
      <c r="N2010" s="62">
        <v>88</v>
      </c>
      <c r="O2010" s="62">
        <v>2424</v>
      </c>
      <c r="AE2010" s="378"/>
    </row>
    <row r="2011" spans="1:31" ht="12.6" hidden="1" customHeight="1">
      <c r="A2011" s="28" t="s">
        <v>1214</v>
      </c>
      <c r="B2011" s="62" t="s">
        <v>804</v>
      </c>
      <c r="C2011" s="28">
        <v>67</v>
      </c>
      <c r="D2011" s="28">
        <v>94</v>
      </c>
      <c r="E2011" s="28">
        <v>134</v>
      </c>
      <c r="F2011" s="28">
        <v>137</v>
      </c>
      <c r="G2011" s="28">
        <v>155</v>
      </c>
      <c r="H2011" s="28">
        <v>181</v>
      </c>
      <c r="I2011" s="28">
        <v>179</v>
      </c>
      <c r="J2011" s="28">
        <v>142</v>
      </c>
      <c r="K2011" s="28">
        <v>96</v>
      </c>
      <c r="L2011" s="28">
        <v>67</v>
      </c>
      <c r="M2011" s="28">
        <v>52</v>
      </c>
      <c r="N2011" s="62">
        <v>48</v>
      </c>
      <c r="O2011" s="62">
        <v>1354</v>
      </c>
      <c r="AE2011" s="378"/>
    </row>
    <row r="2012" spans="1:31" hidden="1">
      <c r="B2012" s="62"/>
      <c r="N2012" s="62"/>
      <c r="O2012" s="62"/>
      <c r="AE2012" s="378"/>
    </row>
    <row r="2013" spans="1:31" hidden="1">
      <c r="B2013" s="62"/>
      <c r="N2013" s="62"/>
      <c r="O2013" s="62"/>
      <c r="AE2013" s="378"/>
    </row>
    <row r="2014" spans="1:31" hidden="1">
      <c r="B2014" s="62"/>
      <c r="N2014" s="62"/>
      <c r="O2014" s="62"/>
      <c r="AE2014" s="378"/>
    </row>
    <row r="2015" spans="1:31" hidden="1">
      <c r="B2015" s="62"/>
      <c r="N2015" s="62"/>
      <c r="O2015" s="62"/>
      <c r="AE2015" s="378"/>
    </row>
    <row r="2016" spans="1:31" hidden="1">
      <c r="A2016" s="28" t="s">
        <v>1886</v>
      </c>
      <c r="B2016" s="62" t="s">
        <v>1808</v>
      </c>
      <c r="C2016" s="28">
        <v>31</v>
      </c>
      <c r="D2016" s="28">
        <v>28</v>
      </c>
      <c r="E2016" s="28">
        <v>31</v>
      </c>
      <c r="F2016" s="28">
        <v>28</v>
      </c>
      <c r="G2016" s="28">
        <v>22</v>
      </c>
      <c r="H2016" s="28">
        <v>9</v>
      </c>
      <c r="I2016" s="28">
        <v>5</v>
      </c>
      <c r="J2016" s="28">
        <v>6</v>
      </c>
      <c r="K2016" s="28">
        <v>12</v>
      </c>
      <c r="L2016" s="28">
        <v>25</v>
      </c>
      <c r="M2016" s="28">
        <v>30</v>
      </c>
      <c r="N2016" s="62">
        <v>31</v>
      </c>
      <c r="O2016" s="62"/>
      <c r="Q2016" s="28">
        <v>258</v>
      </c>
      <c r="AE2016" s="378"/>
    </row>
    <row r="2017" spans="1:31" hidden="1">
      <c r="A2017" s="28" t="s">
        <v>1887</v>
      </c>
      <c r="B2017" s="62" t="s">
        <v>1810</v>
      </c>
      <c r="C2017" s="28">
        <v>663</v>
      </c>
      <c r="D2017" s="28">
        <v>580</v>
      </c>
      <c r="E2017" s="28">
        <v>555</v>
      </c>
      <c r="F2017" s="28">
        <v>426</v>
      </c>
      <c r="G2017" s="28">
        <v>224</v>
      </c>
      <c r="H2017" s="28">
        <v>67</v>
      </c>
      <c r="I2017" s="28">
        <v>25</v>
      </c>
      <c r="J2017" s="28">
        <v>29</v>
      </c>
      <c r="K2017" s="28">
        <v>108</v>
      </c>
      <c r="L2017" s="28">
        <v>305</v>
      </c>
      <c r="M2017" s="28">
        <v>531</v>
      </c>
      <c r="N2017" s="62">
        <v>617</v>
      </c>
      <c r="O2017" s="62"/>
      <c r="Q2017" s="28">
        <v>4130</v>
      </c>
      <c r="AE2017" s="378"/>
    </row>
    <row r="2018" spans="1:31" hidden="1">
      <c r="B2018" s="62"/>
      <c r="N2018" s="62"/>
      <c r="O2018" s="62"/>
      <c r="AE2018" s="378"/>
    </row>
    <row r="2019" spans="1:31" hidden="1">
      <c r="B2019" s="62"/>
      <c r="N2019" s="62"/>
      <c r="O2019" s="62"/>
      <c r="AE2019" s="378"/>
    </row>
    <row r="2020" spans="1:31" hidden="1">
      <c r="B2020" s="62"/>
      <c r="N2020" s="62"/>
      <c r="O2020" s="62"/>
      <c r="AE2020" s="378"/>
    </row>
    <row r="2021" spans="1:31" ht="7.9" hidden="1" customHeight="1"/>
    <row r="2022" spans="1:31" ht="7.9" hidden="1" customHeight="1"/>
    <row r="2023" spans="1:31" ht="7.9" hidden="1" customHeight="1"/>
    <row r="2024" spans="1:31" ht="7.9" hidden="1" customHeight="1"/>
    <row r="2025" spans="1:31" ht="7.9" hidden="1" customHeight="1"/>
    <row r="2026" spans="1:31" s="34" customFormat="1" ht="15.75" hidden="1">
      <c r="A2026" s="61">
        <v>81</v>
      </c>
      <c r="B2026" s="129"/>
      <c r="C2026" s="129" t="s">
        <v>729</v>
      </c>
      <c r="D2026" s="129"/>
      <c r="E2026" s="130"/>
      <c r="F2026" s="130" t="s">
        <v>352</v>
      </c>
      <c r="G2026" s="129">
        <v>485</v>
      </c>
      <c r="H2026" s="131" t="s">
        <v>353</v>
      </c>
      <c r="I2026" s="129"/>
      <c r="J2026" s="129"/>
      <c r="K2026" s="130" t="s">
        <v>354</v>
      </c>
      <c r="L2026" s="131">
        <v>5</v>
      </c>
      <c r="M2026" s="129" t="s">
        <v>355</v>
      </c>
      <c r="N2026" s="131" t="s">
        <v>1439</v>
      </c>
      <c r="O2026" s="130"/>
      <c r="P2026" s="130" t="s">
        <v>357</v>
      </c>
      <c r="Q2026" s="129">
        <v>-5</v>
      </c>
      <c r="R2026" s="131" t="s">
        <v>2324</v>
      </c>
      <c r="S2026" s="28"/>
      <c r="T2026" s="28"/>
      <c r="U2026" s="378"/>
      <c r="V2026" s="368"/>
      <c r="W2026" s="368"/>
      <c r="X2026" s="368"/>
      <c r="Y2026" s="368"/>
      <c r="Z2026" s="368"/>
      <c r="AA2026" s="368"/>
      <c r="AB2026" s="368"/>
      <c r="AC2026" s="368"/>
      <c r="AD2026" s="368"/>
      <c r="AE2026" s="510"/>
    </row>
    <row r="2027" spans="1:31" hidden="1">
      <c r="B2027" s="62"/>
      <c r="N2027" s="62"/>
      <c r="O2027" s="62"/>
      <c r="P2027" s="53"/>
      <c r="Q2027" s="45"/>
      <c r="R2027" s="45"/>
    </row>
    <row r="2028" spans="1:31" s="34" customFormat="1" hidden="1">
      <c r="B2028" s="65"/>
      <c r="C2028" s="95" t="s">
        <v>489</v>
      </c>
      <c r="D2028" s="95" t="s">
        <v>490</v>
      </c>
      <c r="E2028" s="95" t="s">
        <v>491</v>
      </c>
      <c r="F2028" s="95" t="s">
        <v>492</v>
      </c>
      <c r="G2028" s="95" t="s">
        <v>493</v>
      </c>
      <c r="H2028" s="95" t="s">
        <v>494</v>
      </c>
      <c r="I2028" s="95" t="s">
        <v>495</v>
      </c>
      <c r="J2028" s="95" t="s">
        <v>496</v>
      </c>
      <c r="K2028" s="95" t="s">
        <v>497</v>
      </c>
      <c r="L2028" s="95" t="s">
        <v>498</v>
      </c>
      <c r="M2028" s="95" t="s">
        <v>499</v>
      </c>
      <c r="N2028" s="126" t="s">
        <v>500</v>
      </c>
      <c r="O2028" s="126" t="s">
        <v>501</v>
      </c>
      <c r="P2028" s="132"/>
      <c r="Q2028" s="133"/>
      <c r="R2028" s="133"/>
      <c r="S2028" s="28"/>
      <c r="T2028" s="28"/>
      <c r="U2028" s="378"/>
      <c r="V2028" s="368"/>
      <c r="W2028" s="368"/>
      <c r="X2028" s="368"/>
      <c r="Y2028" s="368"/>
      <c r="Z2028" s="368"/>
      <c r="AA2028" s="368"/>
      <c r="AB2028" s="368"/>
      <c r="AC2028" s="368"/>
      <c r="AD2028" s="368"/>
      <c r="AE2028" s="510"/>
    </row>
    <row r="2029" spans="1:31" hidden="1">
      <c r="B2029" s="62"/>
      <c r="N2029" s="62"/>
      <c r="O2029" s="62"/>
    </row>
    <row r="2030" spans="1:31" hidden="1">
      <c r="A2030" s="28" t="s">
        <v>1209</v>
      </c>
      <c r="B2030" s="62" t="s">
        <v>2324</v>
      </c>
      <c r="C2030" s="28">
        <v>1.4</v>
      </c>
      <c r="D2030" s="28">
        <v>2.5</v>
      </c>
      <c r="E2030" s="28">
        <v>6.2</v>
      </c>
      <c r="F2030" s="28">
        <v>9.1999999999999993</v>
      </c>
      <c r="G2030" s="28">
        <v>14.1</v>
      </c>
      <c r="H2030" s="28">
        <v>17.100000000000001</v>
      </c>
      <c r="I2030" s="28">
        <v>19.7</v>
      </c>
      <c r="J2030" s="28">
        <v>19.7</v>
      </c>
      <c r="K2030" s="28">
        <v>15.1</v>
      </c>
      <c r="L2030" s="28">
        <v>10.8</v>
      </c>
      <c r="M2030" s="28">
        <v>5.2</v>
      </c>
      <c r="N2030" s="62">
        <v>2.7</v>
      </c>
      <c r="O2030" s="62">
        <v>10.3</v>
      </c>
    </row>
    <row r="2031" spans="1:31" hidden="1">
      <c r="B2031" s="62"/>
      <c r="N2031" s="62"/>
      <c r="O2031" s="62"/>
    </row>
    <row r="2032" spans="1:31" ht="12.6" hidden="1" customHeight="1">
      <c r="A2032" s="28" t="s">
        <v>1210</v>
      </c>
      <c r="B2032" s="62" t="s">
        <v>804</v>
      </c>
      <c r="C2032" s="28">
        <v>91</v>
      </c>
      <c r="D2032" s="28">
        <v>160</v>
      </c>
      <c r="E2032" s="28">
        <v>319</v>
      </c>
      <c r="F2032" s="28">
        <v>420</v>
      </c>
      <c r="G2032" s="28">
        <v>544</v>
      </c>
      <c r="H2032" s="28">
        <v>583</v>
      </c>
      <c r="I2032" s="28">
        <v>613</v>
      </c>
      <c r="J2032" s="28">
        <v>533</v>
      </c>
      <c r="K2032" s="28">
        <v>365</v>
      </c>
      <c r="L2032" s="28">
        <v>212</v>
      </c>
      <c r="M2032" s="28">
        <v>104</v>
      </c>
      <c r="N2032" s="62">
        <v>75</v>
      </c>
      <c r="O2032" s="62">
        <v>4018</v>
      </c>
      <c r="AE2032" s="378"/>
    </row>
    <row r="2033" spans="1:31" ht="12.6" hidden="1" customHeight="1">
      <c r="A2033" s="28" t="s">
        <v>1211</v>
      </c>
      <c r="B2033" s="62" t="s">
        <v>804</v>
      </c>
      <c r="C2033" s="28">
        <v>131</v>
      </c>
      <c r="D2033" s="28">
        <v>213</v>
      </c>
      <c r="E2033" s="28">
        <v>316</v>
      </c>
      <c r="F2033" s="28">
        <v>293</v>
      </c>
      <c r="G2033" s="28">
        <v>292</v>
      </c>
      <c r="H2033" s="28">
        <v>275</v>
      </c>
      <c r="I2033" s="28">
        <v>308</v>
      </c>
      <c r="J2033" s="28">
        <v>343</v>
      </c>
      <c r="K2033" s="28">
        <v>319</v>
      </c>
      <c r="L2033" s="28">
        <v>246</v>
      </c>
      <c r="M2033" s="28">
        <v>145</v>
      </c>
      <c r="N2033" s="62">
        <v>118</v>
      </c>
      <c r="O2033" s="62">
        <v>2999</v>
      </c>
      <c r="AE2033" s="378"/>
    </row>
    <row r="2034" spans="1:31" ht="12.6" hidden="1" customHeight="1">
      <c r="A2034" s="28" t="s">
        <v>1212</v>
      </c>
      <c r="B2034" s="62" t="s">
        <v>804</v>
      </c>
      <c r="C2034" s="28">
        <v>56</v>
      </c>
      <c r="D2034" s="28">
        <v>102</v>
      </c>
      <c r="E2034" s="28">
        <v>193</v>
      </c>
      <c r="F2034" s="28">
        <v>244</v>
      </c>
      <c r="G2034" s="28">
        <v>300</v>
      </c>
      <c r="H2034" s="28">
        <v>324</v>
      </c>
      <c r="I2034" s="28">
        <v>346</v>
      </c>
      <c r="J2034" s="28">
        <v>311</v>
      </c>
      <c r="K2034" s="28">
        <v>207</v>
      </c>
      <c r="L2034" s="28">
        <v>115</v>
      </c>
      <c r="M2034" s="28">
        <v>60</v>
      </c>
      <c r="N2034" s="62">
        <v>46</v>
      </c>
      <c r="O2034" s="62">
        <v>2302</v>
      </c>
      <c r="AE2034" s="378"/>
    </row>
    <row r="2035" spans="1:31" ht="12.6" hidden="1" customHeight="1">
      <c r="A2035" s="28" t="s">
        <v>1213</v>
      </c>
      <c r="B2035" s="62" t="s">
        <v>804</v>
      </c>
      <c r="C2035" s="28">
        <v>59</v>
      </c>
      <c r="D2035" s="28">
        <v>104</v>
      </c>
      <c r="E2035" s="28">
        <v>182</v>
      </c>
      <c r="F2035" s="28">
        <v>213</v>
      </c>
      <c r="G2035" s="28">
        <v>265</v>
      </c>
      <c r="H2035" s="28">
        <v>277</v>
      </c>
      <c r="I2035" s="28">
        <v>305</v>
      </c>
      <c r="J2035" s="28">
        <v>273</v>
      </c>
      <c r="K2035" s="28">
        <v>202</v>
      </c>
      <c r="L2035" s="28">
        <v>131</v>
      </c>
      <c r="M2035" s="28">
        <v>62</v>
      </c>
      <c r="N2035" s="62">
        <v>48</v>
      </c>
      <c r="O2035" s="62">
        <v>2123</v>
      </c>
      <c r="AE2035" s="378"/>
    </row>
    <row r="2036" spans="1:31" ht="12.6" hidden="1" customHeight="1">
      <c r="A2036" s="28" t="s">
        <v>1214</v>
      </c>
      <c r="B2036" s="62" t="s">
        <v>804</v>
      </c>
      <c r="C2036" s="28">
        <v>35</v>
      </c>
      <c r="D2036" s="28">
        <v>53</v>
      </c>
      <c r="E2036" s="28">
        <v>88</v>
      </c>
      <c r="F2036" s="28">
        <v>111</v>
      </c>
      <c r="G2036" s="28">
        <v>150</v>
      </c>
      <c r="H2036" s="28">
        <v>168</v>
      </c>
      <c r="I2036" s="28">
        <v>169</v>
      </c>
      <c r="J2036" s="28">
        <v>137</v>
      </c>
      <c r="K2036" s="28">
        <v>93</v>
      </c>
      <c r="L2036" s="28">
        <v>62</v>
      </c>
      <c r="M2036" s="28">
        <v>34</v>
      </c>
      <c r="N2036" s="62">
        <v>27</v>
      </c>
      <c r="O2036" s="62">
        <v>1127</v>
      </c>
      <c r="AE2036" s="378"/>
    </row>
    <row r="2037" spans="1:31" hidden="1">
      <c r="B2037" s="62"/>
      <c r="N2037" s="62"/>
      <c r="O2037" s="62"/>
      <c r="AE2037" s="378"/>
    </row>
    <row r="2038" spans="1:31" hidden="1">
      <c r="B2038" s="62"/>
      <c r="N2038" s="62"/>
      <c r="O2038" s="62"/>
      <c r="AE2038" s="378"/>
    </row>
    <row r="2039" spans="1:31" hidden="1">
      <c r="B2039" s="62"/>
      <c r="N2039" s="62"/>
      <c r="O2039" s="62"/>
      <c r="AE2039" s="378"/>
    </row>
    <row r="2040" spans="1:31" hidden="1">
      <c r="B2040" s="62"/>
      <c r="N2040" s="62"/>
      <c r="O2040" s="62"/>
      <c r="AE2040" s="378"/>
    </row>
    <row r="2041" spans="1:31" hidden="1">
      <c r="A2041" s="28" t="s">
        <v>1886</v>
      </c>
      <c r="B2041" s="62" t="s">
        <v>1808</v>
      </c>
      <c r="C2041" s="28">
        <v>31</v>
      </c>
      <c r="D2041" s="28">
        <v>28</v>
      </c>
      <c r="E2041" s="28">
        <v>31</v>
      </c>
      <c r="F2041" s="28">
        <v>23</v>
      </c>
      <c r="G2041" s="28">
        <v>12</v>
      </c>
      <c r="H2041" s="28">
        <v>3</v>
      </c>
      <c r="I2041" s="28">
        <v>1</v>
      </c>
      <c r="J2041" s="28">
        <v>1</v>
      </c>
      <c r="K2041" s="28">
        <v>4</v>
      </c>
      <c r="L2041" s="28">
        <v>21</v>
      </c>
      <c r="M2041" s="28">
        <v>30</v>
      </c>
      <c r="N2041" s="62">
        <v>31</v>
      </c>
      <c r="O2041" s="62"/>
      <c r="Q2041" s="28">
        <v>216</v>
      </c>
      <c r="AE2041" s="378"/>
    </row>
    <row r="2042" spans="1:31" hidden="1">
      <c r="A2042" s="28" t="s">
        <v>1887</v>
      </c>
      <c r="B2042" s="62" t="s">
        <v>1810</v>
      </c>
      <c r="C2042" s="28">
        <v>577</v>
      </c>
      <c r="D2042" s="28">
        <v>490</v>
      </c>
      <c r="E2042" s="28">
        <v>428</v>
      </c>
      <c r="F2042" s="28">
        <v>248</v>
      </c>
      <c r="G2042" s="28">
        <v>71</v>
      </c>
      <c r="H2042" s="28">
        <v>9</v>
      </c>
      <c r="I2042" s="28">
        <v>0</v>
      </c>
      <c r="J2042" s="28">
        <v>0</v>
      </c>
      <c r="K2042" s="28">
        <v>20</v>
      </c>
      <c r="L2042" s="28">
        <v>193</v>
      </c>
      <c r="M2042" s="28">
        <v>444</v>
      </c>
      <c r="N2042" s="62">
        <v>536</v>
      </c>
      <c r="O2042" s="62"/>
      <c r="Q2042" s="28">
        <v>3016</v>
      </c>
      <c r="AE2042" s="378"/>
    </row>
    <row r="2043" spans="1:31" hidden="1">
      <c r="B2043" s="62"/>
      <c r="N2043" s="62"/>
      <c r="O2043" s="62"/>
      <c r="AE2043" s="378"/>
    </row>
    <row r="2044" spans="1:31" hidden="1">
      <c r="B2044" s="62"/>
      <c r="N2044" s="62"/>
      <c r="O2044" s="62"/>
      <c r="AE2044" s="378"/>
    </row>
    <row r="2045" spans="1:31" hidden="1">
      <c r="B2045" s="62"/>
      <c r="N2045" s="62"/>
      <c r="O2045" s="62"/>
      <c r="AE2045" s="378"/>
    </row>
    <row r="2046" spans="1:31" ht="7.9" hidden="1" customHeight="1"/>
    <row r="2047" spans="1:31" ht="7.9" hidden="1" customHeight="1"/>
    <row r="2048" spans="1:31" ht="7.9" hidden="1" customHeight="1"/>
    <row r="2049" spans="1:31" ht="7.9" hidden="1" customHeight="1"/>
    <row r="2050" spans="1:31" ht="7.9" hidden="1" customHeight="1"/>
    <row r="2051" spans="1:31" s="34" customFormat="1" ht="15.75" hidden="1">
      <c r="A2051" s="61">
        <v>82</v>
      </c>
      <c r="B2051" s="129"/>
      <c r="C2051" s="129" t="s">
        <v>730</v>
      </c>
      <c r="D2051" s="129"/>
      <c r="E2051" s="130"/>
      <c r="F2051" s="130" t="s">
        <v>352</v>
      </c>
      <c r="G2051" s="129">
        <v>449</v>
      </c>
      <c r="H2051" s="131" t="s">
        <v>353</v>
      </c>
      <c r="I2051" s="129"/>
      <c r="J2051" s="129"/>
      <c r="K2051" s="130" t="s">
        <v>354</v>
      </c>
      <c r="L2051" s="131">
        <v>7</v>
      </c>
      <c r="M2051" s="129" t="s">
        <v>355</v>
      </c>
      <c r="N2051" s="131" t="s">
        <v>1585</v>
      </c>
      <c r="O2051" s="130"/>
      <c r="P2051" s="130" t="s">
        <v>357</v>
      </c>
      <c r="Q2051" s="129">
        <v>-6</v>
      </c>
      <c r="R2051" s="131" t="s">
        <v>2324</v>
      </c>
      <c r="S2051" s="28"/>
      <c r="T2051" s="28"/>
      <c r="U2051" s="378"/>
      <c r="V2051" s="368"/>
      <c r="W2051" s="368"/>
      <c r="X2051" s="368"/>
      <c r="Y2051" s="368"/>
      <c r="Z2051" s="368"/>
      <c r="AA2051" s="368"/>
      <c r="AB2051" s="368"/>
      <c r="AC2051" s="368"/>
      <c r="AD2051" s="368"/>
      <c r="AE2051" s="510"/>
    </row>
    <row r="2052" spans="1:31" hidden="1">
      <c r="B2052" s="62"/>
      <c r="N2052" s="62"/>
      <c r="O2052" s="62"/>
      <c r="P2052" s="53"/>
      <c r="Q2052" s="45"/>
      <c r="R2052" s="45"/>
    </row>
    <row r="2053" spans="1:31" s="34" customFormat="1" hidden="1">
      <c r="B2053" s="65"/>
      <c r="C2053" s="95" t="s">
        <v>489</v>
      </c>
      <c r="D2053" s="95" t="s">
        <v>490</v>
      </c>
      <c r="E2053" s="95" t="s">
        <v>491</v>
      </c>
      <c r="F2053" s="95" t="s">
        <v>492</v>
      </c>
      <c r="G2053" s="95" t="s">
        <v>493</v>
      </c>
      <c r="H2053" s="95" t="s">
        <v>494</v>
      </c>
      <c r="I2053" s="95" t="s">
        <v>495</v>
      </c>
      <c r="J2053" s="95" t="s">
        <v>496</v>
      </c>
      <c r="K2053" s="95" t="s">
        <v>497</v>
      </c>
      <c r="L2053" s="95" t="s">
        <v>498</v>
      </c>
      <c r="M2053" s="95" t="s">
        <v>499</v>
      </c>
      <c r="N2053" s="126" t="s">
        <v>500</v>
      </c>
      <c r="O2053" s="126" t="s">
        <v>501</v>
      </c>
      <c r="P2053" s="132"/>
      <c r="Q2053" s="133"/>
      <c r="R2053" s="133"/>
      <c r="S2053" s="28"/>
      <c r="T2053" s="28"/>
      <c r="U2053" s="378"/>
      <c r="V2053" s="368"/>
      <c r="W2053" s="368"/>
      <c r="X2053" s="368"/>
      <c r="Y2053" s="368"/>
      <c r="Z2053" s="368"/>
      <c r="AA2053" s="368"/>
      <c r="AB2053" s="368"/>
      <c r="AC2053" s="368"/>
      <c r="AD2053" s="368"/>
      <c r="AE2053" s="510"/>
    </row>
    <row r="2054" spans="1:31" hidden="1">
      <c r="B2054" s="62"/>
      <c r="N2054" s="62"/>
      <c r="O2054" s="62"/>
    </row>
    <row r="2055" spans="1:31" hidden="1">
      <c r="A2055" s="28" t="s">
        <v>1209</v>
      </c>
      <c r="B2055" s="62" t="s">
        <v>2324</v>
      </c>
      <c r="C2055" s="28">
        <v>1.2</v>
      </c>
      <c r="D2055" s="28">
        <v>2.1</v>
      </c>
      <c r="E2055" s="28">
        <v>5.9</v>
      </c>
      <c r="F2055" s="28">
        <v>9.1</v>
      </c>
      <c r="G2055" s="28">
        <v>14.1</v>
      </c>
      <c r="H2055" s="28">
        <v>16.5</v>
      </c>
      <c r="I2055" s="28">
        <v>18.600000000000001</v>
      </c>
      <c r="J2055" s="28">
        <v>18.600000000000001</v>
      </c>
      <c r="K2055" s="28">
        <v>14.6</v>
      </c>
      <c r="L2055" s="28">
        <v>10.6</v>
      </c>
      <c r="M2055" s="28">
        <v>5.2</v>
      </c>
      <c r="N2055" s="62">
        <v>2.5</v>
      </c>
      <c r="O2055" s="62">
        <v>9.9</v>
      </c>
    </row>
    <row r="2056" spans="1:31" hidden="1">
      <c r="B2056" s="62"/>
      <c r="N2056" s="62"/>
      <c r="O2056" s="62"/>
    </row>
    <row r="2057" spans="1:31" ht="12.6" hidden="1" customHeight="1">
      <c r="A2057" s="28" t="s">
        <v>1210</v>
      </c>
      <c r="B2057" s="62" t="s">
        <v>804</v>
      </c>
      <c r="C2057" s="28">
        <v>104</v>
      </c>
      <c r="D2057" s="28">
        <v>174</v>
      </c>
      <c r="E2057" s="28">
        <v>324</v>
      </c>
      <c r="F2057" s="28">
        <v>435</v>
      </c>
      <c r="G2057" s="28">
        <v>549</v>
      </c>
      <c r="H2057" s="28">
        <v>547</v>
      </c>
      <c r="I2057" s="28">
        <v>554</v>
      </c>
      <c r="J2057" s="28">
        <v>485</v>
      </c>
      <c r="K2057" s="28">
        <v>345</v>
      </c>
      <c r="L2057" s="28">
        <v>225</v>
      </c>
      <c r="M2057" s="28">
        <v>117</v>
      </c>
      <c r="N2057" s="62">
        <v>80</v>
      </c>
      <c r="O2057" s="62">
        <v>3940</v>
      </c>
      <c r="AE2057" s="378"/>
    </row>
    <row r="2058" spans="1:31" ht="12.6" hidden="1" customHeight="1">
      <c r="A2058" s="28" t="s">
        <v>1211</v>
      </c>
      <c r="B2058" s="62" t="s">
        <v>804</v>
      </c>
      <c r="C2058" s="28">
        <v>134</v>
      </c>
      <c r="D2058" s="28">
        <v>220</v>
      </c>
      <c r="E2058" s="28">
        <v>303</v>
      </c>
      <c r="F2058" s="28">
        <v>290</v>
      </c>
      <c r="G2058" s="28">
        <v>281</v>
      </c>
      <c r="H2058" s="28">
        <v>244</v>
      </c>
      <c r="I2058" s="28">
        <v>268</v>
      </c>
      <c r="J2058" s="28">
        <v>295</v>
      </c>
      <c r="K2058" s="28">
        <v>280</v>
      </c>
      <c r="L2058" s="28">
        <v>241</v>
      </c>
      <c r="M2058" s="28">
        <v>140</v>
      </c>
      <c r="N2058" s="62">
        <v>96</v>
      </c>
      <c r="O2058" s="62">
        <v>2792</v>
      </c>
      <c r="AE2058" s="378"/>
    </row>
    <row r="2059" spans="1:31" ht="12.6" hidden="1" customHeight="1">
      <c r="A2059" s="28" t="s">
        <v>1212</v>
      </c>
      <c r="B2059" s="62" t="s">
        <v>804</v>
      </c>
      <c r="C2059" s="28">
        <v>51</v>
      </c>
      <c r="D2059" s="28">
        <v>99</v>
      </c>
      <c r="E2059" s="28">
        <v>174</v>
      </c>
      <c r="F2059" s="28">
        <v>231</v>
      </c>
      <c r="G2059" s="28">
        <v>289</v>
      </c>
      <c r="H2059" s="28">
        <v>290</v>
      </c>
      <c r="I2059" s="28">
        <v>297</v>
      </c>
      <c r="J2059" s="28">
        <v>268</v>
      </c>
      <c r="K2059" s="28">
        <v>187</v>
      </c>
      <c r="L2059" s="28">
        <v>115</v>
      </c>
      <c r="M2059" s="28">
        <v>52</v>
      </c>
      <c r="N2059" s="62">
        <v>37</v>
      </c>
      <c r="O2059" s="62">
        <v>2091</v>
      </c>
      <c r="AE2059" s="378"/>
    </row>
    <row r="2060" spans="1:31" ht="12.6" hidden="1" customHeight="1">
      <c r="A2060" s="28" t="s">
        <v>1213</v>
      </c>
      <c r="B2060" s="62" t="s">
        <v>804</v>
      </c>
      <c r="C2060" s="28">
        <v>48</v>
      </c>
      <c r="D2060" s="28">
        <v>94</v>
      </c>
      <c r="E2060" s="28">
        <v>142</v>
      </c>
      <c r="F2060" s="28">
        <v>184</v>
      </c>
      <c r="G2060" s="28">
        <v>220</v>
      </c>
      <c r="H2060" s="28">
        <v>207</v>
      </c>
      <c r="I2060" s="28">
        <v>212</v>
      </c>
      <c r="J2060" s="28">
        <v>193</v>
      </c>
      <c r="K2060" s="28">
        <v>137</v>
      </c>
      <c r="L2060" s="28">
        <v>94</v>
      </c>
      <c r="M2060" s="28">
        <v>49</v>
      </c>
      <c r="N2060" s="62">
        <v>32</v>
      </c>
      <c r="O2060" s="62">
        <v>1612</v>
      </c>
      <c r="AE2060" s="378"/>
    </row>
    <row r="2061" spans="1:31" ht="12.6" hidden="1" customHeight="1">
      <c r="A2061" s="28" t="s">
        <v>1214</v>
      </c>
      <c r="B2061" s="62" t="s">
        <v>804</v>
      </c>
      <c r="C2061" s="28">
        <v>40</v>
      </c>
      <c r="D2061" s="28">
        <v>63</v>
      </c>
      <c r="E2061" s="28">
        <v>88</v>
      </c>
      <c r="F2061" s="28">
        <v>106</v>
      </c>
      <c r="G2061" s="28">
        <v>137</v>
      </c>
      <c r="H2061" s="28">
        <v>143</v>
      </c>
      <c r="I2061" s="28">
        <v>142</v>
      </c>
      <c r="J2061" s="28">
        <v>118</v>
      </c>
      <c r="K2061" s="28">
        <v>86</v>
      </c>
      <c r="L2061" s="28">
        <v>59</v>
      </c>
      <c r="M2061" s="28">
        <v>36</v>
      </c>
      <c r="N2061" s="62">
        <v>29</v>
      </c>
      <c r="O2061" s="62">
        <v>1047</v>
      </c>
      <c r="AE2061" s="378"/>
    </row>
    <row r="2062" spans="1:31" hidden="1">
      <c r="B2062" s="62"/>
      <c r="N2062" s="62"/>
      <c r="O2062" s="62"/>
      <c r="AE2062" s="378"/>
    </row>
    <row r="2063" spans="1:31" hidden="1">
      <c r="B2063" s="62"/>
      <c r="N2063" s="62"/>
      <c r="O2063" s="62"/>
      <c r="AE2063" s="378"/>
    </row>
    <row r="2064" spans="1:31" hidden="1">
      <c r="B2064" s="62"/>
      <c r="N2064" s="62"/>
      <c r="O2064" s="62"/>
      <c r="AE2064" s="378"/>
    </row>
    <row r="2065" spans="1:31" hidden="1">
      <c r="B2065" s="62"/>
      <c r="N2065" s="62"/>
      <c r="O2065" s="62"/>
      <c r="AE2065" s="378"/>
    </row>
    <row r="2066" spans="1:31" hidden="1">
      <c r="A2066" s="28" t="s">
        <v>1886</v>
      </c>
      <c r="B2066" s="62" t="s">
        <v>1808</v>
      </c>
      <c r="C2066" s="28">
        <v>31</v>
      </c>
      <c r="D2066" s="28">
        <v>27</v>
      </c>
      <c r="E2066" s="28">
        <v>30</v>
      </c>
      <c r="F2066" s="28">
        <v>23</v>
      </c>
      <c r="G2066" s="28">
        <v>13</v>
      </c>
      <c r="H2066" s="28">
        <v>4</v>
      </c>
      <c r="I2066" s="28">
        <v>2</v>
      </c>
      <c r="J2066" s="28">
        <v>2</v>
      </c>
      <c r="K2066" s="28">
        <v>6</v>
      </c>
      <c r="L2066" s="28">
        <v>23</v>
      </c>
      <c r="M2066" s="28">
        <v>28</v>
      </c>
      <c r="N2066" s="62">
        <v>31</v>
      </c>
      <c r="O2066" s="62"/>
      <c r="Q2066" s="28">
        <v>220</v>
      </c>
      <c r="AE2066" s="378"/>
    </row>
    <row r="2067" spans="1:31" hidden="1">
      <c r="A2067" s="28" t="s">
        <v>1887</v>
      </c>
      <c r="B2067" s="62" t="s">
        <v>1810</v>
      </c>
      <c r="C2067" s="28">
        <v>583</v>
      </c>
      <c r="D2067" s="28">
        <v>483</v>
      </c>
      <c r="E2067" s="28">
        <v>423</v>
      </c>
      <c r="F2067" s="28">
        <v>251</v>
      </c>
      <c r="G2067" s="28">
        <v>77</v>
      </c>
      <c r="H2067" s="28">
        <v>14</v>
      </c>
      <c r="I2067" s="28">
        <v>3</v>
      </c>
      <c r="J2067" s="28">
        <v>3</v>
      </c>
      <c r="K2067" s="28">
        <v>32</v>
      </c>
      <c r="L2067" s="28">
        <v>216</v>
      </c>
      <c r="M2067" s="28">
        <v>414</v>
      </c>
      <c r="N2067" s="62">
        <v>543</v>
      </c>
      <c r="O2067" s="62"/>
      <c r="Q2067" s="28">
        <v>3042</v>
      </c>
      <c r="AE2067" s="378"/>
    </row>
    <row r="2068" spans="1:31" hidden="1">
      <c r="B2068" s="62"/>
      <c r="N2068" s="62"/>
      <c r="O2068" s="62"/>
      <c r="AE2068" s="378"/>
    </row>
    <row r="2069" spans="1:31" hidden="1">
      <c r="B2069" s="62"/>
      <c r="N2069" s="62"/>
      <c r="O2069" s="62"/>
      <c r="AE2069" s="378"/>
    </row>
    <row r="2070" spans="1:31" hidden="1">
      <c r="B2070" s="62"/>
      <c r="N2070" s="62"/>
      <c r="O2070" s="62"/>
      <c r="AE2070" s="378"/>
    </row>
    <row r="2071" spans="1:31" ht="7.9" hidden="1" customHeight="1"/>
    <row r="2072" spans="1:31" ht="7.9" hidden="1" customHeight="1"/>
    <row r="2073" spans="1:31" ht="7.9" hidden="1" customHeight="1"/>
    <row r="2074" spans="1:31" ht="7.9" hidden="1" customHeight="1"/>
    <row r="2075" spans="1:31" ht="7.9" hidden="1" customHeight="1"/>
    <row r="2076" spans="1:31" s="34" customFormat="1" ht="15.75" hidden="1">
      <c r="A2076" s="61">
        <v>83</v>
      </c>
      <c r="B2076" s="129"/>
      <c r="C2076" s="129" t="s">
        <v>731</v>
      </c>
      <c r="D2076" s="129"/>
      <c r="E2076" s="130"/>
      <c r="F2076" s="130" t="s">
        <v>352</v>
      </c>
      <c r="G2076" s="129">
        <v>460</v>
      </c>
      <c r="H2076" s="131" t="s">
        <v>353</v>
      </c>
      <c r="I2076" s="129"/>
      <c r="J2076" s="129"/>
      <c r="K2076" s="130" t="s">
        <v>354</v>
      </c>
      <c r="L2076" s="131">
        <v>6</v>
      </c>
      <c r="M2076" s="129" t="s">
        <v>355</v>
      </c>
      <c r="N2076" s="131" t="s">
        <v>1585</v>
      </c>
      <c r="O2076" s="130"/>
      <c r="P2076" s="130" t="s">
        <v>357</v>
      </c>
      <c r="Q2076" s="129">
        <v>-8</v>
      </c>
      <c r="R2076" s="131" t="s">
        <v>2324</v>
      </c>
      <c r="S2076" s="28"/>
      <c r="T2076" s="28"/>
      <c r="U2076" s="378"/>
      <c r="V2076" s="368"/>
      <c r="W2076" s="368"/>
      <c r="X2076" s="368"/>
      <c r="Y2076" s="368"/>
      <c r="Z2076" s="368"/>
      <c r="AA2076" s="368"/>
      <c r="AB2076" s="368"/>
      <c r="AC2076" s="368"/>
      <c r="AD2076" s="368"/>
      <c r="AE2076" s="510"/>
    </row>
    <row r="2077" spans="1:31" hidden="1">
      <c r="B2077" s="62"/>
      <c r="N2077" s="62"/>
      <c r="O2077" s="62"/>
      <c r="P2077" s="53"/>
      <c r="Q2077" s="45"/>
      <c r="R2077" s="45"/>
    </row>
    <row r="2078" spans="1:31" s="34" customFormat="1" hidden="1">
      <c r="B2078" s="65"/>
      <c r="C2078" s="95" t="s">
        <v>489</v>
      </c>
      <c r="D2078" s="95" t="s">
        <v>490</v>
      </c>
      <c r="E2078" s="95" t="s">
        <v>491</v>
      </c>
      <c r="F2078" s="95" t="s">
        <v>492</v>
      </c>
      <c r="G2078" s="95" t="s">
        <v>493</v>
      </c>
      <c r="H2078" s="95" t="s">
        <v>494</v>
      </c>
      <c r="I2078" s="95" t="s">
        <v>495</v>
      </c>
      <c r="J2078" s="95" t="s">
        <v>496</v>
      </c>
      <c r="K2078" s="95" t="s">
        <v>497</v>
      </c>
      <c r="L2078" s="95" t="s">
        <v>498</v>
      </c>
      <c r="M2078" s="95" t="s">
        <v>499</v>
      </c>
      <c r="N2078" s="126" t="s">
        <v>500</v>
      </c>
      <c r="O2078" s="126" t="s">
        <v>501</v>
      </c>
      <c r="P2078" s="132"/>
      <c r="Q2078" s="133"/>
      <c r="R2078" s="133"/>
      <c r="S2078" s="28"/>
      <c r="T2078" s="28"/>
      <c r="U2078" s="378"/>
      <c r="V2078" s="368"/>
      <c r="W2078" s="368"/>
      <c r="X2078" s="368"/>
      <c r="Y2078" s="368"/>
      <c r="Z2078" s="368"/>
      <c r="AA2078" s="368"/>
      <c r="AB2078" s="368"/>
      <c r="AC2078" s="368"/>
      <c r="AD2078" s="368"/>
      <c r="AE2078" s="510"/>
    </row>
    <row r="2079" spans="1:31" hidden="1">
      <c r="B2079" s="62"/>
      <c r="N2079" s="62"/>
      <c r="O2079" s="62"/>
    </row>
    <row r="2080" spans="1:31" hidden="1">
      <c r="A2080" s="28" t="s">
        <v>1209</v>
      </c>
      <c r="B2080" s="62" t="s">
        <v>2324</v>
      </c>
      <c r="C2080" s="28">
        <v>0.8</v>
      </c>
      <c r="D2080" s="28">
        <v>2.1</v>
      </c>
      <c r="E2080" s="28">
        <v>6.3</v>
      </c>
      <c r="F2080" s="28">
        <v>9.4</v>
      </c>
      <c r="G2080" s="28">
        <v>14.4</v>
      </c>
      <c r="H2080" s="28">
        <v>16.7</v>
      </c>
      <c r="I2080" s="28">
        <v>18.7</v>
      </c>
      <c r="J2080" s="28">
        <v>18.7</v>
      </c>
      <c r="K2080" s="28">
        <v>14.6</v>
      </c>
      <c r="L2080" s="28">
        <v>10.8</v>
      </c>
      <c r="M2080" s="28">
        <v>4.9000000000000004</v>
      </c>
      <c r="N2080" s="62">
        <v>2</v>
      </c>
      <c r="O2080" s="62">
        <v>10</v>
      </c>
    </row>
    <row r="2081" spans="1:31" hidden="1">
      <c r="B2081" s="62"/>
      <c r="N2081" s="62"/>
      <c r="O2081" s="62"/>
    </row>
    <row r="2082" spans="1:31" ht="12.6" hidden="1" customHeight="1">
      <c r="A2082" s="28" t="s">
        <v>1210</v>
      </c>
      <c r="B2082" s="62" t="s">
        <v>804</v>
      </c>
      <c r="C2082" s="28">
        <v>126</v>
      </c>
      <c r="D2082" s="28">
        <v>189</v>
      </c>
      <c r="E2082" s="28">
        <v>327</v>
      </c>
      <c r="F2082" s="28">
        <v>428</v>
      </c>
      <c r="G2082" s="28">
        <v>549</v>
      </c>
      <c r="H2082" s="28">
        <v>552</v>
      </c>
      <c r="I2082" s="28">
        <v>568</v>
      </c>
      <c r="J2082" s="28">
        <v>498</v>
      </c>
      <c r="K2082" s="28">
        <v>353</v>
      </c>
      <c r="L2082" s="28">
        <v>238</v>
      </c>
      <c r="M2082" s="28">
        <v>127</v>
      </c>
      <c r="N2082" s="62">
        <v>94</v>
      </c>
      <c r="O2082" s="62">
        <v>4048</v>
      </c>
      <c r="AE2082" s="378"/>
    </row>
    <row r="2083" spans="1:31" ht="12.6" hidden="1" customHeight="1">
      <c r="A2083" s="28" t="s">
        <v>1211</v>
      </c>
      <c r="B2083" s="62" t="s">
        <v>804</v>
      </c>
      <c r="C2083" s="28">
        <v>209</v>
      </c>
      <c r="D2083" s="28">
        <v>266</v>
      </c>
      <c r="E2083" s="28">
        <v>316</v>
      </c>
      <c r="F2083" s="28">
        <v>293</v>
      </c>
      <c r="G2083" s="28">
        <v>287</v>
      </c>
      <c r="H2083" s="28">
        <v>254</v>
      </c>
      <c r="I2083" s="28">
        <v>281</v>
      </c>
      <c r="J2083" s="28">
        <v>313</v>
      </c>
      <c r="K2083" s="28">
        <v>303</v>
      </c>
      <c r="L2083" s="28">
        <v>279</v>
      </c>
      <c r="M2083" s="28">
        <v>187</v>
      </c>
      <c r="N2083" s="62">
        <v>153</v>
      </c>
      <c r="O2083" s="62">
        <v>3140</v>
      </c>
      <c r="AE2083" s="378"/>
    </row>
    <row r="2084" spans="1:31" ht="12.6" hidden="1" customHeight="1">
      <c r="A2084" s="28" t="s">
        <v>1212</v>
      </c>
      <c r="B2084" s="62" t="s">
        <v>804</v>
      </c>
      <c r="C2084" s="28">
        <v>64</v>
      </c>
      <c r="D2084" s="28">
        <v>106</v>
      </c>
      <c r="E2084" s="28">
        <v>161</v>
      </c>
      <c r="F2084" s="28">
        <v>200</v>
      </c>
      <c r="G2084" s="28">
        <v>246</v>
      </c>
      <c r="H2084" s="28">
        <v>244</v>
      </c>
      <c r="I2084" s="28">
        <v>257</v>
      </c>
      <c r="J2084" s="28">
        <v>228</v>
      </c>
      <c r="K2084" s="28">
        <v>168</v>
      </c>
      <c r="L2084" s="28">
        <v>112</v>
      </c>
      <c r="M2084" s="28">
        <v>60</v>
      </c>
      <c r="N2084" s="62">
        <v>43</v>
      </c>
      <c r="O2084" s="62">
        <v>1889</v>
      </c>
      <c r="AE2084" s="378"/>
    </row>
    <row r="2085" spans="1:31" ht="12.6" hidden="1" customHeight="1">
      <c r="A2085" s="28" t="s">
        <v>1213</v>
      </c>
      <c r="B2085" s="62" t="s">
        <v>804</v>
      </c>
      <c r="C2085" s="28">
        <v>86</v>
      </c>
      <c r="D2085" s="28">
        <v>128</v>
      </c>
      <c r="E2085" s="28">
        <v>179</v>
      </c>
      <c r="F2085" s="28">
        <v>215</v>
      </c>
      <c r="G2085" s="28">
        <v>271</v>
      </c>
      <c r="H2085" s="28">
        <v>264</v>
      </c>
      <c r="I2085" s="28">
        <v>276</v>
      </c>
      <c r="J2085" s="28">
        <v>249</v>
      </c>
      <c r="K2085" s="28">
        <v>181</v>
      </c>
      <c r="L2085" s="28">
        <v>129</v>
      </c>
      <c r="M2085" s="28">
        <v>75</v>
      </c>
      <c r="N2085" s="62">
        <v>59</v>
      </c>
      <c r="O2085" s="62">
        <v>2112</v>
      </c>
      <c r="AE2085" s="378"/>
    </row>
    <row r="2086" spans="1:31" ht="12.6" hidden="1" customHeight="1">
      <c r="A2086" s="28" t="s">
        <v>1214</v>
      </c>
      <c r="B2086" s="62" t="s">
        <v>804</v>
      </c>
      <c r="C2086" s="28">
        <v>46</v>
      </c>
      <c r="D2086" s="28">
        <v>68</v>
      </c>
      <c r="E2086" s="28">
        <v>88</v>
      </c>
      <c r="F2086" s="28">
        <v>109</v>
      </c>
      <c r="G2086" s="28">
        <v>139</v>
      </c>
      <c r="H2086" s="28">
        <v>148</v>
      </c>
      <c r="I2086" s="28">
        <v>145</v>
      </c>
      <c r="J2086" s="28">
        <v>121</v>
      </c>
      <c r="K2086" s="28">
        <v>88</v>
      </c>
      <c r="L2086" s="28">
        <v>64</v>
      </c>
      <c r="M2086" s="28">
        <v>39</v>
      </c>
      <c r="N2086" s="62">
        <v>32</v>
      </c>
      <c r="O2086" s="62">
        <v>1086</v>
      </c>
      <c r="AE2086" s="378"/>
    </row>
    <row r="2087" spans="1:31" hidden="1">
      <c r="B2087" s="62"/>
      <c r="N2087" s="62"/>
      <c r="O2087" s="62"/>
      <c r="AE2087" s="378"/>
    </row>
    <row r="2088" spans="1:31" hidden="1">
      <c r="B2088" s="62"/>
      <c r="N2088" s="62"/>
      <c r="O2088" s="62"/>
      <c r="AE2088" s="378"/>
    </row>
    <row r="2089" spans="1:31" hidden="1">
      <c r="B2089" s="62"/>
      <c r="N2089" s="62"/>
      <c r="O2089" s="62"/>
      <c r="AE2089" s="378"/>
    </row>
    <row r="2090" spans="1:31" hidden="1">
      <c r="B2090" s="62"/>
      <c r="N2090" s="62"/>
      <c r="O2090" s="62"/>
      <c r="AE2090" s="378"/>
    </row>
    <row r="2091" spans="1:31" hidden="1">
      <c r="A2091" s="28" t="s">
        <v>1886</v>
      </c>
      <c r="B2091" s="62" t="s">
        <v>1808</v>
      </c>
      <c r="C2091" s="28">
        <v>31</v>
      </c>
      <c r="D2091" s="28">
        <v>28</v>
      </c>
      <c r="E2091" s="28">
        <v>30</v>
      </c>
      <c r="F2091" s="28">
        <v>22</v>
      </c>
      <c r="G2091" s="28">
        <v>13</v>
      </c>
      <c r="H2091" s="28">
        <v>4</v>
      </c>
      <c r="I2091" s="28">
        <v>2</v>
      </c>
      <c r="J2091" s="28">
        <v>3</v>
      </c>
      <c r="K2091" s="28">
        <v>6</v>
      </c>
      <c r="L2091" s="28">
        <v>20</v>
      </c>
      <c r="M2091" s="28">
        <v>28</v>
      </c>
      <c r="N2091" s="62">
        <v>31</v>
      </c>
      <c r="O2091" s="62"/>
      <c r="Q2091" s="28">
        <v>218</v>
      </c>
      <c r="AE2091" s="378"/>
    </row>
    <row r="2092" spans="1:31" hidden="1">
      <c r="A2092" s="28" t="s">
        <v>1887</v>
      </c>
      <c r="B2092" s="62" t="s">
        <v>1810</v>
      </c>
      <c r="C2092" s="28">
        <v>595</v>
      </c>
      <c r="D2092" s="28">
        <v>501</v>
      </c>
      <c r="E2092" s="28">
        <v>411</v>
      </c>
      <c r="F2092" s="28">
        <v>233</v>
      </c>
      <c r="G2092" s="28">
        <v>73</v>
      </c>
      <c r="H2092" s="28">
        <v>13</v>
      </c>
      <c r="I2092" s="28">
        <v>3</v>
      </c>
      <c r="J2092" s="28">
        <v>4</v>
      </c>
      <c r="K2092" s="28">
        <v>32</v>
      </c>
      <c r="L2092" s="28">
        <v>184</v>
      </c>
      <c r="M2092" s="28">
        <v>423</v>
      </c>
      <c r="N2092" s="62">
        <v>558</v>
      </c>
      <c r="O2092" s="62"/>
      <c r="Q2092" s="28">
        <v>3030</v>
      </c>
      <c r="AE2092" s="378"/>
    </row>
    <row r="2093" spans="1:31" hidden="1">
      <c r="B2093" s="62"/>
      <c r="N2093" s="62"/>
      <c r="O2093" s="62"/>
      <c r="AE2093" s="378"/>
    </row>
    <row r="2094" spans="1:31" hidden="1">
      <c r="B2094" s="62"/>
      <c r="N2094" s="62"/>
      <c r="O2094" s="62"/>
      <c r="AE2094" s="378"/>
    </row>
    <row r="2095" spans="1:31" hidden="1">
      <c r="B2095" s="62"/>
      <c r="N2095" s="62"/>
      <c r="O2095" s="62"/>
      <c r="AE2095" s="378"/>
    </row>
    <row r="2096" spans="1:31" ht="7.9" hidden="1" customHeight="1"/>
    <row r="2097" spans="1:31" ht="7.9" hidden="1" customHeight="1"/>
    <row r="2098" spans="1:31" ht="7.9" hidden="1" customHeight="1"/>
    <row r="2099" spans="1:31" ht="7.9" hidden="1" customHeight="1"/>
    <row r="2100" spans="1:31" ht="7.9" hidden="1" customHeight="1"/>
    <row r="2101" spans="1:31" s="34" customFormat="1" ht="15.75" hidden="1">
      <c r="A2101" s="61">
        <v>84</v>
      </c>
      <c r="B2101" s="129"/>
      <c r="C2101" s="129" t="s">
        <v>732</v>
      </c>
      <c r="D2101" s="129"/>
      <c r="E2101" s="130"/>
      <c r="F2101" s="130" t="s">
        <v>352</v>
      </c>
      <c r="G2101" s="129">
        <v>422</v>
      </c>
      <c r="H2101" s="131" t="s">
        <v>353</v>
      </c>
      <c r="I2101" s="129"/>
      <c r="J2101" s="129"/>
      <c r="K2101" s="130" t="s">
        <v>354</v>
      </c>
      <c r="L2101" s="131">
        <v>4</v>
      </c>
      <c r="M2101" s="129" t="s">
        <v>355</v>
      </c>
      <c r="N2101" s="131" t="s">
        <v>1585</v>
      </c>
      <c r="O2101" s="130"/>
      <c r="P2101" s="130" t="s">
        <v>357</v>
      </c>
      <c r="Q2101" s="129">
        <v>-7</v>
      </c>
      <c r="R2101" s="131" t="s">
        <v>2324</v>
      </c>
      <c r="S2101" s="28"/>
      <c r="T2101" s="28"/>
      <c r="U2101" s="378"/>
      <c r="V2101" s="368"/>
      <c r="W2101" s="368"/>
      <c r="X2101" s="368"/>
      <c r="Y2101" s="368"/>
      <c r="Z2101" s="368"/>
      <c r="AA2101" s="368"/>
      <c r="AB2101" s="368"/>
      <c r="AC2101" s="368"/>
      <c r="AD2101" s="368"/>
      <c r="AE2101" s="510"/>
    </row>
    <row r="2102" spans="1:31" hidden="1">
      <c r="B2102" s="62"/>
      <c r="N2102" s="62"/>
      <c r="O2102" s="62"/>
      <c r="P2102" s="53"/>
      <c r="Q2102" s="45"/>
      <c r="R2102" s="45"/>
    </row>
    <row r="2103" spans="1:31" s="34" customFormat="1" hidden="1">
      <c r="B2103" s="65"/>
      <c r="C2103" s="95" t="s">
        <v>489</v>
      </c>
      <c r="D2103" s="95" t="s">
        <v>490</v>
      </c>
      <c r="E2103" s="95" t="s">
        <v>491</v>
      </c>
      <c r="F2103" s="95" t="s">
        <v>492</v>
      </c>
      <c r="G2103" s="95" t="s">
        <v>493</v>
      </c>
      <c r="H2103" s="95" t="s">
        <v>494</v>
      </c>
      <c r="I2103" s="95" t="s">
        <v>495</v>
      </c>
      <c r="J2103" s="95" t="s">
        <v>496</v>
      </c>
      <c r="K2103" s="95" t="s">
        <v>497</v>
      </c>
      <c r="L2103" s="95" t="s">
        <v>498</v>
      </c>
      <c r="M2103" s="95" t="s">
        <v>499</v>
      </c>
      <c r="N2103" s="126" t="s">
        <v>500</v>
      </c>
      <c r="O2103" s="126" t="s">
        <v>501</v>
      </c>
      <c r="P2103" s="132"/>
      <c r="Q2103" s="133"/>
      <c r="R2103" s="133"/>
      <c r="S2103" s="28"/>
      <c r="T2103" s="28"/>
      <c r="U2103" s="378"/>
      <c r="V2103" s="368"/>
      <c r="W2103" s="368"/>
      <c r="X2103" s="368"/>
      <c r="Y2103" s="368"/>
      <c r="Z2103" s="368"/>
      <c r="AA2103" s="368"/>
      <c r="AB2103" s="368"/>
      <c r="AC2103" s="368"/>
      <c r="AD2103" s="368"/>
      <c r="AE2103" s="510"/>
    </row>
    <row r="2104" spans="1:31" hidden="1">
      <c r="B2104" s="62"/>
      <c r="N2104" s="62"/>
      <c r="O2104" s="62"/>
    </row>
    <row r="2105" spans="1:31" hidden="1">
      <c r="A2105" s="28" t="s">
        <v>1209</v>
      </c>
      <c r="B2105" s="62" t="s">
        <v>2324</v>
      </c>
      <c r="C2105" s="28">
        <v>0</v>
      </c>
      <c r="D2105" s="28">
        <v>1</v>
      </c>
      <c r="E2105" s="28">
        <v>4.9000000000000004</v>
      </c>
      <c r="F2105" s="28">
        <v>8</v>
      </c>
      <c r="G2105" s="28">
        <v>13.2</v>
      </c>
      <c r="H2105" s="28">
        <v>16.2</v>
      </c>
      <c r="I2105" s="28">
        <v>18.399999999999999</v>
      </c>
      <c r="J2105" s="28">
        <v>18.100000000000001</v>
      </c>
      <c r="K2105" s="28">
        <v>13.7</v>
      </c>
      <c r="L2105" s="28">
        <v>9.5</v>
      </c>
      <c r="M2105" s="28">
        <v>3.9</v>
      </c>
      <c r="N2105" s="62">
        <v>1.4</v>
      </c>
      <c r="O2105" s="62">
        <v>9</v>
      </c>
    </row>
    <row r="2106" spans="1:31" hidden="1">
      <c r="B2106" s="62"/>
      <c r="N2106" s="62"/>
      <c r="O2106" s="62"/>
    </row>
    <row r="2107" spans="1:31" ht="12.6" hidden="1" customHeight="1">
      <c r="A2107" s="28" t="s">
        <v>1210</v>
      </c>
      <c r="B2107" s="62" t="s">
        <v>804</v>
      </c>
      <c r="C2107" s="28">
        <v>94</v>
      </c>
      <c r="D2107" s="28">
        <v>162</v>
      </c>
      <c r="E2107" s="28">
        <v>313</v>
      </c>
      <c r="F2107" s="28">
        <v>417</v>
      </c>
      <c r="G2107" s="28">
        <v>544</v>
      </c>
      <c r="H2107" s="28">
        <v>588</v>
      </c>
      <c r="I2107" s="28">
        <v>616</v>
      </c>
      <c r="J2107" s="28">
        <v>530</v>
      </c>
      <c r="K2107" s="28">
        <v>358</v>
      </c>
      <c r="L2107" s="28">
        <v>204</v>
      </c>
      <c r="M2107" s="28">
        <v>98</v>
      </c>
      <c r="N2107" s="62">
        <v>72</v>
      </c>
      <c r="O2107" s="62">
        <v>3997</v>
      </c>
      <c r="AE2107" s="378"/>
    </row>
    <row r="2108" spans="1:31" ht="12.6" hidden="1" customHeight="1">
      <c r="A2108" s="28" t="s">
        <v>1211</v>
      </c>
      <c r="B2108" s="62" t="s">
        <v>804</v>
      </c>
      <c r="C2108" s="28">
        <v>131</v>
      </c>
      <c r="D2108" s="28">
        <v>213</v>
      </c>
      <c r="E2108" s="28">
        <v>308</v>
      </c>
      <c r="F2108" s="28">
        <v>285</v>
      </c>
      <c r="G2108" s="28">
        <v>287</v>
      </c>
      <c r="H2108" s="28">
        <v>275</v>
      </c>
      <c r="I2108" s="28">
        <v>305</v>
      </c>
      <c r="J2108" s="28">
        <v>337</v>
      </c>
      <c r="K2108" s="28">
        <v>308</v>
      </c>
      <c r="L2108" s="28">
        <v>225</v>
      </c>
      <c r="M2108" s="28">
        <v>122</v>
      </c>
      <c r="N2108" s="62">
        <v>104</v>
      </c>
      <c r="O2108" s="62">
        <v>2901</v>
      </c>
      <c r="AE2108" s="378"/>
    </row>
    <row r="2109" spans="1:31" ht="12.6" hidden="1" customHeight="1">
      <c r="A2109" s="28" t="s">
        <v>1212</v>
      </c>
      <c r="B2109" s="62" t="s">
        <v>804</v>
      </c>
      <c r="C2109" s="28">
        <v>54</v>
      </c>
      <c r="D2109" s="28">
        <v>97</v>
      </c>
      <c r="E2109" s="28">
        <v>177</v>
      </c>
      <c r="F2109" s="28">
        <v>228</v>
      </c>
      <c r="G2109" s="28">
        <v>289</v>
      </c>
      <c r="H2109" s="28">
        <v>319</v>
      </c>
      <c r="I2109" s="28">
        <v>337</v>
      </c>
      <c r="J2109" s="28">
        <v>295</v>
      </c>
      <c r="K2109" s="28">
        <v>187</v>
      </c>
      <c r="L2109" s="28">
        <v>99</v>
      </c>
      <c r="M2109" s="28">
        <v>49</v>
      </c>
      <c r="N2109" s="62">
        <v>40</v>
      </c>
      <c r="O2109" s="62">
        <v>2171</v>
      </c>
      <c r="AE2109" s="378"/>
    </row>
    <row r="2110" spans="1:31" ht="12.6" hidden="1" customHeight="1">
      <c r="A2110" s="28" t="s">
        <v>1213</v>
      </c>
      <c r="B2110" s="62" t="s">
        <v>804</v>
      </c>
      <c r="C2110" s="28">
        <v>67</v>
      </c>
      <c r="D2110" s="28">
        <v>116</v>
      </c>
      <c r="E2110" s="28">
        <v>198</v>
      </c>
      <c r="F2110" s="28">
        <v>231</v>
      </c>
      <c r="G2110" s="28">
        <v>292</v>
      </c>
      <c r="H2110" s="28">
        <v>308</v>
      </c>
      <c r="I2110" s="28">
        <v>329</v>
      </c>
      <c r="J2110" s="28">
        <v>292</v>
      </c>
      <c r="K2110" s="28">
        <v>218</v>
      </c>
      <c r="L2110" s="28">
        <v>137</v>
      </c>
      <c r="M2110" s="28">
        <v>65</v>
      </c>
      <c r="N2110" s="62">
        <v>48</v>
      </c>
      <c r="O2110" s="62">
        <v>2301</v>
      </c>
      <c r="AE2110" s="378"/>
    </row>
    <row r="2111" spans="1:31" ht="12.6" hidden="1" customHeight="1">
      <c r="A2111" s="28" t="s">
        <v>1214</v>
      </c>
      <c r="B2111" s="62" t="s">
        <v>804</v>
      </c>
      <c r="C2111" s="28">
        <v>40</v>
      </c>
      <c r="D2111" s="28">
        <v>63</v>
      </c>
      <c r="E2111" s="28">
        <v>96</v>
      </c>
      <c r="F2111" s="28">
        <v>117</v>
      </c>
      <c r="G2111" s="28">
        <v>158</v>
      </c>
      <c r="H2111" s="28">
        <v>179</v>
      </c>
      <c r="I2111" s="28">
        <v>179</v>
      </c>
      <c r="J2111" s="28">
        <v>139</v>
      </c>
      <c r="K2111" s="28">
        <v>98</v>
      </c>
      <c r="L2111" s="28">
        <v>64</v>
      </c>
      <c r="M2111" s="28">
        <v>36</v>
      </c>
      <c r="N2111" s="62">
        <v>29</v>
      </c>
      <c r="O2111" s="62">
        <v>1200</v>
      </c>
      <c r="AE2111" s="378"/>
    </row>
    <row r="2112" spans="1:31" hidden="1">
      <c r="B2112" s="62"/>
      <c r="N2112" s="62"/>
      <c r="O2112" s="62"/>
      <c r="AE2112" s="378"/>
    </row>
    <row r="2113" spans="1:31" hidden="1">
      <c r="B2113" s="62"/>
      <c r="N2113" s="62"/>
      <c r="O2113" s="62"/>
      <c r="AE2113" s="378"/>
    </row>
    <row r="2114" spans="1:31" hidden="1">
      <c r="B2114" s="62"/>
      <c r="N2114" s="62"/>
      <c r="O2114" s="62"/>
      <c r="AE2114" s="378"/>
    </row>
    <row r="2115" spans="1:31" hidden="1">
      <c r="B2115" s="62"/>
      <c r="N2115" s="62"/>
      <c r="O2115" s="62"/>
      <c r="AE2115" s="378"/>
    </row>
    <row r="2116" spans="1:31" hidden="1">
      <c r="A2116" s="28" t="s">
        <v>1886</v>
      </c>
      <c r="B2116" s="62" t="s">
        <v>1808</v>
      </c>
      <c r="C2116" s="28">
        <v>31</v>
      </c>
      <c r="D2116" s="28">
        <v>28</v>
      </c>
      <c r="E2116" s="28">
        <v>31</v>
      </c>
      <c r="F2116" s="28">
        <v>24</v>
      </c>
      <c r="G2116" s="28">
        <v>14</v>
      </c>
      <c r="H2116" s="28">
        <v>3</v>
      </c>
      <c r="I2116" s="28">
        <v>1</v>
      </c>
      <c r="J2116" s="28">
        <v>1</v>
      </c>
      <c r="K2116" s="28">
        <v>7</v>
      </c>
      <c r="L2116" s="28">
        <v>22</v>
      </c>
      <c r="M2116" s="28">
        <v>30</v>
      </c>
      <c r="N2116" s="62">
        <v>31</v>
      </c>
      <c r="O2116" s="62"/>
      <c r="Q2116" s="28">
        <v>223</v>
      </c>
      <c r="AE2116" s="378"/>
    </row>
    <row r="2117" spans="1:31" hidden="1">
      <c r="A2117" s="28" t="s">
        <v>1887</v>
      </c>
      <c r="B2117" s="62" t="s">
        <v>1810</v>
      </c>
      <c r="C2117" s="28">
        <v>620</v>
      </c>
      <c r="D2117" s="28">
        <v>532</v>
      </c>
      <c r="E2117" s="28">
        <v>468</v>
      </c>
      <c r="F2117" s="28">
        <v>288</v>
      </c>
      <c r="G2117" s="28">
        <v>95</v>
      </c>
      <c r="H2117" s="28">
        <v>11</v>
      </c>
      <c r="I2117" s="28">
        <v>2</v>
      </c>
      <c r="J2117" s="28">
        <v>2</v>
      </c>
      <c r="K2117" s="28">
        <v>44</v>
      </c>
      <c r="L2117" s="28">
        <v>231</v>
      </c>
      <c r="M2117" s="28">
        <v>483</v>
      </c>
      <c r="N2117" s="62">
        <v>577</v>
      </c>
      <c r="O2117" s="62"/>
      <c r="Q2117" s="28">
        <v>3353</v>
      </c>
      <c r="AE2117" s="378"/>
    </row>
    <row r="2118" spans="1:31" hidden="1">
      <c r="B2118" s="62"/>
      <c r="N2118" s="62"/>
      <c r="O2118" s="62"/>
      <c r="AE2118" s="378"/>
    </row>
    <row r="2119" spans="1:31" hidden="1">
      <c r="B2119" s="62"/>
      <c r="N2119" s="62"/>
      <c r="O2119" s="62"/>
      <c r="AE2119" s="378"/>
    </row>
    <row r="2120" spans="1:31" hidden="1">
      <c r="B2120" s="62"/>
      <c r="N2120" s="62"/>
      <c r="O2120" s="62"/>
      <c r="AE2120" s="378"/>
    </row>
    <row r="2121" spans="1:31" ht="7.9" hidden="1" customHeight="1"/>
    <row r="2122" spans="1:31" ht="7.9" hidden="1" customHeight="1"/>
    <row r="2123" spans="1:31" ht="7.9" hidden="1" customHeight="1"/>
    <row r="2124" spans="1:31" ht="7.9" hidden="1" customHeight="1"/>
    <row r="2125" spans="1:31" ht="7.9" hidden="1" customHeight="1"/>
    <row r="2126" spans="1:31" s="34" customFormat="1" ht="15.75" hidden="1">
      <c r="A2126" s="61">
        <v>85</v>
      </c>
      <c r="B2126" s="129"/>
      <c r="C2126" s="129" t="s">
        <v>733</v>
      </c>
      <c r="D2126" s="129"/>
      <c r="E2126" s="130"/>
      <c r="F2126" s="130" t="s">
        <v>352</v>
      </c>
      <c r="G2126" s="129">
        <v>555</v>
      </c>
      <c r="H2126" s="131" t="s">
        <v>353</v>
      </c>
      <c r="I2126" s="129"/>
      <c r="J2126" s="129"/>
      <c r="K2126" s="130" t="s">
        <v>354</v>
      </c>
      <c r="L2126" s="131">
        <v>9</v>
      </c>
      <c r="M2126" s="129" t="s">
        <v>355</v>
      </c>
      <c r="N2126" s="131" t="s">
        <v>1585</v>
      </c>
      <c r="O2126" s="130"/>
      <c r="P2126" s="130" t="s">
        <v>357</v>
      </c>
      <c r="Q2126" s="129">
        <v>-7</v>
      </c>
      <c r="R2126" s="131" t="s">
        <v>2324</v>
      </c>
      <c r="S2126" s="28"/>
      <c r="T2126" s="28"/>
      <c r="U2126" s="378"/>
      <c r="V2126" s="368"/>
      <c r="W2126" s="368"/>
      <c r="X2126" s="368"/>
      <c r="Y2126" s="368"/>
      <c r="Z2126" s="368"/>
      <c r="AA2126" s="368"/>
      <c r="AB2126" s="368"/>
      <c r="AC2126" s="368"/>
      <c r="AD2126" s="368"/>
      <c r="AE2126" s="510"/>
    </row>
    <row r="2127" spans="1:31" hidden="1">
      <c r="B2127" s="62"/>
      <c r="N2127" s="62"/>
      <c r="O2127" s="62"/>
      <c r="P2127" s="53"/>
      <c r="Q2127" s="45"/>
      <c r="R2127" s="45"/>
    </row>
    <row r="2128" spans="1:31" s="34" customFormat="1" hidden="1">
      <c r="B2128" s="65"/>
      <c r="C2128" s="95" t="s">
        <v>489</v>
      </c>
      <c r="D2128" s="95" t="s">
        <v>490</v>
      </c>
      <c r="E2128" s="95" t="s">
        <v>491</v>
      </c>
      <c r="F2128" s="95" t="s">
        <v>492</v>
      </c>
      <c r="G2128" s="95" t="s">
        <v>493</v>
      </c>
      <c r="H2128" s="95" t="s">
        <v>494</v>
      </c>
      <c r="I2128" s="95" t="s">
        <v>495</v>
      </c>
      <c r="J2128" s="95" t="s">
        <v>496</v>
      </c>
      <c r="K2128" s="95" t="s">
        <v>497</v>
      </c>
      <c r="L2128" s="95" t="s">
        <v>498</v>
      </c>
      <c r="M2128" s="95" t="s">
        <v>499</v>
      </c>
      <c r="N2128" s="126" t="s">
        <v>500</v>
      </c>
      <c r="O2128" s="126" t="s">
        <v>501</v>
      </c>
      <c r="P2128" s="132"/>
      <c r="Q2128" s="133"/>
      <c r="R2128" s="133"/>
      <c r="S2128" s="28"/>
      <c r="T2128" s="28"/>
      <c r="U2128" s="378"/>
      <c r="V2128" s="368"/>
      <c r="W2128" s="368"/>
      <c r="X2128" s="368"/>
      <c r="Y2128" s="368"/>
      <c r="Z2128" s="368"/>
      <c r="AA2128" s="368"/>
      <c r="AB2128" s="368"/>
      <c r="AC2128" s="368"/>
      <c r="AD2128" s="368"/>
      <c r="AE2128" s="510"/>
    </row>
    <row r="2129" spans="1:31" hidden="1">
      <c r="B2129" s="62"/>
      <c r="N2129" s="62"/>
      <c r="O2129" s="62"/>
    </row>
    <row r="2130" spans="1:31" hidden="1">
      <c r="A2130" s="28" t="s">
        <v>1209</v>
      </c>
      <c r="B2130" s="62" t="s">
        <v>2324</v>
      </c>
      <c r="C2130" s="28">
        <v>0.5</v>
      </c>
      <c r="D2130" s="28">
        <v>1.7</v>
      </c>
      <c r="E2130" s="28">
        <v>5.8</v>
      </c>
      <c r="F2130" s="28">
        <v>8.9</v>
      </c>
      <c r="G2130" s="28">
        <v>14.1</v>
      </c>
      <c r="H2130" s="28">
        <v>16.5</v>
      </c>
      <c r="I2130" s="28">
        <v>18.5</v>
      </c>
      <c r="J2130" s="28">
        <v>18.399999999999999</v>
      </c>
      <c r="K2130" s="28">
        <v>14.2</v>
      </c>
      <c r="L2130" s="28">
        <v>10.4</v>
      </c>
      <c r="M2130" s="28">
        <v>4.7</v>
      </c>
      <c r="N2130" s="62">
        <v>1.7</v>
      </c>
      <c r="O2130" s="62">
        <v>9.6</v>
      </c>
    </row>
    <row r="2131" spans="1:31" hidden="1">
      <c r="B2131" s="62"/>
      <c r="N2131" s="62"/>
      <c r="O2131" s="62"/>
    </row>
    <row r="2132" spans="1:31" ht="12.6" hidden="1" customHeight="1">
      <c r="A2132" s="28" t="s">
        <v>1210</v>
      </c>
      <c r="B2132" s="62" t="s">
        <v>804</v>
      </c>
      <c r="C2132" s="28">
        <v>142</v>
      </c>
      <c r="D2132" s="28">
        <v>208</v>
      </c>
      <c r="E2132" s="28">
        <v>359</v>
      </c>
      <c r="F2132" s="28">
        <v>459</v>
      </c>
      <c r="G2132" s="28">
        <v>570</v>
      </c>
      <c r="H2132" s="28">
        <v>578</v>
      </c>
      <c r="I2132" s="28">
        <v>597</v>
      </c>
      <c r="J2132" s="28">
        <v>520</v>
      </c>
      <c r="K2132" s="28">
        <v>373</v>
      </c>
      <c r="L2132" s="28">
        <v>257</v>
      </c>
      <c r="M2132" s="28">
        <v>148</v>
      </c>
      <c r="N2132" s="62">
        <v>112</v>
      </c>
      <c r="O2132" s="62">
        <v>4324</v>
      </c>
      <c r="AE2132" s="378"/>
    </row>
    <row r="2133" spans="1:31" ht="12.6" hidden="1" customHeight="1">
      <c r="A2133" s="28" t="s">
        <v>1211</v>
      </c>
      <c r="B2133" s="62" t="s">
        <v>804</v>
      </c>
      <c r="C2133" s="28">
        <v>260</v>
      </c>
      <c r="D2133" s="28">
        <v>307</v>
      </c>
      <c r="E2133" s="28">
        <v>362</v>
      </c>
      <c r="F2133" s="28">
        <v>311</v>
      </c>
      <c r="G2133" s="28">
        <v>295</v>
      </c>
      <c r="H2133" s="28">
        <v>264</v>
      </c>
      <c r="I2133" s="28">
        <v>292</v>
      </c>
      <c r="J2133" s="28">
        <v>324</v>
      </c>
      <c r="K2133" s="28">
        <v>316</v>
      </c>
      <c r="L2133" s="28">
        <v>308</v>
      </c>
      <c r="M2133" s="28">
        <v>228</v>
      </c>
      <c r="N2133" s="62">
        <v>204</v>
      </c>
      <c r="O2133" s="62">
        <v>3471</v>
      </c>
      <c r="AE2133" s="378"/>
    </row>
    <row r="2134" spans="1:31" ht="12.6" hidden="1" customHeight="1">
      <c r="A2134" s="28" t="s">
        <v>1212</v>
      </c>
      <c r="B2134" s="62" t="s">
        <v>804</v>
      </c>
      <c r="C2134" s="28">
        <v>80</v>
      </c>
      <c r="D2134" s="28">
        <v>121</v>
      </c>
      <c r="E2134" s="28">
        <v>179</v>
      </c>
      <c r="F2134" s="28">
        <v>220</v>
      </c>
      <c r="G2134" s="28">
        <v>287</v>
      </c>
      <c r="H2134" s="28">
        <v>288</v>
      </c>
      <c r="I2134" s="28">
        <v>303</v>
      </c>
      <c r="J2134" s="28">
        <v>260</v>
      </c>
      <c r="K2134" s="28">
        <v>179</v>
      </c>
      <c r="L2134" s="28">
        <v>118</v>
      </c>
      <c r="M2134" s="28">
        <v>67</v>
      </c>
      <c r="N2134" s="62">
        <v>56</v>
      </c>
      <c r="O2134" s="62">
        <v>2158</v>
      </c>
      <c r="AE2134" s="378"/>
    </row>
    <row r="2135" spans="1:31" ht="12.6" hidden="1" customHeight="1">
      <c r="A2135" s="28" t="s">
        <v>1213</v>
      </c>
      <c r="B2135" s="62" t="s">
        <v>804</v>
      </c>
      <c r="C2135" s="28">
        <v>104</v>
      </c>
      <c r="D2135" s="28">
        <v>148</v>
      </c>
      <c r="E2135" s="28">
        <v>204</v>
      </c>
      <c r="F2135" s="28">
        <v>215</v>
      </c>
      <c r="G2135" s="28">
        <v>249</v>
      </c>
      <c r="H2135" s="28">
        <v>241</v>
      </c>
      <c r="I2135" s="28">
        <v>252</v>
      </c>
      <c r="J2135" s="28">
        <v>238</v>
      </c>
      <c r="K2135" s="28">
        <v>184</v>
      </c>
      <c r="L2135" s="28">
        <v>145</v>
      </c>
      <c r="M2135" s="28">
        <v>91</v>
      </c>
      <c r="N2135" s="62">
        <v>75</v>
      </c>
      <c r="O2135" s="62">
        <v>2145</v>
      </c>
      <c r="AE2135" s="378"/>
    </row>
    <row r="2136" spans="1:31" ht="12.6" hidden="1" customHeight="1">
      <c r="A2136" s="28" t="s">
        <v>1214</v>
      </c>
      <c r="B2136" s="62" t="s">
        <v>804</v>
      </c>
      <c r="C2136" s="28">
        <v>54</v>
      </c>
      <c r="D2136" s="28">
        <v>77</v>
      </c>
      <c r="E2136" s="28">
        <v>102</v>
      </c>
      <c r="F2136" s="28">
        <v>114</v>
      </c>
      <c r="G2136" s="28">
        <v>142</v>
      </c>
      <c r="H2136" s="28">
        <v>148</v>
      </c>
      <c r="I2136" s="28">
        <v>147</v>
      </c>
      <c r="J2136" s="28">
        <v>123</v>
      </c>
      <c r="K2136" s="28">
        <v>91</v>
      </c>
      <c r="L2136" s="28">
        <v>64</v>
      </c>
      <c r="M2136" s="28">
        <v>44</v>
      </c>
      <c r="N2136" s="62">
        <v>40</v>
      </c>
      <c r="O2136" s="62">
        <v>1146</v>
      </c>
      <c r="AE2136" s="378"/>
    </row>
    <row r="2137" spans="1:31" hidden="1">
      <c r="B2137" s="62"/>
      <c r="N2137" s="62"/>
      <c r="O2137" s="62"/>
      <c r="AE2137" s="378"/>
    </row>
    <row r="2138" spans="1:31" hidden="1">
      <c r="B2138" s="62"/>
      <c r="N2138" s="62"/>
      <c r="O2138" s="62"/>
      <c r="AE2138" s="378"/>
    </row>
    <row r="2139" spans="1:31" hidden="1">
      <c r="B2139" s="62"/>
      <c r="N2139" s="62"/>
      <c r="O2139" s="62"/>
      <c r="AE2139" s="378"/>
    </row>
    <row r="2140" spans="1:31" hidden="1">
      <c r="B2140" s="62"/>
      <c r="N2140" s="62"/>
      <c r="O2140" s="62"/>
      <c r="AE2140" s="378"/>
    </row>
    <row r="2141" spans="1:31" hidden="1">
      <c r="A2141" s="28" t="s">
        <v>1886</v>
      </c>
      <c r="B2141" s="62" t="s">
        <v>1808</v>
      </c>
      <c r="C2141" s="28">
        <v>31</v>
      </c>
      <c r="D2141" s="28">
        <v>28</v>
      </c>
      <c r="E2141" s="28">
        <v>30</v>
      </c>
      <c r="F2141" s="28">
        <v>22</v>
      </c>
      <c r="G2141" s="28">
        <v>13</v>
      </c>
      <c r="H2141" s="28">
        <v>4</v>
      </c>
      <c r="I2141" s="28">
        <v>2</v>
      </c>
      <c r="J2141" s="28">
        <v>3</v>
      </c>
      <c r="K2141" s="28">
        <v>6</v>
      </c>
      <c r="L2141" s="28">
        <v>20</v>
      </c>
      <c r="M2141" s="28">
        <v>28</v>
      </c>
      <c r="N2141" s="62">
        <v>31</v>
      </c>
      <c r="O2141" s="62"/>
      <c r="Q2141" s="28">
        <v>218</v>
      </c>
      <c r="AE2141" s="378"/>
    </row>
    <row r="2142" spans="1:31" hidden="1">
      <c r="A2142" s="28" t="s">
        <v>1887</v>
      </c>
      <c r="B2142" s="62" t="s">
        <v>1810</v>
      </c>
      <c r="C2142" s="28">
        <v>605</v>
      </c>
      <c r="D2142" s="28">
        <v>512</v>
      </c>
      <c r="E2142" s="28">
        <v>426</v>
      </c>
      <c r="F2142" s="28">
        <v>244</v>
      </c>
      <c r="G2142" s="28">
        <v>77</v>
      </c>
      <c r="H2142" s="28">
        <v>14</v>
      </c>
      <c r="I2142" s="28">
        <v>3</v>
      </c>
      <c r="J2142" s="28">
        <v>5</v>
      </c>
      <c r="K2142" s="28">
        <v>35</v>
      </c>
      <c r="L2142" s="28">
        <v>192</v>
      </c>
      <c r="M2142" s="28">
        <v>428</v>
      </c>
      <c r="N2142" s="62">
        <v>567</v>
      </c>
      <c r="O2142" s="62"/>
      <c r="Q2142" s="28">
        <v>3108</v>
      </c>
      <c r="AE2142" s="378"/>
    </row>
    <row r="2143" spans="1:31" hidden="1">
      <c r="B2143" s="62"/>
      <c r="N2143" s="62"/>
      <c r="O2143" s="62"/>
      <c r="AE2143" s="378"/>
    </row>
    <row r="2144" spans="1:31" hidden="1">
      <c r="B2144" s="62"/>
      <c r="N2144" s="62"/>
      <c r="O2144" s="62"/>
      <c r="AE2144" s="378"/>
    </row>
    <row r="2145" spans="1:31" hidden="1">
      <c r="B2145" s="62"/>
      <c r="N2145" s="62"/>
      <c r="O2145" s="62"/>
      <c r="AE2145" s="378"/>
    </row>
    <row r="2146" spans="1:31" ht="7.9" hidden="1" customHeight="1"/>
    <row r="2147" spans="1:31" ht="7.9" hidden="1" customHeight="1"/>
    <row r="2148" spans="1:31" ht="7.9" hidden="1" customHeight="1"/>
    <row r="2149" spans="1:31" ht="7.9" hidden="1" customHeight="1"/>
    <row r="2150" spans="1:31" ht="7.9" hidden="1" customHeight="1"/>
    <row r="2151" spans="1:31" s="34" customFormat="1" ht="15.75" hidden="1">
      <c r="A2151" s="61">
        <v>86</v>
      </c>
      <c r="B2151" s="129"/>
      <c r="C2151" s="129"/>
      <c r="D2151" s="129"/>
      <c r="E2151" s="130"/>
      <c r="F2151" s="130" t="s">
        <v>352</v>
      </c>
      <c r="G2151" s="129"/>
      <c r="H2151" s="131" t="s">
        <v>353</v>
      </c>
      <c r="I2151" s="129"/>
      <c r="J2151" s="129"/>
      <c r="K2151" s="130" t="s">
        <v>354</v>
      </c>
      <c r="L2151" s="131"/>
      <c r="M2151" s="129" t="s">
        <v>355</v>
      </c>
      <c r="N2151" s="131"/>
      <c r="O2151" s="130"/>
      <c r="P2151" s="130" t="s">
        <v>357</v>
      </c>
      <c r="Q2151" s="129"/>
      <c r="R2151" s="131" t="s">
        <v>2324</v>
      </c>
      <c r="S2151" s="28"/>
      <c r="T2151" s="28"/>
      <c r="U2151" s="378"/>
      <c r="V2151" s="368"/>
      <c r="W2151" s="368"/>
      <c r="X2151" s="368"/>
      <c r="Y2151" s="368"/>
      <c r="Z2151" s="368"/>
      <c r="AA2151" s="368"/>
      <c r="AB2151" s="368"/>
      <c r="AC2151" s="368"/>
      <c r="AD2151" s="368"/>
      <c r="AE2151" s="510"/>
    </row>
    <row r="2152" spans="1:31" hidden="1">
      <c r="B2152" s="62"/>
      <c r="N2152" s="62"/>
      <c r="O2152" s="62"/>
      <c r="P2152" s="53"/>
      <c r="Q2152" s="45"/>
      <c r="R2152" s="45"/>
    </row>
    <row r="2153" spans="1:31" s="34" customFormat="1" hidden="1">
      <c r="B2153" s="65"/>
      <c r="C2153" s="95" t="s">
        <v>489</v>
      </c>
      <c r="D2153" s="95" t="s">
        <v>490</v>
      </c>
      <c r="E2153" s="95" t="s">
        <v>491</v>
      </c>
      <c r="F2153" s="95" t="s">
        <v>492</v>
      </c>
      <c r="G2153" s="95" t="s">
        <v>493</v>
      </c>
      <c r="H2153" s="95" t="s">
        <v>494</v>
      </c>
      <c r="I2153" s="95" t="s">
        <v>495</v>
      </c>
      <c r="J2153" s="95" t="s">
        <v>496</v>
      </c>
      <c r="K2153" s="95" t="s">
        <v>497</v>
      </c>
      <c r="L2153" s="95" t="s">
        <v>498</v>
      </c>
      <c r="M2153" s="95" t="s">
        <v>499</v>
      </c>
      <c r="N2153" s="126" t="s">
        <v>500</v>
      </c>
      <c r="O2153" s="126" t="s">
        <v>501</v>
      </c>
      <c r="P2153" s="132"/>
      <c r="Q2153" s="133"/>
      <c r="R2153" s="133"/>
      <c r="S2153" s="28"/>
      <c r="T2153" s="28"/>
      <c r="U2153" s="378"/>
      <c r="V2153" s="368"/>
      <c r="W2153" s="368"/>
      <c r="X2153" s="368"/>
      <c r="Y2153" s="368"/>
      <c r="Z2153" s="368"/>
      <c r="AA2153" s="368"/>
      <c r="AB2153" s="368"/>
      <c r="AC2153" s="368"/>
      <c r="AD2153" s="368"/>
      <c r="AE2153" s="510"/>
    </row>
    <row r="2154" spans="1:31" hidden="1">
      <c r="B2154" s="62"/>
      <c r="N2154" s="62"/>
      <c r="O2154" s="62"/>
    </row>
    <row r="2155" spans="1:31" hidden="1">
      <c r="A2155" s="28" t="s">
        <v>1209</v>
      </c>
      <c r="B2155" s="62" t="s">
        <v>2324</v>
      </c>
      <c r="N2155" s="62"/>
      <c r="O2155" s="62"/>
    </row>
    <row r="2156" spans="1:31" hidden="1">
      <c r="B2156" s="62"/>
      <c r="N2156" s="62"/>
      <c r="O2156" s="62"/>
    </row>
    <row r="2157" spans="1:31" ht="12.6" hidden="1" customHeight="1">
      <c r="A2157" s="28" t="s">
        <v>1210</v>
      </c>
      <c r="B2157" s="62" t="s">
        <v>804</v>
      </c>
      <c r="N2157" s="62"/>
      <c r="O2157" s="62"/>
      <c r="AE2157" s="378"/>
    </row>
    <row r="2158" spans="1:31" ht="12.6" hidden="1" customHeight="1">
      <c r="A2158" s="28" t="s">
        <v>1211</v>
      </c>
      <c r="B2158" s="62" t="s">
        <v>804</v>
      </c>
      <c r="N2158" s="62"/>
      <c r="O2158" s="62"/>
      <c r="AE2158" s="378"/>
    </row>
    <row r="2159" spans="1:31" ht="12.6" hidden="1" customHeight="1">
      <c r="A2159" s="28" t="s">
        <v>1212</v>
      </c>
      <c r="B2159" s="62" t="s">
        <v>804</v>
      </c>
      <c r="N2159" s="62"/>
      <c r="O2159" s="62"/>
      <c r="AE2159" s="378"/>
    </row>
    <row r="2160" spans="1:31" ht="12.6" hidden="1" customHeight="1">
      <c r="A2160" s="28" t="s">
        <v>1213</v>
      </c>
      <c r="B2160" s="62" t="s">
        <v>804</v>
      </c>
      <c r="N2160" s="62"/>
      <c r="O2160" s="62"/>
      <c r="AE2160" s="378"/>
    </row>
    <row r="2161" spans="1:31" ht="12.6" hidden="1" customHeight="1">
      <c r="A2161" s="28" t="s">
        <v>1214</v>
      </c>
      <c r="B2161" s="62" t="s">
        <v>804</v>
      </c>
      <c r="N2161" s="62"/>
      <c r="O2161" s="62"/>
      <c r="AE2161" s="378"/>
    </row>
    <row r="2162" spans="1:31" hidden="1">
      <c r="B2162" s="62"/>
      <c r="N2162" s="62"/>
      <c r="O2162" s="62"/>
      <c r="AE2162" s="378"/>
    </row>
    <row r="2163" spans="1:31" hidden="1">
      <c r="B2163" s="62"/>
      <c r="N2163" s="62"/>
      <c r="O2163" s="62"/>
      <c r="AE2163" s="378"/>
    </row>
    <row r="2164" spans="1:31" hidden="1">
      <c r="B2164" s="62"/>
      <c r="N2164" s="62"/>
      <c r="O2164" s="62"/>
      <c r="AE2164" s="378"/>
    </row>
    <row r="2165" spans="1:31" hidden="1">
      <c r="B2165" s="62"/>
      <c r="N2165" s="62"/>
      <c r="O2165" s="62"/>
      <c r="AE2165" s="378"/>
    </row>
    <row r="2166" spans="1:31" hidden="1">
      <c r="B2166" s="62"/>
      <c r="N2166" s="62"/>
      <c r="O2166" s="62"/>
      <c r="AE2166" s="378"/>
    </row>
    <row r="2167" spans="1:31" hidden="1">
      <c r="B2167" s="62"/>
      <c r="N2167" s="62"/>
      <c r="O2167" s="62"/>
      <c r="AE2167" s="378"/>
    </row>
    <row r="2168" spans="1:31" hidden="1">
      <c r="B2168" s="62"/>
      <c r="N2168" s="62"/>
      <c r="O2168" s="62"/>
      <c r="AE2168" s="378"/>
    </row>
    <row r="2169" spans="1:31" hidden="1">
      <c r="B2169" s="62"/>
      <c r="N2169" s="62"/>
      <c r="O2169" s="62"/>
      <c r="AE2169" s="378"/>
    </row>
    <row r="2170" spans="1:31" hidden="1">
      <c r="B2170" s="62"/>
      <c r="N2170" s="62"/>
      <c r="O2170" s="62"/>
      <c r="AE2170" s="378"/>
    </row>
    <row r="2171" spans="1:31" ht="7.9" hidden="1" customHeight="1"/>
    <row r="2172" spans="1:31" ht="7.9" hidden="1" customHeight="1"/>
    <row r="2173" spans="1:31" ht="7.9" hidden="1" customHeight="1"/>
    <row r="2174" spans="1:31" ht="7.9" hidden="1" customHeight="1"/>
    <row r="2175" spans="1:31" ht="7.9" hidden="1" customHeight="1"/>
    <row r="2176" spans="1:31" s="34" customFormat="1" ht="15.75" hidden="1">
      <c r="A2176" s="61">
        <v>87</v>
      </c>
      <c r="B2176" s="129"/>
      <c r="C2176" s="129" t="s">
        <v>734</v>
      </c>
      <c r="D2176" s="129"/>
      <c r="E2176" s="130"/>
      <c r="F2176" s="130" t="s">
        <v>352</v>
      </c>
      <c r="G2176" s="129">
        <v>2472</v>
      </c>
      <c r="H2176" s="131" t="s">
        <v>353</v>
      </c>
      <c r="I2176" s="129"/>
      <c r="J2176" s="129"/>
      <c r="K2176" s="130" t="s">
        <v>354</v>
      </c>
      <c r="L2176" s="131">
        <v>12</v>
      </c>
      <c r="M2176" s="129" t="s">
        <v>355</v>
      </c>
      <c r="N2176" s="131" t="s">
        <v>899</v>
      </c>
      <c r="O2176" s="130"/>
      <c r="P2176" s="130" t="s">
        <v>357</v>
      </c>
      <c r="Q2176" s="129">
        <v>-15</v>
      </c>
      <c r="R2176" s="131" t="s">
        <v>2324</v>
      </c>
      <c r="S2176" s="28"/>
      <c r="T2176" s="28"/>
      <c r="U2176" s="378"/>
      <c r="V2176" s="368"/>
      <c r="W2176" s="368"/>
      <c r="X2176" s="368"/>
      <c r="Y2176" s="368"/>
      <c r="Z2176" s="368"/>
      <c r="AA2176" s="368"/>
      <c r="AB2176" s="368"/>
      <c r="AC2176" s="368"/>
      <c r="AD2176" s="368"/>
      <c r="AE2176" s="510"/>
    </row>
    <row r="2177" spans="1:31" hidden="1">
      <c r="B2177" s="62"/>
      <c r="N2177" s="62"/>
      <c r="O2177" s="62"/>
      <c r="P2177" s="53"/>
      <c r="Q2177" s="45"/>
      <c r="R2177" s="45"/>
    </row>
    <row r="2178" spans="1:31" s="34" customFormat="1" hidden="1">
      <c r="B2178" s="65"/>
      <c r="C2178" s="95" t="s">
        <v>489</v>
      </c>
      <c r="D2178" s="95" t="s">
        <v>490</v>
      </c>
      <c r="E2178" s="95" t="s">
        <v>491</v>
      </c>
      <c r="F2178" s="95" t="s">
        <v>492</v>
      </c>
      <c r="G2178" s="95" t="s">
        <v>493</v>
      </c>
      <c r="H2178" s="95" t="s">
        <v>494</v>
      </c>
      <c r="I2178" s="95" t="s">
        <v>495</v>
      </c>
      <c r="J2178" s="95" t="s">
        <v>496</v>
      </c>
      <c r="K2178" s="95" t="s">
        <v>497</v>
      </c>
      <c r="L2178" s="95" t="s">
        <v>498</v>
      </c>
      <c r="M2178" s="95" t="s">
        <v>499</v>
      </c>
      <c r="N2178" s="126" t="s">
        <v>500</v>
      </c>
      <c r="O2178" s="126" t="s">
        <v>501</v>
      </c>
      <c r="P2178" s="132"/>
      <c r="Q2178" s="133"/>
      <c r="R2178" s="133"/>
      <c r="S2178" s="28"/>
      <c r="T2178" s="28"/>
      <c r="U2178" s="378"/>
      <c r="V2178" s="368"/>
      <c r="W2178" s="368"/>
      <c r="X2178" s="368"/>
      <c r="Y2178" s="368"/>
      <c r="Z2178" s="368"/>
      <c r="AA2178" s="368"/>
      <c r="AB2178" s="368"/>
      <c r="AC2178" s="368"/>
      <c r="AD2178" s="368"/>
      <c r="AE2178" s="510"/>
    </row>
    <row r="2179" spans="1:31" hidden="1">
      <c r="B2179" s="62"/>
      <c r="N2179" s="62"/>
      <c r="O2179" s="62"/>
    </row>
    <row r="2180" spans="1:31" hidden="1">
      <c r="A2180" s="28" t="s">
        <v>1209</v>
      </c>
      <c r="B2180" s="62" t="s">
        <v>2324</v>
      </c>
      <c r="C2180" s="28">
        <v>-7.1</v>
      </c>
      <c r="D2180" s="28">
        <v>-7.2</v>
      </c>
      <c r="E2180" s="28">
        <v>-5.6</v>
      </c>
      <c r="F2180" s="28">
        <v>-3.8</v>
      </c>
      <c r="G2180" s="28">
        <v>1.3</v>
      </c>
      <c r="H2180" s="28">
        <v>4.9000000000000004</v>
      </c>
      <c r="I2180" s="28">
        <v>7.9</v>
      </c>
      <c r="J2180" s="28">
        <v>8.4</v>
      </c>
      <c r="K2180" s="28">
        <v>4.3</v>
      </c>
      <c r="L2180" s="28">
        <v>1</v>
      </c>
      <c r="M2180" s="28">
        <v>-4</v>
      </c>
      <c r="N2180" s="62">
        <v>-5.8</v>
      </c>
      <c r="O2180" s="62">
        <v>-0.5</v>
      </c>
    </row>
    <row r="2181" spans="1:31" hidden="1">
      <c r="B2181" s="62"/>
      <c r="N2181" s="62"/>
      <c r="O2181" s="62"/>
    </row>
    <row r="2182" spans="1:31" ht="12.6" hidden="1" customHeight="1">
      <c r="A2182" s="28" t="s">
        <v>1210</v>
      </c>
      <c r="B2182" s="62" t="s">
        <v>804</v>
      </c>
      <c r="C2182" s="28">
        <v>147</v>
      </c>
      <c r="D2182" s="28">
        <v>266</v>
      </c>
      <c r="E2182" s="28">
        <v>471</v>
      </c>
      <c r="F2182" s="28">
        <v>557</v>
      </c>
      <c r="G2182" s="28">
        <v>629</v>
      </c>
      <c r="H2182" s="28">
        <v>643</v>
      </c>
      <c r="I2182" s="28">
        <v>645</v>
      </c>
      <c r="J2182" s="28">
        <v>562</v>
      </c>
      <c r="K2182" s="28">
        <v>397</v>
      </c>
      <c r="L2182" s="28">
        <v>281</v>
      </c>
      <c r="M2182" s="28">
        <v>163</v>
      </c>
      <c r="N2182" s="62">
        <v>104</v>
      </c>
      <c r="O2182" s="62">
        <v>4868</v>
      </c>
      <c r="AE2182" s="378"/>
    </row>
    <row r="2183" spans="1:31" ht="12.6" hidden="1" customHeight="1">
      <c r="A2183" s="28" t="s">
        <v>1211</v>
      </c>
      <c r="B2183" s="62" t="s">
        <v>804</v>
      </c>
      <c r="C2183" s="28">
        <v>246</v>
      </c>
      <c r="D2183" s="28">
        <v>472</v>
      </c>
      <c r="E2183" s="28">
        <v>670</v>
      </c>
      <c r="F2183" s="28">
        <v>588</v>
      </c>
      <c r="G2183" s="28">
        <v>477</v>
      </c>
      <c r="H2183" s="28">
        <v>363</v>
      </c>
      <c r="I2183" s="28">
        <v>324</v>
      </c>
      <c r="J2183" s="28">
        <v>340</v>
      </c>
      <c r="K2183" s="28">
        <v>347</v>
      </c>
      <c r="L2183" s="28">
        <v>383</v>
      </c>
      <c r="M2183" s="28">
        <v>285</v>
      </c>
      <c r="N2183" s="62">
        <v>126</v>
      </c>
      <c r="O2183" s="62">
        <v>4621</v>
      </c>
      <c r="AE2183" s="378"/>
    </row>
    <row r="2184" spans="1:31" ht="12.6" hidden="1" customHeight="1">
      <c r="A2184" s="28" t="s">
        <v>1212</v>
      </c>
      <c r="B2184" s="62" t="s">
        <v>804</v>
      </c>
      <c r="C2184" s="28">
        <v>104</v>
      </c>
      <c r="D2184" s="28">
        <v>215</v>
      </c>
      <c r="E2184" s="28">
        <v>445</v>
      </c>
      <c r="F2184" s="28">
        <v>485</v>
      </c>
      <c r="G2184" s="28">
        <v>493</v>
      </c>
      <c r="H2184" s="28">
        <v>430</v>
      </c>
      <c r="I2184" s="28">
        <v>383</v>
      </c>
      <c r="J2184" s="28">
        <v>329</v>
      </c>
      <c r="K2184" s="28">
        <v>233</v>
      </c>
      <c r="L2184" s="28">
        <v>182</v>
      </c>
      <c r="M2184" s="28">
        <v>111</v>
      </c>
      <c r="N2184" s="62">
        <v>78</v>
      </c>
      <c r="O2184" s="62">
        <v>3489</v>
      </c>
      <c r="AE2184" s="378"/>
    </row>
    <row r="2185" spans="1:31" ht="12.6" hidden="1" customHeight="1">
      <c r="A2185" s="28" t="s">
        <v>1213</v>
      </c>
      <c r="B2185" s="62" t="s">
        <v>804</v>
      </c>
      <c r="C2185" s="28">
        <v>166</v>
      </c>
      <c r="D2185" s="28">
        <v>281</v>
      </c>
      <c r="E2185" s="28">
        <v>453</v>
      </c>
      <c r="F2185" s="28">
        <v>508</v>
      </c>
      <c r="G2185" s="28">
        <v>469</v>
      </c>
      <c r="H2185" s="28">
        <v>384</v>
      </c>
      <c r="I2185" s="28">
        <v>332</v>
      </c>
      <c r="J2185" s="28">
        <v>289</v>
      </c>
      <c r="K2185" s="28">
        <v>231</v>
      </c>
      <c r="L2185" s="28">
        <v>214</v>
      </c>
      <c r="M2185" s="28">
        <v>181</v>
      </c>
      <c r="N2185" s="62">
        <v>94</v>
      </c>
      <c r="O2185" s="62">
        <v>3601</v>
      </c>
      <c r="AE2185" s="378"/>
    </row>
    <row r="2186" spans="1:31" ht="12.6" hidden="1" customHeight="1">
      <c r="A2186" s="28" t="s">
        <v>1214</v>
      </c>
      <c r="B2186" s="62" t="s">
        <v>804</v>
      </c>
      <c r="C2186" s="28">
        <v>96</v>
      </c>
      <c r="D2186" s="28">
        <v>162</v>
      </c>
      <c r="E2186" s="28">
        <v>279</v>
      </c>
      <c r="F2186" s="28">
        <v>324</v>
      </c>
      <c r="G2186" s="28">
        <v>319</v>
      </c>
      <c r="H2186" s="28">
        <v>251</v>
      </c>
      <c r="I2186" s="28">
        <v>187</v>
      </c>
      <c r="J2186" s="28">
        <v>134</v>
      </c>
      <c r="K2186" s="28">
        <v>101</v>
      </c>
      <c r="L2186" s="28">
        <v>110</v>
      </c>
      <c r="M2186" s="28">
        <v>101</v>
      </c>
      <c r="N2186" s="62">
        <v>72</v>
      </c>
      <c r="O2186" s="62">
        <v>2137</v>
      </c>
      <c r="AE2186" s="378"/>
    </row>
    <row r="2187" spans="1:31" hidden="1">
      <c r="B2187" s="62"/>
      <c r="N2187" s="62"/>
      <c r="O2187" s="62"/>
      <c r="AE2187" s="378"/>
    </row>
    <row r="2188" spans="1:31" hidden="1">
      <c r="B2188" s="62"/>
      <c r="N2188" s="62"/>
      <c r="O2188" s="62"/>
      <c r="AE2188" s="378"/>
    </row>
    <row r="2189" spans="1:31" hidden="1">
      <c r="B2189" s="62"/>
      <c r="N2189" s="62"/>
      <c r="O2189" s="62"/>
      <c r="AE2189" s="378"/>
    </row>
    <row r="2190" spans="1:31" hidden="1">
      <c r="B2190" s="62"/>
      <c r="N2190" s="62"/>
      <c r="O2190" s="62"/>
      <c r="AE2190" s="378"/>
    </row>
    <row r="2191" spans="1:31" hidden="1">
      <c r="A2191" s="28" t="s">
        <v>1886</v>
      </c>
      <c r="B2191" s="62" t="s">
        <v>1808</v>
      </c>
      <c r="C2191" s="28">
        <v>31</v>
      </c>
      <c r="D2191" s="28">
        <v>28</v>
      </c>
      <c r="E2191" s="28">
        <v>31</v>
      </c>
      <c r="F2191" s="28">
        <v>30</v>
      </c>
      <c r="G2191" s="28">
        <v>31</v>
      </c>
      <c r="H2191" s="28">
        <v>29</v>
      </c>
      <c r="I2191" s="28">
        <v>28</v>
      </c>
      <c r="J2191" s="28">
        <v>29</v>
      </c>
      <c r="K2191" s="28">
        <v>30</v>
      </c>
      <c r="L2191" s="28">
        <v>31</v>
      </c>
      <c r="M2191" s="28">
        <v>30</v>
      </c>
      <c r="N2191" s="62">
        <v>31</v>
      </c>
      <c r="O2191" s="62"/>
      <c r="Q2191" s="28">
        <v>359</v>
      </c>
      <c r="AE2191" s="378"/>
    </row>
    <row r="2192" spans="1:31" hidden="1">
      <c r="A2192" s="28" t="s">
        <v>1887</v>
      </c>
      <c r="B2192" s="62" t="s">
        <v>1810</v>
      </c>
      <c r="C2192" s="28">
        <v>840</v>
      </c>
      <c r="D2192" s="28">
        <v>762</v>
      </c>
      <c r="E2192" s="28">
        <v>794</v>
      </c>
      <c r="F2192" s="28">
        <v>714</v>
      </c>
      <c r="G2192" s="28">
        <v>580</v>
      </c>
      <c r="H2192" s="28">
        <v>438</v>
      </c>
      <c r="I2192" s="28">
        <v>339</v>
      </c>
      <c r="J2192" s="28">
        <v>336</v>
      </c>
      <c r="K2192" s="28">
        <v>471</v>
      </c>
      <c r="L2192" s="28">
        <v>589</v>
      </c>
      <c r="M2192" s="28">
        <v>720</v>
      </c>
      <c r="N2192" s="62">
        <v>800</v>
      </c>
      <c r="O2192" s="62"/>
      <c r="Q2192" s="28">
        <v>7383</v>
      </c>
      <c r="AE2192" s="378"/>
    </row>
    <row r="2193" spans="1:31" hidden="1">
      <c r="B2193" s="62"/>
      <c r="N2193" s="62"/>
      <c r="O2193" s="62"/>
      <c r="AE2193" s="378"/>
    </row>
    <row r="2194" spans="1:31" hidden="1">
      <c r="B2194" s="62"/>
      <c r="N2194" s="62"/>
      <c r="O2194" s="62"/>
      <c r="AE2194" s="378"/>
    </row>
    <row r="2195" spans="1:31" hidden="1">
      <c r="B2195" s="62"/>
      <c r="N2195" s="62"/>
      <c r="O2195" s="62"/>
      <c r="AE2195" s="378"/>
    </row>
    <row r="2196" spans="1:31" ht="7.9" hidden="1" customHeight="1"/>
    <row r="2197" spans="1:31" ht="7.9" hidden="1" customHeight="1"/>
    <row r="2198" spans="1:31" ht="7.9" hidden="1" customHeight="1"/>
    <row r="2199" spans="1:31" ht="7.9" hidden="1" customHeight="1"/>
    <row r="2200" spans="1:31" ht="7.9" hidden="1" customHeight="1"/>
    <row r="2201" spans="1:31" s="34" customFormat="1" ht="15.75" hidden="1">
      <c r="A2201" s="61">
        <v>88</v>
      </c>
      <c r="B2201" s="129"/>
      <c r="C2201" s="129" t="s">
        <v>1221</v>
      </c>
      <c r="D2201" s="129"/>
      <c r="E2201" s="130"/>
      <c r="F2201" s="130" t="s">
        <v>352</v>
      </c>
      <c r="G2201" s="129">
        <v>1638</v>
      </c>
      <c r="H2201" s="131" t="s">
        <v>353</v>
      </c>
      <c r="I2201" s="129"/>
      <c r="J2201" s="129"/>
      <c r="K2201" s="130" t="s">
        <v>354</v>
      </c>
      <c r="L2201" s="131">
        <v>10</v>
      </c>
      <c r="M2201" s="129" t="s">
        <v>355</v>
      </c>
      <c r="N2201" s="131" t="s">
        <v>1181</v>
      </c>
      <c r="O2201" s="130"/>
      <c r="P2201" s="130" t="s">
        <v>357</v>
      </c>
      <c r="Q2201" s="129">
        <v>-11</v>
      </c>
      <c r="R2201" s="131" t="s">
        <v>2324</v>
      </c>
      <c r="S2201" s="28"/>
      <c r="T2201" s="28"/>
      <c r="U2201" s="378"/>
      <c r="V2201" s="368"/>
      <c r="W2201" s="368"/>
      <c r="X2201" s="368"/>
      <c r="Y2201" s="368"/>
      <c r="Z2201" s="368"/>
      <c r="AA2201" s="368"/>
      <c r="AB2201" s="368"/>
      <c r="AC2201" s="368"/>
      <c r="AD2201" s="368"/>
      <c r="AE2201" s="510"/>
    </row>
    <row r="2202" spans="1:31" hidden="1">
      <c r="B2202" s="62"/>
      <c r="N2202" s="62"/>
      <c r="O2202" s="62"/>
      <c r="P2202" s="53"/>
      <c r="Q2202" s="45"/>
      <c r="R2202" s="45"/>
    </row>
    <row r="2203" spans="1:31" s="34" customFormat="1" hidden="1">
      <c r="B2203" s="65"/>
      <c r="C2203" s="95" t="s">
        <v>489</v>
      </c>
      <c r="D2203" s="95" t="s">
        <v>490</v>
      </c>
      <c r="E2203" s="95" t="s">
        <v>491</v>
      </c>
      <c r="F2203" s="95" t="s">
        <v>492</v>
      </c>
      <c r="G2203" s="95" t="s">
        <v>493</v>
      </c>
      <c r="H2203" s="95" t="s">
        <v>494</v>
      </c>
      <c r="I2203" s="95" t="s">
        <v>495</v>
      </c>
      <c r="J2203" s="95" t="s">
        <v>496</v>
      </c>
      <c r="K2203" s="95" t="s">
        <v>497</v>
      </c>
      <c r="L2203" s="95" t="s">
        <v>498</v>
      </c>
      <c r="M2203" s="95" t="s">
        <v>499</v>
      </c>
      <c r="N2203" s="126" t="s">
        <v>500</v>
      </c>
      <c r="O2203" s="126" t="s">
        <v>501</v>
      </c>
      <c r="P2203" s="132"/>
      <c r="Q2203" s="133"/>
      <c r="R2203" s="133"/>
      <c r="S2203" s="28"/>
      <c r="T2203" s="28"/>
      <c r="U2203" s="378"/>
      <c r="V2203" s="368"/>
      <c r="W2203" s="368"/>
      <c r="X2203" s="368"/>
      <c r="Y2203" s="368"/>
      <c r="Z2203" s="368"/>
      <c r="AA2203" s="368"/>
      <c r="AB2203" s="368"/>
      <c r="AC2203" s="368"/>
      <c r="AD2203" s="368"/>
      <c r="AE2203" s="510"/>
    </row>
    <row r="2204" spans="1:31" hidden="1">
      <c r="B2204" s="62"/>
      <c r="N2204" s="62"/>
      <c r="O2204" s="62"/>
    </row>
    <row r="2205" spans="1:31" hidden="1">
      <c r="A2205" s="28" t="s">
        <v>1209</v>
      </c>
      <c r="B2205" s="62" t="s">
        <v>2324</v>
      </c>
      <c r="C2205" s="28">
        <v>-4</v>
      </c>
      <c r="D2205" s="28">
        <v>-3.3</v>
      </c>
      <c r="E2205" s="28">
        <v>-0.1</v>
      </c>
      <c r="F2205" s="28">
        <v>2.8</v>
      </c>
      <c r="G2205" s="28">
        <v>8</v>
      </c>
      <c r="H2205" s="28">
        <v>10.8</v>
      </c>
      <c r="I2205" s="28">
        <v>13.3</v>
      </c>
      <c r="J2205" s="28">
        <v>13.1</v>
      </c>
      <c r="K2205" s="28">
        <v>9</v>
      </c>
      <c r="L2205" s="28">
        <v>5.3</v>
      </c>
      <c r="M2205" s="28">
        <v>-0.3</v>
      </c>
      <c r="N2205" s="62">
        <v>-2.8</v>
      </c>
      <c r="O2205" s="62">
        <v>4.3</v>
      </c>
    </row>
    <row r="2206" spans="1:31" hidden="1">
      <c r="B2206" s="62"/>
      <c r="N2206" s="62"/>
      <c r="O2206" s="62"/>
    </row>
    <row r="2207" spans="1:31" ht="12.6" hidden="1" customHeight="1">
      <c r="A2207" s="28" t="s">
        <v>1210</v>
      </c>
      <c r="B2207" s="62" t="s">
        <v>804</v>
      </c>
      <c r="C2207" s="28">
        <v>171</v>
      </c>
      <c r="D2207" s="28">
        <v>247</v>
      </c>
      <c r="E2207" s="28">
        <v>429</v>
      </c>
      <c r="F2207" s="28">
        <v>505</v>
      </c>
      <c r="G2207" s="28">
        <v>597</v>
      </c>
      <c r="H2207" s="28">
        <v>609</v>
      </c>
      <c r="I2207" s="28">
        <v>632</v>
      </c>
      <c r="J2207" s="28">
        <v>552</v>
      </c>
      <c r="K2207" s="28">
        <v>420</v>
      </c>
      <c r="L2207" s="28">
        <v>295</v>
      </c>
      <c r="M2207" s="28">
        <v>174</v>
      </c>
      <c r="N2207" s="62">
        <v>139</v>
      </c>
      <c r="O2207" s="62">
        <v>4770</v>
      </c>
      <c r="AE2207" s="378"/>
    </row>
    <row r="2208" spans="1:31" ht="12.6" hidden="1" customHeight="1">
      <c r="A2208" s="28" t="s">
        <v>1211</v>
      </c>
      <c r="B2208" s="62" t="s">
        <v>804</v>
      </c>
      <c r="C2208" s="28">
        <v>354</v>
      </c>
      <c r="D2208" s="28">
        <v>421</v>
      </c>
      <c r="E2208" s="28">
        <v>541</v>
      </c>
      <c r="F2208" s="28">
        <v>394</v>
      </c>
      <c r="G2208" s="28">
        <v>308</v>
      </c>
      <c r="H2208" s="28">
        <v>270</v>
      </c>
      <c r="I2208" s="28">
        <v>303</v>
      </c>
      <c r="J2208" s="28">
        <v>343</v>
      </c>
      <c r="K2208" s="28">
        <v>363</v>
      </c>
      <c r="L2208" s="28">
        <v>359</v>
      </c>
      <c r="M2208" s="28">
        <v>288</v>
      </c>
      <c r="N2208" s="62">
        <v>297</v>
      </c>
      <c r="O2208" s="62">
        <v>4239</v>
      </c>
      <c r="AE2208" s="378"/>
    </row>
    <row r="2209" spans="1:31" ht="12.6" hidden="1" customHeight="1">
      <c r="A2209" s="28" t="s">
        <v>1212</v>
      </c>
      <c r="B2209" s="62" t="s">
        <v>804</v>
      </c>
      <c r="C2209" s="28">
        <v>137</v>
      </c>
      <c r="D2209" s="28">
        <v>208</v>
      </c>
      <c r="E2209" s="28">
        <v>332</v>
      </c>
      <c r="F2209" s="28">
        <v>301</v>
      </c>
      <c r="G2209" s="28">
        <v>297</v>
      </c>
      <c r="H2209" s="28">
        <v>301</v>
      </c>
      <c r="I2209" s="28">
        <v>311</v>
      </c>
      <c r="J2209" s="28">
        <v>279</v>
      </c>
      <c r="K2209" s="28">
        <v>205</v>
      </c>
      <c r="L2209" s="28">
        <v>142</v>
      </c>
      <c r="M2209" s="28">
        <v>91</v>
      </c>
      <c r="N2209" s="62">
        <v>99</v>
      </c>
      <c r="O2209" s="62">
        <v>2701</v>
      </c>
      <c r="AE2209" s="378"/>
    </row>
    <row r="2210" spans="1:31" ht="12.6" hidden="1" customHeight="1">
      <c r="A2210" s="28" t="s">
        <v>1213</v>
      </c>
      <c r="B2210" s="62" t="s">
        <v>804</v>
      </c>
      <c r="C2210" s="28">
        <v>169</v>
      </c>
      <c r="D2210" s="28">
        <v>225</v>
      </c>
      <c r="E2210" s="28">
        <v>319</v>
      </c>
      <c r="F2210" s="28">
        <v>249</v>
      </c>
      <c r="G2210" s="28">
        <v>212</v>
      </c>
      <c r="H2210" s="28">
        <v>205</v>
      </c>
      <c r="I2210" s="28">
        <v>214</v>
      </c>
      <c r="J2210" s="28">
        <v>196</v>
      </c>
      <c r="K2210" s="28">
        <v>168</v>
      </c>
      <c r="L2210" s="28">
        <v>137</v>
      </c>
      <c r="M2210" s="28">
        <v>114</v>
      </c>
      <c r="N2210" s="62">
        <v>129</v>
      </c>
      <c r="O2210" s="62">
        <v>2335</v>
      </c>
      <c r="AE2210" s="378"/>
    </row>
    <row r="2211" spans="1:31" ht="12.6" hidden="1" customHeight="1">
      <c r="A2211" s="28" t="s">
        <v>1214</v>
      </c>
      <c r="B2211" s="62" t="s">
        <v>804</v>
      </c>
      <c r="C2211" s="28">
        <v>112</v>
      </c>
      <c r="D2211" s="28">
        <v>157</v>
      </c>
      <c r="E2211" s="28">
        <v>212</v>
      </c>
      <c r="F2211" s="28">
        <v>161</v>
      </c>
      <c r="G2211" s="28">
        <v>131</v>
      </c>
      <c r="H2211" s="28">
        <v>127</v>
      </c>
      <c r="I2211" s="28">
        <v>126</v>
      </c>
      <c r="J2211" s="28">
        <v>110</v>
      </c>
      <c r="K2211" s="28">
        <v>86</v>
      </c>
      <c r="L2211" s="28">
        <v>67</v>
      </c>
      <c r="M2211" s="28">
        <v>65</v>
      </c>
      <c r="N2211" s="62">
        <v>80</v>
      </c>
      <c r="O2211" s="62">
        <v>1434</v>
      </c>
      <c r="AE2211" s="378"/>
    </row>
    <row r="2212" spans="1:31" hidden="1">
      <c r="B2212" s="62"/>
      <c r="N2212" s="62"/>
      <c r="O2212" s="62"/>
      <c r="AE2212" s="378"/>
    </row>
    <row r="2213" spans="1:31" hidden="1">
      <c r="B2213" s="62"/>
      <c r="N2213" s="62"/>
      <c r="O2213" s="62"/>
      <c r="AE2213" s="378"/>
    </row>
    <row r="2214" spans="1:31" hidden="1">
      <c r="B2214" s="62"/>
      <c r="N2214" s="62"/>
      <c r="O2214" s="62"/>
      <c r="AE2214" s="378"/>
    </row>
    <row r="2215" spans="1:31" hidden="1">
      <c r="B2215" s="62"/>
      <c r="N2215" s="62"/>
      <c r="O2215" s="62"/>
      <c r="AE2215" s="378"/>
    </row>
    <row r="2216" spans="1:31" hidden="1">
      <c r="A2216" s="28" t="s">
        <v>1886</v>
      </c>
      <c r="B2216" s="62" t="s">
        <v>1808</v>
      </c>
      <c r="C2216" s="28">
        <v>31</v>
      </c>
      <c r="D2216" s="28">
        <v>28</v>
      </c>
      <c r="E2216" s="28">
        <v>31</v>
      </c>
      <c r="F2216" s="28">
        <v>30</v>
      </c>
      <c r="G2216" s="28">
        <v>30</v>
      </c>
      <c r="H2216" s="28">
        <v>22</v>
      </c>
      <c r="I2216" s="28">
        <v>17</v>
      </c>
      <c r="J2216" s="28">
        <v>21</v>
      </c>
      <c r="K2216" s="28">
        <v>26</v>
      </c>
      <c r="L2216" s="28">
        <v>31</v>
      </c>
      <c r="M2216" s="28">
        <v>30</v>
      </c>
      <c r="N2216" s="62">
        <v>31</v>
      </c>
      <c r="O2216" s="62"/>
      <c r="Q2216" s="28">
        <v>328</v>
      </c>
      <c r="AE2216" s="378"/>
    </row>
    <row r="2217" spans="1:31" hidden="1">
      <c r="A2217" s="28" t="s">
        <v>1887</v>
      </c>
      <c r="B2217" s="62" t="s">
        <v>1810</v>
      </c>
      <c r="C2217" s="28">
        <v>744</v>
      </c>
      <c r="D2217" s="28">
        <v>652</v>
      </c>
      <c r="E2217" s="28">
        <v>623</v>
      </c>
      <c r="F2217" s="28">
        <v>516</v>
      </c>
      <c r="G2217" s="28">
        <v>360</v>
      </c>
      <c r="H2217" s="28">
        <v>202</v>
      </c>
      <c r="I2217" s="28">
        <v>114</v>
      </c>
      <c r="J2217" s="28">
        <v>145</v>
      </c>
      <c r="K2217" s="28">
        <v>286</v>
      </c>
      <c r="L2217" s="28">
        <v>456</v>
      </c>
      <c r="M2217" s="28">
        <v>609</v>
      </c>
      <c r="N2217" s="62">
        <v>707</v>
      </c>
      <c r="O2217" s="62"/>
      <c r="Q2217" s="28">
        <v>5414</v>
      </c>
      <c r="AE2217" s="378"/>
    </row>
    <row r="2218" spans="1:31" hidden="1">
      <c r="B2218" s="62"/>
      <c r="N2218" s="62"/>
      <c r="O2218" s="62"/>
      <c r="AE2218" s="378"/>
    </row>
    <row r="2219" spans="1:31" hidden="1">
      <c r="B2219" s="62"/>
      <c r="N2219" s="62"/>
      <c r="O2219" s="62"/>
      <c r="AE2219" s="378"/>
    </row>
    <row r="2220" spans="1:31" hidden="1">
      <c r="B2220" s="62"/>
      <c r="N2220" s="62"/>
      <c r="O2220" s="62"/>
      <c r="AE2220" s="378"/>
    </row>
    <row r="2221" spans="1:31" ht="7.9" hidden="1" customHeight="1"/>
    <row r="2222" spans="1:31" ht="7.9" hidden="1" customHeight="1"/>
    <row r="2223" spans="1:31" ht="7.9" hidden="1" customHeight="1"/>
    <row r="2224" spans="1:31" ht="7.9" hidden="1" customHeight="1"/>
    <row r="2225" spans="1:31" ht="7.9" hidden="1" customHeight="1"/>
    <row r="2226" spans="1:31" s="34" customFormat="1" ht="15.75" hidden="1">
      <c r="A2226" s="61">
        <v>89</v>
      </c>
      <c r="B2226" s="129"/>
      <c r="C2226" s="129" t="s">
        <v>1222</v>
      </c>
      <c r="D2226" s="129"/>
      <c r="E2226" s="130"/>
      <c r="F2226" s="130" t="s">
        <v>352</v>
      </c>
      <c r="G2226" s="129">
        <v>1298</v>
      </c>
      <c r="H2226" s="131" t="s">
        <v>353</v>
      </c>
      <c r="I2226" s="129"/>
      <c r="J2226" s="129"/>
      <c r="K2226" s="130" t="s">
        <v>354</v>
      </c>
      <c r="L2226" s="131">
        <v>11</v>
      </c>
      <c r="M2226" s="129" t="s">
        <v>355</v>
      </c>
      <c r="N2226" s="131" t="s">
        <v>356</v>
      </c>
      <c r="O2226" s="130"/>
      <c r="P2226" s="130" t="s">
        <v>357</v>
      </c>
      <c r="Q2226" s="129">
        <v>-12</v>
      </c>
      <c r="R2226" s="131" t="s">
        <v>2324</v>
      </c>
      <c r="S2226" s="28"/>
      <c r="T2226" s="28"/>
      <c r="U2226" s="378"/>
      <c r="V2226" s="368"/>
      <c r="W2226" s="368"/>
      <c r="X2226" s="368"/>
      <c r="Y2226" s="368"/>
      <c r="Z2226" s="368"/>
      <c r="AA2226" s="368"/>
      <c r="AB2226" s="368"/>
      <c r="AC2226" s="368"/>
      <c r="AD2226" s="368"/>
      <c r="AE2226" s="510"/>
    </row>
    <row r="2227" spans="1:31" hidden="1">
      <c r="B2227" s="62"/>
      <c r="N2227" s="62"/>
      <c r="O2227" s="62"/>
      <c r="P2227" s="53"/>
      <c r="Q2227" s="45"/>
      <c r="R2227" s="45"/>
    </row>
    <row r="2228" spans="1:31" s="34" customFormat="1" hidden="1">
      <c r="B2228" s="65"/>
      <c r="C2228" s="95" t="s">
        <v>489</v>
      </c>
      <c r="D2228" s="95" t="s">
        <v>490</v>
      </c>
      <c r="E2228" s="95" t="s">
        <v>491</v>
      </c>
      <c r="F2228" s="95" t="s">
        <v>492</v>
      </c>
      <c r="G2228" s="95" t="s">
        <v>493</v>
      </c>
      <c r="H2228" s="95" t="s">
        <v>494</v>
      </c>
      <c r="I2228" s="95" t="s">
        <v>495</v>
      </c>
      <c r="J2228" s="95" t="s">
        <v>496</v>
      </c>
      <c r="K2228" s="95" t="s">
        <v>497</v>
      </c>
      <c r="L2228" s="95" t="s">
        <v>498</v>
      </c>
      <c r="M2228" s="95" t="s">
        <v>499</v>
      </c>
      <c r="N2228" s="126" t="s">
        <v>500</v>
      </c>
      <c r="O2228" s="126" t="s">
        <v>501</v>
      </c>
      <c r="P2228" s="132"/>
      <c r="Q2228" s="133"/>
      <c r="R2228" s="133"/>
      <c r="S2228" s="28"/>
      <c r="T2228" s="28"/>
      <c r="U2228" s="378"/>
      <c r="V2228" s="368"/>
      <c r="W2228" s="368"/>
      <c r="X2228" s="368"/>
      <c r="Y2228" s="368"/>
      <c r="Z2228" s="368"/>
      <c r="AA2228" s="368"/>
      <c r="AB2228" s="368"/>
      <c r="AC2228" s="368"/>
      <c r="AD2228" s="368"/>
      <c r="AE2228" s="510"/>
    </row>
    <row r="2229" spans="1:31" hidden="1">
      <c r="B2229" s="62"/>
      <c r="N2229" s="62"/>
      <c r="O2229" s="62"/>
    </row>
    <row r="2230" spans="1:31" hidden="1">
      <c r="A2230" s="28" t="s">
        <v>1209</v>
      </c>
      <c r="B2230" s="62" t="s">
        <v>2324</v>
      </c>
      <c r="C2230" s="28">
        <v>-4.3</v>
      </c>
      <c r="D2230" s="28">
        <v>-2.8</v>
      </c>
      <c r="E2230" s="28">
        <v>1.4</v>
      </c>
      <c r="F2230" s="28">
        <v>4.8</v>
      </c>
      <c r="G2230" s="28">
        <v>10.1</v>
      </c>
      <c r="H2230" s="28">
        <v>12.7</v>
      </c>
      <c r="I2230" s="28">
        <v>15</v>
      </c>
      <c r="J2230" s="28">
        <v>14.8</v>
      </c>
      <c r="K2230" s="28">
        <v>10.7</v>
      </c>
      <c r="L2230" s="28">
        <v>6.6</v>
      </c>
      <c r="M2230" s="28">
        <v>0.2</v>
      </c>
      <c r="N2230" s="62">
        <v>-3.2</v>
      </c>
      <c r="O2230" s="62">
        <v>5.5</v>
      </c>
    </row>
    <row r="2231" spans="1:31" hidden="1">
      <c r="B2231" s="62"/>
      <c r="N2231" s="62"/>
      <c r="O2231" s="62"/>
    </row>
    <row r="2232" spans="1:31" ht="12.6" hidden="1" customHeight="1">
      <c r="A2232" s="28" t="s">
        <v>1210</v>
      </c>
      <c r="B2232" s="62" t="s">
        <v>804</v>
      </c>
      <c r="C2232" s="28">
        <v>174</v>
      </c>
      <c r="D2232" s="28">
        <v>247</v>
      </c>
      <c r="E2232" s="28">
        <v>426</v>
      </c>
      <c r="F2232" s="28">
        <v>516</v>
      </c>
      <c r="G2232" s="28">
        <v>605</v>
      </c>
      <c r="H2232" s="28">
        <v>609</v>
      </c>
      <c r="I2232" s="28">
        <v>643</v>
      </c>
      <c r="J2232" s="28">
        <v>549</v>
      </c>
      <c r="K2232" s="28">
        <v>412</v>
      </c>
      <c r="L2232" s="28">
        <v>292</v>
      </c>
      <c r="M2232" s="28">
        <v>174</v>
      </c>
      <c r="N2232" s="62">
        <v>134</v>
      </c>
      <c r="O2232" s="62">
        <v>4781</v>
      </c>
      <c r="AE2232" s="378"/>
    </row>
    <row r="2233" spans="1:31" ht="12.6" hidden="1" customHeight="1">
      <c r="A2233" s="28" t="s">
        <v>1211</v>
      </c>
      <c r="B2233" s="62" t="s">
        <v>804</v>
      </c>
      <c r="C2233" s="28">
        <v>364</v>
      </c>
      <c r="D2233" s="28">
        <v>419</v>
      </c>
      <c r="E2233" s="28">
        <v>490</v>
      </c>
      <c r="F2233" s="28">
        <v>365</v>
      </c>
      <c r="G2233" s="28">
        <v>303</v>
      </c>
      <c r="H2233" s="28">
        <v>267</v>
      </c>
      <c r="I2233" s="28">
        <v>305</v>
      </c>
      <c r="J2233" s="28">
        <v>337</v>
      </c>
      <c r="K2233" s="28">
        <v>358</v>
      </c>
      <c r="L2233" s="28">
        <v>367</v>
      </c>
      <c r="M2233" s="28">
        <v>293</v>
      </c>
      <c r="N2233" s="62">
        <v>271</v>
      </c>
      <c r="O2233" s="62">
        <v>4139</v>
      </c>
      <c r="AE2233" s="378"/>
    </row>
    <row r="2234" spans="1:31" ht="12.6" hidden="1" customHeight="1">
      <c r="A2234" s="28" t="s">
        <v>1212</v>
      </c>
      <c r="B2234" s="62" t="s">
        <v>804</v>
      </c>
      <c r="C2234" s="28">
        <v>129</v>
      </c>
      <c r="D2234" s="28">
        <v>181</v>
      </c>
      <c r="E2234" s="28">
        <v>279</v>
      </c>
      <c r="F2234" s="28">
        <v>308</v>
      </c>
      <c r="G2234" s="28">
        <v>348</v>
      </c>
      <c r="H2234" s="28">
        <v>347</v>
      </c>
      <c r="I2234" s="28">
        <v>370</v>
      </c>
      <c r="J2234" s="28">
        <v>316</v>
      </c>
      <c r="K2234" s="28">
        <v>223</v>
      </c>
      <c r="L2234" s="28">
        <v>145</v>
      </c>
      <c r="M2234" s="28">
        <v>91</v>
      </c>
      <c r="N2234" s="62">
        <v>88</v>
      </c>
      <c r="O2234" s="62">
        <v>2825</v>
      </c>
      <c r="AE2234" s="378"/>
    </row>
    <row r="2235" spans="1:31" ht="12.6" hidden="1" customHeight="1">
      <c r="A2235" s="28" t="s">
        <v>1213</v>
      </c>
      <c r="B2235" s="62" t="s">
        <v>804</v>
      </c>
      <c r="C2235" s="28">
        <v>153</v>
      </c>
      <c r="D2235" s="28">
        <v>215</v>
      </c>
      <c r="E2235" s="28">
        <v>297</v>
      </c>
      <c r="F2235" s="28">
        <v>264</v>
      </c>
      <c r="G2235" s="28">
        <v>262</v>
      </c>
      <c r="H2235" s="28">
        <v>257</v>
      </c>
      <c r="I2235" s="28">
        <v>281</v>
      </c>
      <c r="J2235" s="28">
        <v>246</v>
      </c>
      <c r="K2235" s="28">
        <v>218</v>
      </c>
      <c r="L2235" s="28">
        <v>174</v>
      </c>
      <c r="M2235" s="28">
        <v>114</v>
      </c>
      <c r="N2235" s="62">
        <v>99</v>
      </c>
      <c r="O2235" s="62">
        <v>2581</v>
      </c>
      <c r="AE2235" s="378"/>
    </row>
    <row r="2236" spans="1:31" ht="12.6" hidden="1" customHeight="1">
      <c r="A2236" s="28" t="s">
        <v>1214</v>
      </c>
      <c r="B2236" s="62" t="s">
        <v>804</v>
      </c>
      <c r="C2236" s="28">
        <v>91</v>
      </c>
      <c r="D2236" s="28">
        <v>119</v>
      </c>
      <c r="E2236" s="28">
        <v>147</v>
      </c>
      <c r="F2236" s="28">
        <v>135</v>
      </c>
      <c r="G2236" s="28">
        <v>150</v>
      </c>
      <c r="H2236" s="28">
        <v>161</v>
      </c>
      <c r="I2236" s="28">
        <v>161</v>
      </c>
      <c r="J2236" s="28">
        <v>123</v>
      </c>
      <c r="K2236" s="28">
        <v>91</v>
      </c>
      <c r="L2236" s="28">
        <v>67</v>
      </c>
      <c r="M2236" s="28">
        <v>54</v>
      </c>
      <c r="N2236" s="62">
        <v>64</v>
      </c>
      <c r="O2236" s="62">
        <v>1363</v>
      </c>
      <c r="AE2236" s="378"/>
    </row>
    <row r="2237" spans="1:31" hidden="1">
      <c r="B2237" s="62"/>
      <c r="N2237" s="62"/>
      <c r="O2237" s="62"/>
      <c r="AE2237" s="378"/>
    </row>
    <row r="2238" spans="1:31" hidden="1">
      <c r="B2238" s="62"/>
      <c r="N2238" s="62"/>
      <c r="O2238" s="62"/>
      <c r="AE2238" s="378"/>
    </row>
    <row r="2239" spans="1:31" hidden="1">
      <c r="B2239" s="62"/>
      <c r="N2239" s="62"/>
      <c r="O2239" s="62"/>
      <c r="AE2239" s="378"/>
    </row>
    <row r="2240" spans="1:31" hidden="1">
      <c r="B2240" s="62"/>
      <c r="N2240" s="62"/>
      <c r="O2240" s="62"/>
      <c r="AE2240" s="378"/>
    </row>
    <row r="2241" spans="1:31" hidden="1">
      <c r="A2241" s="28" t="s">
        <v>1886</v>
      </c>
      <c r="B2241" s="62" t="s">
        <v>1808</v>
      </c>
      <c r="C2241" s="28">
        <v>31</v>
      </c>
      <c r="D2241" s="28">
        <v>28</v>
      </c>
      <c r="E2241" s="28">
        <v>31</v>
      </c>
      <c r="F2241" s="28">
        <v>30</v>
      </c>
      <c r="G2241" s="28">
        <v>24</v>
      </c>
      <c r="H2241" s="28">
        <v>10</v>
      </c>
      <c r="I2241" s="28">
        <v>6</v>
      </c>
      <c r="J2241" s="28">
        <v>9</v>
      </c>
      <c r="K2241" s="28">
        <v>19</v>
      </c>
      <c r="L2241" s="28">
        <v>30</v>
      </c>
      <c r="M2241" s="28">
        <v>30</v>
      </c>
      <c r="N2241" s="62">
        <v>31</v>
      </c>
      <c r="O2241" s="62"/>
      <c r="Q2241" s="28">
        <v>279</v>
      </c>
      <c r="AE2241" s="378"/>
    </row>
    <row r="2242" spans="1:31" hidden="1">
      <c r="A2242" s="28" t="s">
        <v>1887</v>
      </c>
      <c r="B2242" s="62" t="s">
        <v>1810</v>
      </c>
      <c r="C2242" s="28">
        <v>753</v>
      </c>
      <c r="D2242" s="28">
        <v>638</v>
      </c>
      <c r="E2242" s="28">
        <v>577</v>
      </c>
      <c r="F2242" s="28">
        <v>456</v>
      </c>
      <c r="G2242" s="28">
        <v>238</v>
      </c>
      <c r="H2242" s="28">
        <v>73</v>
      </c>
      <c r="I2242" s="28">
        <v>30</v>
      </c>
      <c r="J2242" s="28">
        <v>47</v>
      </c>
      <c r="K2242" s="28">
        <v>177</v>
      </c>
      <c r="L2242" s="28">
        <v>402</v>
      </c>
      <c r="M2242" s="28">
        <v>594</v>
      </c>
      <c r="N2242" s="62">
        <v>719</v>
      </c>
      <c r="O2242" s="62"/>
      <c r="Q2242" s="28">
        <v>4704</v>
      </c>
      <c r="AE2242" s="378"/>
    </row>
    <row r="2243" spans="1:31" hidden="1">
      <c r="B2243" s="62"/>
      <c r="N2243" s="62"/>
      <c r="O2243" s="62"/>
      <c r="AE2243" s="378"/>
    </row>
    <row r="2244" spans="1:31" hidden="1">
      <c r="B2244" s="62"/>
      <c r="N2244" s="62"/>
      <c r="O2244" s="62"/>
      <c r="AE2244" s="378"/>
    </row>
    <row r="2245" spans="1:31" hidden="1">
      <c r="B2245" s="62"/>
      <c r="N2245" s="62"/>
      <c r="O2245" s="62"/>
      <c r="AE2245" s="378"/>
    </row>
    <row r="2246" spans="1:31" ht="7.9" hidden="1" customHeight="1"/>
    <row r="2247" spans="1:31" ht="7.9" hidden="1" customHeight="1"/>
    <row r="2248" spans="1:31" ht="7.9" hidden="1" customHeight="1"/>
    <row r="2249" spans="1:31" ht="7.9" hidden="1" customHeight="1"/>
    <row r="2250" spans="1:31" ht="7.9" hidden="1" customHeight="1"/>
    <row r="2251" spans="1:31" s="34" customFormat="1" ht="15.75" hidden="1">
      <c r="A2251" s="61">
        <v>90</v>
      </c>
      <c r="B2251" s="129"/>
      <c r="C2251" s="129" t="s">
        <v>1223</v>
      </c>
      <c r="D2251" s="129"/>
      <c r="E2251" s="130"/>
      <c r="F2251" s="130" t="s">
        <v>352</v>
      </c>
      <c r="G2251" s="129">
        <v>1705</v>
      </c>
      <c r="H2251" s="131" t="s">
        <v>353</v>
      </c>
      <c r="I2251" s="129"/>
      <c r="J2251" s="129"/>
      <c r="K2251" s="130" t="s">
        <v>354</v>
      </c>
      <c r="L2251" s="131">
        <v>11</v>
      </c>
      <c r="M2251" s="129" t="s">
        <v>355</v>
      </c>
      <c r="N2251" s="131" t="s">
        <v>1585</v>
      </c>
      <c r="O2251" s="130"/>
      <c r="P2251" s="130" t="s">
        <v>357</v>
      </c>
      <c r="Q2251" s="129">
        <v>-18</v>
      </c>
      <c r="R2251" s="131" t="s">
        <v>2324</v>
      </c>
      <c r="S2251" s="28"/>
      <c r="T2251" s="28"/>
      <c r="U2251" s="378"/>
      <c r="V2251" s="368"/>
      <c r="W2251" s="368"/>
      <c r="X2251" s="368"/>
      <c r="Y2251" s="368"/>
      <c r="Z2251" s="368"/>
      <c r="AA2251" s="368"/>
      <c r="AB2251" s="368"/>
      <c r="AC2251" s="368"/>
      <c r="AD2251" s="368"/>
      <c r="AE2251" s="510"/>
    </row>
    <row r="2252" spans="1:31" hidden="1">
      <c r="B2252" s="62"/>
      <c r="N2252" s="62"/>
      <c r="O2252" s="62"/>
      <c r="P2252" s="53"/>
      <c r="Q2252" s="45"/>
      <c r="R2252" s="45"/>
    </row>
    <row r="2253" spans="1:31" s="34" customFormat="1" hidden="1">
      <c r="B2253" s="65"/>
      <c r="C2253" s="95" t="s">
        <v>489</v>
      </c>
      <c r="D2253" s="95" t="s">
        <v>490</v>
      </c>
      <c r="E2253" s="95" t="s">
        <v>491</v>
      </c>
      <c r="F2253" s="95" t="s">
        <v>492</v>
      </c>
      <c r="G2253" s="95" t="s">
        <v>493</v>
      </c>
      <c r="H2253" s="95" t="s">
        <v>494</v>
      </c>
      <c r="I2253" s="95" t="s">
        <v>495</v>
      </c>
      <c r="J2253" s="95" t="s">
        <v>496</v>
      </c>
      <c r="K2253" s="95" t="s">
        <v>497</v>
      </c>
      <c r="L2253" s="95" t="s">
        <v>498</v>
      </c>
      <c r="M2253" s="95" t="s">
        <v>499</v>
      </c>
      <c r="N2253" s="126" t="s">
        <v>500</v>
      </c>
      <c r="O2253" s="126" t="s">
        <v>501</v>
      </c>
      <c r="P2253" s="132"/>
      <c r="Q2253" s="133"/>
      <c r="R2253" s="133"/>
      <c r="S2253" s="28"/>
      <c r="T2253" s="28"/>
      <c r="U2253" s="378"/>
      <c r="V2253" s="368"/>
      <c r="W2253" s="368"/>
      <c r="X2253" s="368"/>
      <c r="Y2253" s="368"/>
      <c r="Z2253" s="368"/>
      <c r="AA2253" s="368"/>
      <c r="AB2253" s="368"/>
      <c r="AC2253" s="368"/>
      <c r="AD2253" s="368"/>
      <c r="AE2253" s="510"/>
    </row>
    <row r="2254" spans="1:31" hidden="1">
      <c r="B2254" s="62"/>
      <c r="N2254" s="62"/>
      <c r="O2254" s="62"/>
    </row>
    <row r="2255" spans="1:31" hidden="1">
      <c r="A2255" s="28" t="s">
        <v>1209</v>
      </c>
      <c r="B2255" s="62" t="s">
        <v>2324</v>
      </c>
      <c r="C2255" s="28">
        <v>-9.3000000000000007</v>
      </c>
      <c r="D2255" s="28">
        <v>-7.6</v>
      </c>
      <c r="E2255" s="28">
        <v>-2.8</v>
      </c>
      <c r="F2255" s="28">
        <v>1.1000000000000001</v>
      </c>
      <c r="G2255" s="28">
        <v>6.6</v>
      </c>
      <c r="H2255" s="28">
        <v>9.5</v>
      </c>
      <c r="I2255" s="28">
        <v>11.9</v>
      </c>
      <c r="J2255" s="28">
        <v>11.6</v>
      </c>
      <c r="K2255" s="28">
        <v>7.5</v>
      </c>
      <c r="L2255" s="28">
        <v>3.5</v>
      </c>
      <c r="M2255" s="28">
        <v>-3.1</v>
      </c>
      <c r="N2255" s="62">
        <v>-7.4</v>
      </c>
      <c r="O2255" s="62">
        <v>1.8</v>
      </c>
    </row>
    <row r="2256" spans="1:31" hidden="1">
      <c r="B2256" s="62"/>
      <c r="N2256" s="62"/>
      <c r="O2256" s="62"/>
    </row>
    <row r="2257" spans="1:31" ht="12.6" hidden="1" customHeight="1">
      <c r="A2257" s="28" t="s">
        <v>1210</v>
      </c>
      <c r="B2257" s="62" t="s">
        <v>804</v>
      </c>
      <c r="C2257" s="28">
        <v>196</v>
      </c>
      <c r="D2257" s="28">
        <v>269</v>
      </c>
      <c r="E2257" s="28">
        <v>450</v>
      </c>
      <c r="F2257" s="28">
        <v>537</v>
      </c>
      <c r="G2257" s="28">
        <v>621</v>
      </c>
      <c r="H2257" s="28">
        <v>630</v>
      </c>
      <c r="I2257" s="28">
        <v>656</v>
      </c>
      <c r="J2257" s="28">
        <v>562</v>
      </c>
      <c r="K2257" s="28">
        <v>420</v>
      </c>
      <c r="L2257" s="28">
        <v>300</v>
      </c>
      <c r="M2257" s="28">
        <v>189</v>
      </c>
      <c r="N2257" s="62">
        <v>158</v>
      </c>
      <c r="O2257" s="62">
        <v>4988</v>
      </c>
      <c r="AE2257" s="378"/>
    </row>
    <row r="2258" spans="1:31" ht="12.6" hidden="1" customHeight="1">
      <c r="A2258" s="28" t="s">
        <v>1211</v>
      </c>
      <c r="B2258" s="62" t="s">
        <v>804</v>
      </c>
      <c r="C2258" s="28">
        <v>442</v>
      </c>
      <c r="D2258" s="28">
        <v>486</v>
      </c>
      <c r="E2258" s="28">
        <v>581</v>
      </c>
      <c r="F2258" s="28">
        <v>441</v>
      </c>
      <c r="G2258" s="28">
        <v>321</v>
      </c>
      <c r="H2258" s="28">
        <v>277</v>
      </c>
      <c r="I2258" s="28">
        <v>313</v>
      </c>
      <c r="J2258" s="28">
        <v>351</v>
      </c>
      <c r="K2258" s="28">
        <v>365</v>
      </c>
      <c r="L2258" s="28">
        <v>383</v>
      </c>
      <c r="M2258" s="28">
        <v>342</v>
      </c>
      <c r="N2258" s="62">
        <v>370</v>
      </c>
      <c r="O2258" s="62">
        <v>4673</v>
      </c>
      <c r="AE2258" s="378"/>
    </row>
    <row r="2259" spans="1:31" ht="12.6" hidden="1" customHeight="1">
      <c r="A2259" s="28" t="s">
        <v>1212</v>
      </c>
      <c r="B2259" s="62" t="s">
        <v>804</v>
      </c>
      <c r="C2259" s="28">
        <v>177</v>
      </c>
      <c r="D2259" s="28">
        <v>237</v>
      </c>
      <c r="E2259" s="28">
        <v>348</v>
      </c>
      <c r="F2259" s="28">
        <v>337</v>
      </c>
      <c r="G2259" s="28">
        <v>319</v>
      </c>
      <c r="H2259" s="28">
        <v>319</v>
      </c>
      <c r="I2259" s="28">
        <v>340</v>
      </c>
      <c r="J2259" s="28">
        <v>284</v>
      </c>
      <c r="K2259" s="28">
        <v>194</v>
      </c>
      <c r="L2259" s="28">
        <v>150</v>
      </c>
      <c r="M2259" s="28">
        <v>124</v>
      </c>
      <c r="N2259" s="62">
        <v>137</v>
      </c>
      <c r="O2259" s="62">
        <v>2966</v>
      </c>
      <c r="AE2259" s="378"/>
    </row>
    <row r="2260" spans="1:31" ht="12.6" hidden="1" customHeight="1">
      <c r="A2260" s="28" t="s">
        <v>1213</v>
      </c>
      <c r="B2260" s="62" t="s">
        <v>804</v>
      </c>
      <c r="C2260" s="28">
        <v>204</v>
      </c>
      <c r="D2260" s="28">
        <v>266</v>
      </c>
      <c r="E2260" s="28">
        <v>386</v>
      </c>
      <c r="F2260" s="28">
        <v>347</v>
      </c>
      <c r="G2260" s="28">
        <v>297</v>
      </c>
      <c r="H2260" s="28">
        <v>285</v>
      </c>
      <c r="I2260" s="28">
        <v>287</v>
      </c>
      <c r="J2260" s="28">
        <v>260</v>
      </c>
      <c r="K2260" s="28">
        <v>218</v>
      </c>
      <c r="L2260" s="28">
        <v>177</v>
      </c>
      <c r="M2260" s="28">
        <v>145</v>
      </c>
      <c r="N2260" s="62">
        <v>155</v>
      </c>
      <c r="O2260" s="62">
        <v>3027</v>
      </c>
      <c r="AE2260" s="378"/>
    </row>
    <row r="2261" spans="1:31" ht="12.6" hidden="1" customHeight="1">
      <c r="A2261" s="28" t="s">
        <v>1214</v>
      </c>
      <c r="B2261" s="62" t="s">
        <v>804</v>
      </c>
      <c r="C2261" s="28">
        <v>121</v>
      </c>
      <c r="D2261" s="28">
        <v>165</v>
      </c>
      <c r="E2261" s="28">
        <v>225</v>
      </c>
      <c r="F2261" s="28">
        <v>200</v>
      </c>
      <c r="G2261" s="28">
        <v>155</v>
      </c>
      <c r="H2261" s="28">
        <v>158</v>
      </c>
      <c r="I2261" s="28">
        <v>153</v>
      </c>
      <c r="J2261" s="28">
        <v>126</v>
      </c>
      <c r="K2261" s="28">
        <v>96</v>
      </c>
      <c r="L2261" s="28">
        <v>75</v>
      </c>
      <c r="M2261" s="28">
        <v>78</v>
      </c>
      <c r="N2261" s="62">
        <v>91</v>
      </c>
      <c r="O2261" s="62">
        <v>1641</v>
      </c>
      <c r="AE2261" s="378"/>
    </row>
    <row r="2262" spans="1:31" hidden="1">
      <c r="B2262" s="62"/>
      <c r="N2262" s="62"/>
      <c r="O2262" s="62"/>
      <c r="AE2262" s="378"/>
    </row>
    <row r="2263" spans="1:31" hidden="1">
      <c r="B2263" s="62"/>
      <c r="N2263" s="62"/>
      <c r="O2263" s="62"/>
      <c r="AE2263" s="378"/>
    </row>
    <row r="2264" spans="1:31" hidden="1">
      <c r="B2264" s="62"/>
      <c r="N2264" s="62"/>
      <c r="O2264" s="62"/>
      <c r="AE2264" s="378"/>
    </row>
    <row r="2265" spans="1:31" hidden="1">
      <c r="B2265" s="62"/>
      <c r="N2265" s="62"/>
      <c r="O2265" s="62"/>
      <c r="AE2265" s="378"/>
    </row>
    <row r="2266" spans="1:31" hidden="1">
      <c r="A2266" s="28" t="s">
        <v>1886</v>
      </c>
      <c r="B2266" s="62" t="s">
        <v>1808</v>
      </c>
      <c r="C2266" s="28">
        <v>31</v>
      </c>
      <c r="D2266" s="28">
        <v>28</v>
      </c>
      <c r="E2266" s="28">
        <v>31</v>
      </c>
      <c r="F2266" s="28">
        <v>30</v>
      </c>
      <c r="G2266" s="28">
        <v>31</v>
      </c>
      <c r="H2266" s="28">
        <v>24</v>
      </c>
      <c r="I2266" s="28">
        <v>19</v>
      </c>
      <c r="J2266" s="28">
        <v>22</v>
      </c>
      <c r="K2266" s="28">
        <v>28</v>
      </c>
      <c r="L2266" s="28">
        <v>31</v>
      </c>
      <c r="M2266" s="28">
        <v>30</v>
      </c>
      <c r="N2266" s="62">
        <v>31</v>
      </c>
      <c r="O2266" s="62"/>
      <c r="Q2266" s="28">
        <v>336</v>
      </c>
      <c r="AE2266" s="378"/>
    </row>
    <row r="2267" spans="1:31" hidden="1">
      <c r="A2267" s="28" t="s">
        <v>1887</v>
      </c>
      <c r="B2267" s="62" t="s">
        <v>1810</v>
      </c>
      <c r="C2267" s="28">
        <v>908</v>
      </c>
      <c r="D2267" s="28">
        <v>773</v>
      </c>
      <c r="E2267" s="28">
        <v>707</v>
      </c>
      <c r="F2267" s="28">
        <v>567</v>
      </c>
      <c r="G2267" s="28">
        <v>415</v>
      </c>
      <c r="H2267" s="28">
        <v>252</v>
      </c>
      <c r="I2267" s="28">
        <v>154</v>
      </c>
      <c r="J2267" s="28">
        <v>185</v>
      </c>
      <c r="K2267" s="28">
        <v>350</v>
      </c>
      <c r="L2267" s="28">
        <v>512</v>
      </c>
      <c r="M2267" s="28">
        <v>693</v>
      </c>
      <c r="N2267" s="62">
        <v>849</v>
      </c>
      <c r="O2267" s="62"/>
      <c r="Q2267" s="28">
        <v>6365</v>
      </c>
      <c r="AE2267" s="378"/>
    </row>
    <row r="2268" spans="1:31" hidden="1">
      <c r="B2268" s="62"/>
      <c r="N2268" s="62"/>
      <c r="O2268" s="62"/>
      <c r="AE2268" s="378"/>
    </row>
    <row r="2269" spans="1:31" hidden="1">
      <c r="B2269" s="62"/>
      <c r="N2269" s="62"/>
      <c r="O2269" s="62"/>
      <c r="AE2269" s="378"/>
    </row>
    <row r="2270" spans="1:31" hidden="1">
      <c r="B2270" s="62"/>
      <c r="N2270" s="62"/>
      <c r="O2270" s="62"/>
      <c r="AE2270" s="378"/>
    </row>
    <row r="2271" spans="1:31" ht="7.9" hidden="1" customHeight="1"/>
    <row r="2272" spans="1:31" ht="7.9" hidden="1" customHeight="1"/>
    <row r="2273" spans="1:31" ht="7.9" hidden="1" customHeight="1"/>
    <row r="2274" spans="1:31" ht="7.9" hidden="1" customHeight="1"/>
    <row r="2275" spans="1:31" ht="7.9" hidden="1" customHeight="1"/>
    <row r="2276" spans="1:31" s="34" customFormat="1" ht="15.75" hidden="1">
      <c r="A2276" s="61">
        <v>91</v>
      </c>
      <c r="B2276" s="129"/>
      <c r="C2276" s="129" t="s">
        <v>1224</v>
      </c>
      <c r="D2276" s="129"/>
      <c r="E2276" s="130"/>
      <c r="F2276" s="130" t="s">
        <v>352</v>
      </c>
      <c r="G2276" s="129">
        <v>1078</v>
      </c>
      <c r="H2276" s="131" t="s">
        <v>353</v>
      </c>
      <c r="I2276" s="129"/>
      <c r="J2276" s="129"/>
      <c r="K2276" s="130" t="s">
        <v>354</v>
      </c>
      <c r="L2276" s="131">
        <v>12</v>
      </c>
      <c r="M2276" s="129" t="s">
        <v>355</v>
      </c>
      <c r="N2276" s="131" t="s">
        <v>1443</v>
      </c>
      <c r="O2276" s="130"/>
      <c r="P2276" s="130" t="s">
        <v>357</v>
      </c>
      <c r="Q2276" s="129">
        <v>-8</v>
      </c>
      <c r="R2276" s="131" t="s">
        <v>2324</v>
      </c>
      <c r="S2276" s="28"/>
      <c r="T2276" s="28"/>
      <c r="U2276" s="378"/>
      <c r="V2276" s="368"/>
      <c r="W2276" s="368"/>
      <c r="X2276" s="368"/>
      <c r="Y2276" s="368"/>
      <c r="Z2276" s="368"/>
      <c r="AA2276" s="368"/>
      <c r="AB2276" s="368"/>
      <c r="AC2276" s="368"/>
      <c r="AD2276" s="368"/>
      <c r="AE2276" s="510"/>
    </row>
    <row r="2277" spans="1:31" hidden="1">
      <c r="B2277" s="62"/>
      <c r="N2277" s="62"/>
      <c r="O2277" s="62"/>
      <c r="P2277" s="53"/>
      <c r="Q2277" s="45"/>
      <c r="R2277" s="45"/>
    </row>
    <row r="2278" spans="1:31" s="34" customFormat="1" hidden="1">
      <c r="B2278" s="65"/>
      <c r="C2278" s="95" t="s">
        <v>489</v>
      </c>
      <c r="D2278" s="95" t="s">
        <v>490</v>
      </c>
      <c r="E2278" s="95" t="s">
        <v>491</v>
      </c>
      <c r="F2278" s="95" t="s">
        <v>492</v>
      </c>
      <c r="G2278" s="95" t="s">
        <v>493</v>
      </c>
      <c r="H2278" s="95" t="s">
        <v>494</v>
      </c>
      <c r="I2278" s="95" t="s">
        <v>495</v>
      </c>
      <c r="J2278" s="95" t="s">
        <v>496</v>
      </c>
      <c r="K2278" s="95" t="s">
        <v>497</v>
      </c>
      <c r="L2278" s="95" t="s">
        <v>498</v>
      </c>
      <c r="M2278" s="95" t="s">
        <v>499</v>
      </c>
      <c r="N2278" s="126" t="s">
        <v>500</v>
      </c>
      <c r="O2278" s="126" t="s">
        <v>501</v>
      </c>
      <c r="P2278" s="132"/>
      <c r="Q2278" s="133"/>
      <c r="R2278" s="133"/>
      <c r="S2278" s="28"/>
      <c r="T2278" s="28"/>
      <c r="U2278" s="378"/>
      <c r="V2278" s="368"/>
      <c r="W2278" s="368"/>
      <c r="X2278" s="368"/>
      <c r="Y2278" s="368"/>
      <c r="Z2278" s="368"/>
      <c r="AA2278" s="368"/>
      <c r="AB2278" s="368"/>
      <c r="AC2278" s="368"/>
      <c r="AD2278" s="368"/>
      <c r="AE2278" s="510"/>
    </row>
    <row r="2279" spans="1:31" hidden="1">
      <c r="B2279" s="62"/>
      <c r="N2279" s="62"/>
      <c r="O2279" s="62"/>
    </row>
    <row r="2280" spans="1:31" hidden="1">
      <c r="A2280" s="28" t="s">
        <v>1209</v>
      </c>
      <c r="B2280" s="62" t="s">
        <v>2324</v>
      </c>
      <c r="C2280" s="28">
        <v>-2.1</v>
      </c>
      <c r="D2280" s="28">
        <v>-0.8</v>
      </c>
      <c r="E2280" s="28">
        <v>3.3</v>
      </c>
      <c r="F2280" s="28">
        <v>6.4</v>
      </c>
      <c r="G2280" s="28">
        <v>10.8</v>
      </c>
      <c r="H2280" s="28">
        <v>13.7</v>
      </c>
      <c r="I2280" s="28">
        <v>16</v>
      </c>
      <c r="J2280" s="28">
        <v>15.7</v>
      </c>
      <c r="K2280" s="28">
        <v>11.6</v>
      </c>
      <c r="L2280" s="28">
        <v>7.6</v>
      </c>
      <c r="M2280" s="28">
        <v>2.6</v>
      </c>
      <c r="N2280" s="62">
        <v>-0.5</v>
      </c>
      <c r="O2280" s="62">
        <v>7</v>
      </c>
    </row>
    <row r="2281" spans="1:31" hidden="1">
      <c r="B2281" s="62"/>
      <c r="N2281" s="62"/>
      <c r="O2281" s="62"/>
    </row>
    <row r="2282" spans="1:31" ht="12.6" hidden="1" customHeight="1">
      <c r="A2282" s="28" t="s">
        <v>1210</v>
      </c>
      <c r="B2282" s="62" t="s">
        <v>804</v>
      </c>
      <c r="C2282" s="28">
        <v>161</v>
      </c>
      <c r="D2282" s="28">
        <v>232</v>
      </c>
      <c r="E2282" s="28">
        <v>388</v>
      </c>
      <c r="F2282" s="28">
        <v>451</v>
      </c>
      <c r="G2282" s="28">
        <v>530</v>
      </c>
      <c r="H2282" s="28">
        <v>560</v>
      </c>
      <c r="I2282" s="28">
        <v>592</v>
      </c>
      <c r="J2282" s="28">
        <v>506</v>
      </c>
      <c r="K2282" s="28">
        <v>360</v>
      </c>
      <c r="L2282" s="28">
        <v>249</v>
      </c>
      <c r="M2282" s="28">
        <v>158</v>
      </c>
      <c r="N2282" s="62">
        <v>129</v>
      </c>
      <c r="O2282" s="62">
        <v>4317</v>
      </c>
      <c r="AE2282" s="378"/>
    </row>
    <row r="2283" spans="1:31" ht="12.6" hidden="1" customHeight="1">
      <c r="A2283" s="28" t="s">
        <v>1211</v>
      </c>
      <c r="B2283" s="62" t="s">
        <v>804</v>
      </c>
      <c r="C2283" s="28">
        <v>305</v>
      </c>
      <c r="D2283" s="28">
        <v>360</v>
      </c>
      <c r="E2283" s="28">
        <v>410</v>
      </c>
      <c r="F2283" s="28">
        <v>311</v>
      </c>
      <c r="G2283" s="28">
        <v>265</v>
      </c>
      <c r="H2283" s="28">
        <v>249</v>
      </c>
      <c r="I2283" s="28">
        <v>284</v>
      </c>
      <c r="J2283" s="28">
        <v>311</v>
      </c>
      <c r="K2283" s="28">
        <v>301</v>
      </c>
      <c r="L2283" s="28">
        <v>289</v>
      </c>
      <c r="M2283" s="28">
        <v>246</v>
      </c>
      <c r="N2283" s="62">
        <v>241</v>
      </c>
      <c r="O2283" s="62">
        <v>3572</v>
      </c>
      <c r="AE2283" s="378"/>
    </row>
    <row r="2284" spans="1:31" ht="12.6" hidden="1" customHeight="1">
      <c r="A2284" s="28" t="s">
        <v>1212</v>
      </c>
      <c r="B2284" s="62" t="s">
        <v>804</v>
      </c>
      <c r="C2284" s="28">
        <v>104</v>
      </c>
      <c r="D2284" s="28">
        <v>155</v>
      </c>
      <c r="E2284" s="28">
        <v>196</v>
      </c>
      <c r="F2284" s="28">
        <v>200</v>
      </c>
      <c r="G2284" s="28">
        <v>236</v>
      </c>
      <c r="H2284" s="28">
        <v>249</v>
      </c>
      <c r="I2284" s="28">
        <v>271</v>
      </c>
      <c r="J2284" s="28">
        <v>225</v>
      </c>
      <c r="K2284" s="28">
        <v>150</v>
      </c>
      <c r="L2284" s="28">
        <v>107</v>
      </c>
      <c r="M2284" s="28">
        <v>73</v>
      </c>
      <c r="N2284" s="62">
        <v>67</v>
      </c>
      <c r="O2284" s="62">
        <v>2031</v>
      </c>
      <c r="AE2284" s="378"/>
    </row>
    <row r="2285" spans="1:31" ht="12.6" hidden="1" customHeight="1">
      <c r="A2285" s="28" t="s">
        <v>1213</v>
      </c>
      <c r="B2285" s="62" t="s">
        <v>804</v>
      </c>
      <c r="C2285" s="28">
        <v>118</v>
      </c>
      <c r="D2285" s="28">
        <v>162</v>
      </c>
      <c r="E2285" s="28">
        <v>217</v>
      </c>
      <c r="F2285" s="28">
        <v>197</v>
      </c>
      <c r="G2285" s="28">
        <v>206</v>
      </c>
      <c r="H2285" s="28">
        <v>215</v>
      </c>
      <c r="I2285" s="28">
        <v>230</v>
      </c>
      <c r="J2285" s="28">
        <v>196</v>
      </c>
      <c r="K2285" s="28">
        <v>153</v>
      </c>
      <c r="L2285" s="28">
        <v>112</v>
      </c>
      <c r="M2285" s="28">
        <v>78</v>
      </c>
      <c r="N2285" s="62">
        <v>78</v>
      </c>
      <c r="O2285" s="62">
        <v>1962</v>
      </c>
      <c r="AE2285" s="378"/>
    </row>
    <row r="2286" spans="1:31" ht="12.6" hidden="1" customHeight="1">
      <c r="A2286" s="28" t="s">
        <v>1214</v>
      </c>
      <c r="B2286" s="62" t="s">
        <v>804</v>
      </c>
      <c r="C2286" s="28">
        <v>75</v>
      </c>
      <c r="D2286" s="28">
        <v>102</v>
      </c>
      <c r="E2286" s="28">
        <v>115</v>
      </c>
      <c r="F2286" s="28">
        <v>101</v>
      </c>
      <c r="G2286" s="28">
        <v>118</v>
      </c>
      <c r="H2286" s="28">
        <v>124</v>
      </c>
      <c r="I2286" s="28">
        <v>126</v>
      </c>
      <c r="J2286" s="28">
        <v>107</v>
      </c>
      <c r="K2286" s="28">
        <v>78</v>
      </c>
      <c r="L2286" s="28">
        <v>56</v>
      </c>
      <c r="M2286" s="28">
        <v>44</v>
      </c>
      <c r="N2286" s="62">
        <v>48</v>
      </c>
      <c r="O2286" s="62">
        <v>1094</v>
      </c>
      <c r="AE2286" s="378"/>
    </row>
    <row r="2287" spans="1:31" hidden="1">
      <c r="B2287" s="62"/>
      <c r="N2287" s="62"/>
      <c r="O2287" s="62"/>
      <c r="AE2287" s="378"/>
    </row>
    <row r="2288" spans="1:31" hidden="1">
      <c r="B2288" s="62"/>
      <c r="N2288" s="62"/>
      <c r="O2288" s="62"/>
      <c r="AE2288" s="378"/>
    </row>
    <row r="2289" spans="1:31" hidden="1">
      <c r="B2289" s="62"/>
      <c r="N2289" s="62"/>
      <c r="O2289" s="62"/>
      <c r="AE2289" s="378"/>
    </row>
    <row r="2290" spans="1:31" hidden="1">
      <c r="B2290" s="62"/>
      <c r="N2290" s="62"/>
      <c r="O2290" s="62"/>
      <c r="AE2290" s="378"/>
    </row>
    <row r="2291" spans="1:31" hidden="1">
      <c r="A2291" s="28" t="s">
        <v>1886</v>
      </c>
      <c r="B2291" s="62" t="s">
        <v>1808</v>
      </c>
      <c r="C2291" s="28">
        <v>31</v>
      </c>
      <c r="D2291" s="28">
        <v>28</v>
      </c>
      <c r="E2291" s="28">
        <v>31</v>
      </c>
      <c r="F2291" s="28">
        <v>29</v>
      </c>
      <c r="G2291" s="28">
        <v>23</v>
      </c>
      <c r="H2291" s="28">
        <v>9</v>
      </c>
      <c r="I2291" s="28">
        <v>3</v>
      </c>
      <c r="J2291" s="28">
        <v>5</v>
      </c>
      <c r="K2291" s="28">
        <v>15</v>
      </c>
      <c r="L2291" s="28">
        <v>28</v>
      </c>
      <c r="M2291" s="28">
        <v>30</v>
      </c>
      <c r="N2291" s="62">
        <v>31</v>
      </c>
      <c r="O2291" s="62"/>
      <c r="Q2291" s="28">
        <v>263</v>
      </c>
      <c r="AE2291" s="378"/>
    </row>
    <row r="2292" spans="1:31" hidden="1">
      <c r="A2292" s="28" t="s">
        <v>1887</v>
      </c>
      <c r="B2292" s="62" t="s">
        <v>1810</v>
      </c>
      <c r="C2292" s="28">
        <v>685</v>
      </c>
      <c r="D2292" s="28">
        <v>582</v>
      </c>
      <c r="E2292" s="28">
        <v>518</v>
      </c>
      <c r="F2292" s="28">
        <v>394</v>
      </c>
      <c r="G2292" s="28">
        <v>212</v>
      </c>
      <c r="H2292" s="28">
        <v>57</v>
      </c>
      <c r="I2292" s="28">
        <v>12</v>
      </c>
      <c r="J2292" s="28">
        <v>22</v>
      </c>
      <c r="K2292" s="28">
        <v>126</v>
      </c>
      <c r="L2292" s="28">
        <v>347</v>
      </c>
      <c r="M2292" s="28">
        <v>522</v>
      </c>
      <c r="N2292" s="62">
        <v>636</v>
      </c>
      <c r="O2292" s="62"/>
      <c r="Q2292" s="28">
        <v>4113</v>
      </c>
      <c r="AE2292" s="378"/>
    </row>
    <row r="2293" spans="1:31" hidden="1">
      <c r="B2293" s="62"/>
      <c r="N2293" s="62"/>
      <c r="O2293" s="62"/>
      <c r="AE2293" s="378"/>
    </row>
    <row r="2294" spans="1:31" hidden="1">
      <c r="B2294" s="62"/>
      <c r="N2294" s="62"/>
      <c r="O2294" s="62"/>
      <c r="AE2294" s="378"/>
    </row>
    <row r="2295" spans="1:31" hidden="1">
      <c r="B2295" s="62"/>
      <c r="N2295" s="62"/>
      <c r="O2295" s="62"/>
      <c r="AE2295" s="378"/>
    </row>
    <row r="2296" spans="1:31" ht="7.9" hidden="1" customHeight="1"/>
    <row r="2297" spans="1:31" ht="7.9" hidden="1" customHeight="1"/>
    <row r="2298" spans="1:31" ht="7.9" hidden="1" customHeight="1"/>
    <row r="2299" spans="1:31" ht="7.9" hidden="1" customHeight="1"/>
    <row r="2300" spans="1:31" ht="7.9" hidden="1" customHeight="1"/>
    <row r="2301" spans="1:31" s="34" customFormat="1" ht="15.75" hidden="1">
      <c r="A2301" s="61">
        <v>92</v>
      </c>
      <c r="B2301" s="129"/>
      <c r="C2301" s="129"/>
      <c r="D2301" s="129"/>
      <c r="E2301" s="130"/>
      <c r="F2301" s="130" t="s">
        <v>352</v>
      </c>
      <c r="G2301" s="129"/>
      <c r="H2301" s="131" t="s">
        <v>353</v>
      </c>
      <c r="I2301" s="129"/>
      <c r="J2301" s="129"/>
      <c r="K2301" s="130" t="s">
        <v>354</v>
      </c>
      <c r="L2301" s="131"/>
      <c r="M2301" s="129" t="s">
        <v>355</v>
      </c>
      <c r="N2301" s="131"/>
      <c r="O2301" s="130"/>
      <c r="P2301" s="130" t="s">
        <v>357</v>
      </c>
      <c r="Q2301" s="129"/>
      <c r="R2301" s="131" t="s">
        <v>2324</v>
      </c>
      <c r="S2301" s="28"/>
      <c r="T2301" s="28"/>
      <c r="U2301" s="378"/>
      <c r="V2301" s="368"/>
      <c r="W2301" s="368"/>
      <c r="X2301" s="368"/>
      <c r="Y2301" s="368"/>
      <c r="Z2301" s="368"/>
      <c r="AA2301" s="368"/>
      <c r="AB2301" s="368"/>
      <c r="AC2301" s="368"/>
      <c r="AD2301" s="368"/>
      <c r="AE2301" s="510"/>
    </row>
    <row r="2302" spans="1:31" hidden="1">
      <c r="B2302" s="62"/>
      <c r="N2302" s="62"/>
      <c r="O2302" s="62"/>
      <c r="P2302" s="53"/>
      <c r="Q2302" s="45"/>
      <c r="R2302" s="45"/>
    </row>
    <row r="2303" spans="1:31" s="34" customFormat="1" hidden="1">
      <c r="B2303" s="65"/>
      <c r="C2303" s="95" t="s">
        <v>489</v>
      </c>
      <c r="D2303" s="95" t="s">
        <v>490</v>
      </c>
      <c r="E2303" s="95" t="s">
        <v>491</v>
      </c>
      <c r="F2303" s="95" t="s">
        <v>492</v>
      </c>
      <c r="G2303" s="95" t="s">
        <v>493</v>
      </c>
      <c r="H2303" s="95" t="s">
        <v>494</v>
      </c>
      <c r="I2303" s="95" t="s">
        <v>495</v>
      </c>
      <c r="J2303" s="95" t="s">
        <v>496</v>
      </c>
      <c r="K2303" s="95" t="s">
        <v>497</v>
      </c>
      <c r="L2303" s="95" t="s">
        <v>498</v>
      </c>
      <c r="M2303" s="95" t="s">
        <v>499</v>
      </c>
      <c r="N2303" s="126" t="s">
        <v>500</v>
      </c>
      <c r="O2303" s="126" t="s">
        <v>501</v>
      </c>
      <c r="P2303" s="132"/>
      <c r="Q2303" s="133"/>
      <c r="R2303" s="133"/>
      <c r="S2303" s="28"/>
      <c r="T2303" s="28"/>
      <c r="U2303" s="378"/>
      <c r="V2303" s="368"/>
      <c r="W2303" s="368"/>
      <c r="X2303" s="368"/>
      <c r="Y2303" s="368"/>
      <c r="Z2303" s="368"/>
      <c r="AA2303" s="368"/>
      <c r="AB2303" s="368"/>
      <c r="AC2303" s="368"/>
      <c r="AD2303" s="368"/>
      <c r="AE2303" s="510"/>
    </row>
    <row r="2304" spans="1:31" hidden="1">
      <c r="B2304" s="62"/>
      <c r="N2304" s="62"/>
      <c r="O2304" s="62"/>
    </row>
    <row r="2305" spans="1:31" hidden="1">
      <c r="A2305" s="28" t="s">
        <v>1209</v>
      </c>
      <c r="B2305" s="62" t="s">
        <v>2324</v>
      </c>
      <c r="N2305" s="62"/>
      <c r="O2305" s="62"/>
    </row>
    <row r="2306" spans="1:31" hidden="1">
      <c r="B2306" s="62"/>
      <c r="N2306" s="62"/>
      <c r="O2306" s="62"/>
    </row>
    <row r="2307" spans="1:31" ht="12.6" hidden="1" customHeight="1">
      <c r="A2307" s="28" t="s">
        <v>1210</v>
      </c>
      <c r="B2307" s="62" t="s">
        <v>804</v>
      </c>
      <c r="N2307" s="62"/>
      <c r="O2307" s="62"/>
      <c r="AE2307" s="378"/>
    </row>
    <row r="2308" spans="1:31" ht="12.6" hidden="1" customHeight="1">
      <c r="A2308" s="28" t="s">
        <v>1211</v>
      </c>
      <c r="B2308" s="62" t="s">
        <v>804</v>
      </c>
      <c r="N2308" s="62"/>
      <c r="O2308" s="62"/>
      <c r="AE2308" s="378"/>
    </row>
    <row r="2309" spans="1:31" ht="12.6" hidden="1" customHeight="1">
      <c r="A2309" s="28" t="s">
        <v>1212</v>
      </c>
      <c r="B2309" s="62" t="s">
        <v>804</v>
      </c>
      <c r="N2309" s="62"/>
      <c r="O2309" s="62"/>
      <c r="AE2309" s="378"/>
    </row>
    <row r="2310" spans="1:31" ht="12.6" hidden="1" customHeight="1">
      <c r="A2310" s="28" t="s">
        <v>1213</v>
      </c>
      <c r="B2310" s="62" t="s">
        <v>804</v>
      </c>
      <c r="N2310" s="62"/>
      <c r="O2310" s="62"/>
      <c r="AE2310" s="378"/>
    </row>
    <row r="2311" spans="1:31" ht="12.6" hidden="1" customHeight="1">
      <c r="A2311" s="28" t="s">
        <v>1214</v>
      </c>
      <c r="B2311" s="62" t="s">
        <v>804</v>
      </c>
      <c r="N2311" s="62"/>
      <c r="O2311" s="62"/>
      <c r="AE2311" s="378"/>
    </row>
    <row r="2312" spans="1:31" hidden="1">
      <c r="B2312" s="62"/>
      <c r="N2312" s="62"/>
      <c r="O2312" s="62"/>
      <c r="AE2312" s="378"/>
    </row>
    <row r="2313" spans="1:31" hidden="1">
      <c r="B2313" s="62"/>
      <c r="N2313" s="62"/>
      <c r="O2313" s="62"/>
      <c r="AE2313" s="378"/>
    </row>
    <row r="2314" spans="1:31" hidden="1">
      <c r="B2314" s="62"/>
      <c r="N2314" s="62"/>
      <c r="O2314" s="62"/>
      <c r="AE2314" s="378"/>
    </row>
    <row r="2315" spans="1:31" hidden="1">
      <c r="B2315" s="62"/>
      <c r="N2315" s="62"/>
      <c r="O2315" s="62"/>
      <c r="AE2315" s="378"/>
    </row>
    <row r="2316" spans="1:31" hidden="1">
      <c r="B2316" s="62"/>
      <c r="N2316" s="62"/>
      <c r="O2316" s="62"/>
      <c r="AE2316" s="378"/>
    </row>
    <row r="2317" spans="1:31" hidden="1">
      <c r="B2317" s="62"/>
      <c r="N2317" s="62"/>
      <c r="O2317" s="62"/>
      <c r="AE2317" s="378"/>
    </row>
    <row r="2318" spans="1:31" hidden="1">
      <c r="B2318" s="62"/>
      <c r="N2318" s="62"/>
      <c r="O2318" s="62"/>
      <c r="AE2318" s="378"/>
    </row>
    <row r="2319" spans="1:31" hidden="1">
      <c r="B2319" s="62"/>
      <c r="N2319" s="62"/>
      <c r="O2319" s="62"/>
      <c r="AE2319" s="378"/>
    </row>
    <row r="2320" spans="1:31" hidden="1">
      <c r="B2320" s="62"/>
      <c r="N2320" s="62"/>
      <c r="O2320" s="62"/>
      <c r="AE2320" s="378"/>
    </row>
    <row r="2321" spans="1:31" ht="7.9" hidden="1" customHeight="1"/>
    <row r="2322" spans="1:31" ht="7.9" hidden="1" customHeight="1"/>
    <row r="2323" spans="1:31" ht="7.9" hidden="1" customHeight="1"/>
    <row r="2324" spans="1:31" ht="7.9" hidden="1" customHeight="1"/>
    <row r="2325" spans="1:31" ht="7.9" hidden="1" customHeight="1"/>
    <row r="2326" spans="1:31" s="34" customFormat="1" ht="15.75" hidden="1">
      <c r="A2326" s="61">
        <v>93</v>
      </c>
      <c r="B2326" s="129"/>
      <c r="C2326" s="129" t="s">
        <v>1225</v>
      </c>
      <c r="D2326" s="129"/>
      <c r="E2326" s="130"/>
      <c r="F2326" s="130" t="s">
        <v>352</v>
      </c>
      <c r="G2326" s="129">
        <v>1035</v>
      </c>
      <c r="H2326" s="131" t="s">
        <v>353</v>
      </c>
      <c r="I2326" s="129"/>
      <c r="J2326" s="129"/>
      <c r="K2326" s="130" t="s">
        <v>354</v>
      </c>
      <c r="L2326" s="131">
        <v>7</v>
      </c>
      <c r="M2326" s="129" t="s">
        <v>355</v>
      </c>
      <c r="N2326" s="131" t="s">
        <v>356</v>
      </c>
      <c r="O2326" s="130"/>
      <c r="P2326" s="130" t="s">
        <v>357</v>
      </c>
      <c r="Q2326" s="129">
        <v>-11</v>
      </c>
      <c r="R2326" s="131" t="s">
        <v>2324</v>
      </c>
      <c r="S2326" s="28"/>
      <c r="T2326" s="28"/>
      <c r="U2326" s="378"/>
      <c r="V2326" s="368"/>
      <c r="W2326" s="368"/>
      <c r="X2326" s="368"/>
      <c r="Y2326" s="368"/>
      <c r="Z2326" s="368"/>
      <c r="AA2326" s="368"/>
      <c r="AB2326" s="368"/>
      <c r="AC2326" s="368"/>
      <c r="AD2326" s="368"/>
      <c r="AE2326" s="510"/>
    </row>
    <row r="2327" spans="1:31" hidden="1">
      <c r="B2327" s="62"/>
      <c r="N2327" s="62"/>
      <c r="O2327" s="62"/>
      <c r="P2327" s="53" t="s">
        <v>358</v>
      </c>
      <c r="Q2327" s="45"/>
      <c r="R2327" s="45"/>
    </row>
    <row r="2328" spans="1:31" s="34" customFormat="1" hidden="1">
      <c r="B2328" s="65"/>
      <c r="C2328" s="95" t="s">
        <v>489</v>
      </c>
      <c r="D2328" s="95" t="s">
        <v>490</v>
      </c>
      <c r="E2328" s="95" t="s">
        <v>491</v>
      </c>
      <c r="F2328" s="95" t="s">
        <v>492</v>
      </c>
      <c r="G2328" s="95" t="s">
        <v>493</v>
      </c>
      <c r="H2328" s="95" t="s">
        <v>494</v>
      </c>
      <c r="I2328" s="95" t="s">
        <v>495</v>
      </c>
      <c r="J2328" s="95" t="s">
        <v>496</v>
      </c>
      <c r="K2328" s="95" t="s">
        <v>497</v>
      </c>
      <c r="L2328" s="95" t="s">
        <v>498</v>
      </c>
      <c r="M2328" s="95" t="s">
        <v>499</v>
      </c>
      <c r="N2328" s="126" t="s">
        <v>500</v>
      </c>
      <c r="O2328" s="126" t="s">
        <v>501</v>
      </c>
      <c r="P2328" s="132"/>
      <c r="Q2328" s="133"/>
      <c r="R2328" s="133"/>
      <c r="S2328" s="28"/>
      <c r="T2328" s="28"/>
      <c r="U2328" s="378"/>
      <c r="V2328" s="368"/>
      <c r="W2328" s="368"/>
      <c r="X2328" s="368"/>
      <c r="Y2328" s="368"/>
      <c r="Z2328" s="368"/>
      <c r="AA2328" s="368"/>
      <c r="AB2328" s="368"/>
      <c r="AC2328" s="368"/>
      <c r="AD2328" s="368"/>
      <c r="AE2328" s="510"/>
    </row>
    <row r="2329" spans="1:31" hidden="1">
      <c r="B2329" s="62"/>
      <c r="N2329" s="62"/>
      <c r="O2329" s="62"/>
    </row>
    <row r="2330" spans="1:31" hidden="1">
      <c r="A2330" s="28" t="s">
        <v>1209</v>
      </c>
      <c r="B2330" s="62" t="s">
        <v>2324</v>
      </c>
      <c r="C2330" s="28">
        <v>-2</v>
      </c>
      <c r="D2330" s="28">
        <v>-1.1000000000000001</v>
      </c>
      <c r="E2330" s="28">
        <v>2.2000000000000002</v>
      </c>
      <c r="F2330" s="28">
        <v>5.0999999999999996</v>
      </c>
      <c r="G2330" s="28">
        <v>10.199999999999999</v>
      </c>
      <c r="H2330" s="28">
        <v>12.7</v>
      </c>
      <c r="I2330" s="28">
        <v>14.9</v>
      </c>
      <c r="J2330" s="28">
        <v>14.9</v>
      </c>
      <c r="K2330" s="28">
        <v>11</v>
      </c>
      <c r="L2330" s="28">
        <v>7.5</v>
      </c>
      <c r="M2330" s="28">
        <v>1.8</v>
      </c>
      <c r="N2330" s="62">
        <v>-0.7</v>
      </c>
      <c r="O2330" s="62">
        <v>6.4</v>
      </c>
    </row>
    <row r="2331" spans="1:31" hidden="1">
      <c r="B2331" s="62"/>
      <c r="N2331" s="62"/>
      <c r="O2331" s="62"/>
    </row>
    <row r="2332" spans="1:31" ht="12.6" hidden="1" customHeight="1">
      <c r="A2332" s="28" t="s">
        <v>1210</v>
      </c>
      <c r="B2332" s="62" t="s">
        <v>804</v>
      </c>
      <c r="C2332" s="28">
        <v>121</v>
      </c>
      <c r="D2332" s="28">
        <v>203</v>
      </c>
      <c r="E2332" s="28">
        <v>354</v>
      </c>
      <c r="F2332" s="28">
        <v>435</v>
      </c>
      <c r="G2332" s="28">
        <v>538</v>
      </c>
      <c r="H2332" s="28">
        <v>537</v>
      </c>
      <c r="I2332" s="28">
        <v>536</v>
      </c>
      <c r="J2332" s="28">
        <v>471</v>
      </c>
      <c r="K2332" s="28">
        <v>345</v>
      </c>
      <c r="L2332" s="28">
        <v>241</v>
      </c>
      <c r="M2332" s="28">
        <v>132</v>
      </c>
      <c r="N2332" s="62">
        <v>86</v>
      </c>
      <c r="O2332" s="62">
        <v>3998</v>
      </c>
      <c r="AE2332" s="378"/>
    </row>
    <row r="2333" spans="1:31" ht="12.6" hidden="1" customHeight="1">
      <c r="A2333" s="28" t="s">
        <v>1211</v>
      </c>
      <c r="B2333" s="62" t="s">
        <v>804</v>
      </c>
      <c r="C2333" s="28">
        <v>177</v>
      </c>
      <c r="D2333" s="28">
        <v>302</v>
      </c>
      <c r="E2333" s="28">
        <v>380</v>
      </c>
      <c r="F2333" s="28">
        <v>308</v>
      </c>
      <c r="G2333" s="28">
        <v>273</v>
      </c>
      <c r="H2333" s="28">
        <v>233</v>
      </c>
      <c r="I2333" s="28">
        <v>254</v>
      </c>
      <c r="J2333" s="28">
        <v>287</v>
      </c>
      <c r="K2333" s="28">
        <v>285</v>
      </c>
      <c r="L2333" s="28">
        <v>279</v>
      </c>
      <c r="M2333" s="28">
        <v>176</v>
      </c>
      <c r="N2333" s="62">
        <v>104</v>
      </c>
      <c r="O2333" s="62">
        <v>3060</v>
      </c>
      <c r="AE2333" s="378"/>
    </row>
    <row r="2334" spans="1:31" ht="12.6" hidden="1" customHeight="1">
      <c r="A2334" s="28" t="s">
        <v>1212</v>
      </c>
      <c r="B2334" s="62" t="s">
        <v>804</v>
      </c>
      <c r="C2334" s="28">
        <v>64</v>
      </c>
      <c r="D2334" s="28">
        <v>145</v>
      </c>
      <c r="E2334" s="28">
        <v>228</v>
      </c>
      <c r="F2334" s="28">
        <v>231</v>
      </c>
      <c r="G2334" s="28">
        <v>249</v>
      </c>
      <c r="H2334" s="28">
        <v>267</v>
      </c>
      <c r="I2334" s="28">
        <v>262</v>
      </c>
      <c r="J2334" s="28">
        <v>236</v>
      </c>
      <c r="K2334" s="28">
        <v>181</v>
      </c>
      <c r="L2334" s="28">
        <v>131</v>
      </c>
      <c r="M2334" s="28">
        <v>65</v>
      </c>
      <c r="N2334" s="62">
        <v>37</v>
      </c>
      <c r="O2334" s="62">
        <v>2097</v>
      </c>
      <c r="AE2334" s="378"/>
    </row>
    <row r="2335" spans="1:31" ht="12.6" hidden="1" customHeight="1">
      <c r="A2335" s="28" t="s">
        <v>1213</v>
      </c>
      <c r="B2335" s="62" t="s">
        <v>804</v>
      </c>
      <c r="C2335" s="28">
        <v>72</v>
      </c>
      <c r="D2335" s="28">
        <v>128</v>
      </c>
      <c r="E2335" s="28">
        <v>206</v>
      </c>
      <c r="F2335" s="28">
        <v>220</v>
      </c>
      <c r="G2335" s="28">
        <v>238</v>
      </c>
      <c r="H2335" s="28">
        <v>215</v>
      </c>
      <c r="I2335" s="28">
        <v>214</v>
      </c>
      <c r="J2335" s="28">
        <v>198</v>
      </c>
      <c r="K2335" s="28">
        <v>148</v>
      </c>
      <c r="L2335" s="28">
        <v>110</v>
      </c>
      <c r="M2335" s="28">
        <v>62</v>
      </c>
      <c r="N2335" s="62">
        <v>48</v>
      </c>
      <c r="O2335" s="62">
        <v>1861</v>
      </c>
      <c r="AE2335" s="378"/>
    </row>
    <row r="2336" spans="1:31" ht="12.6" hidden="1" customHeight="1">
      <c r="A2336" s="28" t="s">
        <v>1214</v>
      </c>
      <c r="B2336" s="62" t="s">
        <v>804</v>
      </c>
      <c r="C2336" s="28">
        <v>51</v>
      </c>
      <c r="D2336" s="28">
        <v>82</v>
      </c>
      <c r="E2336" s="28">
        <v>121</v>
      </c>
      <c r="F2336" s="28">
        <v>119</v>
      </c>
      <c r="G2336" s="28">
        <v>123</v>
      </c>
      <c r="H2336" s="28">
        <v>127</v>
      </c>
      <c r="I2336" s="28">
        <v>123</v>
      </c>
      <c r="J2336" s="28">
        <v>104</v>
      </c>
      <c r="K2336" s="28">
        <v>78</v>
      </c>
      <c r="L2336" s="28">
        <v>56</v>
      </c>
      <c r="M2336" s="28">
        <v>39</v>
      </c>
      <c r="N2336" s="62">
        <v>32</v>
      </c>
      <c r="O2336" s="62">
        <v>1056</v>
      </c>
      <c r="AE2336" s="378"/>
    </row>
    <row r="2337" spans="1:31" hidden="1">
      <c r="B2337" s="62"/>
      <c r="N2337" s="62"/>
      <c r="O2337" s="62"/>
      <c r="AE2337" s="378"/>
    </row>
    <row r="2338" spans="1:31" hidden="1">
      <c r="B2338" s="62"/>
      <c r="N2338" s="62"/>
      <c r="O2338" s="62"/>
      <c r="AE2338" s="378"/>
    </row>
    <row r="2339" spans="1:31" hidden="1">
      <c r="B2339" s="62"/>
      <c r="N2339" s="62"/>
      <c r="O2339" s="62"/>
      <c r="AE2339" s="378"/>
    </row>
    <row r="2340" spans="1:31" hidden="1">
      <c r="B2340" s="62"/>
      <c r="N2340" s="62"/>
      <c r="O2340" s="62"/>
      <c r="AE2340" s="378"/>
    </row>
    <row r="2341" spans="1:31" hidden="1">
      <c r="A2341" s="28" t="s">
        <v>1886</v>
      </c>
      <c r="B2341" s="62" t="s">
        <v>1808</v>
      </c>
      <c r="C2341" s="28">
        <v>31</v>
      </c>
      <c r="D2341" s="28">
        <v>28</v>
      </c>
      <c r="E2341" s="28">
        <v>31</v>
      </c>
      <c r="F2341" s="28">
        <v>29</v>
      </c>
      <c r="G2341" s="28">
        <v>24</v>
      </c>
      <c r="H2341" s="28">
        <v>12</v>
      </c>
      <c r="I2341" s="28">
        <v>7</v>
      </c>
      <c r="J2341" s="28">
        <v>10</v>
      </c>
      <c r="K2341" s="28">
        <v>18</v>
      </c>
      <c r="L2341" s="28">
        <v>28</v>
      </c>
      <c r="M2341" s="28">
        <v>29</v>
      </c>
      <c r="N2341" s="62">
        <v>31</v>
      </c>
      <c r="O2341" s="62"/>
      <c r="Q2341" s="28">
        <v>278</v>
      </c>
      <c r="AE2341" s="378"/>
    </row>
    <row r="2342" spans="1:31" hidden="1">
      <c r="A2342" s="28" t="s">
        <v>1887</v>
      </c>
      <c r="B2342" s="62" t="s">
        <v>1810</v>
      </c>
      <c r="C2342" s="28">
        <v>682</v>
      </c>
      <c r="D2342" s="28">
        <v>591</v>
      </c>
      <c r="E2342" s="28">
        <v>552</v>
      </c>
      <c r="F2342" s="28">
        <v>432</v>
      </c>
      <c r="G2342" s="28">
        <v>235</v>
      </c>
      <c r="H2342" s="28">
        <v>88</v>
      </c>
      <c r="I2342" s="28">
        <v>36</v>
      </c>
      <c r="J2342" s="28">
        <v>51</v>
      </c>
      <c r="K2342" s="28">
        <v>162</v>
      </c>
      <c r="L2342" s="28">
        <v>350</v>
      </c>
      <c r="M2342" s="28">
        <v>528</v>
      </c>
      <c r="N2342" s="62">
        <v>642</v>
      </c>
      <c r="O2342" s="62"/>
      <c r="Q2342" s="28">
        <v>4349</v>
      </c>
      <c r="AE2342" s="378"/>
    </row>
    <row r="2343" spans="1:31" hidden="1">
      <c r="B2343" s="62"/>
      <c r="N2343" s="62"/>
      <c r="O2343" s="62"/>
      <c r="AE2343" s="378"/>
    </row>
    <row r="2344" spans="1:31" hidden="1">
      <c r="B2344" s="62"/>
      <c r="N2344" s="62"/>
      <c r="O2344" s="62"/>
      <c r="AE2344" s="378"/>
    </row>
    <row r="2345" spans="1:31" hidden="1">
      <c r="B2345" s="62"/>
      <c r="N2345" s="62"/>
      <c r="O2345" s="62"/>
      <c r="AE2345" s="378"/>
    </row>
    <row r="2346" spans="1:31" ht="7.9" hidden="1" customHeight="1"/>
    <row r="2347" spans="1:31" ht="7.9" hidden="1" customHeight="1"/>
    <row r="2348" spans="1:31" ht="7.9" hidden="1" customHeight="1"/>
    <row r="2349" spans="1:31" ht="7.9" hidden="1" customHeight="1"/>
    <row r="2350" spans="1:31" ht="7.9" hidden="1" customHeight="1"/>
    <row r="2351" spans="1:31" s="34" customFormat="1" ht="15.75" hidden="1">
      <c r="A2351" s="61">
        <v>94</v>
      </c>
      <c r="B2351" s="129"/>
      <c r="C2351" s="129"/>
      <c r="D2351" s="129"/>
      <c r="E2351" s="130"/>
      <c r="F2351" s="130" t="s">
        <v>352</v>
      </c>
      <c r="G2351" s="129"/>
      <c r="H2351" s="131" t="s">
        <v>353</v>
      </c>
      <c r="I2351" s="129"/>
      <c r="J2351" s="129"/>
      <c r="K2351" s="130" t="s">
        <v>354</v>
      </c>
      <c r="L2351" s="131"/>
      <c r="M2351" s="129" t="s">
        <v>355</v>
      </c>
      <c r="N2351" s="131"/>
      <c r="O2351" s="130"/>
      <c r="P2351" s="130" t="s">
        <v>357</v>
      </c>
      <c r="Q2351" s="129"/>
      <c r="R2351" s="131" t="s">
        <v>2324</v>
      </c>
      <c r="S2351" s="28"/>
      <c r="T2351" s="28"/>
      <c r="U2351" s="378"/>
      <c r="V2351" s="368"/>
      <c r="W2351" s="368"/>
      <c r="X2351" s="368"/>
      <c r="Y2351" s="368"/>
      <c r="Z2351" s="368"/>
      <c r="AA2351" s="368"/>
      <c r="AB2351" s="368"/>
      <c r="AC2351" s="368"/>
      <c r="AD2351" s="368"/>
      <c r="AE2351" s="510"/>
    </row>
    <row r="2352" spans="1:31" hidden="1">
      <c r="B2352" s="62"/>
      <c r="N2352" s="62"/>
      <c r="O2352" s="62"/>
      <c r="P2352" s="53"/>
      <c r="Q2352" s="45"/>
      <c r="R2352" s="45"/>
    </row>
    <row r="2353" spans="1:31" s="34" customFormat="1" hidden="1">
      <c r="B2353" s="65"/>
      <c r="C2353" s="95" t="s">
        <v>489</v>
      </c>
      <c r="D2353" s="95" t="s">
        <v>490</v>
      </c>
      <c r="E2353" s="95" t="s">
        <v>491</v>
      </c>
      <c r="F2353" s="95" t="s">
        <v>492</v>
      </c>
      <c r="G2353" s="95" t="s">
        <v>493</v>
      </c>
      <c r="H2353" s="95" t="s">
        <v>494</v>
      </c>
      <c r="I2353" s="95" t="s">
        <v>495</v>
      </c>
      <c r="J2353" s="95" t="s">
        <v>496</v>
      </c>
      <c r="K2353" s="95" t="s">
        <v>497</v>
      </c>
      <c r="L2353" s="95" t="s">
        <v>498</v>
      </c>
      <c r="M2353" s="95" t="s">
        <v>499</v>
      </c>
      <c r="N2353" s="126" t="s">
        <v>500</v>
      </c>
      <c r="O2353" s="126" t="s">
        <v>501</v>
      </c>
      <c r="P2353" s="132"/>
      <c r="Q2353" s="133"/>
      <c r="R2353" s="133"/>
      <c r="S2353" s="28"/>
      <c r="T2353" s="28"/>
      <c r="U2353" s="378"/>
      <c r="V2353" s="368"/>
      <c r="W2353" s="368"/>
      <c r="X2353" s="368"/>
      <c r="Y2353" s="368"/>
      <c r="Z2353" s="368"/>
      <c r="AA2353" s="368"/>
      <c r="AB2353" s="368"/>
      <c r="AC2353" s="368"/>
      <c r="AD2353" s="368"/>
      <c r="AE2353" s="510"/>
    </row>
    <row r="2354" spans="1:31" hidden="1">
      <c r="B2354" s="62"/>
      <c r="N2354" s="62"/>
      <c r="O2354" s="62"/>
    </row>
    <row r="2355" spans="1:31" hidden="1">
      <c r="A2355" s="28" t="s">
        <v>1209</v>
      </c>
      <c r="B2355" s="62" t="s">
        <v>2324</v>
      </c>
      <c r="N2355" s="62"/>
      <c r="O2355" s="62"/>
    </row>
    <row r="2356" spans="1:31" hidden="1">
      <c r="B2356" s="62"/>
      <c r="N2356" s="62"/>
      <c r="O2356" s="62"/>
    </row>
    <row r="2357" spans="1:31" ht="12.6" hidden="1" customHeight="1">
      <c r="A2357" s="28" t="s">
        <v>1210</v>
      </c>
      <c r="B2357" s="62" t="s">
        <v>804</v>
      </c>
      <c r="N2357" s="62"/>
      <c r="O2357" s="62"/>
      <c r="AE2357" s="378"/>
    </row>
    <row r="2358" spans="1:31" ht="12.6" hidden="1" customHeight="1">
      <c r="A2358" s="28" t="s">
        <v>1211</v>
      </c>
      <c r="B2358" s="62" t="s">
        <v>804</v>
      </c>
      <c r="N2358" s="62"/>
      <c r="O2358" s="62"/>
      <c r="AE2358" s="378"/>
    </row>
    <row r="2359" spans="1:31" ht="12.6" hidden="1" customHeight="1">
      <c r="A2359" s="28" t="s">
        <v>1212</v>
      </c>
      <c r="B2359" s="62" t="s">
        <v>804</v>
      </c>
      <c r="N2359" s="62"/>
      <c r="O2359" s="62"/>
      <c r="AE2359" s="378"/>
    </row>
    <row r="2360" spans="1:31" ht="12.6" hidden="1" customHeight="1">
      <c r="A2360" s="28" t="s">
        <v>1213</v>
      </c>
      <c r="B2360" s="62" t="s">
        <v>804</v>
      </c>
      <c r="N2360" s="62"/>
      <c r="O2360" s="62"/>
      <c r="AE2360" s="378"/>
    </row>
    <row r="2361" spans="1:31" ht="12.6" hidden="1" customHeight="1">
      <c r="A2361" s="28" t="s">
        <v>1214</v>
      </c>
      <c r="B2361" s="62" t="s">
        <v>804</v>
      </c>
      <c r="N2361" s="62"/>
      <c r="O2361" s="62"/>
      <c r="AE2361" s="378"/>
    </row>
    <row r="2362" spans="1:31" hidden="1">
      <c r="B2362" s="62"/>
      <c r="N2362" s="62"/>
      <c r="O2362" s="62"/>
      <c r="AE2362" s="378"/>
    </row>
    <row r="2363" spans="1:31" hidden="1">
      <c r="B2363" s="62"/>
      <c r="N2363" s="62"/>
      <c r="O2363" s="62"/>
      <c r="AE2363" s="378"/>
    </row>
    <row r="2364" spans="1:31" hidden="1">
      <c r="B2364" s="62"/>
      <c r="N2364" s="62"/>
      <c r="O2364" s="62"/>
      <c r="AE2364" s="378"/>
    </row>
    <row r="2365" spans="1:31" hidden="1">
      <c r="B2365" s="62"/>
      <c r="N2365" s="62"/>
      <c r="O2365" s="62"/>
      <c r="AE2365" s="378"/>
    </row>
    <row r="2366" spans="1:31" hidden="1">
      <c r="B2366" s="62"/>
      <c r="N2366" s="62"/>
      <c r="O2366" s="62"/>
      <c r="AE2366" s="378"/>
    </row>
    <row r="2367" spans="1:31" hidden="1">
      <c r="B2367" s="62"/>
      <c r="N2367" s="62"/>
      <c r="O2367" s="62"/>
      <c r="AE2367" s="378"/>
    </row>
    <row r="2368" spans="1:31" hidden="1">
      <c r="B2368" s="62"/>
      <c r="N2368" s="62"/>
      <c r="O2368" s="62"/>
      <c r="AE2368" s="378"/>
    </row>
    <row r="2369" spans="1:31" hidden="1">
      <c r="B2369" s="62"/>
      <c r="N2369" s="62"/>
      <c r="O2369" s="62"/>
      <c r="AE2369" s="378"/>
    </row>
    <row r="2370" spans="1:31" hidden="1">
      <c r="B2370" s="62"/>
      <c r="N2370" s="62"/>
      <c r="O2370" s="62"/>
      <c r="AE2370" s="378"/>
    </row>
    <row r="2371" spans="1:31" ht="7.9" hidden="1" customHeight="1"/>
    <row r="2372" spans="1:31" ht="7.9" hidden="1" customHeight="1"/>
    <row r="2373" spans="1:31" ht="7.9" hidden="1" customHeight="1"/>
    <row r="2374" spans="1:31" ht="7.9" hidden="1" customHeight="1"/>
    <row r="2375" spans="1:31" ht="7.9" hidden="1" customHeight="1"/>
    <row r="2376" spans="1:31" s="34" customFormat="1" ht="15.75" hidden="1">
      <c r="A2376" s="61">
        <v>95</v>
      </c>
      <c r="B2376" s="129"/>
      <c r="C2376" s="129"/>
      <c r="D2376" s="129"/>
      <c r="E2376" s="130"/>
      <c r="F2376" s="130" t="s">
        <v>352</v>
      </c>
      <c r="G2376" s="129"/>
      <c r="H2376" s="131" t="s">
        <v>353</v>
      </c>
      <c r="I2376" s="129"/>
      <c r="J2376" s="129"/>
      <c r="K2376" s="130" t="s">
        <v>354</v>
      </c>
      <c r="L2376" s="131"/>
      <c r="M2376" s="129" t="s">
        <v>355</v>
      </c>
      <c r="N2376" s="131"/>
      <c r="O2376" s="130"/>
      <c r="P2376" s="130" t="s">
        <v>357</v>
      </c>
      <c r="Q2376" s="129"/>
      <c r="R2376" s="131" t="s">
        <v>2324</v>
      </c>
      <c r="S2376" s="28"/>
      <c r="T2376" s="28"/>
      <c r="U2376" s="378"/>
      <c r="V2376" s="368"/>
      <c r="W2376" s="368"/>
      <c r="X2376" s="368"/>
      <c r="Y2376" s="368"/>
      <c r="Z2376" s="368"/>
      <c r="AA2376" s="368"/>
      <c r="AB2376" s="368"/>
      <c r="AC2376" s="368"/>
      <c r="AD2376" s="368"/>
      <c r="AE2376" s="510"/>
    </row>
    <row r="2377" spans="1:31" hidden="1">
      <c r="B2377" s="62"/>
      <c r="N2377" s="62"/>
      <c r="O2377" s="62"/>
      <c r="P2377" s="53"/>
      <c r="Q2377" s="45"/>
      <c r="R2377" s="45"/>
    </row>
    <row r="2378" spans="1:31" s="34" customFormat="1" hidden="1">
      <c r="B2378" s="65"/>
      <c r="C2378" s="95" t="s">
        <v>489</v>
      </c>
      <c r="D2378" s="95" t="s">
        <v>490</v>
      </c>
      <c r="E2378" s="95" t="s">
        <v>491</v>
      </c>
      <c r="F2378" s="95" t="s">
        <v>492</v>
      </c>
      <c r="G2378" s="95" t="s">
        <v>493</v>
      </c>
      <c r="H2378" s="95" t="s">
        <v>494</v>
      </c>
      <c r="I2378" s="95" t="s">
        <v>495</v>
      </c>
      <c r="J2378" s="95" t="s">
        <v>496</v>
      </c>
      <c r="K2378" s="95" t="s">
        <v>497</v>
      </c>
      <c r="L2378" s="95" t="s">
        <v>498</v>
      </c>
      <c r="M2378" s="95" t="s">
        <v>499</v>
      </c>
      <c r="N2378" s="126" t="s">
        <v>500</v>
      </c>
      <c r="O2378" s="126" t="s">
        <v>501</v>
      </c>
      <c r="P2378" s="132"/>
      <c r="Q2378" s="133"/>
      <c r="R2378" s="133"/>
      <c r="S2378" s="28"/>
      <c r="T2378" s="28"/>
      <c r="U2378" s="378"/>
      <c r="V2378" s="368"/>
      <c r="W2378" s="368"/>
      <c r="X2378" s="368"/>
      <c r="Y2378" s="368"/>
      <c r="Z2378" s="368"/>
      <c r="AA2378" s="368"/>
      <c r="AB2378" s="368"/>
      <c r="AC2378" s="368"/>
      <c r="AD2378" s="368"/>
      <c r="AE2378" s="510"/>
    </row>
    <row r="2379" spans="1:31" hidden="1">
      <c r="B2379" s="62"/>
      <c r="N2379" s="62"/>
      <c r="O2379" s="62"/>
    </row>
    <row r="2380" spans="1:31" hidden="1">
      <c r="A2380" s="28" t="s">
        <v>1209</v>
      </c>
      <c r="B2380" s="62" t="s">
        <v>2324</v>
      </c>
      <c r="N2380" s="62"/>
      <c r="O2380" s="62"/>
    </row>
    <row r="2381" spans="1:31" hidden="1">
      <c r="B2381" s="62"/>
      <c r="N2381" s="62"/>
      <c r="O2381" s="62"/>
    </row>
    <row r="2382" spans="1:31" ht="12.6" hidden="1" customHeight="1">
      <c r="A2382" s="28" t="s">
        <v>1210</v>
      </c>
      <c r="B2382" s="62" t="s">
        <v>804</v>
      </c>
      <c r="N2382" s="62"/>
      <c r="O2382" s="62"/>
      <c r="AE2382" s="378"/>
    </row>
    <row r="2383" spans="1:31" ht="12.6" hidden="1" customHeight="1">
      <c r="A2383" s="28" t="s">
        <v>1211</v>
      </c>
      <c r="B2383" s="62" t="s">
        <v>804</v>
      </c>
      <c r="N2383" s="62"/>
      <c r="O2383" s="62"/>
      <c r="AE2383" s="378"/>
    </row>
    <row r="2384" spans="1:31" ht="12.6" hidden="1" customHeight="1">
      <c r="A2384" s="28" t="s">
        <v>1212</v>
      </c>
      <c r="B2384" s="62" t="s">
        <v>804</v>
      </c>
      <c r="N2384" s="62"/>
      <c r="O2384" s="62"/>
      <c r="AE2384" s="378"/>
    </row>
    <row r="2385" spans="1:31" ht="12.6" hidden="1" customHeight="1">
      <c r="A2385" s="28" t="s">
        <v>1213</v>
      </c>
      <c r="B2385" s="62" t="s">
        <v>804</v>
      </c>
      <c r="N2385" s="62"/>
      <c r="O2385" s="62"/>
      <c r="AE2385" s="378"/>
    </row>
    <row r="2386" spans="1:31" ht="12.6" hidden="1" customHeight="1">
      <c r="A2386" s="28" t="s">
        <v>1214</v>
      </c>
      <c r="B2386" s="62" t="s">
        <v>804</v>
      </c>
      <c r="N2386" s="62"/>
      <c r="O2386" s="62"/>
      <c r="AE2386" s="378"/>
    </row>
    <row r="2387" spans="1:31" hidden="1">
      <c r="B2387" s="62"/>
      <c r="N2387" s="62"/>
      <c r="O2387" s="62"/>
      <c r="AE2387" s="378"/>
    </row>
    <row r="2388" spans="1:31" hidden="1">
      <c r="B2388" s="62"/>
      <c r="N2388" s="62"/>
      <c r="O2388" s="62"/>
      <c r="AE2388" s="378"/>
    </row>
    <row r="2389" spans="1:31" hidden="1">
      <c r="B2389" s="62"/>
      <c r="N2389" s="62"/>
      <c r="O2389" s="62"/>
      <c r="AE2389" s="378"/>
    </row>
    <row r="2390" spans="1:31" hidden="1">
      <c r="B2390" s="62"/>
      <c r="N2390" s="62"/>
      <c r="O2390" s="62"/>
      <c r="AE2390" s="378"/>
    </row>
    <row r="2391" spans="1:31" hidden="1">
      <c r="B2391" s="62"/>
      <c r="N2391" s="62"/>
      <c r="O2391" s="62"/>
      <c r="AE2391" s="378"/>
    </row>
    <row r="2392" spans="1:31" hidden="1">
      <c r="B2392" s="62"/>
      <c r="N2392" s="62"/>
      <c r="O2392" s="62"/>
      <c r="AE2392" s="378"/>
    </row>
    <row r="2393" spans="1:31" hidden="1">
      <c r="B2393" s="62"/>
      <c r="N2393" s="62"/>
      <c r="O2393" s="62"/>
      <c r="AE2393" s="378"/>
    </row>
    <row r="2394" spans="1:31" hidden="1">
      <c r="B2394" s="62"/>
      <c r="N2394" s="62"/>
      <c r="O2394" s="62"/>
      <c r="AE2394" s="378"/>
    </row>
    <row r="2395" spans="1:31" hidden="1">
      <c r="B2395" s="62"/>
      <c r="N2395" s="62"/>
      <c r="O2395" s="62"/>
      <c r="AE2395" s="378"/>
    </row>
    <row r="2396" spans="1:31" ht="7.9" hidden="1" customHeight="1"/>
    <row r="2397" spans="1:31" ht="7.9" hidden="1" customHeight="1"/>
    <row r="2398" spans="1:31" ht="7.9" hidden="1" customHeight="1"/>
    <row r="2399" spans="1:31" ht="7.9" hidden="1" customHeight="1"/>
    <row r="2400" spans="1:31" ht="7.9" hidden="1" customHeight="1"/>
    <row r="2401" spans="1:31" s="34" customFormat="1" ht="15.75" hidden="1">
      <c r="A2401" s="61">
        <v>96</v>
      </c>
      <c r="B2401" s="129"/>
      <c r="C2401" s="129"/>
      <c r="D2401" s="129"/>
      <c r="E2401" s="130"/>
      <c r="F2401" s="130" t="s">
        <v>352</v>
      </c>
      <c r="G2401" s="129"/>
      <c r="H2401" s="131" t="s">
        <v>353</v>
      </c>
      <c r="I2401" s="129"/>
      <c r="J2401" s="129"/>
      <c r="K2401" s="130" t="s">
        <v>354</v>
      </c>
      <c r="L2401" s="131"/>
      <c r="M2401" s="129" t="s">
        <v>355</v>
      </c>
      <c r="N2401" s="131"/>
      <c r="O2401" s="130"/>
      <c r="P2401" s="130" t="s">
        <v>357</v>
      </c>
      <c r="Q2401" s="129"/>
      <c r="R2401" s="131" t="s">
        <v>2324</v>
      </c>
      <c r="S2401" s="28"/>
      <c r="T2401" s="28"/>
      <c r="U2401" s="378"/>
      <c r="V2401" s="368"/>
      <c r="W2401" s="368"/>
      <c r="X2401" s="368"/>
      <c r="Y2401" s="368"/>
      <c r="Z2401" s="368"/>
      <c r="AA2401" s="368"/>
      <c r="AB2401" s="368"/>
      <c r="AC2401" s="368"/>
      <c r="AD2401" s="368"/>
      <c r="AE2401" s="510"/>
    </row>
    <row r="2402" spans="1:31" hidden="1">
      <c r="B2402" s="62"/>
      <c r="N2402" s="62"/>
      <c r="O2402" s="62"/>
      <c r="P2402" s="53"/>
      <c r="Q2402" s="45"/>
      <c r="R2402" s="45"/>
    </row>
    <row r="2403" spans="1:31" s="34" customFormat="1" hidden="1">
      <c r="B2403" s="65"/>
      <c r="C2403" s="95" t="s">
        <v>489</v>
      </c>
      <c r="D2403" s="95" t="s">
        <v>490</v>
      </c>
      <c r="E2403" s="95" t="s">
        <v>491</v>
      </c>
      <c r="F2403" s="95" t="s">
        <v>492</v>
      </c>
      <c r="G2403" s="95" t="s">
        <v>493</v>
      </c>
      <c r="H2403" s="95" t="s">
        <v>494</v>
      </c>
      <c r="I2403" s="95" t="s">
        <v>495</v>
      </c>
      <c r="J2403" s="95" t="s">
        <v>496</v>
      </c>
      <c r="K2403" s="95" t="s">
        <v>497</v>
      </c>
      <c r="L2403" s="95" t="s">
        <v>498</v>
      </c>
      <c r="M2403" s="95" t="s">
        <v>499</v>
      </c>
      <c r="N2403" s="126" t="s">
        <v>500</v>
      </c>
      <c r="O2403" s="126" t="s">
        <v>501</v>
      </c>
      <c r="P2403" s="132"/>
      <c r="Q2403" s="133"/>
      <c r="R2403" s="133"/>
      <c r="S2403" s="28"/>
      <c r="T2403" s="28"/>
      <c r="U2403" s="378"/>
      <c r="V2403" s="368"/>
      <c r="W2403" s="368"/>
      <c r="X2403" s="368"/>
      <c r="Y2403" s="368"/>
      <c r="Z2403" s="368"/>
      <c r="AA2403" s="368"/>
      <c r="AB2403" s="368"/>
      <c r="AC2403" s="368"/>
      <c r="AD2403" s="368"/>
      <c r="AE2403" s="510"/>
    </row>
    <row r="2404" spans="1:31" hidden="1">
      <c r="B2404" s="62"/>
      <c r="N2404" s="62"/>
      <c r="O2404" s="62"/>
    </row>
    <row r="2405" spans="1:31" hidden="1">
      <c r="A2405" s="28" t="s">
        <v>1209</v>
      </c>
      <c r="B2405" s="62" t="s">
        <v>2324</v>
      </c>
      <c r="N2405" s="62"/>
      <c r="O2405" s="62"/>
    </row>
    <row r="2406" spans="1:31" hidden="1">
      <c r="B2406" s="62"/>
      <c r="N2406" s="62"/>
      <c r="O2406" s="62"/>
    </row>
    <row r="2407" spans="1:31" ht="12.6" hidden="1" customHeight="1">
      <c r="A2407" s="28" t="s">
        <v>1210</v>
      </c>
      <c r="B2407" s="62" t="s">
        <v>804</v>
      </c>
      <c r="N2407" s="62"/>
      <c r="O2407" s="62"/>
      <c r="AE2407" s="378"/>
    </row>
    <row r="2408" spans="1:31" ht="12.6" hidden="1" customHeight="1">
      <c r="A2408" s="28" t="s">
        <v>1211</v>
      </c>
      <c r="B2408" s="62" t="s">
        <v>804</v>
      </c>
      <c r="N2408" s="62"/>
      <c r="O2408" s="62"/>
      <c r="AE2408" s="378"/>
    </row>
    <row r="2409" spans="1:31" ht="12.6" hidden="1" customHeight="1">
      <c r="A2409" s="28" t="s">
        <v>1212</v>
      </c>
      <c r="B2409" s="62" t="s">
        <v>804</v>
      </c>
      <c r="N2409" s="62"/>
      <c r="O2409" s="62"/>
      <c r="AE2409" s="378"/>
    </row>
    <row r="2410" spans="1:31" ht="12.6" hidden="1" customHeight="1">
      <c r="A2410" s="28" t="s">
        <v>1213</v>
      </c>
      <c r="B2410" s="62" t="s">
        <v>804</v>
      </c>
      <c r="N2410" s="62"/>
      <c r="O2410" s="62"/>
      <c r="AE2410" s="378"/>
    </row>
    <row r="2411" spans="1:31" ht="12.6" hidden="1" customHeight="1">
      <c r="A2411" s="28" t="s">
        <v>1214</v>
      </c>
      <c r="B2411" s="62" t="s">
        <v>804</v>
      </c>
      <c r="N2411" s="62"/>
      <c r="O2411" s="62"/>
      <c r="AE2411" s="378"/>
    </row>
    <row r="2412" spans="1:31" hidden="1">
      <c r="B2412" s="62"/>
      <c r="N2412" s="62"/>
      <c r="O2412" s="62"/>
      <c r="AE2412" s="378"/>
    </row>
    <row r="2413" spans="1:31" hidden="1">
      <c r="B2413" s="62"/>
      <c r="N2413" s="62"/>
      <c r="O2413" s="62"/>
      <c r="AE2413" s="378"/>
    </row>
    <row r="2414" spans="1:31" hidden="1">
      <c r="B2414" s="62"/>
      <c r="N2414" s="62"/>
      <c r="O2414" s="62"/>
      <c r="AE2414" s="378"/>
    </row>
    <row r="2415" spans="1:31" hidden="1">
      <c r="B2415" s="62"/>
      <c r="N2415" s="62"/>
      <c r="O2415" s="62"/>
      <c r="AE2415" s="378"/>
    </row>
    <row r="2416" spans="1:31" hidden="1">
      <c r="B2416" s="62"/>
      <c r="N2416" s="62"/>
      <c r="O2416" s="62"/>
      <c r="AE2416" s="378"/>
    </row>
    <row r="2417" spans="1:31" hidden="1">
      <c r="B2417" s="62"/>
      <c r="N2417" s="62"/>
      <c r="O2417" s="62"/>
      <c r="AE2417" s="378"/>
    </row>
    <row r="2418" spans="1:31" hidden="1">
      <c r="B2418" s="62"/>
      <c r="N2418" s="62"/>
      <c r="O2418" s="62"/>
      <c r="AE2418" s="378"/>
    </row>
    <row r="2419" spans="1:31" hidden="1">
      <c r="B2419" s="62"/>
      <c r="N2419" s="62"/>
      <c r="O2419" s="62"/>
      <c r="AE2419" s="378"/>
    </row>
    <row r="2420" spans="1:31" hidden="1">
      <c r="B2420" s="62"/>
      <c r="N2420" s="62"/>
      <c r="O2420" s="62"/>
      <c r="AE2420" s="378"/>
    </row>
    <row r="2421" spans="1:31" ht="7.9" hidden="1" customHeight="1"/>
    <row r="2422" spans="1:31" ht="7.9" hidden="1" customHeight="1"/>
    <row r="2423" spans="1:31" ht="7.9" hidden="1" customHeight="1"/>
    <row r="2424" spans="1:31" ht="7.9" hidden="1" customHeight="1"/>
    <row r="2425" spans="1:31" ht="7.9" hidden="1" customHeight="1"/>
    <row r="2426" spans="1:31" s="34" customFormat="1" ht="15.75" hidden="1">
      <c r="A2426" s="61">
        <v>97</v>
      </c>
      <c r="B2426" s="129"/>
      <c r="C2426" s="129"/>
      <c r="D2426" s="129"/>
      <c r="E2426" s="130"/>
      <c r="F2426" s="130" t="s">
        <v>352</v>
      </c>
      <c r="G2426" s="129"/>
      <c r="H2426" s="131" t="s">
        <v>353</v>
      </c>
      <c r="I2426" s="129"/>
      <c r="J2426" s="129"/>
      <c r="K2426" s="130" t="s">
        <v>354</v>
      </c>
      <c r="L2426" s="131"/>
      <c r="M2426" s="129" t="s">
        <v>355</v>
      </c>
      <c r="N2426" s="131"/>
      <c r="O2426" s="130"/>
      <c r="P2426" s="130" t="s">
        <v>357</v>
      </c>
      <c r="Q2426" s="129"/>
      <c r="R2426" s="131" t="s">
        <v>2324</v>
      </c>
      <c r="S2426" s="28"/>
      <c r="T2426" s="28"/>
      <c r="U2426" s="378"/>
      <c r="V2426" s="368"/>
      <c r="W2426" s="368"/>
      <c r="X2426" s="368"/>
      <c r="Y2426" s="368"/>
      <c r="Z2426" s="368"/>
      <c r="AA2426" s="368"/>
      <c r="AB2426" s="368"/>
      <c r="AC2426" s="368"/>
      <c r="AD2426" s="368"/>
      <c r="AE2426" s="510"/>
    </row>
    <row r="2427" spans="1:31" hidden="1">
      <c r="B2427" s="62"/>
      <c r="N2427" s="62"/>
      <c r="O2427" s="62"/>
      <c r="P2427" s="53"/>
      <c r="Q2427" s="45"/>
      <c r="R2427" s="45"/>
    </row>
    <row r="2428" spans="1:31" s="34" customFormat="1" hidden="1">
      <c r="B2428" s="65"/>
      <c r="C2428" s="95" t="s">
        <v>489</v>
      </c>
      <c r="D2428" s="95" t="s">
        <v>490</v>
      </c>
      <c r="E2428" s="95" t="s">
        <v>491</v>
      </c>
      <c r="F2428" s="95" t="s">
        <v>492</v>
      </c>
      <c r="G2428" s="95" t="s">
        <v>493</v>
      </c>
      <c r="H2428" s="95" t="s">
        <v>494</v>
      </c>
      <c r="I2428" s="95" t="s">
        <v>495</v>
      </c>
      <c r="J2428" s="95" t="s">
        <v>496</v>
      </c>
      <c r="K2428" s="95" t="s">
        <v>497</v>
      </c>
      <c r="L2428" s="95" t="s">
        <v>498</v>
      </c>
      <c r="M2428" s="95" t="s">
        <v>499</v>
      </c>
      <c r="N2428" s="126" t="s">
        <v>500</v>
      </c>
      <c r="O2428" s="126" t="s">
        <v>501</v>
      </c>
      <c r="P2428" s="132"/>
      <c r="Q2428" s="133"/>
      <c r="R2428" s="133"/>
      <c r="S2428" s="28"/>
      <c r="T2428" s="28"/>
      <c r="U2428" s="378"/>
      <c r="V2428" s="368"/>
      <c r="W2428" s="368"/>
      <c r="X2428" s="368"/>
      <c r="Y2428" s="368"/>
      <c r="Z2428" s="368"/>
      <c r="AA2428" s="368"/>
      <c r="AB2428" s="368"/>
      <c r="AC2428" s="368"/>
      <c r="AD2428" s="368"/>
      <c r="AE2428" s="510"/>
    </row>
    <row r="2429" spans="1:31" hidden="1">
      <c r="B2429" s="62"/>
      <c r="N2429" s="62"/>
      <c r="O2429" s="62"/>
    </row>
    <row r="2430" spans="1:31" hidden="1">
      <c r="A2430" s="28" t="s">
        <v>1209</v>
      </c>
      <c r="B2430" s="62" t="s">
        <v>2324</v>
      </c>
      <c r="N2430" s="62"/>
      <c r="O2430" s="62"/>
    </row>
    <row r="2431" spans="1:31" hidden="1">
      <c r="B2431" s="62"/>
      <c r="N2431" s="62"/>
      <c r="O2431" s="62"/>
    </row>
    <row r="2432" spans="1:31" ht="12.6" hidden="1" customHeight="1">
      <c r="A2432" s="28" t="s">
        <v>1210</v>
      </c>
      <c r="B2432" s="62" t="s">
        <v>804</v>
      </c>
      <c r="N2432" s="62"/>
      <c r="O2432" s="62"/>
      <c r="AE2432" s="378"/>
    </row>
    <row r="2433" spans="1:31" ht="12.6" hidden="1" customHeight="1">
      <c r="A2433" s="28" t="s">
        <v>1211</v>
      </c>
      <c r="B2433" s="62" t="s">
        <v>804</v>
      </c>
      <c r="N2433" s="62"/>
      <c r="O2433" s="62"/>
      <c r="AE2433" s="378"/>
    </row>
    <row r="2434" spans="1:31" ht="12.6" hidden="1" customHeight="1">
      <c r="A2434" s="28" t="s">
        <v>1212</v>
      </c>
      <c r="B2434" s="62" t="s">
        <v>804</v>
      </c>
      <c r="N2434" s="62"/>
      <c r="O2434" s="62"/>
      <c r="AE2434" s="378"/>
    </row>
    <row r="2435" spans="1:31" ht="12.6" hidden="1" customHeight="1">
      <c r="A2435" s="28" t="s">
        <v>1213</v>
      </c>
      <c r="B2435" s="62" t="s">
        <v>804</v>
      </c>
      <c r="N2435" s="62"/>
      <c r="O2435" s="62"/>
      <c r="AE2435" s="378"/>
    </row>
    <row r="2436" spans="1:31" ht="12.6" hidden="1" customHeight="1">
      <c r="A2436" s="28" t="s">
        <v>1214</v>
      </c>
      <c r="B2436" s="62" t="s">
        <v>804</v>
      </c>
      <c r="N2436" s="62"/>
      <c r="O2436" s="62"/>
      <c r="AE2436" s="378"/>
    </row>
    <row r="2437" spans="1:31" hidden="1">
      <c r="B2437" s="62"/>
      <c r="N2437" s="62"/>
      <c r="O2437" s="62"/>
      <c r="AE2437" s="378"/>
    </row>
    <row r="2438" spans="1:31" hidden="1">
      <c r="B2438" s="62"/>
      <c r="N2438" s="62"/>
      <c r="O2438" s="62"/>
      <c r="AE2438" s="378"/>
    </row>
    <row r="2439" spans="1:31" hidden="1">
      <c r="B2439" s="62"/>
      <c r="N2439" s="62"/>
      <c r="O2439" s="62"/>
      <c r="AE2439" s="378"/>
    </row>
    <row r="2440" spans="1:31" hidden="1">
      <c r="B2440" s="62"/>
      <c r="N2440" s="62"/>
      <c r="O2440" s="62"/>
      <c r="AE2440" s="378"/>
    </row>
    <row r="2441" spans="1:31" hidden="1">
      <c r="B2441" s="62"/>
      <c r="N2441" s="62"/>
      <c r="O2441" s="62"/>
      <c r="AE2441" s="378"/>
    </row>
    <row r="2442" spans="1:31" hidden="1">
      <c r="B2442" s="62"/>
      <c r="N2442" s="62"/>
      <c r="O2442" s="62"/>
      <c r="AE2442" s="378"/>
    </row>
    <row r="2443" spans="1:31" hidden="1">
      <c r="B2443" s="62"/>
      <c r="N2443" s="62"/>
      <c r="O2443" s="62"/>
      <c r="AE2443" s="378"/>
    </row>
    <row r="2444" spans="1:31" hidden="1">
      <c r="B2444" s="62"/>
      <c r="N2444" s="62"/>
      <c r="O2444" s="62"/>
      <c r="AE2444" s="378"/>
    </row>
    <row r="2445" spans="1:31" hidden="1">
      <c r="B2445" s="62"/>
      <c r="N2445" s="62"/>
      <c r="O2445" s="62"/>
      <c r="AE2445" s="378"/>
    </row>
    <row r="2446" spans="1:31" ht="7.9" hidden="1" customHeight="1"/>
    <row r="2447" spans="1:31" ht="7.9" hidden="1" customHeight="1"/>
    <row r="2448" spans="1:31" ht="7.9" hidden="1" customHeight="1"/>
    <row r="2449" spans="1:31" ht="7.9" hidden="1" customHeight="1"/>
    <row r="2450" spans="1:31" ht="7.9" hidden="1" customHeight="1"/>
    <row r="2451" spans="1:31" s="34" customFormat="1" hidden="1">
      <c r="A2451" s="28"/>
      <c r="B2451" s="28"/>
      <c r="C2451" s="28"/>
      <c r="D2451" s="28"/>
      <c r="E2451" s="28"/>
      <c r="F2451" s="28"/>
      <c r="G2451" s="28"/>
      <c r="H2451" s="28"/>
      <c r="I2451" s="28"/>
      <c r="J2451" s="28"/>
      <c r="K2451" s="28"/>
      <c r="L2451" s="28"/>
      <c r="M2451" s="28"/>
      <c r="N2451" s="28"/>
      <c r="O2451" s="28"/>
      <c r="P2451" s="28"/>
      <c r="Q2451" s="28"/>
      <c r="R2451" s="28"/>
      <c r="T2451" s="28"/>
      <c r="U2451" s="378"/>
      <c r="V2451" s="368"/>
      <c r="W2451" s="368"/>
      <c r="X2451" s="368"/>
      <c r="Y2451" s="368"/>
      <c r="Z2451" s="368"/>
      <c r="AA2451" s="368"/>
      <c r="AB2451" s="368"/>
      <c r="AC2451" s="368"/>
      <c r="AD2451" s="368"/>
      <c r="AE2451" s="510"/>
    </row>
    <row r="2453" spans="1:31" s="34" customFormat="1">
      <c r="A2453" s="28"/>
      <c r="B2453" s="28"/>
      <c r="C2453" s="28"/>
      <c r="D2453" s="28"/>
      <c r="E2453" s="28"/>
      <c r="F2453" s="28"/>
      <c r="G2453" s="28"/>
      <c r="H2453" s="28"/>
      <c r="I2453" s="28"/>
      <c r="J2453" s="28"/>
      <c r="K2453" s="28"/>
      <c r="L2453" s="28"/>
      <c r="M2453" s="28"/>
      <c r="N2453" s="28"/>
      <c r="O2453" s="28"/>
      <c r="P2453" s="28"/>
      <c r="Q2453" s="28"/>
      <c r="R2453" s="28"/>
      <c r="T2453" s="28"/>
      <c r="U2453" s="378"/>
      <c r="V2453" s="368"/>
      <c r="W2453" s="368"/>
      <c r="X2453" s="368"/>
      <c r="Y2453" s="368"/>
      <c r="Z2453" s="368"/>
      <c r="AA2453" s="368"/>
      <c r="AB2453" s="368"/>
      <c r="AC2453" s="368"/>
      <c r="AD2453" s="368"/>
      <c r="AE2453" s="510"/>
    </row>
    <row r="2457" spans="1:31" ht="12.6" customHeight="1">
      <c r="AE2457" s="378"/>
    </row>
    <row r="2458" spans="1:31" ht="12.6" customHeight="1">
      <c r="AE2458" s="378"/>
    </row>
    <row r="2459" spans="1:31" ht="12.6" customHeight="1">
      <c r="AE2459" s="378"/>
    </row>
    <row r="2460" spans="1:31" ht="12.6" customHeight="1">
      <c r="AE2460" s="378"/>
    </row>
    <row r="2461" spans="1:31" ht="12.6" customHeight="1">
      <c r="AE2461" s="378"/>
    </row>
    <row r="2462" spans="1:31">
      <c r="AE2462" s="378"/>
    </row>
    <row r="2463" spans="1:31">
      <c r="AE2463" s="378"/>
    </row>
    <row r="2464" spans="1:31">
      <c r="AE2464" s="378"/>
    </row>
    <row r="2465" spans="1:31">
      <c r="AE2465" s="378"/>
    </row>
    <row r="2466" spans="1:31">
      <c r="AE2466" s="378"/>
    </row>
    <row r="2467" spans="1:31">
      <c r="AE2467" s="378"/>
    </row>
    <row r="2468" spans="1:31">
      <c r="AE2468" s="378"/>
    </row>
    <row r="2469" spans="1:31">
      <c r="AE2469" s="378"/>
    </row>
    <row r="2470" spans="1:31">
      <c r="AE2470" s="378"/>
    </row>
    <row r="2471" spans="1:31" ht="7.9" customHeight="1"/>
    <row r="2472" spans="1:31" ht="7.9" customHeight="1"/>
    <row r="2473" spans="1:31" ht="7.9" customHeight="1"/>
    <row r="2474" spans="1:31" ht="7.9" customHeight="1"/>
    <row r="2475" spans="1:31" ht="7.9" customHeight="1"/>
    <row r="2476" spans="1:31" s="34" customFormat="1">
      <c r="A2476" s="28"/>
      <c r="B2476" s="28"/>
      <c r="C2476" s="28"/>
      <c r="D2476" s="28"/>
      <c r="E2476" s="28"/>
      <c r="F2476" s="28"/>
      <c r="G2476" s="28"/>
      <c r="H2476" s="28"/>
      <c r="I2476" s="28"/>
      <c r="J2476" s="28"/>
      <c r="K2476" s="28"/>
      <c r="L2476" s="28"/>
      <c r="M2476" s="28"/>
      <c r="N2476" s="28"/>
      <c r="O2476" s="28"/>
      <c r="P2476" s="28"/>
      <c r="Q2476" s="28"/>
      <c r="R2476" s="28"/>
      <c r="T2476" s="28"/>
      <c r="U2476" s="378"/>
      <c r="V2476" s="368"/>
      <c r="W2476" s="368"/>
      <c r="X2476" s="368"/>
      <c r="Y2476" s="368"/>
      <c r="Z2476" s="368"/>
      <c r="AA2476" s="368"/>
      <c r="AB2476" s="368"/>
      <c r="AC2476" s="368"/>
      <c r="AD2476" s="368"/>
      <c r="AE2476" s="510"/>
    </row>
    <row r="2478" spans="1:31" s="34" customFormat="1">
      <c r="A2478" s="28"/>
      <c r="B2478" s="28"/>
      <c r="C2478" s="28"/>
      <c r="D2478" s="28"/>
      <c r="E2478" s="28"/>
      <c r="F2478" s="28"/>
      <c r="G2478" s="28"/>
      <c r="H2478" s="28"/>
      <c r="I2478" s="28"/>
      <c r="J2478" s="28"/>
      <c r="K2478" s="28"/>
      <c r="L2478" s="28"/>
      <c r="M2478" s="28"/>
      <c r="N2478" s="28"/>
      <c r="O2478" s="28"/>
      <c r="P2478" s="28"/>
      <c r="Q2478" s="28"/>
      <c r="R2478" s="28"/>
      <c r="T2478" s="28"/>
      <c r="U2478" s="378"/>
      <c r="V2478" s="368"/>
      <c r="W2478" s="368"/>
      <c r="X2478" s="368"/>
      <c r="Y2478" s="368"/>
      <c r="Z2478" s="368"/>
      <c r="AA2478" s="368"/>
      <c r="AB2478" s="368"/>
      <c r="AC2478" s="368"/>
      <c r="AD2478" s="368"/>
      <c r="AE2478" s="510"/>
    </row>
    <row r="2482" spans="31:31" ht="12.6" customHeight="1">
      <c r="AE2482" s="378"/>
    </row>
    <row r="2483" spans="31:31" ht="12.6" customHeight="1">
      <c r="AE2483" s="378"/>
    </row>
    <row r="2484" spans="31:31" ht="12.6" customHeight="1">
      <c r="AE2484" s="378"/>
    </row>
    <row r="2485" spans="31:31" ht="12.6" customHeight="1">
      <c r="AE2485" s="378"/>
    </row>
    <row r="2486" spans="31:31" ht="12.6" customHeight="1">
      <c r="AE2486" s="378"/>
    </row>
    <row r="2487" spans="31:31">
      <c r="AE2487" s="378"/>
    </row>
    <row r="2488" spans="31:31">
      <c r="AE2488" s="378"/>
    </row>
    <row r="2489" spans="31:31">
      <c r="AE2489" s="378"/>
    </row>
    <row r="2490" spans="31:31">
      <c r="AE2490" s="378"/>
    </row>
    <row r="2491" spans="31:31">
      <c r="AE2491" s="378"/>
    </row>
    <row r="2492" spans="31:31">
      <c r="AE2492" s="378"/>
    </row>
    <row r="2493" spans="31:31">
      <c r="AE2493" s="378"/>
    </row>
    <row r="2494" spans="31:31">
      <c r="AE2494" s="378"/>
    </row>
    <row r="2495" spans="31:31">
      <c r="AE2495" s="378"/>
    </row>
    <row r="2496" spans="31:31" ht="7.9" customHeight="1"/>
    <row r="2497" spans="1:31" ht="7.9" customHeight="1"/>
    <row r="2498" spans="1:31" ht="7.9" customHeight="1"/>
    <row r="2499" spans="1:31" ht="7.9" customHeight="1"/>
    <row r="2500" spans="1:31" ht="7.9" customHeight="1"/>
    <row r="2501" spans="1:31" s="34" customFormat="1">
      <c r="A2501" s="28"/>
      <c r="B2501" s="28"/>
      <c r="C2501" s="28"/>
      <c r="D2501" s="28"/>
      <c r="E2501" s="28"/>
      <c r="F2501" s="28"/>
      <c r="G2501" s="28"/>
      <c r="H2501" s="28"/>
      <c r="I2501" s="28"/>
      <c r="J2501" s="28"/>
      <c r="K2501" s="28"/>
      <c r="L2501" s="28"/>
      <c r="M2501" s="28"/>
      <c r="N2501" s="28"/>
      <c r="O2501" s="28"/>
      <c r="P2501" s="28"/>
      <c r="Q2501" s="28"/>
      <c r="R2501" s="28"/>
      <c r="T2501" s="28"/>
      <c r="U2501" s="378"/>
      <c r="V2501" s="368"/>
      <c r="W2501" s="368"/>
      <c r="X2501" s="368"/>
      <c r="Y2501" s="368"/>
      <c r="Z2501" s="368"/>
      <c r="AA2501" s="368"/>
      <c r="AB2501" s="368"/>
      <c r="AC2501" s="368"/>
      <c r="AD2501" s="368"/>
      <c r="AE2501" s="510"/>
    </row>
    <row r="2503" spans="1:31" s="34" customFormat="1">
      <c r="A2503" s="28"/>
      <c r="B2503" s="28"/>
      <c r="C2503" s="28"/>
      <c r="D2503" s="28"/>
      <c r="E2503" s="28"/>
      <c r="F2503" s="28"/>
      <c r="G2503" s="28"/>
      <c r="H2503" s="28"/>
      <c r="I2503" s="28"/>
      <c r="J2503" s="28"/>
      <c r="K2503" s="28"/>
      <c r="L2503" s="28"/>
      <c r="M2503" s="28"/>
      <c r="N2503" s="28"/>
      <c r="O2503" s="28"/>
      <c r="P2503" s="28"/>
      <c r="Q2503" s="28"/>
      <c r="R2503" s="28"/>
      <c r="T2503" s="28"/>
      <c r="U2503" s="378"/>
      <c r="V2503" s="368"/>
      <c r="W2503" s="368"/>
      <c r="X2503" s="368"/>
      <c r="Y2503" s="368"/>
      <c r="Z2503" s="368"/>
      <c r="AA2503" s="368"/>
      <c r="AB2503" s="368"/>
      <c r="AC2503" s="368"/>
      <c r="AD2503" s="368"/>
      <c r="AE2503" s="510"/>
    </row>
    <row r="2507" spans="1:31" ht="12.6" customHeight="1">
      <c r="AE2507" s="378"/>
    </row>
    <row r="2508" spans="1:31" ht="12.6" customHeight="1">
      <c r="AE2508" s="378"/>
    </row>
    <row r="2509" spans="1:31" ht="12.6" customHeight="1">
      <c r="AE2509" s="378"/>
    </row>
    <row r="2510" spans="1:31" ht="12.6" customHeight="1">
      <c r="AE2510" s="378"/>
    </row>
    <row r="2511" spans="1:31" ht="12.6" customHeight="1">
      <c r="AE2511" s="378"/>
    </row>
    <row r="2512" spans="1:31">
      <c r="AE2512" s="378"/>
    </row>
    <row r="2513" spans="31:31">
      <c r="AE2513" s="378"/>
    </row>
    <row r="2514" spans="31:31">
      <c r="AE2514" s="378"/>
    </row>
    <row r="2515" spans="31:31">
      <c r="AE2515" s="378"/>
    </row>
    <row r="2516" spans="31:31">
      <c r="AE2516" s="378"/>
    </row>
    <row r="2517" spans="31:31">
      <c r="AE2517" s="378"/>
    </row>
    <row r="2518" spans="31:31">
      <c r="AE2518" s="378"/>
    </row>
    <row r="2519" spans="31:31">
      <c r="AE2519" s="378"/>
    </row>
    <row r="2520" spans="31:31">
      <c r="AE2520" s="378"/>
    </row>
  </sheetData>
  <sheetProtection password="C9AE" sheet="1" objects="1" scenarios="1"/>
  <phoneticPr fontId="0" type="noConversion"/>
  <pageMargins left="0.7" right="0.28000000000000003" top="0.92" bottom="0.52" header="0.46" footer="0.32"/>
  <pageSetup paperSize="9" scale="83" orientation="portrait" r:id="rId1"/>
  <headerFooter alignWithMargins="0">
    <oddFooter>&amp;L&amp;"Times New Roman,Kursiv"&amp;6Huber Energietechnik, AG Zürich  &amp;C&amp;6&amp;F  &amp;R&amp;"Times New Roman,Kursiv"&amp;6ENTECH 380/1, Ver. 5.4</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BU1052"/>
  <sheetViews>
    <sheetView showZeros="0" zoomScaleNormal="100" workbookViewId="0">
      <selection activeCell="I6" sqref="I6"/>
    </sheetView>
  </sheetViews>
  <sheetFormatPr baseColWidth="10" defaultColWidth="11.5703125" defaultRowHeight="12.75"/>
  <cols>
    <col min="1" max="1" width="1.7109375" style="27" customWidth="1"/>
    <col min="2" max="2" width="0.85546875" style="27" customWidth="1"/>
    <col min="3" max="4" width="2.28515625" style="27" customWidth="1"/>
    <col min="5" max="5" width="7.7109375" style="27" customWidth="1"/>
    <col min="6" max="6" width="4.140625" style="27" customWidth="1"/>
    <col min="7" max="7" width="7.85546875" style="27" customWidth="1"/>
    <col min="8" max="8" width="4.140625" customWidth="1"/>
    <col min="9" max="9" width="7.7109375" style="46" customWidth="1"/>
    <col min="10" max="10" width="5.28515625" style="27" customWidth="1"/>
    <col min="11" max="11" width="3.28515625" style="27" customWidth="1"/>
    <col min="12" max="12" width="7.7109375" style="47" customWidth="1"/>
    <col min="13" max="13" width="8.42578125" style="27" customWidth="1"/>
    <col min="14" max="14" width="8.28515625" style="27" customWidth="1"/>
    <col min="15" max="15" width="0.85546875" style="27" customWidth="1"/>
    <col min="16" max="17" width="2.28515625" style="27" customWidth="1"/>
    <col min="18" max="18" width="7.7109375" style="27" customWidth="1"/>
    <col min="19" max="19" width="4.140625" style="27" customWidth="1"/>
    <col min="20" max="20" width="7.7109375" style="27" customWidth="1"/>
    <col min="21" max="21" width="4.140625" style="27" customWidth="1"/>
    <col min="22" max="22" width="7.7109375" style="46" customWidth="1"/>
    <col min="23" max="23" width="5.28515625" style="27" customWidth="1"/>
    <col min="24" max="24" width="3.42578125" style="27" customWidth="1"/>
    <col min="25" max="25" width="7.7109375" style="47" customWidth="1"/>
    <col min="26" max="27" width="7.7109375" style="27" customWidth="1"/>
    <col min="28" max="28" width="1.140625" style="27" customWidth="1"/>
    <col min="29" max="29" width="7.7109375" style="27" hidden="1" customWidth="1"/>
    <col min="30" max="30" width="2" style="27" hidden="1" customWidth="1"/>
    <col min="31" max="31" width="11.5703125" style="27" hidden="1" customWidth="1"/>
    <col min="32" max="32" width="27" style="27" hidden="1" customWidth="1"/>
    <col min="33" max="33" width="13.42578125" style="27" hidden="1" customWidth="1"/>
    <col min="34" max="34" width="15.28515625" style="27" hidden="1" customWidth="1"/>
    <col min="35" max="35" width="10.5703125" style="27" hidden="1" customWidth="1"/>
    <col min="36" max="36" width="12.140625" style="27" hidden="1" customWidth="1"/>
    <col min="37" max="42" width="7.5703125" style="27" hidden="1" customWidth="1"/>
    <col min="43" max="43" width="12" style="27" hidden="1" customWidth="1"/>
    <col min="44" max="45" width="9.7109375" style="27" hidden="1" customWidth="1"/>
    <col min="46" max="46" width="10.28515625" style="27" hidden="1" customWidth="1"/>
    <col min="47" max="51" width="7.5703125" style="27" hidden="1" customWidth="1"/>
    <col min="52" max="61" width="8.7109375" style="27" hidden="1" customWidth="1"/>
    <col min="62" max="75" width="8.7109375" style="27" customWidth="1"/>
    <col min="76" max="16384" width="11.5703125" style="27"/>
  </cols>
  <sheetData>
    <row r="1" spans="2:73">
      <c r="B1" s="27" t="str">
        <f>Projekt!B1</f>
        <v>Programme Entech 380/1, Ver. 6.1, BFE/EnFK-Zert.-Nr. 1639, SIA 380/1 (Edition 2016)</v>
      </c>
      <c r="H1" s="27"/>
      <c r="I1" s="27"/>
      <c r="Q1" s="48"/>
      <c r="R1" s="48">
        <f>Projekt!E5</f>
        <v>0</v>
      </c>
      <c r="Y1" s="37"/>
      <c r="Z1" s="2182" t="str">
        <f>"Qh="&amp;ROUND(Qhtot,1)&amp;IF(_Ver09," MJ/m2","kWh/m2")</f>
        <v>Qh=0kWh/m2</v>
      </c>
      <c r="AA1" s="2182"/>
    </row>
    <row r="2" spans="2:73">
      <c r="B2" s="64" t="str">
        <f>Projekt!B2</f>
        <v>imprimé le:</v>
      </c>
      <c r="C2" s="64"/>
      <c r="D2" s="64"/>
      <c r="E2" s="64"/>
      <c r="F2" s="30"/>
      <c r="G2" s="2183">
        <f ca="1">NOW()</f>
        <v>43566.628989236109</v>
      </c>
      <c r="H2" s="2183"/>
      <c r="I2" s="2183"/>
      <c r="J2" s="64" t="str">
        <f>Projekt!G2</f>
        <v xml:space="preserve">pour </v>
      </c>
      <c r="L2" s="64"/>
      <c r="M2" s="64"/>
      <c r="N2" s="64"/>
      <c r="O2" s="239"/>
      <c r="P2" s="239"/>
      <c r="Q2" s="239"/>
      <c r="R2" s="240"/>
      <c r="S2" s="30"/>
      <c r="T2" s="56"/>
      <c r="U2" s="223"/>
      <c r="V2" s="30"/>
      <c r="W2" s="30"/>
      <c r="X2" s="30"/>
      <c r="AA2" s="56" t="str">
        <f>Uebersetzung!D306</f>
        <v>page 5 de 10</v>
      </c>
    </row>
    <row r="3" spans="2:73" ht="7.9" customHeight="1">
      <c r="H3" s="27"/>
      <c r="I3" s="27"/>
      <c r="K3" s="48"/>
      <c r="T3" s="37"/>
      <c r="U3" s="185"/>
      <c r="V3" s="27"/>
      <c r="Y3" s="37"/>
      <c r="Z3" s="44"/>
      <c r="AA3" s="45"/>
    </row>
    <row r="4" spans="2:73" ht="18">
      <c r="B4" s="220" t="str">
        <f>Uebersetzung!D123</f>
        <v>Surfaces et coefficients de transmission thermique (éléments d'enveloppe)</v>
      </c>
      <c r="C4" s="220"/>
      <c r="D4" s="220"/>
      <c r="E4" s="40"/>
      <c r="H4" s="174"/>
      <c r="I4" s="27"/>
      <c r="J4" s="40"/>
      <c r="K4" s="40"/>
      <c r="N4" s="43"/>
      <c r="O4" s="43"/>
      <c r="P4" s="43"/>
      <c r="Q4" s="43"/>
      <c r="R4" s="50"/>
      <c r="S4" s="43"/>
      <c r="T4" s="43"/>
      <c r="U4" s="43"/>
      <c r="V4" s="27"/>
      <c r="Y4" s="27"/>
    </row>
    <row r="5" spans="2:73" ht="11.45" customHeight="1">
      <c r="H5" s="174"/>
      <c r="M5" s="149">
        <f>IF(Drehung=4,Uebersetzung!D163,)</f>
        <v>0</v>
      </c>
      <c r="N5" s="49"/>
      <c r="AC5" s="106" t="s">
        <v>866</v>
      </c>
      <c r="AD5" s="106"/>
      <c r="BE5" s="47" t="s">
        <v>350</v>
      </c>
    </row>
    <row r="6" spans="2:73" ht="12.75" customHeight="1">
      <c r="E6" s="29" t="str">
        <f>Uebersetzung!D124</f>
        <v>Bâtiment tourné ?</v>
      </c>
      <c r="H6" s="174"/>
      <c r="I6" s="1812"/>
      <c r="J6" s="29"/>
      <c r="K6" s="1572" t="str">
        <f>IF(OR(I6="",I6=" ",I6=0),"  &lt;----  ",)</f>
        <v xml:space="preserve">  &lt;----  </v>
      </c>
      <c r="L6" s="49"/>
      <c r="M6" s="49"/>
      <c r="O6" s="106"/>
      <c r="P6" s="1573" t="s">
        <v>446</v>
      </c>
      <c r="Q6" s="50" t="str">
        <f>Uebersetzung!D130</f>
        <v xml:space="preserve"> : Systémes de chauffage intégrés aux éléments d'enveloppe ou </v>
      </c>
      <c r="R6" s="50"/>
      <c r="S6" s="50"/>
      <c r="T6" s="50"/>
      <c r="U6" s="50"/>
      <c r="V6" s="495"/>
      <c r="W6" s="50"/>
      <c r="X6" s="50"/>
      <c r="Y6" s="50"/>
      <c r="Z6" s="50"/>
      <c r="AA6" s="50"/>
      <c r="AC6" s="1246" t="b">
        <f>IF(P6=AC7,TRUE,FALSE)</f>
        <v>1</v>
      </c>
      <c r="AD6" s="1275"/>
      <c r="AF6" s="1247" t="s">
        <v>1998</v>
      </c>
      <c r="AG6" s="1105">
        <f>AC17</f>
        <v>0</v>
      </c>
    </row>
    <row r="7" spans="2:73" ht="12.75" customHeight="1">
      <c r="E7" s="29"/>
      <c r="H7" s="174"/>
      <c r="I7" s="29"/>
      <c r="J7" s="29"/>
      <c r="K7" s="29"/>
      <c r="L7" s="29"/>
      <c r="M7" s="29"/>
      <c r="N7" s="149"/>
      <c r="O7" s="47"/>
      <c r="P7" s="47"/>
      <c r="Q7" s="47"/>
      <c r="R7" s="27" t="str">
        <f>Uebersetzung!D131</f>
        <v xml:space="preserve">  corps de chauffe placés devant des éléments translucides</v>
      </c>
      <c r="AC7" s="399" t="s">
        <v>446</v>
      </c>
      <c r="AJ7" s="1294" t="s">
        <v>1454</v>
      </c>
      <c r="AQ7" s="1294" t="s">
        <v>422</v>
      </c>
    </row>
    <row r="8" spans="2:73" ht="6" customHeight="1">
      <c r="B8" s="121"/>
      <c r="C8" s="2184" t="str">
        <f>Uebersetzung!D133</f>
        <v>Chauffage intégré</v>
      </c>
      <c r="D8" s="122"/>
      <c r="E8" s="122"/>
      <c r="F8" s="209"/>
      <c r="G8" s="209"/>
      <c r="H8" s="210" t="s">
        <v>350</v>
      </c>
      <c r="I8" s="151"/>
      <c r="J8" s="122"/>
      <c r="K8" s="122"/>
      <c r="L8" s="187"/>
      <c r="M8" s="122"/>
      <c r="N8" s="172"/>
      <c r="O8" s="121"/>
      <c r="P8" s="2175" t="str">
        <f>C8</f>
        <v>Chauffage intégré</v>
      </c>
      <c r="Q8" s="122"/>
      <c r="R8" s="122"/>
      <c r="S8" s="209"/>
      <c r="T8" s="209"/>
      <c r="U8" s="210" t="s">
        <v>350</v>
      </c>
      <c r="V8" s="151"/>
      <c r="W8" s="122"/>
      <c r="X8" s="122"/>
      <c r="Y8" s="187"/>
      <c r="Z8" s="122"/>
      <c r="AA8" s="172"/>
      <c r="AC8" s="396" t="s">
        <v>350</v>
      </c>
    </row>
    <row r="9" spans="2:73" ht="13.9" customHeight="1">
      <c r="B9" s="118"/>
      <c r="C9" s="2185"/>
      <c r="D9" s="30"/>
      <c r="E9" s="205" t="str">
        <f>Uebersetzung!D132</f>
        <v>Façades</v>
      </c>
      <c r="F9" s="211"/>
      <c r="G9" s="558">
        <f>IF(ABS(G19-Fenster!AO119)&gt;0.5,Uebersetzung!D287,)</f>
        <v>0</v>
      </c>
      <c r="H9" s="212"/>
      <c r="I9" s="51"/>
      <c r="J9" s="30"/>
      <c r="K9" s="30"/>
      <c r="L9" s="193"/>
      <c r="M9" s="30"/>
      <c r="N9" s="57"/>
      <c r="O9" s="118"/>
      <c r="P9" s="2176"/>
      <c r="Q9" s="30"/>
      <c r="R9" s="558">
        <f>IF(ABS(T19-Fenster!AO73)&gt;0.5,Uebersetzung!D287,)</f>
        <v>0</v>
      </c>
      <c r="S9" s="211"/>
      <c r="T9" s="30"/>
      <c r="U9" s="212"/>
      <c r="V9" s="51"/>
      <c r="W9" s="30"/>
      <c r="X9" s="30"/>
      <c r="Y9" s="193"/>
      <c r="Z9" s="30"/>
      <c r="AA9" s="57"/>
      <c r="AE9" s="106" t="s">
        <v>121</v>
      </c>
    </row>
    <row r="10" spans="2:73" ht="13.9" customHeight="1">
      <c r="B10" s="118"/>
      <c r="C10" s="2185"/>
      <c r="D10" s="202">
        <f>IF(BC15=FALSE,IF(BC16=FALSE,IF(BC17=FALSE,IF(BC18=FALSE,IF(BC19=FALSE,," Wandheizung angewählt!")," Wandheizung angewählt!")," Wandheizung angewählt!")," Wandheizung angewählt!")," Wandheizung angewählt!")</f>
        <v>0</v>
      </c>
      <c r="E10" s="30"/>
      <c r="F10" s="30"/>
      <c r="G10" s="30"/>
      <c r="H10" s="30"/>
      <c r="I10" s="351" t="str">
        <f>IF(Drehung=1,Uebersetzung!D136,IF(Drehung=0,Uebersetzung!D137,IF(Drehung=3,Uebersetzung!D676,IF(Drehung=2,Uebersetzung!D677,Uebersetzung!D137))))</f>
        <v>Nord</v>
      </c>
      <c r="J10" s="30"/>
      <c r="K10" s="30"/>
      <c r="L10" s="193"/>
      <c r="M10" s="30"/>
      <c r="N10" s="57"/>
      <c r="O10" s="118"/>
      <c r="P10" s="2176"/>
      <c r="Q10" s="202">
        <f>IF(BA15=FALSE,IF(BA16=FALSE,IF(BA17=FALSE,IF(BA18=FALSE,IF(BA19=FALSE,," Wandheizung angewählt!"), "Wandheizung angewählt!")," Wandheizung angewählt!")," Wandheizung angewählt!")," Wandheizung angewählt!")</f>
        <v>0</v>
      </c>
      <c r="R10" s="30"/>
      <c r="S10" s="30"/>
      <c r="T10" s="30"/>
      <c r="U10" s="30"/>
      <c r="V10" s="351" t="str">
        <f>IF(Drehung=1,Uebersetzung!D138,IF(Drehung=0,Uebersetzung!D139,IF(Drehung=3,Uebersetzung!D680,IF(Drehung=2,Uebersetzung!D681,Uebersetzung!D139))))</f>
        <v>Est</v>
      </c>
      <c r="W10" s="30"/>
      <c r="X10" s="30"/>
      <c r="Y10" s="193"/>
      <c r="Z10" s="30"/>
      <c r="AA10" s="57"/>
      <c r="AE10" s="30"/>
      <c r="AF10" s="30"/>
      <c r="AG10" s="30"/>
      <c r="AH10" s="30"/>
      <c r="AI10" s="30"/>
      <c r="AJ10" s="64"/>
      <c r="AK10" s="30"/>
    </row>
    <row r="11" spans="2:73">
      <c r="B11" s="617"/>
      <c r="C11" s="2185"/>
      <c r="D11" s="30"/>
      <c r="E11" s="200" t="str">
        <f>Uebersetzung!D144</f>
        <v>Paroi exposée à l'air extérieur:</v>
      </c>
      <c r="F11" s="105"/>
      <c r="G11" s="105"/>
      <c r="H11" s="105"/>
      <c r="I11" s="51"/>
      <c r="J11" s="30"/>
      <c r="K11" s="30"/>
      <c r="L11" s="193"/>
      <c r="M11" s="194" t="s">
        <v>3035</v>
      </c>
      <c r="N11" s="57"/>
      <c r="O11" s="617"/>
      <c r="P11" s="2176"/>
      <c r="Q11" s="30"/>
      <c r="R11" s="105" t="str">
        <f>E11</f>
        <v>Paroi exposée à l'air extérieur:</v>
      </c>
      <c r="S11" s="105"/>
      <c r="T11" s="105"/>
      <c r="U11" s="105"/>
      <c r="V11" s="51"/>
      <c r="W11" s="30"/>
      <c r="X11" s="30"/>
      <c r="Y11" s="193"/>
      <c r="Z11" s="194" t="s">
        <v>3035</v>
      </c>
      <c r="AA11" s="57"/>
      <c r="AB11" s="29"/>
      <c r="AC11" s="386" t="s">
        <v>521</v>
      </c>
      <c r="AD11" s="29"/>
      <c r="AJ11" s="1290" t="s">
        <v>323</v>
      </c>
      <c r="AK11" s="1293">
        <v>32</v>
      </c>
      <c r="AL11" s="1293">
        <v>33</v>
      </c>
      <c r="AM11" s="1293">
        <v>34</v>
      </c>
      <c r="AN11" s="1291">
        <v>35</v>
      </c>
      <c r="AO11" s="1293" t="s">
        <v>327</v>
      </c>
      <c r="AQ11" s="1279"/>
      <c r="AR11" s="1280"/>
      <c r="AS11" s="1280"/>
      <c r="AT11" s="1280"/>
      <c r="AU11" s="1280"/>
      <c r="AV11" s="1280"/>
      <c r="AW11" s="1280"/>
      <c r="AX11" s="1280"/>
      <c r="AY11" s="1280"/>
      <c r="AZ11" s="1280"/>
      <c r="BA11" s="1280"/>
      <c r="BB11" s="1280"/>
      <c r="BC11" s="1280"/>
      <c r="BD11" s="1280"/>
      <c r="BE11" s="1280"/>
      <c r="BF11" s="1280"/>
      <c r="BG11" s="1280"/>
      <c r="BH11" s="1280"/>
      <c r="BI11" s="1283"/>
    </row>
    <row r="12" spans="2:73" ht="12.6" customHeight="1">
      <c r="B12" s="118"/>
      <c r="C12" s="2185"/>
      <c r="D12" s="30"/>
      <c r="E12" s="30" t="str">
        <f>Uebersetzung!D145</f>
        <v>Paroi avec</v>
      </c>
      <c r="F12" s="30"/>
      <c r="G12" s="30" t="str">
        <f>Uebersetzung!D147</f>
        <v>Fenêtre</v>
      </c>
      <c r="H12" s="30"/>
      <c r="I12" s="51" t="str">
        <f>Uebersetzung!D148</f>
        <v>Paroi sans</v>
      </c>
      <c r="J12" s="30"/>
      <c r="K12" s="194" t="str">
        <f>Uebersetzung!D150</f>
        <v>No</v>
      </c>
      <c r="L12" s="195" t="str">
        <f>Uebersetzung!D151</f>
        <v>Valeur U</v>
      </c>
      <c r="M12" s="194" t="s">
        <v>2613</v>
      </c>
      <c r="N12" s="62" t="str">
        <f>T63</f>
        <v>Valeur b</v>
      </c>
      <c r="O12" s="118"/>
      <c r="P12" s="2176"/>
      <c r="Q12" s="30"/>
      <c r="R12" s="30" t="str">
        <f>E12</f>
        <v>Paroi avec</v>
      </c>
      <c r="S12" s="30"/>
      <c r="T12" s="30" t="str">
        <f>G12</f>
        <v>Fenêtre</v>
      </c>
      <c r="U12" s="30"/>
      <c r="V12" s="51" t="str">
        <f>I12</f>
        <v>Paroi sans</v>
      </c>
      <c r="W12" s="30"/>
      <c r="X12" s="194" t="str">
        <f>K12</f>
        <v>No</v>
      </c>
      <c r="Y12" s="195" t="str">
        <f>L12</f>
        <v>Valeur U</v>
      </c>
      <c r="Z12" s="194" t="s">
        <v>2613</v>
      </c>
      <c r="AA12" s="62" t="str">
        <f>T63</f>
        <v>Valeur b</v>
      </c>
      <c r="AB12" s="29"/>
      <c r="AC12" s="290"/>
      <c r="AD12" s="29"/>
      <c r="AE12" s="218" t="s">
        <v>1196</v>
      </c>
      <c r="AF12" s="295"/>
      <c r="AG12" s="219" t="str">
        <f>Uebersetzung!D286</f>
        <v>double</v>
      </c>
      <c r="AH12" s="118"/>
      <c r="AI12" s="30"/>
      <c r="AJ12" s="1295" t="s">
        <v>1455</v>
      </c>
      <c r="AK12" s="1204" t="s">
        <v>326</v>
      </c>
      <c r="AL12" s="1204" t="s">
        <v>326</v>
      </c>
      <c r="AM12" s="1204" t="s">
        <v>326</v>
      </c>
      <c r="AN12" s="640" t="s">
        <v>326</v>
      </c>
      <c r="AO12" s="1231" t="s">
        <v>1843</v>
      </c>
      <c r="AQ12" s="1230" t="s">
        <v>422</v>
      </c>
      <c r="AR12" s="1284"/>
      <c r="AS12" s="1284"/>
      <c r="AT12" s="1284"/>
      <c r="AU12" s="1284"/>
      <c r="AV12" s="1284"/>
      <c r="AW12" s="1284"/>
      <c r="AX12" s="1284"/>
      <c r="AY12" s="1284"/>
      <c r="AZ12" s="1284"/>
      <c r="BA12" s="1284"/>
      <c r="BB12" s="1284"/>
      <c r="BC12" s="1284"/>
      <c r="BD12" s="1284"/>
      <c r="BE12" s="1284"/>
      <c r="BF12" s="1284"/>
      <c r="BG12" s="1284"/>
      <c r="BH12" s="1284"/>
      <c r="BI12" s="1285"/>
    </row>
    <row r="13" spans="2:73" ht="12.6" customHeight="1">
      <c r="B13" s="118"/>
      <c r="C13" s="2186"/>
      <c r="D13" s="83"/>
      <c r="E13" s="30" t="str">
        <f>Uebersetzung!D146</f>
        <v>fenêtre</v>
      </c>
      <c r="F13" s="30"/>
      <c r="G13" s="30"/>
      <c r="H13" s="30"/>
      <c r="I13" s="51" t="str">
        <f>Uebersetzung!D149</f>
        <v>fenêtre</v>
      </c>
      <c r="J13" s="30"/>
      <c r="K13" s="30"/>
      <c r="L13" s="576" t="s">
        <v>3034</v>
      </c>
      <c r="M13" s="576" t="s">
        <v>3034</v>
      </c>
      <c r="N13" s="78" t="s">
        <v>350</v>
      </c>
      <c r="O13" s="118"/>
      <c r="P13" s="2177"/>
      <c r="Q13" s="83"/>
      <c r="R13" s="30" t="str">
        <f>E13</f>
        <v>fenêtre</v>
      </c>
      <c r="S13" s="30"/>
      <c r="T13" s="30"/>
      <c r="U13" s="30"/>
      <c r="V13" s="51" t="str">
        <f>I13</f>
        <v>fenêtre</v>
      </c>
      <c r="W13" s="30"/>
      <c r="X13" s="30"/>
      <c r="Y13" s="576" t="s">
        <v>3034</v>
      </c>
      <c r="Z13" s="576" t="s">
        <v>3034</v>
      </c>
      <c r="AA13" s="78" t="s">
        <v>350</v>
      </c>
      <c r="AC13" s="214" t="str">
        <f>Uebersetzung!D126</f>
        <v>Oui</v>
      </c>
      <c r="AJ13" s="297">
        <v>1</v>
      </c>
      <c r="AK13" s="453">
        <f>A_TWD_S*UWert!F195</f>
        <v>0</v>
      </c>
      <c r="AL13" s="453">
        <f>A_TWD_O*UWert!N195</f>
        <v>0</v>
      </c>
      <c r="AM13" s="453">
        <f>A_TWD_W*UWert!F209</f>
        <v>0</v>
      </c>
      <c r="AN13" s="326">
        <f>A_TWD_N*UWert!N209</f>
        <v>0</v>
      </c>
      <c r="AO13" s="453">
        <f>IF(A_TWD&gt;0,(AK13+AL13+AM13+AN13)/A_TWD,0)</f>
        <v>0</v>
      </c>
      <c r="AQ13" s="1227"/>
      <c r="AR13" s="1276"/>
      <c r="AS13" s="1228"/>
      <c r="AT13" s="1227"/>
      <c r="AU13" s="1276"/>
      <c r="AV13" s="1276"/>
      <c r="AW13" s="1281"/>
      <c r="AX13" s="1276"/>
      <c r="AY13" s="1228"/>
      <c r="AZ13" s="1280" t="s">
        <v>420</v>
      </c>
      <c r="BA13" s="1276"/>
      <c r="BB13" s="1276"/>
      <c r="BC13" s="1276"/>
      <c r="BD13" s="1276"/>
      <c r="BE13" s="1276"/>
      <c r="BF13" s="1276"/>
      <c r="BG13" s="1276"/>
      <c r="BH13" s="1276"/>
      <c r="BI13" s="1228"/>
      <c r="BR13" s="64"/>
      <c r="BS13" s="64"/>
      <c r="BT13" s="64"/>
      <c r="BU13" s="64"/>
    </row>
    <row r="14" spans="2:73" ht="12.6" customHeight="1">
      <c r="B14" s="81"/>
      <c r="C14" s="1509"/>
      <c r="D14" s="2118" t="s">
        <v>9350</v>
      </c>
      <c r="E14" s="25"/>
      <c r="F14" s="30" t="s">
        <v>243</v>
      </c>
      <c r="G14" s="25"/>
      <c r="H14" s="30" t="s">
        <v>243</v>
      </c>
      <c r="I14" s="51">
        <f>E14-G14</f>
        <v>0</v>
      </c>
      <c r="J14" s="30" t="s">
        <v>243</v>
      </c>
      <c r="K14" s="360"/>
      <c r="L14" s="98"/>
      <c r="M14" s="291">
        <f>IF(K14&gt;0,IF(L14&gt;0,Fehler1,INDEX(UWert!$BD$7:$BD$41,K14)),L14)</f>
        <v>0</v>
      </c>
      <c r="N14" s="1819">
        <v>1</v>
      </c>
      <c r="O14" s="81"/>
      <c r="P14" s="1509"/>
      <c r="Q14" s="2118" t="s">
        <v>9348</v>
      </c>
      <c r="R14" s="25"/>
      <c r="S14" s="30" t="s">
        <v>243</v>
      </c>
      <c r="T14" s="25"/>
      <c r="U14" s="30" t="s">
        <v>243</v>
      </c>
      <c r="V14" s="51">
        <f>R14-T14</f>
        <v>0</v>
      </c>
      <c r="W14" s="30" t="s">
        <v>243</v>
      </c>
      <c r="X14" s="360"/>
      <c r="Y14" s="98"/>
      <c r="Z14" s="291">
        <f>IF(X14&gt;0,IF(Y14&gt;0,Fehler1,INDEX(UWert!$BD$7:$BD$41,X14)),Y14)</f>
        <v>0</v>
      </c>
      <c r="AA14" s="1819">
        <v>1</v>
      </c>
      <c r="AC14" s="214" t="str">
        <f>Uebersetzung!D127</f>
        <v>oui</v>
      </c>
      <c r="AH14" s="1078"/>
      <c r="AJ14" s="393">
        <v>2</v>
      </c>
      <c r="AK14" s="451">
        <f>A_TWD_S*UWert!F196</f>
        <v>0</v>
      </c>
      <c r="AL14" s="451">
        <f>A_TWD_O*UWert!N196</f>
        <v>0</v>
      </c>
      <c r="AM14" s="451">
        <f>A_TWD_W*UWert!F210</f>
        <v>0</v>
      </c>
      <c r="AN14" s="328">
        <f>A_TWD_N*UWert!N210</f>
        <v>0</v>
      </c>
      <c r="AO14" s="451">
        <f t="shared" ref="AO14:AO22" si="0">IF(A_TWD&gt;0,(AK14+AL14+AM14+AN14)/A_TWD,0)</f>
        <v>0</v>
      </c>
      <c r="AQ14" s="1510" t="s">
        <v>1452</v>
      </c>
      <c r="AR14" s="1278"/>
      <c r="AS14" s="1511"/>
      <c r="AT14" s="1510" t="s">
        <v>978</v>
      </c>
      <c r="AU14" s="1278"/>
      <c r="AV14" s="1278"/>
      <c r="AW14" s="1510" t="s">
        <v>2007</v>
      </c>
      <c r="AX14" s="1278"/>
      <c r="AY14" s="1511"/>
      <c r="AZ14" s="1250" t="s">
        <v>1969</v>
      </c>
      <c r="BA14" s="1293" t="s">
        <v>1234</v>
      </c>
      <c r="BB14" s="940" t="s">
        <v>1235</v>
      </c>
      <c r="BC14" s="940" t="s">
        <v>1236</v>
      </c>
      <c r="BD14" s="1277"/>
      <c r="BE14" s="1277"/>
      <c r="BF14" s="1277"/>
      <c r="BG14" s="1277"/>
      <c r="BH14" s="1277"/>
      <c r="BI14" s="1229"/>
    </row>
    <row r="15" spans="2:73" ht="13.9" customHeight="1">
      <c r="B15" s="81"/>
      <c r="C15" s="1509"/>
      <c r="D15" s="2118" t="s">
        <v>4064</v>
      </c>
      <c r="E15" s="25"/>
      <c r="F15" s="30" t="s">
        <v>243</v>
      </c>
      <c r="G15" s="25"/>
      <c r="H15" s="30" t="s">
        <v>243</v>
      </c>
      <c r="I15" s="51">
        <f>E15-G15</f>
        <v>0</v>
      </c>
      <c r="J15" s="30" t="s">
        <v>243</v>
      </c>
      <c r="K15" s="360"/>
      <c r="L15" s="98"/>
      <c r="M15" s="291">
        <f>IF(K15&gt;0,IF(L15&gt;0,Fehler1,INDEX(UWert!$BD$7:$BD$41,K15)),L15)</f>
        <v>0</v>
      </c>
      <c r="N15" s="1819">
        <v>1</v>
      </c>
      <c r="O15" s="81"/>
      <c r="P15" s="1509"/>
      <c r="Q15" s="2118" t="s">
        <v>9353</v>
      </c>
      <c r="R15" s="25"/>
      <c r="S15" s="30" t="s">
        <v>243</v>
      </c>
      <c r="T15" s="25"/>
      <c r="U15" s="30" t="s">
        <v>243</v>
      </c>
      <c r="V15" s="51">
        <f>R15-T15</f>
        <v>0</v>
      </c>
      <c r="W15" s="30" t="s">
        <v>243</v>
      </c>
      <c r="X15" s="360"/>
      <c r="Y15" s="98"/>
      <c r="Z15" s="291">
        <f>IF(X15&gt;0,IF(Y15&gt;0,Fehler1,INDEX(UWert!$BD$7:$BD$41,X15)),Y15)</f>
        <v>0</v>
      </c>
      <c r="AA15" s="1819">
        <v>1</v>
      </c>
      <c r="AC15" s="214" t="str">
        <f>Uebersetzung!D128</f>
        <v>Non</v>
      </c>
      <c r="AE15" s="106" t="s">
        <v>868</v>
      </c>
      <c r="AH15" s="1078"/>
      <c r="AJ15" s="393">
        <v>3</v>
      </c>
      <c r="AK15" s="451">
        <f>A_TWD_S*UWert!F197</f>
        <v>0</v>
      </c>
      <c r="AL15" s="451">
        <f>A_TWD_O*UWert!N197</f>
        <v>0</v>
      </c>
      <c r="AM15" s="451">
        <f>A_TWD_W*UWert!F211</f>
        <v>0</v>
      </c>
      <c r="AN15" s="328">
        <f>A_TWD_N*UWert!N211</f>
        <v>0</v>
      </c>
      <c r="AO15" s="451">
        <f t="shared" si="0"/>
        <v>0</v>
      </c>
      <c r="AQ15" s="1512" t="b">
        <v>0</v>
      </c>
      <c r="AR15" s="122" t="s">
        <v>421</v>
      </c>
      <c r="AS15" s="122"/>
      <c r="AT15" s="1512" t="b">
        <f>IF(C64=$AC$7,TRUE,FALSE)</f>
        <v>1</v>
      </c>
      <c r="AU15" s="122" t="s">
        <v>1013</v>
      </c>
      <c r="AV15" s="122"/>
      <c r="AW15" s="1512" t="b">
        <f>IF(C84=$AC$7,TRUE,FALSE)</f>
        <v>0</v>
      </c>
      <c r="AX15" s="122" t="s">
        <v>1453</v>
      </c>
      <c r="AY15" s="172"/>
      <c r="AZ15" s="1514" t="b">
        <f>IF(P33=$AC$7,TRUE,FALSE)</f>
        <v>0</v>
      </c>
      <c r="BA15" s="300" t="b">
        <f>IF(P14=$AC$7,TRUE,FALSE)</f>
        <v>0</v>
      </c>
      <c r="BB15" s="300" t="b">
        <f>IF(C33=$AC$7,TRUE,FALSE)</f>
        <v>0</v>
      </c>
      <c r="BC15" s="300" t="b">
        <f>IF(C14=$AC$7,TRUE,FALSE)</f>
        <v>0</v>
      </c>
      <c r="BD15" s="122"/>
      <c r="BE15" s="122"/>
      <c r="BF15" s="122" t="s">
        <v>420</v>
      </c>
      <c r="BG15" s="122"/>
      <c r="BH15" s="122"/>
      <c r="BI15" s="172"/>
    </row>
    <row r="16" spans="2:73" ht="13.9" customHeight="1">
      <c r="B16" s="118"/>
      <c r="C16" s="1509"/>
      <c r="D16" s="2118" t="s">
        <v>4105</v>
      </c>
      <c r="E16" s="25"/>
      <c r="F16" s="30" t="s">
        <v>243</v>
      </c>
      <c r="G16" s="25"/>
      <c r="H16" s="30" t="s">
        <v>243</v>
      </c>
      <c r="I16" s="51">
        <f>E16-G16</f>
        <v>0</v>
      </c>
      <c r="J16" s="30" t="s">
        <v>243</v>
      </c>
      <c r="K16" s="360"/>
      <c r="L16" s="98"/>
      <c r="M16" s="291">
        <f>IF(K16&gt;0,IF(L16&gt;0,Fehler1,INDEX(UWert!$BD$7:$BD$41,K16)),L16)</f>
        <v>0</v>
      </c>
      <c r="N16" s="1819">
        <v>1</v>
      </c>
      <c r="O16" s="118"/>
      <c r="P16" s="1509"/>
      <c r="Q16" s="2118" t="s">
        <v>9357</v>
      </c>
      <c r="R16" s="25"/>
      <c r="S16" s="30" t="s">
        <v>243</v>
      </c>
      <c r="T16" s="25"/>
      <c r="U16" s="30" t="s">
        <v>243</v>
      </c>
      <c r="V16" s="51">
        <f>R16-T16</f>
        <v>0</v>
      </c>
      <c r="W16" s="30" t="s">
        <v>243</v>
      </c>
      <c r="X16" s="360"/>
      <c r="Y16" s="98"/>
      <c r="Z16" s="291">
        <f>IF(X16&gt;0,IF(Y16&gt;0,Fehler1,INDEX(UWert!$BD$7:$BD$41,X16)),Y16)</f>
        <v>0</v>
      </c>
      <c r="AA16" s="1819">
        <v>1</v>
      </c>
      <c r="AC16" s="214" t="str">
        <f>Uebersetzung!D129</f>
        <v>non</v>
      </c>
      <c r="AE16" s="1248" t="s">
        <v>864</v>
      </c>
      <c r="AF16" s="1249" t="s">
        <v>696</v>
      </c>
      <c r="AG16" s="1250" t="s">
        <v>2010</v>
      </c>
      <c r="AH16" s="1725" t="s">
        <v>537</v>
      </c>
      <c r="AJ16" s="298">
        <v>4</v>
      </c>
      <c r="AK16" s="451">
        <f>A_TWD_S*UWert!F198</f>
        <v>0</v>
      </c>
      <c r="AL16" s="451">
        <f>A_TWD_O*UWert!N198</f>
        <v>0</v>
      </c>
      <c r="AM16" s="451">
        <f>A_TWD_W*UWert!F212</f>
        <v>0</v>
      </c>
      <c r="AN16" s="328">
        <f>A_TWD_N*UWert!N212</f>
        <v>0</v>
      </c>
      <c r="AO16" s="451">
        <f t="shared" si="0"/>
        <v>0</v>
      </c>
      <c r="AQ16" s="1512" t="b">
        <v>0</v>
      </c>
      <c r="AR16" s="122" t="s">
        <v>421</v>
      </c>
      <c r="AS16" s="172"/>
      <c r="AT16" s="271" t="b">
        <f>IF(C65=$AC$7,TRUE,FALSE)</f>
        <v>1</v>
      </c>
      <c r="AU16" s="30" t="s">
        <v>1013</v>
      </c>
      <c r="AV16" s="30"/>
      <c r="AW16" s="1513" t="b">
        <f>IF(C85=$AC$7,TRUE,FALSE)</f>
        <v>0</v>
      </c>
      <c r="AX16" s="30" t="s">
        <v>1453</v>
      </c>
      <c r="AY16" s="57"/>
      <c r="AZ16" s="1515" t="b">
        <f>IF(P34=$AC$7,TRUE,FALSE)</f>
        <v>0</v>
      </c>
      <c r="BA16" s="301" t="b">
        <f>IF(P15=$AC$7,TRUE,FALSE)</f>
        <v>0</v>
      </c>
      <c r="BB16" s="301" t="b">
        <f>IF(C34=$AC$7,TRUE,FALSE)</f>
        <v>0</v>
      </c>
      <c r="BC16" s="301" t="b">
        <v>0</v>
      </c>
      <c r="BD16" s="30"/>
      <c r="BE16" s="30"/>
      <c r="BF16" s="30" t="s">
        <v>422</v>
      </c>
      <c r="BG16" s="30"/>
      <c r="BH16" s="30"/>
      <c r="BI16" s="57"/>
    </row>
    <row r="17" spans="2:62" ht="13.9" customHeight="1">
      <c r="B17" s="118"/>
      <c r="C17" s="1509"/>
      <c r="D17" s="2118" t="s">
        <v>9362</v>
      </c>
      <c r="E17" s="25"/>
      <c r="F17" s="30" t="s">
        <v>243</v>
      </c>
      <c r="G17" s="25"/>
      <c r="H17" s="30" t="s">
        <v>243</v>
      </c>
      <c r="I17" s="51">
        <f>E17-G17</f>
        <v>0</v>
      </c>
      <c r="J17" s="30" t="s">
        <v>243</v>
      </c>
      <c r="K17" s="360"/>
      <c r="L17" s="98"/>
      <c r="M17" s="291">
        <f>IF(K17&gt;0,IF(L17&gt;0,Fehler1,INDEX(UWert!$BD$7:$BD$41,K17)),L17)</f>
        <v>0</v>
      </c>
      <c r="N17" s="1819">
        <v>1</v>
      </c>
      <c r="O17" s="118"/>
      <c r="P17" s="1509"/>
      <c r="Q17" s="2118" t="s">
        <v>9360</v>
      </c>
      <c r="R17" s="25"/>
      <c r="S17" s="30" t="s">
        <v>243</v>
      </c>
      <c r="T17" s="25"/>
      <c r="U17" s="30" t="s">
        <v>243</v>
      </c>
      <c r="V17" s="51">
        <f>R17-T17</f>
        <v>0</v>
      </c>
      <c r="W17" s="30" t="s">
        <v>243</v>
      </c>
      <c r="X17" s="360"/>
      <c r="Y17" s="98"/>
      <c r="Z17" s="291">
        <f>IF(X17&gt;0,IF(Y17&gt;0,Fehler1,INDEX(UWert!$BD$7:$BD$41,X17)),Y17)</f>
        <v>0</v>
      </c>
      <c r="AA17" s="1819">
        <v>1</v>
      </c>
      <c r="AC17" s="2191">
        <f>IF(I6=AC18,0,IF(I6=AC19,1,IF(I6=AC20,2,IF(I6=AC21,3,0))))</f>
        <v>0</v>
      </c>
      <c r="AD17" s="2192"/>
      <c r="AE17" s="179">
        <f>I23+I24+V23+V24+I42+I43+V42+V43</f>
        <v>0</v>
      </c>
      <c r="AF17" s="180">
        <f>IF(AE17&gt;0,(I23*UWand1+I24*UWand2+V23*UWand3+V24*UWand4+I42*UWand5+I43*UWand6+V42*UWand7+V43*UWand8)/AE17,0)</f>
        <v>0</v>
      </c>
      <c r="AG17" s="181">
        <f>IF(AND(AWG&gt;0,UWG0&gt;0),(I23*UWand1*N23+I24*UWand2*N24+V23*UWand3*AA23+V24*UWand4*AA24+I42*UWand5*N42+I43*UWand6*N43+V42*UWand7*AA42+V43*UWand8*AA43)/(I23*UWand1+I24*UWand2+V23*UWand3+V24*UWand4+I42*UWand5+I43*UWand6+V42*UWand7+V43*UWand8),1)</f>
        <v>1</v>
      </c>
      <c r="AH17" s="181">
        <f>IF(AWG&gt;0,(I23*N23+I24*N24+V23*AA23+V24*AA24+I42*N42+I43*N43+V42*AA42+V43*AA43)/(I23+I24+V23+V24+I42+I43+V42+V43),1)</f>
        <v>1</v>
      </c>
      <c r="AI17" s="27" t="s">
        <v>540</v>
      </c>
      <c r="AJ17" s="393">
        <v>5</v>
      </c>
      <c r="AK17" s="451">
        <f>A_TWD_S*UWert!F199</f>
        <v>0</v>
      </c>
      <c r="AL17" s="451">
        <f>A_TWD_O*UWert!N199</f>
        <v>0</v>
      </c>
      <c r="AM17" s="451">
        <f>A_TWD_W*UWert!F213</f>
        <v>0</v>
      </c>
      <c r="AN17" s="328">
        <f>A_TWD_N*UWert!N213</f>
        <v>0</v>
      </c>
      <c r="AO17" s="451">
        <f t="shared" si="0"/>
        <v>0</v>
      </c>
      <c r="AQ17" s="1513" t="b">
        <v>0</v>
      </c>
      <c r="AR17" s="30" t="s">
        <v>1012</v>
      </c>
      <c r="AS17" s="57"/>
      <c r="AT17" s="271" t="b">
        <f>IF(C67=$AC$7,TRUE,FALSE)</f>
        <v>1</v>
      </c>
      <c r="AU17" s="30" t="s">
        <v>421</v>
      </c>
      <c r="AV17" s="30"/>
      <c r="AW17" s="1513" t="b">
        <f>IF(C86=$AC$7,TRUE,FALSE)</f>
        <v>0</v>
      </c>
      <c r="AX17" s="30" t="s">
        <v>242</v>
      </c>
      <c r="AY17" s="57"/>
      <c r="AZ17" s="1515" t="b">
        <f>IF(P35=$AC$7,TRUE,FALSE)</f>
        <v>0</v>
      </c>
      <c r="BA17" s="301" t="b">
        <f>IF(P16=$AC$7,TRUE,FALSE)</f>
        <v>0</v>
      </c>
      <c r="BB17" s="301" t="b">
        <f>IF(C35=$AC$7,TRUE,FALSE)</f>
        <v>0</v>
      </c>
      <c r="BC17" s="301" t="b">
        <f>IF(C16=$AC$7,TRUE,FALSE)</f>
        <v>0</v>
      </c>
      <c r="BD17" s="30"/>
      <c r="BE17" s="30"/>
      <c r="BF17" s="30"/>
      <c r="BG17" s="30"/>
      <c r="BH17" s="30"/>
      <c r="BI17" s="57"/>
    </row>
    <row r="18" spans="2:62" ht="13.9" customHeight="1">
      <c r="B18" s="118"/>
      <c r="C18" s="1509"/>
      <c r="D18" s="2118" t="s">
        <v>3352</v>
      </c>
      <c r="E18" s="150"/>
      <c r="F18" s="30" t="s">
        <v>243</v>
      </c>
      <c r="G18" s="150"/>
      <c r="H18" s="30" t="s">
        <v>243</v>
      </c>
      <c r="I18" s="152">
        <f>E18-G18</f>
        <v>0</v>
      </c>
      <c r="J18" s="30" t="s">
        <v>243</v>
      </c>
      <c r="K18" s="360"/>
      <c r="L18" s="98"/>
      <c r="M18" s="1818">
        <f>IF(K18&gt;0,IF(L18&gt;0,Fehler1,INDEX(UWert!$BD$7:$BD$41,K18)),L18)</f>
        <v>0</v>
      </c>
      <c r="N18" s="1819">
        <v>1</v>
      </c>
      <c r="O18" s="118"/>
      <c r="P18" s="1509"/>
      <c r="Q18" s="2118" t="s">
        <v>9364</v>
      </c>
      <c r="R18" s="150"/>
      <c r="S18" s="30" t="s">
        <v>243</v>
      </c>
      <c r="T18" s="150"/>
      <c r="U18" s="30" t="s">
        <v>243</v>
      </c>
      <c r="V18" s="152">
        <f>R18-T18</f>
        <v>0</v>
      </c>
      <c r="W18" s="30" t="s">
        <v>243</v>
      </c>
      <c r="X18" s="360"/>
      <c r="Y18" s="98"/>
      <c r="Z18" s="1818">
        <f>IF(X18&gt;0,IF(Y18&gt;0,Fehler1,INDEX(UWert!$BD$7:$BD$41,X18)),Y18)</f>
        <v>0</v>
      </c>
      <c r="AA18" s="1819">
        <v>1</v>
      </c>
      <c r="AC18" s="1970" t="s">
        <v>4004</v>
      </c>
      <c r="AD18" s="172">
        <v>0</v>
      </c>
      <c r="AE18" s="51">
        <f>SUM(V51:V52)</f>
        <v>0</v>
      </c>
      <c r="AF18" s="178">
        <f>IF(AE18&gt;0,(V51*Z51+V52*Z52)/AE18,0)</f>
        <v>0</v>
      </c>
      <c r="AG18" s="371">
        <f>IF(AND(AE18&gt;0,UW.n&gt;0),(V51*T51*Z51+V52*T52*Z52)/(V51*Z51+V52*Z52),1)</f>
        <v>1</v>
      </c>
      <c r="AH18" s="371">
        <f>0</f>
        <v>0</v>
      </c>
      <c r="AI18" s="27" t="s">
        <v>539</v>
      </c>
      <c r="AJ18" s="393">
        <v>6</v>
      </c>
      <c r="AK18" s="451">
        <f>A_TWD_S*UWert!F200</f>
        <v>0</v>
      </c>
      <c r="AL18" s="451">
        <f>A_TWD_O*UWert!N200</f>
        <v>0</v>
      </c>
      <c r="AM18" s="451">
        <f>A_TWD_W*UWert!F214</f>
        <v>0</v>
      </c>
      <c r="AN18" s="328">
        <f>A_TWD_N*UWert!N214</f>
        <v>0</v>
      </c>
      <c r="AO18" s="451">
        <f t="shared" si="0"/>
        <v>0</v>
      </c>
      <c r="AQ18" s="1513" t="b">
        <v>0</v>
      </c>
      <c r="AR18" s="30" t="s">
        <v>1012</v>
      </c>
      <c r="AS18" s="57"/>
      <c r="AT18" s="271" t="b">
        <f>IF(C68=$AC$7,TRUE,FALSE)</f>
        <v>1</v>
      </c>
      <c r="AU18" s="30" t="s">
        <v>421</v>
      </c>
      <c r="AV18" s="30"/>
      <c r="AW18" s="1513" t="b">
        <f>IF(C88=$AC$7,TRUE,FALSE)</f>
        <v>0</v>
      </c>
      <c r="AX18" s="30" t="s">
        <v>1014</v>
      </c>
      <c r="AY18" s="57"/>
      <c r="AZ18" s="1515" t="b">
        <f>IF(P36=$AC$7,TRUE,FALSE)</f>
        <v>0</v>
      </c>
      <c r="BA18" s="301" t="b">
        <f>IF(P17=$AC$7,TRUE,FALSE)</f>
        <v>0</v>
      </c>
      <c r="BB18" s="301" t="b">
        <f>IF(C36=$AC$7,TRUE,FALSE)</f>
        <v>0</v>
      </c>
      <c r="BC18" s="301" t="b">
        <f>IF(C17=$AC$7,TRUE,FALSE)</f>
        <v>0</v>
      </c>
      <c r="BD18" s="30"/>
      <c r="BE18" s="30"/>
      <c r="BF18" s="30"/>
      <c r="BG18" s="30"/>
      <c r="BH18" s="30"/>
      <c r="BI18" s="57"/>
    </row>
    <row r="19" spans="2:62" ht="13.9" customHeight="1">
      <c r="B19" s="81"/>
      <c r="C19" s="83"/>
      <c r="D19" s="83"/>
      <c r="E19" s="151">
        <f>SUM(E14:E18)</f>
        <v>0</v>
      </c>
      <c r="F19" s="30" t="s">
        <v>243</v>
      </c>
      <c r="G19" s="151">
        <f>SUM(G14:G18)</f>
        <v>0</v>
      </c>
      <c r="H19" s="30" t="s">
        <v>243</v>
      </c>
      <c r="I19" s="51">
        <f>SUM(I14:I18)</f>
        <v>0</v>
      </c>
      <c r="J19" s="30" t="s">
        <v>243</v>
      </c>
      <c r="K19" s="30"/>
      <c r="L19" s="193"/>
      <c r="M19" s="292">
        <f>IF(I19,(I14*M14+I15*M15+I16*M16+I17*M17+I18*M18)/I19,)</f>
        <v>0</v>
      </c>
      <c r="N19" s="1819"/>
      <c r="O19" s="81"/>
      <c r="P19" s="83"/>
      <c r="Q19" s="83"/>
      <c r="R19" s="151">
        <f>SUM(R14:R18)</f>
        <v>0</v>
      </c>
      <c r="S19" s="30" t="s">
        <v>243</v>
      </c>
      <c r="T19" s="151">
        <f>SUM(T14:T18)</f>
        <v>0</v>
      </c>
      <c r="U19" s="30" t="s">
        <v>243</v>
      </c>
      <c r="V19" s="51">
        <f>SUM(V14:V18)</f>
        <v>0</v>
      </c>
      <c r="W19" s="30" t="s">
        <v>243</v>
      </c>
      <c r="X19" s="30"/>
      <c r="Y19" s="193"/>
      <c r="Z19" s="292">
        <f>IF(V19,(V14*Z14+V15*Z15+V16*Z16+V17*Z17+V18*Z18)/V19,)</f>
        <v>0</v>
      </c>
      <c r="AA19" s="1819"/>
      <c r="AC19" s="404" t="s">
        <v>4006</v>
      </c>
      <c r="AD19" s="57">
        <v>1</v>
      </c>
      <c r="AE19" s="1969">
        <f>I22+I25+I26+V22+V25+V26+I41+I44+I45+V41+V44+V45</f>
        <v>0</v>
      </c>
      <c r="AF19" s="183">
        <f>IF(AE19&gt;0,(I22*M22+I25*M25+I26*M26+V22*Z22+V25*Z25+V26*Z26+I41*M41+I44*M44+I45*M45+V41*Z41+V44*Z44+V45*Z45)/AE19,0)</f>
        <v>0</v>
      </c>
      <c r="AG19" s="184">
        <f>IF(AND(AE19&gt;0,UWu&gt;0),(I22*M22*N22+I25*M25*N25+I26*M26*N26+V22*Z22*AA22+V25*Z25*AA25+V26*Z26*AA26+I41*M41*N41+I44*M44*N44+I45*M45*N45+V41*Z41*AA41+V44*Z44*AA44+V45*Z45*AA45)/(I22*M22+I25*M25+I26*M26+V22*Z22+V25*Z25+V26*Z26+I41*M41+I44*M44+I45*M45+V41*Z41+V44*Z44+V45*Z45),1)</f>
        <v>1</v>
      </c>
      <c r="AH19" s="184">
        <f>IF(AWu&gt;0,(I22*N22+I25*N25+I26*N26+V22*AA22+V25*AA25+V26*AA26+I41*N41+I44*N44+I45*N45+V41*AA41+V44*AA44+V45*AA45)/AWu,1)</f>
        <v>1</v>
      </c>
      <c r="AI19" s="27" t="s">
        <v>538</v>
      </c>
      <c r="AJ19" s="298">
        <v>7</v>
      </c>
      <c r="AK19" s="451">
        <f>A_TWD_S*UWert!F201</f>
        <v>0</v>
      </c>
      <c r="AL19" s="451">
        <f>A_TWD_O*UWert!N201</f>
        <v>0</v>
      </c>
      <c r="AM19" s="451">
        <f>A_TWD_W*UWert!F215</f>
        <v>0</v>
      </c>
      <c r="AN19" s="328">
        <f>A_TWD_N*UWert!N215</f>
        <v>0</v>
      </c>
      <c r="AO19" s="451">
        <f t="shared" si="0"/>
        <v>0</v>
      </c>
      <c r="AQ19" s="1513" t="b">
        <v>0</v>
      </c>
      <c r="AR19" s="30" t="s">
        <v>1014</v>
      </c>
      <c r="AS19" s="57"/>
      <c r="AT19" s="271" t="b">
        <f>IF(C70=$AC$7,TRUE,FALSE)</f>
        <v>1</v>
      </c>
      <c r="AU19" s="30" t="s">
        <v>1014</v>
      </c>
      <c r="AV19" s="30"/>
      <c r="AW19" s="1513" t="b">
        <f>IF(C89=$AC$7,TRUE,FALSE)</f>
        <v>0</v>
      </c>
      <c r="AX19" s="30" t="s">
        <v>1014</v>
      </c>
      <c r="AY19" s="57"/>
      <c r="AZ19" s="1516" t="b">
        <f>IF(P37=$AC$7,TRUE,FALSE)</f>
        <v>0</v>
      </c>
      <c r="BA19" s="302" t="b">
        <f>IF(P18=$AC$7,TRUE,FALSE)</f>
        <v>0</v>
      </c>
      <c r="BB19" s="302" t="b">
        <f>IF(C37=$AC$7,TRUE,FALSE)</f>
        <v>0</v>
      </c>
      <c r="BC19" s="302" t="b">
        <f>IF(C18=$AC$7,TRUE,FALSE)</f>
        <v>0</v>
      </c>
      <c r="BD19" s="30"/>
      <c r="BE19" s="30"/>
      <c r="BF19" s="30" t="s">
        <v>423</v>
      </c>
      <c r="BG19" s="30"/>
      <c r="BH19" s="30"/>
      <c r="BI19" s="57"/>
    </row>
    <row r="20" spans="2:62" ht="12.6" customHeight="1">
      <c r="B20" s="81"/>
      <c r="C20" s="30"/>
      <c r="D20" s="30"/>
      <c r="E20" s="175" t="str">
        <f>Uebersetzung!D152</f>
        <v>Porte à l'extérieur:</v>
      </c>
      <c r="F20" s="105"/>
      <c r="G20" s="105"/>
      <c r="H20" s="105"/>
      <c r="I20" s="25"/>
      <c r="J20" s="30" t="s">
        <v>243</v>
      </c>
      <c r="K20" s="360"/>
      <c r="L20" s="98"/>
      <c r="M20" s="291">
        <f>IF(K20&gt;0,IF(L20&gt;0,Fehler1,INDEX(UWert!$BD$7:$BD$41,K20)),L20)</f>
        <v>0</v>
      </c>
      <c r="N20" s="1819">
        <v>1</v>
      </c>
      <c r="O20" s="81"/>
      <c r="P20" s="30"/>
      <c r="Q20" s="30"/>
      <c r="R20" s="175" t="str">
        <f>E20</f>
        <v>Porte à l'extérieur:</v>
      </c>
      <c r="S20" s="105"/>
      <c r="T20" s="105"/>
      <c r="U20" s="105"/>
      <c r="V20" s="25"/>
      <c r="W20" s="30" t="s">
        <v>243</v>
      </c>
      <c r="X20" s="360"/>
      <c r="Y20" s="98"/>
      <c r="Z20" s="291">
        <f>IF(X20&gt;0,IF(Y20&gt;0,Fehler1,INDEX(UWert!$BD$7:$BD$41,X20)),Y20)</f>
        <v>0</v>
      </c>
      <c r="AA20" s="1819">
        <v>1</v>
      </c>
      <c r="AC20" s="1971" t="s">
        <v>4007</v>
      </c>
      <c r="AD20" s="57">
        <v>2</v>
      </c>
      <c r="AJ20" s="393">
        <v>8</v>
      </c>
      <c r="AK20" s="451">
        <f>A_TWD_S*UWert!F202</f>
        <v>0</v>
      </c>
      <c r="AL20" s="451">
        <f>A_TWD_O*UWert!N202</f>
        <v>0</v>
      </c>
      <c r="AM20" s="451">
        <f>A_TWD_W*UWert!F216</f>
        <v>0</v>
      </c>
      <c r="AN20" s="328">
        <f>A_TWD_N*UWert!N216</f>
        <v>0</v>
      </c>
      <c r="AO20" s="451">
        <f t="shared" si="0"/>
        <v>0</v>
      </c>
      <c r="AQ20" s="1513" t="b">
        <v>0</v>
      </c>
      <c r="AR20" s="30" t="s">
        <v>1014</v>
      </c>
      <c r="AS20" s="57"/>
      <c r="AT20" s="271" t="b">
        <f>IF(C71=$AC$7,TRUE,FALSE)</f>
        <v>1</v>
      </c>
      <c r="AU20" s="30" t="s">
        <v>1014</v>
      </c>
      <c r="AV20" s="30"/>
      <c r="AW20" s="1513" t="b">
        <f>IF(C91=$AC$7,TRUE,FALSE)</f>
        <v>0</v>
      </c>
      <c r="AX20" s="30" t="s">
        <v>1012</v>
      </c>
      <c r="AY20" s="57"/>
      <c r="AZ20" s="30" t="s">
        <v>1969</v>
      </c>
      <c r="BA20" s="30" t="s">
        <v>1962</v>
      </c>
      <c r="BB20" s="30"/>
      <c r="BC20" s="30"/>
      <c r="BD20" s="30"/>
      <c r="BE20" s="51">
        <f>SUM(V33:V37)+V39-BE21</f>
        <v>0</v>
      </c>
      <c r="BF20" s="30" t="s">
        <v>1841</v>
      </c>
      <c r="BG20" s="30"/>
      <c r="BH20" s="176">
        <f>IF(SUMIF(AZ15:AZ19,FALSE,V33:V37)+V39&gt;0,(IF(AZ15=FALSE,Z33,0)*V33+IF(AZ16=FALSE,Z34,0)*V34+IF(AZ17=FALSE,Z35,0)*V35+IF(AZ18=FALSE,Z36,0)*V36+IF(AZ19=FALSE,Z37,0)*V37+V39*Z39)/(SUMIF(AZ15:AZ19,FALSE,V33:V37)+V39),0)</f>
        <v>0</v>
      </c>
      <c r="BI20" s="57" t="s">
        <v>1843</v>
      </c>
    </row>
    <row r="21" spans="2:62" ht="18" customHeight="1">
      <c r="B21" s="118"/>
      <c r="C21" s="1825" t="str">
        <f>Uebersetzung!D289</f>
        <v>No</v>
      </c>
      <c r="D21" s="30"/>
      <c r="E21" s="200" t="str">
        <f>Uebersetzung!D223</f>
        <v>parois contre local non chauffé ou la terre:</v>
      </c>
      <c r="F21" s="30"/>
      <c r="G21" s="30"/>
      <c r="H21" s="30"/>
      <c r="I21" s="51"/>
      <c r="J21" s="30"/>
      <c r="K21" s="30"/>
      <c r="L21" s="193"/>
      <c r="M21" s="30"/>
      <c r="N21" s="57"/>
      <c r="O21" s="118"/>
      <c r="P21" s="1825" t="str">
        <f>Uebersetzung!D289</f>
        <v>No</v>
      </c>
      <c r="Q21" s="30"/>
      <c r="R21" s="200" t="str">
        <f>E21</f>
        <v>parois contre local non chauffé ou la terre:</v>
      </c>
      <c r="S21" s="30"/>
      <c r="T21" s="30"/>
      <c r="U21" s="30"/>
      <c r="V21" s="51"/>
      <c r="W21" s="30"/>
      <c r="X21" s="30"/>
      <c r="Y21" s="193"/>
      <c r="Z21" s="30"/>
      <c r="AA21" s="57"/>
      <c r="AC21" s="408" t="s">
        <v>4005</v>
      </c>
      <c r="AD21" s="60">
        <v>3</v>
      </c>
      <c r="AE21" s="106" t="s">
        <v>867</v>
      </c>
      <c r="AF21" s="1078"/>
      <c r="AG21" s="1078"/>
      <c r="AJ21" s="393">
        <v>9</v>
      </c>
      <c r="AK21" s="451">
        <f>A_TWD_S*UWert!F203</f>
        <v>0</v>
      </c>
      <c r="AL21" s="451">
        <f>A_TWD_O*UWert!N203</f>
        <v>0</v>
      </c>
      <c r="AM21" s="451">
        <f>A_TWD_W*UWert!F217</f>
        <v>0</v>
      </c>
      <c r="AN21" s="328">
        <f>A_TWD_N*UWert!N217</f>
        <v>0</v>
      </c>
      <c r="AO21" s="451">
        <f t="shared" si="0"/>
        <v>0</v>
      </c>
      <c r="AQ21" s="1513" t="b">
        <v>0</v>
      </c>
      <c r="AR21" s="30" t="s">
        <v>1014</v>
      </c>
      <c r="AS21" s="57"/>
      <c r="AT21" s="271" t="b">
        <f>IF(C75=$AC$7,TRUE,FALSE)</f>
        <v>0</v>
      </c>
      <c r="AU21" s="30" t="s">
        <v>1012</v>
      </c>
      <c r="AV21" s="30"/>
      <c r="AW21" s="1513" t="b">
        <f>IF(C92=$AC$7,TRUE,FALSE)</f>
        <v>0</v>
      </c>
      <c r="AX21" s="30" t="s">
        <v>1012</v>
      </c>
      <c r="AY21" s="57"/>
      <c r="AZ21" s="30"/>
      <c r="BA21" s="30" t="s">
        <v>961</v>
      </c>
      <c r="BB21" s="30"/>
      <c r="BC21" s="30"/>
      <c r="BD21" s="30"/>
      <c r="BE21" s="51">
        <f>IF(AZ15=TRUE,V33,0)+IF(AZ16=TRUE,V34,0)+IF(AZ17=TRUE,V35,0)+IF(AZ18=TRUE,V36,0)+IF(AZ19=TRUE,V37,0)</f>
        <v>0</v>
      </c>
      <c r="BF21" s="30" t="s">
        <v>1841</v>
      </c>
      <c r="BG21" s="30"/>
      <c r="BH21" s="176">
        <f>IF(SUMIF(AZ15:AZ19,TRUE,V33:V37)&gt;0,(IF(AZ15=TRUE,Z33,0)*V33+IF(AZ16=TRUE,Z34,0)*V34+IF(AZ17=TRUE,Z35,0)*V35+IF(AZ18=TRUE,Z36,0)*V36+IF(AZ19=TRUE,Z37,0)*V37)/SUMIF(AZ15:AZ19,TRUE,V33:V37),0)</f>
        <v>0</v>
      </c>
      <c r="BI21" s="57" t="s">
        <v>1843</v>
      </c>
    </row>
    <row r="22" spans="2:62" ht="13.9" customHeight="1">
      <c r="B22" s="81"/>
      <c r="C22" s="1820"/>
      <c r="D22" s="1838" t="str">
        <f>IF(AND(K22&gt;0,INDEX(UWert!$BG$7:$BG$46,K22,1)),"*1","")</f>
        <v/>
      </c>
      <c r="E22" s="201" t="str">
        <f>Uebersetzung!D173</f>
        <v>Porte c. un local non chauffé</v>
      </c>
      <c r="F22" s="30"/>
      <c r="G22" s="30"/>
      <c r="H22" s="199"/>
      <c r="I22" s="25"/>
      <c r="J22" s="30" t="s">
        <v>243</v>
      </c>
      <c r="K22" s="360"/>
      <c r="L22" s="98"/>
      <c r="M22" s="1529">
        <f>IF(K22&gt;0,IF(L22&gt;0,Fehler1,INDEX(UWert!$BD$7:$BD$41,K22)),L22)</f>
        <v>0</v>
      </c>
      <c r="N22" s="1819">
        <f>IF(C22&gt;0,IF(AND(K22&gt;0,INDEX(UWert!$BG$7:$BG$46,K22,1)),INDEX(UWert!$BF$7:$BF$46,K22,1),INDEX($N$49:$N$52,C22,1)),1)</f>
        <v>1</v>
      </c>
      <c r="O22" s="118"/>
      <c r="P22" s="1820"/>
      <c r="Q22" s="1838" t="str">
        <f>IF(AND(X22&gt;0,INDEX(UWert!$BG$7:$BG$46,X22,1)),"*1","")</f>
        <v/>
      </c>
      <c r="R22" s="201" t="str">
        <f>Uebersetzung!D173</f>
        <v>Porte c. un local non chauffé</v>
      </c>
      <c r="S22" s="30"/>
      <c r="T22" s="30"/>
      <c r="U22" s="199"/>
      <c r="V22" s="25"/>
      <c r="W22" s="30" t="s">
        <v>243</v>
      </c>
      <c r="X22" s="360"/>
      <c r="Y22" s="98"/>
      <c r="Z22" s="1529">
        <f>IF(X22&gt;0,IF(Y22&gt;0,Fehler1,INDEX(UWert!$BD$7:$BD$41,X22)),Y22)</f>
        <v>0</v>
      </c>
      <c r="AA22" s="1819">
        <f>IF(P22&gt;0,IF(AND(X22&gt;0,INDEX(UWert!$BG$7:$BG$46,X22,1)),INDEX(UWert!$BF$7:$BF$46,X22,1),MIN(INDEX($N$49:$N$52,P22,1),1)),1)</f>
        <v>1</v>
      </c>
      <c r="AE22" s="1248" t="s">
        <v>864</v>
      </c>
      <c r="AF22" s="1249" t="s">
        <v>696</v>
      </c>
      <c r="AG22" s="1250" t="s">
        <v>2010</v>
      </c>
      <c r="AH22" s="1725" t="s">
        <v>537</v>
      </c>
      <c r="AI22" s="30"/>
      <c r="AJ22" s="298">
        <v>10</v>
      </c>
      <c r="AK22" s="451">
        <f>A_TWD_S*UWert!F204</f>
        <v>0</v>
      </c>
      <c r="AL22" s="451">
        <f>A_TWD_O*UWert!N204</f>
        <v>0</v>
      </c>
      <c r="AM22" s="451">
        <f>A_TWD_W*UWert!F218</f>
        <v>0</v>
      </c>
      <c r="AN22" s="328">
        <f>A_TWD_N*UWert!N218</f>
        <v>0</v>
      </c>
      <c r="AO22" s="451">
        <f t="shared" si="0"/>
        <v>0</v>
      </c>
      <c r="AQ22" s="119"/>
      <c r="AR22" s="31"/>
      <c r="AS22" s="60"/>
      <c r="AT22" s="1831" t="b">
        <f>IF(C76=$AC$7,TRUE,FALSE)</f>
        <v>0</v>
      </c>
      <c r="AU22" s="31" t="s">
        <v>1012</v>
      </c>
      <c r="AV22" s="31"/>
      <c r="AW22" s="119"/>
      <c r="AX22" s="31"/>
      <c r="AY22" s="60"/>
      <c r="AZ22" s="30" t="s">
        <v>1970</v>
      </c>
      <c r="BA22" s="30" t="s">
        <v>1962</v>
      </c>
      <c r="BB22" s="30"/>
      <c r="BC22" s="30"/>
      <c r="BD22" s="30"/>
      <c r="BE22" s="51">
        <f>SUM(V14:V18)+V20-BE23</f>
        <v>0</v>
      </c>
      <c r="BF22" s="30" t="s">
        <v>1841</v>
      </c>
      <c r="BG22" s="30"/>
      <c r="BH22" s="176">
        <f>IF(SUMIF(BA15:BA19,FALSE,V14:V18)+V20&gt;0,(IF(BA15=FALSE,Z14,0)*V14+IF(BA16=FALSE,Z15,0)*V15+IF(BA17=FALSE,Z16,0)*V16+IF(BA18=FALSE,Z17,0)*V17+IF(BA19=FALSE,Z18,0)*V18+V20*Z20)/(SUMIF(BA15:BA19,FALSE,V14:V18)+V20),0)</f>
        <v>0</v>
      </c>
      <c r="BI22" s="57" t="s">
        <v>1843</v>
      </c>
    </row>
    <row r="23" spans="2:62" ht="13.9" customHeight="1">
      <c r="B23" s="81"/>
      <c r="C23" s="1837">
        <v>1</v>
      </c>
      <c r="D23" s="1838" t="str">
        <f>IF(AND(K23&gt;0,INDEX(UWert!$BG$7:$BG$46,K23,1)),"*1","")</f>
        <v/>
      </c>
      <c r="E23" s="30" t="str">
        <f>Uebersetzung!D166</f>
        <v>en contact avec le terrain</v>
      </c>
      <c r="F23" s="30"/>
      <c r="G23" s="30"/>
      <c r="H23" s="30"/>
      <c r="I23" s="25"/>
      <c r="J23" s="30" t="s">
        <v>243</v>
      </c>
      <c r="K23" s="360"/>
      <c r="L23" s="98"/>
      <c r="M23" s="1529">
        <f>IF(K23&gt;0,IF(L23&gt;0,Fehler1,INDEX(UWert!$BD$7:$BD$41,K23)),L23)</f>
        <v>0</v>
      </c>
      <c r="N23" s="1819">
        <f>IF(C23&gt;0,MAX(IF(AND(K23&gt;0,INDEX(UWert!$BG$7:$BG$46,K23,1)),INDEX(UWert!$BF$7:$BF$46,K23,1),IF($AF$39,Tab!W71,AG149)),0.02),1)</f>
        <v>1</v>
      </c>
      <c r="O23" s="81"/>
      <c r="P23" s="1837">
        <v>1</v>
      </c>
      <c r="Q23" s="1838" t="str">
        <f>IF(AND(X23&gt;0,INDEX(UWert!$BG$7:$BG$46,X23,1)),"*1","")</f>
        <v/>
      </c>
      <c r="R23" s="30" t="str">
        <f>Uebersetzung!D166</f>
        <v>en contact avec le terrain</v>
      </c>
      <c r="S23" s="30"/>
      <c r="T23" s="30"/>
      <c r="U23" s="30"/>
      <c r="V23" s="25"/>
      <c r="W23" s="30" t="s">
        <v>243</v>
      </c>
      <c r="X23" s="360"/>
      <c r="Y23" s="98"/>
      <c r="Z23" s="1529">
        <f>IF(X23&gt;0,IF(Y23&gt;0,Fehler1,INDEX(UWert!$BD$7:$BD$41,X23)),Y23)</f>
        <v>0</v>
      </c>
      <c r="AA23" s="1819">
        <f>IF(P23&gt;0,MAX(IF(AND(X23&gt;0,INDEX(UWert!$BG$7:$BG$46,X23,1)),INDEX(UWert!$BF$7:$BF$46,X23,1),IF(AF39,Tab!Y71,AG149)),0.02),1)</f>
        <v>1</v>
      </c>
      <c r="AD23" s="37" t="s">
        <v>2360</v>
      </c>
      <c r="AE23" s="179">
        <f>SUM(I64:I65)</f>
        <v>0</v>
      </c>
      <c r="AF23" s="192">
        <f>IF(AFe&gt;0,(I64*M64+I65*M65)/AFe,0)</f>
        <v>0</v>
      </c>
      <c r="AG23" s="172"/>
      <c r="AH23" s="172"/>
      <c r="AI23" s="30"/>
      <c r="AJ23" s="393">
        <v>11</v>
      </c>
      <c r="AK23" s="451">
        <f>A_TWD_S*UWert!F205</f>
        <v>0</v>
      </c>
      <c r="AL23" s="451">
        <f>A_TWD_O*UWert!N205</f>
        <v>0</v>
      </c>
      <c r="AM23" s="451">
        <f>A_TWD_W*UWert!F219</f>
        <v>0</v>
      </c>
      <c r="AN23" s="328">
        <f>A_TWD_N*UWert!N219</f>
        <v>0</v>
      </c>
      <c r="AO23" s="451">
        <f>IF(A_TWD&gt;0,(AK23+AL23+AM23+AN23)/A_TWD,0)</f>
        <v>0</v>
      </c>
      <c r="AQ23" s="30"/>
      <c r="AR23" s="30"/>
      <c r="AS23" s="30"/>
      <c r="AT23" s="271"/>
      <c r="AU23" s="30"/>
      <c r="AV23" s="30"/>
      <c r="AW23" s="30"/>
      <c r="AX23" s="30"/>
      <c r="AY23" s="30"/>
      <c r="AZ23" s="118"/>
      <c r="BA23" s="30" t="s">
        <v>961</v>
      </c>
      <c r="BB23" s="30"/>
      <c r="BC23" s="30"/>
      <c r="BD23" s="30"/>
      <c r="BE23" s="51">
        <f>IF(BA15=TRUE,V14,0)+IF(BA16=TRUE,V15,0)+IF(BA17=TRUE,V16,0)+IF(BA18=TRUE,V17,0)+IF(BA19=TRUE,V18,0)</f>
        <v>0</v>
      </c>
      <c r="BF23" s="30" t="s">
        <v>1841</v>
      </c>
      <c r="BG23" s="30"/>
      <c r="BH23" s="176">
        <f>IF(SUMIF(BA15:BA19,TRUE,V14:V18)&gt;0,(IF(BA15=TRUE,Z14,0)*V14+IF(BA16=TRUE,Z15,0)*V15+IF(BA17=TRUE,Z16,0)*V16+IF(BA18=TRUE,Z17,0)*V17+IF(BA19=TRUE,Z18,0)*V18)/SUMIF(BA15:BA19,TRUE,V14:V18),0)</f>
        <v>0</v>
      </c>
      <c r="BI23" s="57" t="s">
        <v>1843</v>
      </c>
    </row>
    <row r="24" spans="2:62" ht="12.6" customHeight="1">
      <c r="B24" s="118"/>
      <c r="C24" s="1837">
        <v>2</v>
      </c>
      <c r="D24" s="1838" t="str">
        <f>IF(AND(K24&gt;0,INDEX(UWert!$BG$7:$BG$46,K24,1)),"*1","")</f>
        <v/>
      </c>
      <c r="E24" s="30" t="str">
        <f>Uebersetzung!D166</f>
        <v>en contact avec le terrain</v>
      </c>
      <c r="F24" s="30"/>
      <c r="G24" s="30"/>
      <c r="H24" s="30"/>
      <c r="I24" s="25"/>
      <c r="J24" s="30" t="s">
        <v>243</v>
      </c>
      <c r="K24" s="360"/>
      <c r="L24" s="98"/>
      <c r="M24" s="1529">
        <f>IF(K24&gt;0,IF(L24&gt;0,Fehler1,INDEX(UWert!$BD$7:$BD$41,K24)),L24)</f>
        <v>0</v>
      </c>
      <c r="N24" s="1819">
        <f>IF(C24&gt;0,MAX(IF(AND(K24&gt;0,INDEX(UWert!$BG$7:$BG$46,K24,1)),INDEX(UWert!$BF$7:$BF$46,K24,1),IF($AF$39,Tab!X72,N58)),0.02),1)</f>
        <v>1</v>
      </c>
      <c r="O24" s="81"/>
      <c r="P24" s="1837">
        <v>2</v>
      </c>
      <c r="Q24" s="1838" t="str">
        <f>IF(AND(X24&gt;0,INDEX(UWert!$BG$7:$BG$46,X24,1)),"*1","")</f>
        <v/>
      </c>
      <c r="R24" s="30" t="str">
        <f>Uebersetzung!D166</f>
        <v>en contact avec le terrain</v>
      </c>
      <c r="S24" s="30"/>
      <c r="T24" s="30"/>
      <c r="U24" s="30"/>
      <c r="V24" s="25"/>
      <c r="W24" s="30" t="s">
        <v>243</v>
      </c>
      <c r="X24" s="360"/>
      <c r="Y24" s="98"/>
      <c r="Z24" s="1529">
        <f>IF(X24&gt;0,IF(Y24&gt;0,Fehler1,INDEX(UWert!$BD$7:$BD$41,X24)),Y24)</f>
        <v>0</v>
      </c>
      <c r="AA24" s="1819">
        <f>IF(P24&gt;0,MAX(IF(AND(X24&gt;0,INDEX(UWert!$BG$7:$BG$46,X24,1)),INDEX(UWert!$BF$7:$BF$46,X24,1),IF(AF39,Tab!Z72,N58)),0.02),1)</f>
        <v>1</v>
      </c>
      <c r="AD24" s="37" t="s">
        <v>538</v>
      </c>
      <c r="AE24" s="182">
        <f>SUM(I70:I73)</f>
        <v>0</v>
      </c>
      <c r="AF24" s="170">
        <f>IF(AFu&gt;0,(I70*M70+I71*M71+I73*L73)/AFu,0)</f>
        <v>0</v>
      </c>
      <c r="AG24" s="371">
        <f>IF(AND(AFu&gt;0,UFu&gt;0),(I70*M70*T70+I71*M71*T71+I73*L73*T73)/(I70*M70+I71*M71+I73*L73),1)</f>
        <v>1</v>
      </c>
      <c r="AH24" s="371">
        <f>IF(AFu&gt;0,(I70*T70+I71*T71+I73*T73)/(I70+I71+I73),1)</f>
        <v>1</v>
      </c>
      <c r="AJ24" s="396">
        <v>12</v>
      </c>
      <c r="AK24" s="452">
        <f>A_TWD_S*UWert!F206</f>
        <v>0</v>
      </c>
      <c r="AL24" s="452">
        <f>A_TWD_O*UWert!N206</f>
        <v>0</v>
      </c>
      <c r="AM24" s="452">
        <f>A_TWD_W*UWert!F220</f>
        <v>0</v>
      </c>
      <c r="AN24" s="329">
        <f>A_TWD_N*UWert!N220</f>
        <v>0</v>
      </c>
      <c r="AO24" s="452">
        <f>IF(A_TWD&gt;0,(AK24+AL24+AM24+AN24)/A_TWD,0)</f>
        <v>0</v>
      </c>
      <c r="AZ24" s="118" t="s">
        <v>1971</v>
      </c>
      <c r="BA24" s="30" t="s">
        <v>1962</v>
      </c>
      <c r="BB24" s="30"/>
      <c r="BC24" s="30"/>
      <c r="BD24" s="30"/>
      <c r="BE24" s="51">
        <f>SUM(I33:I37)+I39-BE25</f>
        <v>0</v>
      </c>
      <c r="BF24" s="30" t="s">
        <v>1841</v>
      </c>
      <c r="BG24" s="30"/>
      <c r="BH24" s="176">
        <f>IF(SUMIF(BB15:BB19,FALSE,I33:I37)+I39&gt;0,(IF(BB15=FALSE,M33,0)*I33+IF(BB16=FALSE,M34,0)*I34+IF(BB17=FALSE,M35,0)*I35+IF(BB18=FALSE,M36,0)*I36+IF(BB19=FALSE,M37,0)*I37+I39*M39)/(SUMIF(BB15:BB19,FALSE,I33:I37)+I39),0)</f>
        <v>0</v>
      </c>
      <c r="BI24" s="57" t="s">
        <v>1843</v>
      </c>
    </row>
    <row r="25" spans="2:62" ht="13.9" customHeight="1">
      <c r="B25" s="118"/>
      <c r="C25" s="1820"/>
      <c r="D25" s="1838" t="str">
        <f>IF(AND(K25&gt;0,INDEX(UWert!$BG$7:$BG$46,K25,1)),"*1","")</f>
        <v/>
      </c>
      <c r="E25" s="30" t="str">
        <f>Uebersetzung!D170</f>
        <v>contre un local non chauffé</v>
      </c>
      <c r="F25" s="30"/>
      <c r="G25" s="30"/>
      <c r="H25" s="30"/>
      <c r="I25" s="25"/>
      <c r="J25" s="30" t="s">
        <v>243</v>
      </c>
      <c r="K25" s="360"/>
      <c r="L25" s="98"/>
      <c r="M25" s="1529">
        <f>IF(K25&gt;0,IF(L25&gt;0,Fehler1,INDEX(UWert!$BD$7:$BD$41,K25)),L25)</f>
        <v>0</v>
      </c>
      <c r="N25" s="1819">
        <f>IF(C25&gt;0,IF(AND(K25&gt;0,INDEX(UWert!$BG$7:$BG$46,K25,1)),INDEX(UWert!$BF$7:$BF$46,K25,1),INDEX($N$49:$N$52,C25,1)),1)</f>
        <v>1</v>
      </c>
      <c r="O25" s="118"/>
      <c r="P25" s="1820"/>
      <c r="Q25" s="1838" t="str">
        <f>IF(AND(X25&gt;0,INDEX(UWert!$BG$7:$BG$46,X25,1)),"*1","")</f>
        <v/>
      </c>
      <c r="R25" s="30" t="str">
        <f>Uebersetzung!D170</f>
        <v>contre un local non chauffé</v>
      </c>
      <c r="S25" s="30"/>
      <c r="T25" s="30"/>
      <c r="U25" s="30"/>
      <c r="V25" s="25"/>
      <c r="W25" s="30" t="s">
        <v>243</v>
      </c>
      <c r="X25" s="360"/>
      <c r="Y25" s="98"/>
      <c r="Z25" s="1529">
        <f>IF(X25&gt;0,IF(Y25&gt;0,Fehler1,INDEX(UWert!$BD$7:$BD$41,X25)),Y25)</f>
        <v>0</v>
      </c>
      <c r="AA25" s="1819">
        <f>IF(P25&gt;0,IF(AND(X25&gt;0,INDEX(UWert!$BG$7:$BG$46,X25,1)),INDEX(UWert!$BF$7:$BF$46,X25,1),MIN(INDEX($N$49:$N$52,P25,1),1)),1)</f>
        <v>1</v>
      </c>
      <c r="AD25" s="37" t="s">
        <v>540</v>
      </c>
      <c r="AE25" s="182">
        <f>SUM(I67:I68)</f>
        <v>0</v>
      </c>
      <c r="AF25" s="170">
        <f>IF(AFG&gt;0,(I67*M67+I68*M68)/AFG,0)</f>
        <v>0</v>
      </c>
      <c r="AG25" s="424">
        <f>IF(AND(AFG&gt;0,UFG0&gt;0),(I67*M67*T67+I68*M68*T68)/(I67*M67+I68*M68),1)</f>
        <v>1</v>
      </c>
      <c r="AH25" s="424">
        <f>IF(AFG&gt;0,(I67*T67+I68*T68)/(I67+I68),1)</f>
        <v>1</v>
      </c>
      <c r="AZ25" s="118"/>
      <c r="BA25" s="30" t="s">
        <v>961</v>
      </c>
      <c r="BB25" s="30"/>
      <c r="BC25" s="30"/>
      <c r="BD25" s="30"/>
      <c r="BE25" s="51">
        <f>IF(BB15=TRUE,I33,0)+IF(BB16=TRUE,I34,0)+IF(BB17=TRUE,I35,0)+IF(BB18=TRUE,I36,0)+IF(BB19=TRUE,I37,0)</f>
        <v>0</v>
      </c>
      <c r="BF25" s="30" t="s">
        <v>1841</v>
      </c>
      <c r="BG25" s="30"/>
      <c r="BH25" s="176">
        <f>IF(SUMIF(BB15:BB19,TRUE,I33:I37)&gt;0,(IF(BB15=TRUE,M33,0)*I33+IF(BB16=TRUE,M34,0)*I34+IF(BB17=TRUE,M35,0)*I35+IF(BB18=TRUE,M36,0)*I36+IF(BB19=TRUE,M37,0)*I37)/SUMIF(BB15:BB19,TRUE,I33:I37),0)</f>
        <v>0</v>
      </c>
      <c r="BI25" s="57" t="s">
        <v>1843</v>
      </c>
    </row>
    <row r="26" spans="2:62" ht="12.6" customHeight="1">
      <c r="B26" s="118"/>
      <c r="C26" s="1820"/>
      <c r="D26" s="1838" t="str">
        <f>IF(AND(K26&gt;0,INDEX(UWert!$BG$7:$BG$46,K26,1)),"*1","")</f>
        <v/>
      </c>
      <c r="E26" s="30" t="str">
        <f>Uebersetzung!D170</f>
        <v>contre un local non chauffé</v>
      </c>
      <c r="F26" s="30"/>
      <c r="G26" s="30"/>
      <c r="H26" s="199"/>
      <c r="I26" s="150"/>
      <c r="J26" s="30" t="s">
        <v>243</v>
      </c>
      <c r="K26" s="1822"/>
      <c r="L26" s="1823"/>
      <c r="M26" s="1529">
        <f>IF(K26&gt;0,IF(L26&gt;0,Fehler1,INDEX(UWert!$BD$7:$BD$41,K26)),L26)</f>
        <v>0</v>
      </c>
      <c r="N26" s="1819">
        <f>IF(C26&gt;0,IF(AND(K26&gt;0,INDEX(UWert!$BG$7:$BG$46,K26,1)),INDEX(UWert!$BF$7:$BF$46,K26,1),INDEX($N$49:$N$52,C26,1)),1)</f>
        <v>1</v>
      </c>
      <c r="O26" s="118"/>
      <c r="P26" s="1820"/>
      <c r="Q26" s="1838" t="str">
        <f>IF(AND(X26&gt;0,INDEX(UWert!$BG$7:$BG$46,X26,1)),"*1","")</f>
        <v/>
      </c>
      <c r="R26" s="30" t="str">
        <f>Uebersetzung!D170</f>
        <v>contre un local non chauffé</v>
      </c>
      <c r="S26" s="30"/>
      <c r="T26" s="30"/>
      <c r="U26" s="199"/>
      <c r="V26" s="150"/>
      <c r="W26" s="30" t="s">
        <v>243</v>
      </c>
      <c r="X26" s="1822"/>
      <c r="Y26" s="1823"/>
      <c r="Z26" s="1529">
        <f>IF(X26&gt;0,IF(Y26&gt;0,Fehler1,INDEX(UWert!$BD$7:$BD$41,X26)),Y26)</f>
        <v>0</v>
      </c>
      <c r="AA26" s="1819">
        <f>IF(P26&gt;0,IF(AND(X26&gt;0,INDEX(UWert!$BG$7:$BG$46,X26,1)),INDEX(UWert!$BF$7:$BF$46,X26,1),MIN(INDEX($N$49:$N$52,P26,1),1)),1)</f>
        <v>1</v>
      </c>
      <c r="AD26" s="37" t="s">
        <v>539</v>
      </c>
      <c r="AE26" s="191">
        <f>SUM(I75:I76)</f>
        <v>0</v>
      </c>
      <c r="AF26" s="189">
        <f>IF(AFn&gt;0,(I75*M75+I76*M76)/AFn,0)</f>
        <v>0</v>
      </c>
      <c r="AG26" s="184">
        <f>IF(AND(AFn&gt;0,UFn&gt;0),(I75*R75*M75+I76*R76*M76)/(I75*M75+I76*M76),1)</f>
        <v>1</v>
      </c>
      <c r="AH26" s="184">
        <f>0</f>
        <v>0</v>
      </c>
      <c r="AI26" s="43">
        <f>IF(OR(Z76="Ja",Z76="ja",Z76="J",Z76="j"),1,0)</f>
        <v>0</v>
      </c>
      <c r="AZ26" s="118" t="s">
        <v>1972</v>
      </c>
      <c r="BA26" s="30" t="s">
        <v>1962</v>
      </c>
      <c r="BB26" s="30"/>
      <c r="BC26" s="30"/>
      <c r="BD26" s="30"/>
      <c r="BE26" s="51">
        <f>SUM(I14:I18)+I20-BE27</f>
        <v>0</v>
      </c>
      <c r="BF26" s="30" t="s">
        <v>1841</v>
      </c>
      <c r="BG26" s="30"/>
      <c r="BH26" s="176">
        <f>IF(SUMIF(BC15:BC19,FALSE,I14:I18)+I20&gt;0,(IF(BC15=FALSE,M14,0)*I14+IF(BC16=FALSE,M15,0)*I15+IF(BC17=FALSE,M16,0)*I16+IF(BC18=FALSE,M17,0)*I17+IF(BC19=FALSE,M18,0)*I18+I20*M20)/(SUMIF(BC15:BC19,FALSE,I14:I18)+I20),0)</f>
        <v>0</v>
      </c>
      <c r="BI26" s="57" t="s">
        <v>1843</v>
      </c>
    </row>
    <row r="27" spans="2:62" ht="12.6" customHeight="1">
      <c r="B27" s="119"/>
      <c r="C27" s="1824" t="str">
        <f>IF(OR(AND(I22&gt;0,C22=""),AND(I23&gt;0,C23=""),AND(I24&gt;0,C24=""),AND(I25&gt;0,C25=""),AND(I26&gt;0,C26="")),Uebersetzung!D288,IF(OR(D22&lt;&gt;"",D23&lt;&gt;"",D24&lt;&gt;"",D25&lt;&gt;"",D26&lt;&gt;""),Uebersetzung!D220,""))</f>
        <v/>
      </c>
      <c r="D27" s="31"/>
      <c r="E27" s="1839"/>
      <c r="F27" s="31"/>
      <c r="G27" s="31"/>
      <c r="H27" s="152"/>
      <c r="I27" s="152"/>
      <c r="J27" s="31"/>
      <c r="K27" s="31"/>
      <c r="L27" s="188"/>
      <c r="M27" s="31"/>
      <c r="N27" s="60"/>
      <c r="O27" s="119"/>
      <c r="P27" s="1824" t="str">
        <f>IF(OR(AND(V22&gt;0,P22=""),AND(V23&gt;0,P23=""),AND(V24&gt;0,P24=""),AND(V25&gt;0,P25=""),AND(V26&gt;0,P26="")),Uebersetzung!D288,IF(OR(Q22&lt;&gt;"",Q23&lt;&gt;"",Q24&lt;&gt;"",Q25&lt;&gt;"",Q26&lt;&gt;""),Uebersetzung!D220,""))</f>
        <v/>
      </c>
      <c r="Q27" s="31"/>
      <c r="R27" s="1839"/>
      <c r="S27" s="31"/>
      <c r="T27" s="31"/>
      <c r="U27" s="31"/>
      <c r="V27" s="152"/>
      <c r="W27" s="31"/>
      <c r="X27" s="31"/>
      <c r="Y27" s="188"/>
      <c r="Z27" s="31"/>
      <c r="AA27" s="60"/>
      <c r="AD27" s="1795" t="s">
        <v>3093</v>
      </c>
      <c r="AH27" s="1835">
        <f>IF(SUM(I67:I71)&gt;0,(I67*T67+I68*T68+I70*T70+I71*T71)/SUM(I67:I71),0)</f>
        <v>0</v>
      </c>
      <c r="AJ27" s="1287" t="s">
        <v>323</v>
      </c>
      <c r="AK27" s="1286"/>
      <c r="AL27" s="940" t="s">
        <v>1439</v>
      </c>
      <c r="AM27" s="1292" t="s">
        <v>1437</v>
      </c>
      <c r="AN27" s="1250" t="s">
        <v>324</v>
      </c>
      <c r="AZ27" s="119"/>
      <c r="BA27" s="31" t="s">
        <v>961</v>
      </c>
      <c r="BB27" s="31"/>
      <c r="BC27" s="31"/>
      <c r="BD27" s="31"/>
      <c r="BE27" s="152">
        <f>IF(BC15=TRUE,I14,0)+IF(BC16=TRUE,I15,0)+IF(BC17=TRUE,I16,0)+IF(BC18=TRUE,I17,0)+IF(BC19=TRUE,I18,0)</f>
        <v>0</v>
      </c>
      <c r="BF27" s="31" t="s">
        <v>1841</v>
      </c>
      <c r="BG27" s="31"/>
      <c r="BH27" s="177">
        <f>IF(SUMIF(BC15:BC19,TRUE,I14:I18)&gt;0,(IF(BC15=TRUE,M14,0)*I14+IF(BC16=TRUE,M15,0)*I15+IF(BC17=TRUE,M16,0)*I16+IF(BC18=TRUE,M17,0)*I17+IF(BC19=TRUE,M18,0)*I18)/SUMIF(BC15:BC19,TRUE,I14:I18),0)</f>
        <v>0</v>
      </c>
      <c r="BI27" s="60" t="s">
        <v>1843</v>
      </c>
    </row>
    <row r="28" spans="2:62" ht="15" customHeight="1">
      <c r="B28" s="121"/>
      <c r="C28" s="2184" t="str">
        <f>Uebersetzung!D134</f>
        <v>Chauffage</v>
      </c>
      <c r="D28" s="122"/>
      <c r="E28" s="1848">
        <f>IF(ABS(G38-Fenster!AO96)&gt;0.5,Uebersetzung!D287,)</f>
        <v>0</v>
      </c>
      <c r="F28" s="122"/>
      <c r="G28" s="122"/>
      <c r="H28" s="197"/>
      <c r="I28" s="151"/>
      <c r="J28" s="122"/>
      <c r="K28" s="122"/>
      <c r="L28" s="187"/>
      <c r="M28" s="122"/>
      <c r="N28" s="172"/>
      <c r="O28" s="121"/>
      <c r="P28" s="2184" t="str">
        <f>C28</f>
        <v>Chauffage</v>
      </c>
      <c r="Q28" s="122"/>
      <c r="R28" s="1848">
        <f>IF(ABS(T38-Fenster!AO50)&gt;0.5,Uebersetzung!D287,)</f>
        <v>0</v>
      </c>
      <c r="S28" s="122"/>
      <c r="T28" s="122"/>
      <c r="U28" s="122"/>
      <c r="V28" s="151"/>
      <c r="W28" s="122"/>
      <c r="X28" s="122"/>
      <c r="Y28" s="187"/>
      <c r="Z28" s="122"/>
      <c r="AA28" s="172"/>
      <c r="AE28" s="30"/>
      <c r="AF28" s="30"/>
      <c r="AG28" s="30"/>
      <c r="AJ28" s="358"/>
      <c r="AK28" s="200" t="s">
        <v>1233</v>
      </c>
      <c r="AL28" s="333">
        <f>G98</f>
        <v>0</v>
      </c>
      <c r="AM28" s="1288">
        <f>UWert!F192</f>
        <v>100</v>
      </c>
      <c r="AN28" s="328">
        <f>UWert!H192</f>
        <v>0</v>
      </c>
    </row>
    <row r="29" spans="2:62" ht="14.1" customHeight="1">
      <c r="B29" s="118"/>
      <c r="C29" s="2185"/>
      <c r="D29" s="202">
        <f>IF(BB15=FALSE,IF(BB16=FALSE,IF(BB17=FALSE,IF(BB18=FALSE,IF(BB19=FALSE,," Wandheizung angewählt!")," Wandheizung angewählt!")," Wandheizung angewählt!")," Wandheizung angewählt!")," Wandheizung angewählt!")</f>
        <v>0</v>
      </c>
      <c r="E29" s="30"/>
      <c r="F29" s="30"/>
      <c r="G29" s="30"/>
      <c r="H29" s="30"/>
      <c r="I29" s="351" t="str">
        <f>IF(Drehung=1,Uebersetzung!D140,IF(Drehung=0,Uebersetzung!D141,IF(Drehung=3,Uebersetzung!D679,IF(Drehung=2,Uebersetzung!D678,Uebersetzung!D141))))</f>
        <v>Ouest</v>
      </c>
      <c r="J29" s="30"/>
      <c r="K29" s="30"/>
      <c r="L29" s="193"/>
      <c r="M29" s="30"/>
      <c r="N29" s="57"/>
      <c r="O29" s="617"/>
      <c r="P29" s="2185"/>
      <c r="Q29" s="202">
        <f>IF(AZ15=FALSE,IF(AZ16=FALSE,IF(AZ17=FALSE,IF(AZ18=FALSE,IF(AZ19=FALSE,," Wandheizung angewählt!")," Wandheizung angewählt!")," Wandheizung angewählt!")," Wandheizung angewählt!")," Wandheizung angewählt!")</f>
        <v>0</v>
      </c>
      <c r="R29" s="30"/>
      <c r="S29" s="30"/>
      <c r="T29" s="30"/>
      <c r="U29" s="30"/>
      <c r="V29" s="351" t="str">
        <f>IF(Drehung=1,Uebersetzung!D142,IF(Drehung=0,Uebersetzung!D143,IF(Drehung=3,Uebersetzung!D675,IF(Drehung=2,Uebersetzung!D674,Uebersetzung!D143))))</f>
        <v>Sud</v>
      </c>
      <c r="W29" s="30"/>
      <c r="X29" s="30"/>
      <c r="Y29" s="193"/>
      <c r="Z29" s="30"/>
      <c r="AA29" s="57"/>
      <c r="AE29" s="106" t="s">
        <v>536</v>
      </c>
      <c r="AJ29" s="358"/>
      <c r="AK29" s="200" t="s">
        <v>1234</v>
      </c>
      <c r="AL29" s="333">
        <f>M98</f>
        <v>0</v>
      </c>
      <c r="AM29" s="1288">
        <f>UWert!N192</f>
        <v>100</v>
      </c>
      <c r="AN29" s="328">
        <f>UWert!P192</f>
        <v>0</v>
      </c>
      <c r="BG29" s="170"/>
      <c r="BH29" s="170"/>
      <c r="BI29" s="170"/>
      <c r="BJ29" s="170"/>
    </row>
    <row r="30" spans="2:62" ht="12.6" customHeight="1">
      <c r="B30" s="118"/>
      <c r="C30" s="2185"/>
      <c r="D30" s="30"/>
      <c r="E30" s="105" t="str">
        <f>E11</f>
        <v>Paroi exposée à l'air extérieur:</v>
      </c>
      <c r="F30" s="105"/>
      <c r="G30" s="105"/>
      <c r="H30" s="105"/>
      <c r="I30" s="51"/>
      <c r="J30" s="30"/>
      <c r="K30" s="30"/>
      <c r="L30" s="193"/>
      <c r="M30" s="194" t="s">
        <v>3035</v>
      </c>
      <c r="N30" s="57"/>
      <c r="O30" s="118"/>
      <c r="P30" s="2185"/>
      <c r="Q30" s="30"/>
      <c r="R30" s="105" t="str">
        <f>E11</f>
        <v>Paroi exposée à l'air extérieur:</v>
      </c>
      <c r="S30" s="105"/>
      <c r="T30" s="105"/>
      <c r="U30" s="105"/>
      <c r="V30" s="51"/>
      <c r="W30" s="30"/>
      <c r="X30" s="30"/>
      <c r="Y30" s="193"/>
      <c r="Z30" s="194" t="s">
        <v>3035</v>
      </c>
      <c r="AA30" s="57"/>
      <c r="AC30" s="392" t="s">
        <v>3038</v>
      </c>
      <c r="AE30" s="1248" t="s">
        <v>864</v>
      </c>
      <c r="AF30" s="1249" t="s">
        <v>696</v>
      </c>
      <c r="AG30" s="1250" t="s">
        <v>2010</v>
      </c>
      <c r="AH30" s="1725" t="s">
        <v>537</v>
      </c>
      <c r="AJ30" s="358"/>
      <c r="AK30" s="200" t="s">
        <v>1235</v>
      </c>
      <c r="AL30" s="333">
        <f>Bau!T98</f>
        <v>0</v>
      </c>
      <c r="AM30" s="1288">
        <f>UWert!F207</f>
        <v>100</v>
      </c>
      <c r="AN30" s="328">
        <f>UWert!H207</f>
        <v>0</v>
      </c>
      <c r="AY30" s="46"/>
      <c r="AZ30" s="106" t="s">
        <v>2062</v>
      </c>
      <c r="BG30" s="170"/>
      <c r="BH30" s="170"/>
      <c r="BI30" s="170"/>
      <c r="BJ30" s="170"/>
    </row>
    <row r="31" spans="2:62" ht="12.6" customHeight="1">
      <c r="B31" s="81"/>
      <c r="C31" s="2185"/>
      <c r="D31" s="30"/>
      <c r="E31" s="30" t="str">
        <f>E12</f>
        <v>Paroi avec</v>
      </c>
      <c r="F31" s="30"/>
      <c r="G31" s="30" t="str">
        <f>G12</f>
        <v>Fenêtre</v>
      </c>
      <c r="H31" s="30"/>
      <c r="I31" s="51" t="str">
        <f>I12</f>
        <v>Paroi sans</v>
      </c>
      <c r="J31" s="30"/>
      <c r="K31" s="194" t="str">
        <f>K12</f>
        <v>No</v>
      </c>
      <c r="L31" s="195" t="str">
        <f>L12</f>
        <v>Valeur U</v>
      </c>
      <c r="M31" s="194" t="s">
        <v>2613</v>
      </c>
      <c r="N31" s="444" t="str">
        <f>T63</f>
        <v>Valeur b</v>
      </c>
      <c r="O31" s="118"/>
      <c r="P31" s="2185"/>
      <c r="Q31" s="30"/>
      <c r="R31" s="30" t="str">
        <f>E12</f>
        <v>Paroi avec</v>
      </c>
      <c r="S31" s="30"/>
      <c r="T31" s="30" t="str">
        <f>G12</f>
        <v>Fenêtre</v>
      </c>
      <c r="U31" s="30"/>
      <c r="V31" s="51" t="str">
        <f>I12</f>
        <v>Paroi sans</v>
      </c>
      <c r="W31" s="30"/>
      <c r="X31" s="194" t="str">
        <f>K12</f>
        <v>No</v>
      </c>
      <c r="Y31" s="195" t="str">
        <f>L12</f>
        <v>Valeur U</v>
      </c>
      <c r="Z31" s="194" t="s">
        <v>2613</v>
      </c>
      <c r="AA31" s="62" t="str">
        <f>T63</f>
        <v>Valeur b</v>
      </c>
      <c r="AC31" s="394" t="s">
        <v>3039</v>
      </c>
      <c r="AE31" s="303">
        <f>SUM(I84:I86)</f>
        <v>0</v>
      </c>
      <c r="AF31" s="180">
        <f>IF(ARe&gt;0,(I84*M84+I85*M85+I86*M86)/ARe,)</f>
        <v>0</v>
      </c>
      <c r="AG31" s="1213"/>
      <c r="AH31" s="1213"/>
      <c r="AJ31" s="358"/>
      <c r="AK31" s="200" t="s">
        <v>1236</v>
      </c>
      <c r="AL31" s="333">
        <f>Y98</f>
        <v>0</v>
      </c>
      <c r="AM31" s="1288">
        <f>UWert!N207</f>
        <v>100</v>
      </c>
      <c r="AN31" s="328">
        <f>UWert!P207</f>
        <v>0</v>
      </c>
      <c r="AY31" s="46"/>
      <c r="BG31" s="170"/>
      <c r="BH31" s="170"/>
      <c r="BI31" s="170"/>
      <c r="BJ31" s="170"/>
    </row>
    <row r="32" spans="2:62" ht="13.9" customHeight="1">
      <c r="B32" s="81"/>
      <c r="C32" s="2186"/>
      <c r="D32" s="83"/>
      <c r="E32" s="30" t="str">
        <f>E13</f>
        <v>fenêtre</v>
      </c>
      <c r="F32" s="30"/>
      <c r="G32" s="30"/>
      <c r="H32" s="30"/>
      <c r="I32" s="51" t="str">
        <f>I13</f>
        <v>fenêtre</v>
      </c>
      <c r="J32" s="30"/>
      <c r="K32" s="30"/>
      <c r="L32" s="576" t="s">
        <v>3034</v>
      </c>
      <c r="M32" s="576" t="s">
        <v>3034</v>
      </c>
      <c r="N32" s="78" t="s">
        <v>350</v>
      </c>
      <c r="O32" s="81"/>
      <c r="P32" s="2186"/>
      <c r="Q32" s="83"/>
      <c r="R32" s="30" t="str">
        <f>E13</f>
        <v>fenêtre</v>
      </c>
      <c r="S32" s="30"/>
      <c r="T32" s="30"/>
      <c r="U32" s="30"/>
      <c r="V32" s="51" t="str">
        <f>I13</f>
        <v>fenêtre</v>
      </c>
      <c r="W32" s="30"/>
      <c r="X32" s="30"/>
      <c r="Y32" s="576" t="s">
        <v>3034</v>
      </c>
      <c r="Z32" s="576" t="s">
        <v>3034</v>
      </c>
      <c r="AA32" s="78" t="s">
        <v>350</v>
      </c>
      <c r="AC32" s="393"/>
      <c r="AE32" s="182">
        <f>SUM(I88:I89)</f>
        <v>0</v>
      </c>
      <c r="AF32" s="178">
        <f>IF(ARu&gt;0,(I88*M88+I89*M89)/ARu,)</f>
        <v>0</v>
      </c>
      <c r="AG32" s="371">
        <f>IF(AND(ARu&gt;0,URu&gt;0),(I88*T88*M88+I89*T89*M89)/(I88*M88+I89*M89),1)</f>
        <v>1</v>
      </c>
      <c r="AH32" s="371">
        <f>IF(ARu&gt;0,(I88*T88+I89*T89)/(I88+I89),1)</f>
        <v>1</v>
      </c>
      <c r="AI32" s="27" t="s">
        <v>538</v>
      </c>
      <c r="AJ32" s="358"/>
      <c r="AK32" s="200"/>
      <c r="AL32" s="393"/>
      <c r="AM32" s="393"/>
      <c r="AN32" s="62"/>
      <c r="AZ32" s="121" t="s">
        <v>1962</v>
      </c>
      <c r="BA32" s="122"/>
      <c r="BB32" s="122"/>
      <c r="BC32" s="122"/>
      <c r="BD32" s="151">
        <f>SUM(BE20+BE22+BE24+BE26)</f>
        <v>0</v>
      </c>
      <c r="BE32" s="122" t="s">
        <v>1841</v>
      </c>
      <c r="BF32" s="122"/>
      <c r="BG32" s="192">
        <f>IF(BD32&gt;0,(BE20*BH20+BE22*BH22+BE24*BH24+BE26*BH26)/BD32,0)</f>
        <v>0</v>
      </c>
      <c r="BH32" s="172" t="s">
        <v>1843</v>
      </c>
      <c r="BJ32" s="170"/>
    </row>
    <row r="33" spans="2:68" ht="13.9" customHeight="1">
      <c r="B33" s="118"/>
      <c r="C33" s="1509"/>
      <c r="D33" s="2118" t="s">
        <v>9349</v>
      </c>
      <c r="E33" s="25"/>
      <c r="F33" s="30" t="s">
        <v>243</v>
      </c>
      <c r="G33" s="25"/>
      <c r="H33" s="30" t="s">
        <v>243</v>
      </c>
      <c r="I33" s="51">
        <f>E33-G33</f>
        <v>0</v>
      </c>
      <c r="J33" s="30" t="s">
        <v>243</v>
      </c>
      <c r="K33" s="360"/>
      <c r="L33" s="98"/>
      <c r="M33" s="291">
        <f>IF(K33&gt;0,IF(L33&gt;0,Fehler1,INDEX(UWert!$BD$7:$BD$41,K33)),L33)</f>
        <v>0</v>
      </c>
      <c r="N33" s="1819">
        <v>1</v>
      </c>
      <c r="O33" s="81"/>
      <c r="P33" s="1509"/>
      <c r="Q33" s="2118" t="s">
        <v>9347</v>
      </c>
      <c r="R33" s="25"/>
      <c r="S33" s="30" t="s">
        <v>243</v>
      </c>
      <c r="T33" s="25"/>
      <c r="U33" s="30" t="s">
        <v>243</v>
      </c>
      <c r="V33" s="51">
        <f>R33-T33</f>
        <v>0</v>
      </c>
      <c r="W33" s="30" t="s">
        <v>243</v>
      </c>
      <c r="X33" s="360"/>
      <c r="Y33" s="98"/>
      <c r="Z33" s="291">
        <f>IF(X33&gt;0,IF(Y33&gt;0,Fehler1,INDEX(UWert!$BD$7:$BD$41,X33)),Y33)</f>
        <v>0</v>
      </c>
      <c r="AA33" s="1819">
        <v>1</v>
      </c>
      <c r="AC33" s="393">
        <v>1</v>
      </c>
      <c r="AE33" s="191">
        <f>SUM(I91:I92)</f>
        <v>0</v>
      </c>
      <c r="AF33" s="183">
        <f>IF(ARn&gt;0,(I91*M91+I92*M92)/ARn,)</f>
        <v>0</v>
      </c>
      <c r="AG33" s="184">
        <f>IF(AND(ARn&gt;0,URn&gt;0),(I91*R91*M91+I92*R92*M92)/(I91*M91+I92*M92),1)</f>
        <v>1</v>
      </c>
      <c r="AH33" s="184">
        <f>0</f>
        <v>0</v>
      </c>
      <c r="AI33" s="27" t="s">
        <v>539</v>
      </c>
      <c r="AJ33" s="530"/>
      <c r="AK33" s="1289" t="s">
        <v>750</v>
      </c>
      <c r="AL33" s="334">
        <f>SUM(AL28:AL32)</f>
        <v>0</v>
      </c>
      <c r="AM33" s="452">
        <f>IF(AL33&gt;0,(AM28*AL28+AM29*AL29+AM30*AL30+AM31*AL31)/AL33,0)</f>
        <v>0</v>
      </c>
      <c r="AN33" s="320"/>
      <c r="AZ33" s="118" t="s">
        <v>961</v>
      </c>
      <c r="BA33" s="30"/>
      <c r="BB33" s="30"/>
      <c r="BC33" s="30"/>
      <c r="BD33" s="51">
        <f>SUM(BE21+BE23+BE25+BE27)</f>
        <v>0</v>
      </c>
      <c r="BE33" s="30" t="s">
        <v>1841</v>
      </c>
      <c r="BF33" s="30"/>
      <c r="BG33" s="170">
        <f>IF(BD33&gt;0,(BE21*BH21+BE23*BH23+BE25*BH25+BE27*BH27)/BD33,0)</f>
        <v>0</v>
      </c>
      <c r="BH33" s="57" t="s">
        <v>1843</v>
      </c>
    </row>
    <row r="34" spans="2:68" ht="13.9" customHeight="1">
      <c r="B34" s="118"/>
      <c r="C34" s="1509"/>
      <c r="D34" s="2118" t="s">
        <v>9354</v>
      </c>
      <c r="E34" s="25"/>
      <c r="F34" s="30" t="s">
        <v>243</v>
      </c>
      <c r="G34" s="25"/>
      <c r="H34" s="30" t="s">
        <v>243</v>
      </c>
      <c r="I34" s="51">
        <f>E34-G34</f>
        <v>0</v>
      </c>
      <c r="J34" s="30" t="s">
        <v>243</v>
      </c>
      <c r="K34" s="360"/>
      <c r="L34" s="98"/>
      <c r="M34" s="291">
        <f>IF(K34&gt;0,IF(L34&gt;0,Fehler1,INDEX(UWert!$BD$7:$BD$41,K34)),L34)</f>
        <v>0</v>
      </c>
      <c r="N34" s="1819">
        <v>1</v>
      </c>
      <c r="O34" s="118"/>
      <c r="P34" s="1509"/>
      <c r="Q34" s="2118" t="s">
        <v>9352</v>
      </c>
      <c r="R34" s="25"/>
      <c r="S34" s="30" t="s">
        <v>243</v>
      </c>
      <c r="T34" s="25"/>
      <c r="U34" s="30" t="s">
        <v>243</v>
      </c>
      <c r="V34" s="51">
        <f>R34-T34</f>
        <v>0</v>
      </c>
      <c r="W34" s="30" t="s">
        <v>243</v>
      </c>
      <c r="X34" s="360"/>
      <c r="Y34" s="98"/>
      <c r="Z34" s="291">
        <f>IF(X34&gt;0,IF(Y34&gt;0,Fehler1,INDEX(UWert!$BD$7:$BD$41,X34)),Y34)</f>
        <v>0</v>
      </c>
      <c r="AA34" s="1819">
        <v>1</v>
      </c>
      <c r="AC34" s="393">
        <v>2</v>
      </c>
      <c r="AH34" s="1835">
        <f>IF((I88+I89+I94)&gt;0,(I88*T88+I89*T89+I94*T94)/(I88+I89+I94),0)</f>
        <v>0</v>
      </c>
      <c r="AI34" s="72" t="s">
        <v>3093</v>
      </c>
      <c r="AZ34" s="306" t="s">
        <v>2340</v>
      </c>
      <c r="BA34" s="31"/>
      <c r="BB34" s="31"/>
      <c r="BC34" s="31"/>
      <c r="BD34" s="188">
        <f>SUM(BD32:BD33)</f>
        <v>0</v>
      </c>
      <c r="BE34" s="188" t="s">
        <v>1841</v>
      </c>
      <c r="BF34" s="31"/>
      <c r="BG34" s="189">
        <f>IF(AW.e&gt;0,(BD32*BG32+BD33*BG33)/AW.e,0)</f>
        <v>0</v>
      </c>
      <c r="BH34" s="60" t="s">
        <v>1843</v>
      </c>
    </row>
    <row r="35" spans="2:68" ht="13.9" customHeight="1">
      <c r="B35" s="118"/>
      <c r="C35" s="1509"/>
      <c r="D35" s="2118" t="s">
        <v>9358</v>
      </c>
      <c r="E35" s="25"/>
      <c r="F35" s="30" t="s">
        <v>243</v>
      </c>
      <c r="G35" s="25"/>
      <c r="H35" s="30" t="s">
        <v>243</v>
      </c>
      <c r="I35" s="51">
        <f>E35-G35</f>
        <v>0</v>
      </c>
      <c r="J35" s="30" t="s">
        <v>243</v>
      </c>
      <c r="K35" s="360"/>
      <c r="L35" s="98"/>
      <c r="M35" s="291">
        <f>IF(K35&gt;0,IF(L35&gt;0,Fehler1,INDEX(UWert!$BD$7:$BD$41,K35)),L35)</f>
        <v>0</v>
      </c>
      <c r="N35" s="1819">
        <v>1</v>
      </c>
      <c r="O35" s="118"/>
      <c r="P35" s="1509"/>
      <c r="Q35" s="2118" t="s">
        <v>9356</v>
      </c>
      <c r="R35" s="25"/>
      <c r="S35" s="30" t="s">
        <v>243</v>
      </c>
      <c r="T35" s="25"/>
      <c r="U35" s="30" t="s">
        <v>243</v>
      </c>
      <c r="V35" s="51">
        <f>R35-T35</f>
        <v>0</v>
      </c>
      <c r="W35" s="30" t="s">
        <v>243</v>
      </c>
      <c r="X35" s="360"/>
      <c r="Y35" s="98"/>
      <c r="Z35" s="291">
        <f>IF(X35&gt;0,IF(Y35&gt;0,Fehler1,INDEX(UWert!$BD$7:$BD$41,X35)),Y35)</f>
        <v>0</v>
      </c>
      <c r="AA35" s="1819">
        <v>1</v>
      </c>
      <c r="AC35" s="393">
        <v>3</v>
      </c>
    </row>
    <row r="36" spans="2:68" ht="13.9" customHeight="1">
      <c r="B36" s="81"/>
      <c r="C36" s="1509"/>
      <c r="D36" s="2118" t="s">
        <v>9361</v>
      </c>
      <c r="E36" s="25"/>
      <c r="F36" s="30" t="s">
        <v>243</v>
      </c>
      <c r="G36" s="25"/>
      <c r="H36" s="30" t="s">
        <v>243</v>
      </c>
      <c r="I36" s="51">
        <f>E36-G36</f>
        <v>0</v>
      </c>
      <c r="J36" s="30" t="s">
        <v>243</v>
      </c>
      <c r="K36" s="360"/>
      <c r="L36" s="98"/>
      <c r="M36" s="291">
        <f>IF(K36&gt;0,IF(L36&gt;0,Fehler1,INDEX(UWert!$BD$7:$BD$41,K36)),L36)</f>
        <v>0</v>
      </c>
      <c r="N36" s="1819">
        <v>1</v>
      </c>
      <c r="O36" s="118"/>
      <c r="P36" s="1509"/>
      <c r="Q36" s="2118" t="s">
        <v>3318</v>
      </c>
      <c r="R36" s="25"/>
      <c r="S36" s="30" t="s">
        <v>243</v>
      </c>
      <c r="T36" s="25"/>
      <c r="U36" s="30" t="s">
        <v>243</v>
      </c>
      <c r="V36" s="51">
        <f>R36-T36</f>
        <v>0</v>
      </c>
      <c r="W36" s="30" t="s">
        <v>243</v>
      </c>
      <c r="X36" s="360"/>
      <c r="Y36" s="98"/>
      <c r="Z36" s="291">
        <f>IF(X36&gt;0,IF(Y36&gt;0,Fehler1,INDEX(UWert!$BD$7:$BD$41,X36)),Y36)</f>
        <v>0</v>
      </c>
      <c r="AA36" s="1819">
        <v>1</v>
      </c>
      <c r="AC36" s="393">
        <v>4</v>
      </c>
      <c r="AE36" s="1279" t="s">
        <v>1220</v>
      </c>
      <c r="AF36" s="1276"/>
      <c r="AG36" s="1276"/>
      <c r="AH36" s="1276"/>
      <c r="AI36" s="1276"/>
      <c r="AJ36" s="1276"/>
      <c r="AK36" s="1276"/>
      <c r="AL36" s="1276"/>
      <c r="AM36" s="1276"/>
      <c r="AN36" s="1276"/>
      <c r="AO36" s="1276"/>
      <c r="AP36" s="1276"/>
      <c r="AQ36" s="1228"/>
    </row>
    <row r="37" spans="2:68" ht="13.9" customHeight="1">
      <c r="B37" s="81"/>
      <c r="C37" s="1509"/>
      <c r="D37" s="2118" t="s">
        <v>9365</v>
      </c>
      <c r="E37" s="150"/>
      <c r="F37" s="30" t="s">
        <v>243</v>
      </c>
      <c r="G37" s="150"/>
      <c r="H37" s="30" t="s">
        <v>243</v>
      </c>
      <c r="I37" s="152">
        <f>E37-G37</f>
        <v>0</v>
      </c>
      <c r="J37" s="30" t="s">
        <v>243</v>
      </c>
      <c r="K37" s="360"/>
      <c r="L37" s="98"/>
      <c r="M37" s="1818">
        <f>IF(K37&gt;0,IF(L37&gt;0,Fehler1,INDEX(UWert!$BD$7:$BD$41,K37)),L37)</f>
        <v>0</v>
      </c>
      <c r="N37" s="1819">
        <v>1</v>
      </c>
      <c r="O37" s="81"/>
      <c r="P37" s="1509"/>
      <c r="Q37" s="2118" t="s">
        <v>9363</v>
      </c>
      <c r="R37" s="150"/>
      <c r="S37" s="30" t="s">
        <v>243</v>
      </c>
      <c r="T37" s="150"/>
      <c r="U37" s="30" t="s">
        <v>243</v>
      </c>
      <c r="V37" s="152">
        <f>R37-T37</f>
        <v>0</v>
      </c>
      <c r="W37" s="30" t="s">
        <v>243</v>
      </c>
      <c r="X37" s="360"/>
      <c r="Y37" s="98"/>
      <c r="Z37" s="1818">
        <f>IF(X37&gt;0,IF(Y37&gt;0,Fehler1,INDEX(UWert!$BD$7:$BD$41,X37)),Y37)</f>
        <v>0</v>
      </c>
      <c r="AA37" s="1819">
        <v>1</v>
      </c>
      <c r="AC37" s="396">
        <v>5</v>
      </c>
      <c r="AE37" s="1282"/>
      <c r="AF37" s="1277" t="s">
        <v>1376</v>
      </c>
      <c r="AG37" s="1277"/>
      <c r="AH37" s="1277" t="s">
        <v>1377</v>
      </c>
      <c r="AI37" s="1277"/>
      <c r="AJ37" s="1277"/>
      <c r="AK37" s="1277"/>
      <c r="AL37" s="1277"/>
      <c r="AM37" s="1277"/>
      <c r="AN37" s="1277"/>
      <c r="AO37" s="1277"/>
      <c r="AP37" s="1277"/>
      <c r="AQ37" s="1229"/>
      <c r="AZ37" s="1813" t="str">
        <f>IF(Drehung=1,Uebersetzung!D153,Uebersetzung!D154)</f>
        <v>Total façade au nord:</v>
      </c>
      <c r="BA37" s="1814"/>
      <c r="BB37" s="1814"/>
      <c r="BC37" s="1814"/>
      <c r="BD37" s="187">
        <f>SUM(BE26:BE27)</f>
        <v>0</v>
      </c>
      <c r="BE37" s="122" t="s">
        <v>243</v>
      </c>
      <c r="BF37" s="187"/>
      <c r="BG37" s="122"/>
      <c r="BH37" s="192">
        <f>IF(BD37&gt;0,(BE26*BH26+BE27*BH27)/BD37,)</f>
        <v>0</v>
      </c>
      <c r="BI37" s="582" t="s">
        <v>244</v>
      </c>
    </row>
    <row r="38" spans="2:68" ht="12.6" customHeight="1">
      <c r="B38" s="118"/>
      <c r="C38" s="1821"/>
      <c r="D38" s="83"/>
      <c r="E38" s="151">
        <f>SUM(E33:E37)</f>
        <v>0</v>
      </c>
      <c r="F38" s="30" t="s">
        <v>243</v>
      </c>
      <c r="G38" s="151">
        <f>SUM(G33:G37)</f>
        <v>0</v>
      </c>
      <c r="H38" s="30" t="s">
        <v>243</v>
      </c>
      <c r="I38" s="51">
        <f>SUM(I33:I37)</f>
        <v>0</v>
      </c>
      <c r="J38" s="30" t="s">
        <v>243</v>
      </c>
      <c r="K38" s="30"/>
      <c r="L38" s="193"/>
      <c r="M38" s="292">
        <f>IF(I38,(I33*M33+I34*M34+I35*M35+I36*M36+I37*M37)/I38,)</f>
        <v>0</v>
      </c>
      <c r="N38" s="1819"/>
      <c r="O38" s="81"/>
      <c r="P38" s="83"/>
      <c r="Q38" s="83"/>
      <c r="R38" s="151">
        <f>SUM(R33:R37)</f>
        <v>0</v>
      </c>
      <c r="S38" s="30" t="s">
        <v>243</v>
      </c>
      <c r="T38" s="151">
        <f>SUM(T33:T37)</f>
        <v>0</v>
      </c>
      <c r="U38" s="30" t="s">
        <v>243</v>
      </c>
      <c r="V38" s="51">
        <f>SUM(V33:V37)</f>
        <v>0</v>
      </c>
      <c r="W38" s="30" t="s">
        <v>243</v>
      </c>
      <c r="X38" s="30"/>
      <c r="Y38" s="193"/>
      <c r="Z38" s="292">
        <f>IF(V38,(V33*Z33+V34*Z34+V35*Z35+V36*Z36+V37*Z37)/V38,)</f>
        <v>0</v>
      </c>
      <c r="AA38" s="1819"/>
      <c r="AE38" s="1296"/>
      <c r="AF38" s="1297" t="s">
        <v>977</v>
      </c>
      <c r="AG38" s="1298" t="s">
        <v>978</v>
      </c>
      <c r="AH38" s="1297" t="s">
        <v>977</v>
      </c>
      <c r="AI38" s="1298" t="s">
        <v>978</v>
      </c>
      <c r="AJ38" s="1280" t="s">
        <v>1917</v>
      </c>
      <c r="AK38" s="1280"/>
      <c r="AL38" s="1276"/>
      <c r="AM38" s="1276"/>
      <c r="AN38" s="1276"/>
      <c r="AO38" s="1276"/>
      <c r="AP38" s="1276" t="s">
        <v>1977</v>
      </c>
      <c r="AQ38" s="1228"/>
      <c r="AZ38" s="1268" t="str">
        <f>IF(Drehung=1,Uebersetzung!D155,Uebersetzung!D156)</f>
        <v>Total façade à l'est:</v>
      </c>
      <c r="BA38" s="105"/>
      <c r="BB38" s="105"/>
      <c r="BC38" s="105"/>
      <c r="BD38" s="193">
        <f>SUM(BE22:BE23)</f>
        <v>0</v>
      </c>
      <c r="BE38" s="30" t="s">
        <v>243</v>
      </c>
      <c r="BF38" s="193"/>
      <c r="BG38" s="193"/>
      <c r="BH38" s="293">
        <f>IF(BD38&gt;0,(BE22*BH22+BE23*BH23)/BD38,)</f>
        <v>0</v>
      </c>
      <c r="BI38" s="78" t="s">
        <v>244</v>
      </c>
    </row>
    <row r="39" spans="2:68" ht="13.9" customHeight="1">
      <c r="B39" s="118"/>
      <c r="C39" s="30"/>
      <c r="D39" s="30"/>
      <c r="E39" s="175" t="str">
        <f>E20</f>
        <v>Porte à l'extérieur:</v>
      </c>
      <c r="F39" s="105"/>
      <c r="G39" s="105"/>
      <c r="H39" s="105"/>
      <c r="I39" s="25"/>
      <c r="J39" s="30" t="s">
        <v>243</v>
      </c>
      <c r="K39" s="360"/>
      <c r="L39" s="98"/>
      <c r="M39" s="291">
        <f>IF(K39&gt;0,IF(L39&gt;0,Fehler1,INDEX(UWert!$BD$7:$BD$41,K39)),L39)</f>
        <v>0</v>
      </c>
      <c r="N39" s="1819">
        <v>1</v>
      </c>
      <c r="O39" s="118"/>
      <c r="P39" s="30"/>
      <c r="Q39" s="30"/>
      <c r="R39" s="175" t="str">
        <f>E20</f>
        <v>Porte à l'extérieur:</v>
      </c>
      <c r="S39" s="105"/>
      <c r="T39" s="105"/>
      <c r="U39" s="105"/>
      <c r="V39" s="25"/>
      <c r="W39" s="30" t="s">
        <v>243</v>
      </c>
      <c r="X39" s="360"/>
      <c r="Y39" s="98"/>
      <c r="Z39" s="291">
        <f>IF(X39&gt;0,IF(Y39&gt;0,Fehler1,INDEX(UWert!$BD$7:$BD$41,X39)),Y39)</f>
        <v>0</v>
      </c>
      <c r="AA39" s="1819">
        <v>1</v>
      </c>
      <c r="AC39" s="106" t="s">
        <v>1447</v>
      </c>
      <c r="AD39" s="106"/>
      <c r="AE39" s="1299" t="s">
        <v>1978</v>
      </c>
      <c r="AF39" s="269" t="b">
        <f>IF(AF40=FALSE,TRUE,FALSE)</f>
        <v>1</v>
      </c>
      <c r="AG39" s="269" t="b">
        <f>IF(AG40=FALSE,TRUE,FALSE)</f>
        <v>1</v>
      </c>
      <c r="AH39" s="304" t="b">
        <f>IF(Projekt!AE3="entech",AF39,TRUE)</f>
        <v>1</v>
      </c>
      <c r="AI39" s="379" t="b">
        <f>IF(Projekt!AE3="entech",AG39,TRUE)</f>
        <v>1</v>
      </c>
      <c r="AJ39" s="1300" t="s">
        <v>1423</v>
      </c>
      <c r="AK39" s="304">
        <f>IF(AND($I$67&lt;&gt;"",$M$67&lt;&gt;"",$N$67&lt;&gt;"",$R$67&lt;&gt;""),IF($I$67/$R$67&lt;5,$AL$39,IF($I$67/$R$67&gt;10,$AN$39,$AM$39)),0)</f>
        <v>0</v>
      </c>
      <c r="AL39" s="122">
        <f>INDEX(Tab!H53:K57,IF($N$67&lt;0.5,1,IF($N$67&lt;1,2,IF($N$67&lt;2,3,IF($N$67&lt;3,4,5)))),IF($M$67&lt;0.4,1,IF($M$67&gt;0.6,3,2)))</f>
        <v>0.8</v>
      </c>
      <c r="AM39" s="122">
        <f>INDEX(Tab!L53:O57,IF($N$67&lt;0.5,1,IF($N$67&lt;1,2,IF($N$67&lt;2,3,IF($N$67&lt;3,4,5)))),IF($M$67&lt;0.4,1,IF($M$67&gt;0.6,3,2)))</f>
        <v>0.66</v>
      </c>
      <c r="AN39" s="122">
        <f>INDEX(Tab!P53:S57,IF($N$67&lt;0.5,1,IF($N$67&lt;1,2,IF($N$67&lt;2,3,IF($N$67&lt;3,4,5)))),IF($M$67&lt;0.4,1,IF($M$67&gt;0.6,3,2)))</f>
        <v>0.53</v>
      </c>
      <c r="AO39" s="121"/>
      <c r="AP39" s="192">
        <f>IF(M67&gt;0,AH118*(1/M67+0.04),1)</f>
        <v>1</v>
      </c>
      <c r="AQ39" s="172"/>
      <c r="AZ39" s="1268" t="str">
        <f>IF(Drehung=1,Uebersetzung!D157,Uebersetzung!D158)</f>
        <v>Total façade à l'ouest:</v>
      </c>
      <c r="BA39" s="105"/>
      <c r="BB39" s="105"/>
      <c r="BC39" s="105"/>
      <c r="BD39" s="193">
        <f>SUM(BE24:BE25)</f>
        <v>0</v>
      </c>
      <c r="BE39" s="30" t="s">
        <v>243</v>
      </c>
      <c r="BF39" s="30"/>
      <c r="BG39" s="186"/>
      <c r="BH39" s="293">
        <f>IF(BD39&gt;0,(BE24*BH24+BE25*BH25)/BD39,)</f>
        <v>0</v>
      </c>
      <c r="BI39" s="78" t="s">
        <v>244</v>
      </c>
      <c r="BK39" s="50"/>
      <c r="BP39" s="30"/>
    </row>
    <row r="40" spans="2:68" ht="18" customHeight="1">
      <c r="B40" s="118"/>
      <c r="C40" s="1825" t="str">
        <f>Uebersetzung!D289</f>
        <v>No</v>
      </c>
      <c r="D40" s="30"/>
      <c r="E40" s="200" t="str">
        <f>E21</f>
        <v>parois contre local non chauffé ou la terre:</v>
      </c>
      <c r="F40" s="30"/>
      <c r="G40" s="30"/>
      <c r="H40" s="30"/>
      <c r="I40" s="51"/>
      <c r="J40" s="30"/>
      <c r="K40" s="30"/>
      <c r="L40" s="193"/>
      <c r="M40" s="30"/>
      <c r="N40" s="57"/>
      <c r="O40" s="118"/>
      <c r="P40" s="1825" t="str">
        <f>Uebersetzung!D289</f>
        <v>No</v>
      </c>
      <c r="Q40" s="30"/>
      <c r="R40" s="200" t="str">
        <f>E21</f>
        <v>parois contre local non chauffé ou la terre:</v>
      </c>
      <c r="S40" s="30"/>
      <c r="T40" s="30"/>
      <c r="U40" s="30"/>
      <c r="V40" s="51"/>
      <c r="W40" s="30"/>
      <c r="X40" s="30"/>
      <c r="Y40" s="193"/>
      <c r="Z40" s="30"/>
      <c r="AA40" s="57"/>
      <c r="AC40" s="638">
        <f>IF(OR(AF40=TRUE,AG40=TRUE),IF(OR((I23+V23+I42+V42)&gt;0,I67&gt;0),IF(OR(M67=0,N67="",R67="",R57=0,I57="",L57=""),1,0),0),)</f>
        <v>0</v>
      </c>
      <c r="AD40" s="30"/>
      <c r="AE40" s="1299" t="s">
        <v>1979</v>
      </c>
      <c r="AF40" s="270" t="b">
        <f>IF(X56="",1,VLOOKUP(X56,$AP$65:$AU$66,6,FALSE))</f>
        <v>0</v>
      </c>
      <c r="AG40" s="526" t="b">
        <f>IF(X64="",1,VLOOKUP(X64,$AP$65:$AU$66,6,FALSE))</f>
        <v>0</v>
      </c>
      <c r="AH40" s="327" t="b">
        <f>IF(Projekt!AE3="entech",AF40,FALSE)</f>
        <v>0</v>
      </c>
      <c r="AI40" s="62" t="b">
        <f>IF(Projekt!AE3="entech",AG40,FALSE)</f>
        <v>0</v>
      </c>
      <c r="AJ40" s="1301" t="s">
        <v>1424</v>
      </c>
      <c r="AK40" s="327">
        <f>IF(AND($I$68&lt;&gt;"",$M$68&lt;&gt;"",$N$68&lt;&gt;"",$R$68&lt;&gt;""),IF($I$68/$R$68&lt;5,$AL$40,IF($I$68/$R$68&gt;10,$AN$40,$AM$40)),0)</f>
        <v>0</v>
      </c>
      <c r="AL40" s="30">
        <f>INDEX(Tab!H53:K57,IF($N$68&lt;0.5,1,IF($N$68&lt;1,2,IF($N$68&lt;2,3,IF($N$68&lt;3,4,5)))),IF($M$68&lt;0.4,1,IF($M$68&gt;0.6,3,2)))</f>
        <v>0.8</v>
      </c>
      <c r="AM40" s="30">
        <f>INDEX(Tab!L53:O57,IF($N$68&lt;0.5,1,IF($N$68&lt;1,2,IF($N$68&lt;2,3,IF($N$68&lt;3,4,5)))),IF($M$68&lt;0.4,1,IF($M$68&gt;0.6,3,2)))</f>
        <v>0.66</v>
      </c>
      <c r="AN40" s="30">
        <f>INDEX(Tab!P53:S57,IF($N$68&lt;0.5,1,IF($N$68&lt;1,2,IF($N$68&lt;2,3,IF($N$68&lt;3,4,5)))),IF($M$68&lt;0.4,1,IF($M$68&gt;0.6,3,2)))</f>
        <v>0.53</v>
      </c>
      <c r="AO40" s="118"/>
      <c r="AP40" s="170">
        <f>IF(M68&gt;0,AH119*(1/M68+0.04),1)</f>
        <v>1</v>
      </c>
      <c r="AQ40" s="57"/>
      <c r="AZ40" s="1815" t="str">
        <f>IF(Drehung=1,Uebersetzung!D159,Uebersetzung!D160)</f>
        <v>Total façade au sud:</v>
      </c>
      <c r="BA40" s="120"/>
      <c r="BB40" s="120"/>
      <c r="BC40" s="120"/>
      <c r="BD40" s="188">
        <f>SUM(BE20:BE21)</f>
        <v>0</v>
      </c>
      <c r="BE40" s="31" t="s">
        <v>243</v>
      </c>
      <c r="BF40" s="31"/>
      <c r="BG40" s="1816"/>
      <c r="BH40" s="1817">
        <f>IF(BD40&gt;0,(BE20*BH20+BE21*BH21)/BD40,)</f>
        <v>0</v>
      </c>
      <c r="BI40" s="87" t="s">
        <v>244</v>
      </c>
    </row>
    <row r="41" spans="2:68" ht="12.6" customHeight="1">
      <c r="B41" s="81"/>
      <c r="C41" s="1820"/>
      <c r="D41" s="1838" t="str">
        <f>IF(AND(K41&gt;0,INDEX(UWert!$BG$7:$BG$46,K41,1)),"*1","")</f>
        <v/>
      </c>
      <c r="E41" s="201" t="str">
        <f>Uebersetzung!D173</f>
        <v>Porte c. un local non chauffé</v>
      </c>
      <c r="F41" s="30"/>
      <c r="G41" s="30"/>
      <c r="H41" s="199"/>
      <c r="I41" s="25"/>
      <c r="J41" s="30" t="s">
        <v>243</v>
      </c>
      <c r="K41" s="360"/>
      <c r="L41" s="98"/>
      <c r="M41" s="291">
        <f>IF(K41&gt;0,IF(L41&gt;0,Fehler1,INDEX(UWert!$BD$7:$BD$41,K41)),L41)</f>
        <v>0</v>
      </c>
      <c r="N41" s="1819">
        <f>IF(C41&gt;0,IF(AND(K41&gt;0,INDEX(UWert!$BG$7:$BG$46,K41,1)),INDEX(UWert!$BF$7:$BF$46,K41,1),MIN(INDEX($N$49:$N$52,C41,1),1)),1)</f>
        <v>1</v>
      </c>
      <c r="O41" s="81"/>
      <c r="P41" s="1820"/>
      <c r="Q41" s="1838" t="str">
        <f>IF(AND(X41&gt;0,INDEX(UWert!$BG$7:$BG$46,X41,1)),"*1","")</f>
        <v/>
      </c>
      <c r="R41" s="201" t="str">
        <f>Uebersetzung!D173</f>
        <v>Porte c. un local non chauffé</v>
      </c>
      <c r="S41" s="30"/>
      <c r="T41" s="30"/>
      <c r="U41" s="199"/>
      <c r="V41" s="25"/>
      <c r="W41" s="30" t="s">
        <v>243</v>
      </c>
      <c r="X41" s="360"/>
      <c r="Y41" s="98"/>
      <c r="Z41" s="1529">
        <f>IF(X41&gt;0,IF(Y41&gt;0,Fehler1,INDEX(UWert!$BD$7:$BD$41,X41)),Y41)</f>
        <v>0</v>
      </c>
      <c r="AA41" s="1819">
        <f>IF(P41&gt;0,IF(AND(X41&gt;0,INDEX(UWert!$BG$7:$BG$46,X41,1)),INDEX(UWert!$BF$7:$BF$46,X41,1),MIN(INDEX($N$49:$N$52,P41,1),1)),1)</f>
        <v>1</v>
      </c>
      <c r="AC41" s="267">
        <f>IF(OR(AF40=TRUE,AG40=TRUE),IF(OR((I24+V24+I43+V43)&gt;0,I68&gt;0),IF(OR(M68=0,N68="",R68="",R58=0,I58="",L58=""),1,0),0),)</f>
        <v>0</v>
      </c>
      <c r="AD41" s="30"/>
      <c r="AE41" s="522"/>
      <c r="AF41" s="523" t="b">
        <f>IF(AF39=TRUE,AF40=FALSE,IF(AF39=FALSE,AF40=TRUE,))</f>
        <v>1</v>
      </c>
      <c r="AG41" s="524" t="b">
        <f>IF(AG39=TRUE,AG40=FALSE,IF(AG39=FALSE,AG40=TRUE,))</f>
        <v>1</v>
      </c>
      <c r="AH41" s="523"/>
      <c r="AI41" s="524"/>
      <c r="AJ41" s="267"/>
      <c r="AK41" s="119"/>
      <c r="AL41" s="31"/>
      <c r="AM41" s="31"/>
      <c r="AN41" s="31"/>
      <c r="AO41" s="119"/>
      <c r="AP41" s="31"/>
      <c r="AQ41" s="60"/>
      <c r="AZ41" s="105"/>
      <c r="BA41" s="105"/>
      <c r="BB41" s="105"/>
      <c r="BC41" s="105"/>
      <c r="BD41" s="193"/>
      <c r="BE41" s="30"/>
      <c r="BF41" s="30"/>
      <c r="BG41" s="186"/>
      <c r="BH41" s="293"/>
      <c r="BI41" s="83"/>
    </row>
    <row r="42" spans="2:68" ht="13.9" customHeight="1">
      <c r="B42" s="118"/>
      <c r="C42" s="1837">
        <v>1</v>
      </c>
      <c r="D42" s="1838" t="str">
        <f>IF(AND(K42&gt;0,INDEX(UWert!$BG$7:$BG$46,K42,1)),"*1","")</f>
        <v/>
      </c>
      <c r="E42" s="30" t="str">
        <f>Uebersetzung!D166</f>
        <v>en contact avec le terrain</v>
      </c>
      <c r="F42" s="30"/>
      <c r="G42" s="30"/>
      <c r="H42" s="30"/>
      <c r="I42" s="25"/>
      <c r="J42" s="30" t="s">
        <v>243</v>
      </c>
      <c r="K42" s="360"/>
      <c r="L42" s="98"/>
      <c r="M42" s="291">
        <f>IF(K42&gt;0,IF(L42&gt;0,Fehler1,INDEX(UWert!$BD$7:$BD$41,K42)),L42)</f>
        <v>0</v>
      </c>
      <c r="N42" s="1819">
        <f>IF(C42&gt;0,MAX(IF(AND(K42&gt;0,INDEX(UWert!$BG$7:$BG$46,K42,1)),INDEX(UWert!$BF$7:$BF$46,K42,1),IF(AF39,Tab!AA71,AG149)),0.02),1)</f>
        <v>1</v>
      </c>
      <c r="O42" s="118"/>
      <c r="P42" s="1837">
        <v>1</v>
      </c>
      <c r="Q42" s="1838" t="str">
        <f>IF(AND(X42&gt;0,INDEX(UWert!$BG$7:$BG$46,X42,1)),"*1","")</f>
        <v/>
      </c>
      <c r="R42" s="30" t="str">
        <f>Uebersetzung!D166</f>
        <v>en contact avec le terrain</v>
      </c>
      <c r="S42" s="30"/>
      <c r="T42" s="30"/>
      <c r="U42" s="30"/>
      <c r="V42" s="25"/>
      <c r="W42" s="30" t="s">
        <v>243</v>
      </c>
      <c r="X42" s="360"/>
      <c r="Y42" s="1830"/>
      <c r="Z42" s="1529">
        <f>IF(X42&gt;0,IF(Y42&gt;0,Fehler1,INDEX(UWert!$BD$7:$BD$41,X42)),Y42)</f>
        <v>0</v>
      </c>
      <c r="AA42" s="1819">
        <f>IF(P42&gt;0,MAX(IF(AND(X42&gt;0,INDEX(UWert!$BG$7:$BG$46,X42,1)),INDEX(UWert!$BF$7:$BF$46,X42,1),IF(AF39,Tab!AC71,AG149)),0.02),1)</f>
        <v>1</v>
      </c>
      <c r="AD42" s="30"/>
      <c r="AE42" s="638"/>
      <c r="AF42" s="121"/>
      <c r="AG42" s="172"/>
    </row>
    <row r="43" spans="2:68" ht="13.9" customHeight="1">
      <c r="B43" s="118"/>
      <c r="C43" s="1837">
        <v>2</v>
      </c>
      <c r="D43" s="1838" t="str">
        <f>IF(AND(K43&gt;0,INDEX(UWert!$BG$7:$BG$46,K43,1)),"*1","")</f>
        <v/>
      </c>
      <c r="E43" s="30" t="str">
        <f>Uebersetzung!D166</f>
        <v>en contact avec le terrain</v>
      </c>
      <c r="F43" s="30"/>
      <c r="G43" s="30"/>
      <c r="H43" s="30"/>
      <c r="I43" s="25"/>
      <c r="J43" s="30" t="s">
        <v>243</v>
      </c>
      <c r="K43" s="360"/>
      <c r="L43" s="98"/>
      <c r="M43" s="291">
        <f>IF(K43&gt;0,IF(L43&gt;0,Fehler1,INDEX(UWert!$BD$7:$BD$41,K43)),L43)</f>
        <v>0</v>
      </c>
      <c r="N43" s="1819">
        <f>IF(C43&gt;0,MAX(IF(AND(K43&gt;0,INDEX(UWert!$BG$7:$BG$46,K43,1)),INDEX(UWert!$BF$7:$BF$46,K43,1),IF(AF39,Tab!AB72,N58)),0.02),1)</f>
        <v>1</v>
      </c>
      <c r="O43" s="118"/>
      <c r="P43" s="1837">
        <v>2</v>
      </c>
      <c r="Q43" s="1838" t="str">
        <f>IF(AND(X43&gt;0,INDEX(UWert!$BG$7:$BG$46,X43,1)),"*1","")</f>
        <v/>
      </c>
      <c r="R43" s="30" t="str">
        <f>Uebersetzung!D166</f>
        <v>en contact avec le terrain</v>
      </c>
      <c r="S43" s="30"/>
      <c r="T43" s="30"/>
      <c r="U43" s="30"/>
      <c r="V43" s="25"/>
      <c r="W43" s="30" t="s">
        <v>243</v>
      </c>
      <c r="X43" s="360"/>
      <c r="Y43" s="98"/>
      <c r="Z43" s="1529">
        <f>IF(X43&gt;0,IF(Y43&gt;0,Fehler1,INDEX(UWert!$BD$7:$BD$41,X43)),Y43)</f>
        <v>0</v>
      </c>
      <c r="AA43" s="1819">
        <f>IF(P43&gt;0,MAX(IF(AND(X43&gt;0,INDEX(UWert!$BG$7:$BG$46,X43,1)),INDEX(UWert!$BF$7:$BF$46,X43,1),IF(AF39,Tab!AD72,N58)),0.02),1)</f>
        <v>1</v>
      </c>
      <c r="AC43" s="106" t="s">
        <v>865</v>
      </c>
      <c r="AE43" s="123" t="str">
        <f>I10</f>
        <v>Nord</v>
      </c>
      <c r="AF43" s="154">
        <v>1</v>
      </c>
      <c r="AG43" s="57">
        <f>IF($AC$51=1,$V$51,0)+IF($AC$52=1,$V$52,0)</f>
        <v>0</v>
      </c>
      <c r="AH43" s="50" t="s">
        <v>1841</v>
      </c>
    </row>
    <row r="44" spans="2:68" ht="13.9" customHeight="1">
      <c r="B44" s="118"/>
      <c r="C44" s="1820"/>
      <c r="D44" s="1838" t="str">
        <f>IF(AND(K44&gt;0,INDEX(UWert!$BG$7:$BG$46,K44,1)),"*1","")</f>
        <v/>
      </c>
      <c r="E44" s="30" t="str">
        <f>Uebersetzung!D170</f>
        <v>contre un local non chauffé</v>
      </c>
      <c r="F44" s="30"/>
      <c r="G44" s="30"/>
      <c r="H44" s="30"/>
      <c r="I44" s="25"/>
      <c r="J44" s="30" t="s">
        <v>243</v>
      </c>
      <c r="K44" s="360"/>
      <c r="L44" s="98"/>
      <c r="M44" s="291">
        <f>IF(K44&gt;0,IF(L44&gt;0,Fehler1,INDEX(UWert!$BD$7:$BD$41,K44)),L44)</f>
        <v>0</v>
      </c>
      <c r="N44" s="1819">
        <f>IF(C44&gt;0,IF(AND(K44&gt;0,INDEX(UWert!$BG$7:$BG$46,K44,1)),INDEX(UWert!$BF$7:$BF$46,K44,1),MIN(INDEX($N$49:$N$52,C44,1),1)),1)</f>
        <v>1</v>
      </c>
      <c r="O44" s="118"/>
      <c r="P44" s="1820"/>
      <c r="Q44" s="1838" t="str">
        <f>IF(AND(X44&gt;0,INDEX(UWert!$BG$7:$BG$46,X44,1)),"*1","")</f>
        <v/>
      </c>
      <c r="R44" s="30" t="str">
        <f>Uebersetzung!D170</f>
        <v>contre un local non chauffé</v>
      </c>
      <c r="S44" s="30"/>
      <c r="T44" s="30"/>
      <c r="U44" s="30"/>
      <c r="V44" s="25"/>
      <c r="W44" s="30" t="s">
        <v>243</v>
      </c>
      <c r="X44" s="360"/>
      <c r="Y44" s="98"/>
      <c r="Z44" s="1529">
        <f>IF(X44&gt;0,IF(Y44&gt;0,Fehler1,INDEX(UWert!$BD$7:$BD$41,X44)),Y44)</f>
        <v>0</v>
      </c>
      <c r="AA44" s="1819">
        <f>IF(P44&gt;0,IF(AND(X44&gt;0,INDEX(UWert!$BG$7:$BG$46,X44,1)),INDEX(UWert!$BF$7:$BF$46,X44,1),MIN(INDEX($N$49:$N$52,P44,1),1)),1)</f>
        <v>1</v>
      </c>
      <c r="AC44" s="1244">
        <f>IF(X57="",1,VLOOKUP($X$57,$AL$83:$AQ$148,6,FALSE))</f>
        <v>1</v>
      </c>
      <c r="AE44" s="123" t="str">
        <f>V10</f>
        <v>Est</v>
      </c>
      <c r="AF44" s="154">
        <v>2</v>
      </c>
      <c r="AG44" s="57">
        <f>IF($AC$51=2,$V$51,0)+IF($AC$52=2,$V$52,0)</f>
        <v>0</v>
      </c>
      <c r="AH44" s="50" t="s">
        <v>1841</v>
      </c>
    </row>
    <row r="45" spans="2:68" ht="13.9" customHeight="1">
      <c r="B45" s="118"/>
      <c r="C45" s="1820"/>
      <c r="D45" s="1838" t="str">
        <f>IF(AND(K45&gt;0,INDEX(UWert!$BG$7:$BG$46,K45,1)),"*1","")</f>
        <v/>
      </c>
      <c r="E45" s="30" t="str">
        <f>Uebersetzung!D170</f>
        <v>contre un local non chauffé</v>
      </c>
      <c r="F45" s="30"/>
      <c r="G45" s="30"/>
      <c r="H45" s="199"/>
      <c r="I45" s="150"/>
      <c r="J45" s="30" t="s">
        <v>243</v>
      </c>
      <c r="K45" s="1822"/>
      <c r="L45" s="1823"/>
      <c r="M45" s="291">
        <f>IF(K45&gt;0,IF(L45&gt;0,Fehler1,INDEX(UWert!$BD$7:$BD$41,K45)),L45)</f>
        <v>0</v>
      </c>
      <c r="N45" s="1819">
        <f>IF(C45&gt;0,IF(AND(K45&gt;0,INDEX(UWert!$BG$7:$BG$46,K45,1)),INDEX(UWert!$BF$7:$BF$46,K45,1),MIN(INDEX($N$49:$N$52,C45,1),1)),1)</f>
        <v>1</v>
      </c>
      <c r="O45" s="118"/>
      <c r="P45" s="1820"/>
      <c r="Q45" s="1838" t="str">
        <f>IF(AND(X45&gt;0,INDEX(UWert!$BG$7:$BG$46,X45,1)),"*1","")</f>
        <v/>
      </c>
      <c r="R45" s="30" t="str">
        <f>Uebersetzung!D170</f>
        <v>contre un local non chauffé</v>
      </c>
      <c r="S45" s="30"/>
      <c r="T45" s="30"/>
      <c r="U45" s="199"/>
      <c r="V45" s="150"/>
      <c r="W45" s="30" t="s">
        <v>243</v>
      </c>
      <c r="X45" s="1822"/>
      <c r="Y45" s="1823"/>
      <c r="Z45" s="1529">
        <f>IF(X45&gt;0,IF(Y45&gt;0,Fehler1,INDEX(UWert!$BD$7:$BD$41,X45)),Y45)</f>
        <v>0</v>
      </c>
      <c r="AA45" s="1819">
        <f>IF(P45&gt;0,IF(AND(X45&gt;0,INDEX(UWert!$BG$7:$BG$46,X45,1)),INDEX(UWert!$BF$7:$BF$46,X45,1),MIN(INDEX($N$49:$N$52,P45,1),1)),1)</f>
        <v>1</v>
      </c>
      <c r="AC45" s="297">
        <f>IF(X58="",1,VLOOKUP(X58,$AJ$70:$AO$72,6,FALSE))</f>
        <v>1</v>
      </c>
      <c r="AE45" s="123" t="str">
        <f>I29</f>
        <v>Ouest</v>
      </c>
      <c r="AF45" s="154">
        <v>3</v>
      </c>
      <c r="AG45" s="57">
        <f>IF($AC$51=3,$V$51,0)+IF($AC$52=3,$V$52,0)</f>
        <v>0</v>
      </c>
      <c r="AH45" s="50" t="s">
        <v>1841</v>
      </c>
    </row>
    <row r="46" spans="2:68" ht="13.9" customHeight="1">
      <c r="B46" s="119"/>
      <c r="C46" s="1824" t="str">
        <f>IF(OR(AND(I41&gt;0,C41=""),AND(I42&gt;0,C42=""),AND(I43&gt;0,C43=""),AND(I44&gt;0,C44=""),AND(I45&gt;0,C45="")),Uebersetzung!D288,IF(OR(D41&lt;&gt;"",D42&lt;&gt;"",D43&lt;&gt;"",D44&lt;&gt;"",D45&lt;&gt;""),Uebersetzung!D220,""))</f>
        <v/>
      </c>
      <c r="D46" s="31"/>
      <c r="E46" s="1839"/>
      <c r="F46" s="31"/>
      <c r="G46" s="31"/>
      <c r="H46" s="31"/>
      <c r="I46" s="152"/>
      <c r="J46" s="31"/>
      <c r="K46" s="31"/>
      <c r="L46" s="31"/>
      <c r="M46" s="31"/>
      <c r="N46" s="60"/>
      <c r="O46" s="119"/>
      <c r="P46" s="1824">
        <f>IF(OR(AND(V41&gt;0,P41=""),AND(V42&gt;0,P42=""),AND(V43&gt;0,P43=""),AND(V44&gt;0,P44=""),AND(V45&gt;0,P45="")),Uebersetzung!D288,IF(OR(Q41&lt;&gt;"",Q42&lt;&gt;"",Q43&lt;&gt;"",Q44&lt;&gt;"",Q45&lt;&gt;""),Uebersetzung!D220,))</f>
        <v>0</v>
      </c>
      <c r="Q46" s="31"/>
      <c r="R46" s="1839"/>
      <c r="S46" s="31"/>
      <c r="T46" s="31"/>
      <c r="U46" s="31"/>
      <c r="V46" s="152"/>
      <c r="W46" s="31"/>
      <c r="X46" s="31"/>
      <c r="Y46" s="188"/>
      <c r="Z46" s="31"/>
      <c r="AA46" s="60"/>
      <c r="AC46" s="121" t="str">
        <f>Uebersetzung!D714</f>
        <v>en bilan</v>
      </c>
      <c r="AD46" s="172"/>
      <c r="AE46" s="60" t="str">
        <f>V29</f>
        <v>Sud</v>
      </c>
      <c r="AF46" s="155">
        <v>4</v>
      </c>
      <c r="AG46" s="60">
        <f>IF($AC$51=4,$V$51,0)+IF($AC$52=4,$V$52,0)</f>
        <v>0</v>
      </c>
      <c r="AH46" s="50" t="s">
        <v>1841</v>
      </c>
    </row>
    <row r="47" spans="2:68" ht="13.9" hidden="1" customHeight="1">
      <c r="H47" s="27"/>
      <c r="AC47" s="118"/>
      <c r="AD47" s="2094"/>
    </row>
    <row r="48" spans="2:68" ht="13.9" customHeight="1">
      <c r="B48" s="121"/>
      <c r="C48" s="1841" t="str">
        <f>Uebersetzung!D289</f>
        <v>No</v>
      </c>
      <c r="D48" s="122"/>
      <c r="E48" s="402" t="str">
        <f>Uebersetzung!D191</f>
        <v>Espace non chauffé</v>
      </c>
      <c r="F48" s="122"/>
      <c r="G48" s="122"/>
      <c r="H48" s="122"/>
      <c r="I48" s="151"/>
      <c r="J48" s="122"/>
      <c r="K48" s="122"/>
      <c r="L48" s="187"/>
      <c r="M48" s="122"/>
      <c r="N48" s="1840" t="str">
        <f>N31</f>
        <v>Valeur b</v>
      </c>
      <c r="O48" s="121"/>
      <c r="P48" s="30"/>
      <c r="Q48" s="122"/>
      <c r="R48" s="402" t="str">
        <f>Uebersetzung!D307</f>
        <v>paroi contre contre local chauffé</v>
      </c>
      <c r="S48" s="122"/>
      <c r="T48" s="122"/>
      <c r="U48" s="122"/>
      <c r="V48" s="151"/>
      <c r="W48" s="122"/>
      <c r="X48" s="122"/>
      <c r="Y48" s="187"/>
      <c r="Z48" s="122"/>
      <c r="AA48" s="172"/>
      <c r="AC48" s="2090" t="b">
        <f>IF(AD48=$AC$7,TRUE,FALSE)</f>
        <v>1</v>
      </c>
      <c r="AD48" s="1509" t="s">
        <v>446</v>
      </c>
      <c r="AJ48" s="106" t="s">
        <v>598</v>
      </c>
    </row>
    <row r="49" spans="2:73" ht="13.9" customHeight="1">
      <c r="B49" s="118"/>
      <c r="C49" s="1836" t="s">
        <v>3048</v>
      </c>
      <c r="D49" s="30"/>
      <c r="E49" s="175" t="str">
        <f>Uebersetzung!D219</f>
        <v>local non chauffé</v>
      </c>
      <c r="F49" s="30"/>
      <c r="G49" s="30"/>
      <c r="H49" s="2178"/>
      <c r="I49" s="2178"/>
      <c r="J49" s="2178"/>
      <c r="K49" s="2178"/>
      <c r="L49" s="2178"/>
      <c r="M49" s="2179"/>
      <c r="N49" s="1826" t="str">
        <f>IF(H49="","&lt;----",IF(AC54=1,1,INDEX(Tab!$R$63:$R$72,AC54)))</f>
        <v>&lt;----</v>
      </c>
      <c r="O49" s="118"/>
      <c r="P49" s="30"/>
      <c r="Q49" s="30"/>
      <c r="R49" s="30"/>
      <c r="S49" s="30"/>
      <c r="T49" s="63" t="str">
        <f>Uebersetzung!D221</f>
        <v>Température</v>
      </c>
      <c r="U49" s="1234"/>
      <c r="V49" s="51"/>
      <c r="W49" s="30"/>
      <c r="X49" s="194" t="str">
        <f>K31</f>
        <v>No</v>
      </c>
      <c r="Y49" s="195" t="str">
        <f>L31</f>
        <v>Valeur U</v>
      </c>
      <c r="Z49" s="30"/>
      <c r="AA49" s="57"/>
      <c r="AC49" s="2092" t="b">
        <f>IF(AD49=$AC$7,TRUE,FALSE)</f>
        <v>1</v>
      </c>
      <c r="AD49" s="1509" t="s">
        <v>446</v>
      </c>
      <c r="AE49" s="2095" t="s">
        <v>1448</v>
      </c>
      <c r="AF49" s="917" t="s">
        <v>1449</v>
      </c>
      <c r="AG49" s="918" t="s">
        <v>1450</v>
      </c>
      <c r="AH49" s="940" t="s">
        <v>691</v>
      </c>
      <c r="AJ49" s="121">
        <f>Tab!$L63</f>
        <v>0</v>
      </c>
      <c r="AK49" s="122"/>
      <c r="AL49" s="122"/>
      <c r="AM49" s="122"/>
      <c r="AN49" s="122"/>
      <c r="AO49" s="304">
        <v>1</v>
      </c>
      <c r="AP49" s="121">
        <f>Tab!$L82</f>
        <v>0</v>
      </c>
      <c r="AQ49" s="122"/>
      <c r="AR49" s="122"/>
      <c r="AS49" s="122"/>
      <c r="AT49" s="122"/>
      <c r="AU49" s="399">
        <v>1</v>
      </c>
    </row>
    <row r="50" spans="2:73" ht="13.9" customHeight="1">
      <c r="B50" s="118"/>
      <c r="C50" s="1836" t="s">
        <v>3049</v>
      </c>
      <c r="D50" s="30"/>
      <c r="E50" s="175" t="str">
        <f>Uebersetzung!D219</f>
        <v>local non chauffé</v>
      </c>
      <c r="F50" s="30"/>
      <c r="G50" s="30"/>
      <c r="H50" s="2180"/>
      <c r="I50" s="2180"/>
      <c r="J50" s="2180"/>
      <c r="K50" s="2180"/>
      <c r="L50" s="2180"/>
      <c r="M50" s="2181"/>
      <c r="N50" s="1826" t="str">
        <f>IF(H50="","&lt;----",IF(AC55=1,1,INDEX(Tab!$R$63:$R$72,AC55)))</f>
        <v>&lt;----</v>
      </c>
      <c r="O50" s="118"/>
      <c r="P50" s="30"/>
      <c r="Q50" s="30"/>
      <c r="R50" s="30"/>
      <c r="S50" s="30"/>
      <c r="T50" s="63" t="str">
        <f>Uebersetzung!D222</f>
        <v>voisine</v>
      </c>
      <c r="U50" s="1234"/>
      <c r="V50" s="175" t="str">
        <f>Uebersetzung!D162</f>
        <v>Surfaces</v>
      </c>
      <c r="W50" s="175"/>
      <c r="X50" s="30"/>
      <c r="Y50" s="576" t="s">
        <v>3034</v>
      </c>
      <c r="Z50" s="30"/>
      <c r="AA50" s="62" t="str">
        <f>Uebersetzung!D653</f>
        <v>Expos.</v>
      </c>
      <c r="AD50" s="106"/>
      <c r="AE50" s="919">
        <f>IF(I57&lt;=2,1.5,IF(I57&lt;=5,1.3,1.2))</f>
        <v>1.5</v>
      </c>
      <c r="AF50" s="920">
        <f ca="1">(Thetai-Thetaea)/(Thetai-TaMin)</f>
        <v>0.72413793103448276</v>
      </c>
      <c r="AG50" s="921">
        <f ca="1">AF50*AE50*N57</f>
        <v>1.0862068965517242</v>
      </c>
      <c r="AH50" s="332">
        <f>I57</f>
        <v>0</v>
      </c>
      <c r="AJ50" s="118" t="str">
        <f>Tab!$L64</f>
        <v>combles, toit non isolé</v>
      </c>
      <c r="AK50" s="30"/>
      <c r="AL50" s="30"/>
      <c r="AM50" s="30"/>
      <c r="AN50" s="30"/>
      <c r="AO50" s="327">
        <v>2</v>
      </c>
      <c r="AP50" s="118" t="str">
        <f>Tab!$L83</f>
        <v>combles, toit non isolé</v>
      </c>
      <c r="AQ50" s="30"/>
      <c r="AR50" s="30"/>
      <c r="AS50" s="30"/>
      <c r="AT50" s="30"/>
      <c r="AU50" s="393">
        <v>2</v>
      </c>
    </row>
    <row r="51" spans="2:73" ht="13.9" customHeight="1">
      <c r="B51" s="118"/>
      <c r="C51" s="1836" t="s">
        <v>3050</v>
      </c>
      <c r="D51" s="30"/>
      <c r="E51" s="175" t="str">
        <f>Uebersetzung!D219</f>
        <v>local non chauffé</v>
      </c>
      <c r="F51" s="30"/>
      <c r="G51" s="30"/>
      <c r="H51" s="2180"/>
      <c r="I51" s="2180"/>
      <c r="J51" s="2180"/>
      <c r="K51" s="2180"/>
      <c r="L51" s="2180"/>
      <c r="M51" s="2181"/>
      <c r="N51" s="1826" t="str">
        <f>IF(H51="","&lt;----",IF(AC56=1,1,INDEX(Tab!$R$63:$R$72,AC56)))</f>
        <v>&lt;----</v>
      </c>
      <c r="O51" s="253"/>
      <c r="P51" s="30"/>
      <c r="Q51" s="30"/>
      <c r="R51" s="30" t="str">
        <f>Uebersetzung!D168</f>
        <v>Première paroi</v>
      </c>
      <c r="S51" s="30"/>
      <c r="T51" s="227"/>
      <c r="U51" s="30" t="s">
        <v>2324</v>
      </c>
      <c r="V51" s="25"/>
      <c r="W51" s="30" t="s">
        <v>243</v>
      </c>
      <c r="X51" s="1842"/>
      <c r="Y51" s="98"/>
      <c r="Z51" s="1529">
        <f>IF(X51&gt;0,IF(Y51&gt;0,Fehler1,INDEX(UWert!$BD$7:$BD$41,X51)),Y51)</f>
        <v>0</v>
      </c>
      <c r="AA51" s="2089"/>
      <c r="AC51" s="399">
        <f>IF(AA51="",1,VLOOKUP(AA51,$AE$42:$AF$46,2,FALSE))</f>
        <v>1</v>
      </c>
      <c r="AD51" s="190"/>
      <c r="AE51" s="919">
        <f>IF(I58&lt;=2,1.5,IF(I58&lt;=5,1.3,1.2))</f>
        <v>1.5</v>
      </c>
      <c r="AF51" s="920">
        <f ca="1">(Thetai-Thetaea)/(Thetai-TaMin)</f>
        <v>0.72413793103448276</v>
      </c>
      <c r="AG51" s="921">
        <f ca="1">AF51*AE51*N58</f>
        <v>1.0862068965517242</v>
      </c>
      <c r="AH51" s="333">
        <f>I58</f>
        <v>0</v>
      </c>
      <c r="AJ51" s="118" t="str">
        <f>Tab!$L65</f>
        <v>combles, toit isolé Uue&lt;0.4W/m2K</v>
      </c>
      <c r="AK51" s="30"/>
      <c r="AL51" s="30"/>
      <c r="AM51" s="30"/>
      <c r="AN51" s="30"/>
      <c r="AO51" s="327">
        <v>3</v>
      </c>
      <c r="AP51" s="118" t="str">
        <f>Tab!$L84</f>
        <v>combles, toit isolé Uue&lt;0.4W/m2K</v>
      </c>
      <c r="AQ51" s="30"/>
      <c r="AR51" s="30"/>
      <c r="AS51" s="30"/>
      <c r="AT51" s="30"/>
      <c r="AU51" s="393">
        <v>3</v>
      </c>
    </row>
    <row r="52" spans="2:73" ht="13.9" customHeight="1">
      <c r="B52" s="118"/>
      <c r="C52" s="1836" t="s">
        <v>3051</v>
      </c>
      <c r="D52" s="30"/>
      <c r="E52" s="175" t="str">
        <f>Uebersetzung!D219</f>
        <v>local non chauffé</v>
      </c>
      <c r="F52" s="30"/>
      <c r="G52" s="30"/>
      <c r="H52" s="2180"/>
      <c r="I52" s="2180"/>
      <c r="J52" s="2180"/>
      <c r="K52" s="2180"/>
      <c r="L52" s="2180"/>
      <c r="M52" s="2181"/>
      <c r="N52" s="1826" t="str">
        <f>IF(H52="","&lt;----",IF(AC57=1,1,INDEX(Tab!$R$63:$R$72,AC57)))</f>
        <v>&lt;----</v>
      </c>
      <c r="O52" s="617"/>
      <c r="Q52" s="30"/>
      <c r="R52" s="30" t="str">
        <f>Uebersetzung!D169</f>
        <v>2ème paroi</v>
      </c>
      <c r="S52" s="30"/>
      <c r="T52" s="2040"/>
      <c r="U52" s="30" t="s">
        <v>2324</v>
      </c>
      <c r="V52" s="1236"/>
      <c r="W52" s="30" t="s">
        <v>243</v>
      </c>
      <c r="X52" s="1843"/>
      <c r="Y52" s="1237"/>
      <c r="Z52" s="1529">
        <f>IF(X52&gt;0,IF(Y52&gt;0,Fehler1,INDEX(UWert!$BD$7:$BD$41,X52)),Y52)</f>
        <v>0</v>
      </c>
      <c r="AA52" s="2089"/>
      <c r="AC52" s="413">
        <f>IF(AA52="",1,VLOOKUP(AA52,$AE$42:$AF$46,2,FALSE))</f>
        <v>1</v>
      </c>
      <c r="AE52" s="919"/>
      <c r="AF52" s="922"/>
      <c r="AG52" s="921"/>
      <c r="AH52" s="393"/>
      <c r="AJ52" s="118" t="str">
        <f>Tab!$L66</f>
        <v>sous-sol entièrement enterré</v>
      </c>
      <c r="AK52" s="30"/>
      <c r="AL52" s="30"/>
      <c r="AM52" s="30"/>
      <c r="AN52" s="30"/>
      <c r="AO52" s="327">
        <v>4</v>
      </c>
      <c r="AP52" s="118" t="str">
        <f>Tab!$L85</f>
        <v>pièce annexe</v>
      </c>
      <c r="AQ52" s="30"/>
      <c r="AR52" s="30"/>
      <c r="AS52" s="30"/>
      <c r="AT52" s="30"/>
      <c r="AU52" s="393">
        <v>4</v>
      </c>
    </row>
    <row r="53" spans="2:73" ht="13.9" customHeight="1">
      <c r="B53" s="118"/>
      <c r="C53" s="30"/>
      <c r="D53" s="30"/>
      <c r="E53" s="30"/>
      <c r="F53" s="30"/>
      <c r="G53" s="30"/>
      <c r="H53" s="193"/>
      <c r="I53" s="1849"/>
      <c r="J53" s="30"/>
      <c r="K53" s="30"/>
      <c r="L53" s="193"/>
      <c r="M53" s="30"/>
      <c r="N53" s="30"/>
      <c r="O53" s="119"/>
      <c r="P53" s="31"/>
      <c r="Q53" s="31"/>
      <c r="R53" s="31"/>
      <c r="S53" s="31"/>
      <c r="T53" s="31" t="str">
        <f>T75</f>
        <v>(Supplément de régulation y inclu)</v>
      </c>
      <c r="U53" s="31"/>
      <c r="V53" s="152"/>
      <c r="W53" s="31"/>
      <c r="X53" s="31"/>
      <c r="Y53" s="188"/>
      <c r="Z53" s="31"/>
      <c r="AA53" s="60"/>
      <c r="AC53" s="106" t="s">
        <v>865</v>
      </c>
      <c r="AE53" s="919">
        <v>1</v>
      </c>
      <c r="AF53" s="922">
        <v>1</v>
      </c>
      <c r="AG53" s="921" t="e">
        <f>AF53*AE53*#REF!</f>
        <v>#REF!</v>
      </c>
      <c r="AH53" s="393">
        <v>0</v>
      </c>
      <c r="AJ53" s="118" t="str">
        <f>IF(_Ver09,"",Tab!$L67)</f>
        <v>sous-sol entièrement enterré, isolé Uue&lt;0.4W/m2K</v>
      </c>
      <c r="AK53" s="30"/>
      <c r="AL53" s="30"/>
      <c r="AM53" s="30"/>
      <c r="AN53" s="30"/>
      <c r="AO53" s="327">
        <v>5</v>
      </c>
      <c r="AP53" s="118" t="str">
        <f>Tab!$L86</f>
        <v>pièce annexe, isolé Uue&lt;0.4W/m2K</v>
      </c>
      <c r="AQ53" s="30"/>
      <c r="AR53" s="30"/>
      <c r="AS53" s="30"/>
      <c r="AT53" s="30"/>
      <c r="AU53" s="393">
        <v>5</v>
      </c>
    </row>
    <row r="54" spans="2:73" ht="13.9" customHeight="1">
      <c r="B54" s="121"/>
      <c r="C54" s="347"/>
      <c r="D54" s="122"/>
      <c r="E54" s="402" t="str">
        <f>Uebersetzung!D161</f>
        <v>Parois en contact avec le terrain:</v>
      </c>
      <c r="F54" s="122"/>
      <c r="G54" s="122"/>
      <c r="H54" s="197"/>
      <c r="I54" s="151"/>
      <c r="J54" s="122"/>
      <c r="K54" s="122"/>
      <c r="L54" s="1844">
        <f>IF(OR(AC40=1,AC41=1),Uebersetzung!D290,)</f>
        <v>0</v>
      </c>
      <c r="M54" s="1271"/>
      <c r="N54" s="122"/>
      <c r="O54" s="1272"/>
      <c r="P54" s="1272"/>
      <c r="Q54" s="1272"/>
      <c r="R54" s="1270"/>
      <c r="S54" s="122"/>
      <c r="T54" s="1846"/>
      <c r="U54" s="402"/>
      <c r="V54" s="151"/>
      <c r="W54" s="1270"/>
      <c r="X54" s="122"/>
      <c r="Y54" s="187"/>
      <c r="Z54" s="122"/>
      <c r="AA54" s="172"/>
      <c r="AC54" s="297">
        <f>IF($H49="",1,VLOOKUP($H49,$AJ$49:$AO$58,6,FALSE))</f>
        <v>1</v>
      </c>
      <c r="AD54" s="106"/>
      <c r="AE54" s="919">
        <v>1</v>
      </c>
      <c r="AF54" s="922">
        <v>1</v>
      </c>
      <c r="AG54" s="921" t="e">
        <f>AF54*AE54*#REF!</f>
        <v>#REF!</v>
      </c>
      <c r="AH54" s="393">
        <v>0</v>
      </c>
      <c r="AJ54" s="118" t="str">
        <f>Tab!$L68</f>
        <v>sous-sol partiellement enterré ou hors terre</v>
      </c>
      <c r="AK54" s="30"/>
      <c r="AL54" s="30"/>
      <c r="AM54" s="30"/>
      <c r="AN54" s="30"/>
      <c r="AO54" s="327">
        <v>6</v>
      </c>
      <c r="AP54" s="118" t="str">
        <f>Tab!$L87</f>
        <v>jardin d' hiver, véranda</v>
      </c>
      <c r="AQ54" s="30"/>
      <c r="AR54" s="30"/>
      <c r="AS54" s="30"/>
      <c r="AT54" s="30"/>
      <c r="AU54" s="393">
        <v>6</v>
      </c>
      <c r="BR54" s="30"/>
      <c r="BS54" s="193"/>
      <c r="BT54" s="30"/>
      <c r="BU54" s="30"/>
    </row>
    <row r="55" spans="2:73" ht="13.9" customHeight="1">
      <c r="B55" s="118"/>
      <c r="C55" s="345"/>
      <c r="D55" s="30"/>
      <c r="E55" s="30"/>
      <c r="F55" s="30"/>
      <c r="G55" s="30"/>
      <c r="H55" s="199"/>
      <c r="I55" s="194" t="str">
        <f>N62</f>
        <v>Profondeur</v>
      </c>
      <c r="J55" s="30"/>
      <c r="K55" s="30"/>
      <c r="L55" s="194" t="str">
        <f>Uebersetzung!D189</f>
        <v>Grosseur de</v>
      </c>
      <c r="M55" s="30"/>
      <c r="N55" s="30"/>
      <c r="O55" s="30"/>
      <c r="P55" s="30"/>
      <c r="Q55" s="30"/>
      <c r="R55" s="194" t="s">
        <v>3098</v>
      </c>
      <c r="S55" s="30"/>
      <c r="T55" s="200"/>
      <c r="U55" s="30"/>
      <c r="V55" s="51"/>
      <c r="W55" s="30"/>
      <c r="X55" s="200"/>
      <c r="Y55" s="193"/>
      <c r="Z55" s="30"/>
      <c r="AA55" s="57"/>
      <c r="AC55" s="298">
        <f>IF($H50="",1,VLOOKUP($H50,$AJ$49:$AO$58,6,FALSE))</f>
        <v>1</v>
      </c>
      <c r="AE55" s="919"/>
      <c r="AF55" s="922"/>
      <c r="AG55" s="921"/>
      <c r="AH55" s="393"/>
      <c r="AJ55" s="118" t="str">
        <f>IF(_Ver09,"",Tab!$L69)</f>
        <v>sous-sol partiellement enterré, isolé Uue&lt;0.4W/m2K</v>
      </c>
      <c r="AK55" s="30"/>
      <c r="AL55" s="30"/>
      <c r="AM55" s="30"/>
      <c r="AN55" s="30"/>
      <c r="AO55" s="327">
        <v>7</v>
      </c>
      <c r="AP55" s="118"/>
      <c r="AQ55" s="30"/>
      <c r="AR55" s="30"/>
      <c r="AS55" s="30"/>
      <c r="AT55" s="30"/>
      <c r="AU55" s="393">
        <v>7</v>
      </c>
    </row>
    <row r="56" spans="2:73" ht="13.9" customHeight="1">
      <c r="B56" s="118"/>
      <c r="C56" s="1825" t="str">
        <f>Uebersetzung!D289</f>
        <v>No</v>
      </c>
      <c r="D56" s="30"/>
      <c r="E56" s="30"/>
      <c r="F56" s="30"/>
      <c r="G56" s="30"/>
      <c r="H56" s="199"/>
      <c r="I56" s="194" t="str">
        <f>N63</f>
        <v>dans terrain:</v>
      </c>
      <c r="J56" s="30"/>
      <c r="K56" s="30"/>
      <c r="L56" s="194" t="str">
        <f>Uebersetzung!D190</f>
        <v>la parois</v>
      </c>
      <c r="M56" s="51"/>
      <c r="N56" s="175" t="str">
        <f>T63</f>
        <v>Valeur b</v>
      </c>
      <c r="O56" s="30"/>
      <c r="P56" s="30"/>
      <c r="Q56" s="30"/>
      <c r="R56" s="194" t="s">
        <v>696</v>
      </c>
      <c r="S56" s="30"/>
      <c r="T56" s="30"/>
      <c r="U56" s="30"/>
      <c r="V56" s="51" t="str">
        <f>Uebersetzung!D192</f>
        <v>Méthode</v>
      </c>
      <c r="W56" s="30"/>
      <c r="X56" s="2189" t="s">
        <v>951</v>
      </c>
      <c r="Y56" s="2189"/>
      <c r="Z56" s="2189"/>
      <c r="AA56" s="2190"/>
      <c r="AC56" s="298">
        <f>IF($H51="",1,VLOOKUP($H51,$AJ$49:$AO$58,6,FALSE))</f>
        <v>1</v>
      </c>
      <c r="AD56" s="190"/>
      <c r="AE56" s="919">
        <v>1</v>
      </c>
      <c r="AF56" s="922">
        <v>1</v>
      </c>
      <c r="AG56" s="921" t="e">
        <f>AF56*AE56*N49</f>
        <v>#VALUE!</v>
      </c>
      <c r="AH56" s="393">
        <v>0</v>
      </c>
      <c r="AJ56" s="118" t="str">
        <f>Tab!$L70</f>
        <v>pièce annexe</v>
      </c>
      <c r="AK56" s="30"/>
      <c r="AL56" s="30"/>
      <c r="AM56" s="30"/>
      <c r="AN56" s="30"/>
      <c r="AO56" s="327">
        <v>8</v>
      </c>
      <c r="AP56" s="118"/>
      <c r="AQ56" s="30"/>
      <c r="AR56" s="30"/>
      <c r="AS56" s="30"/>
      <c r="AT56" s="30"/>
      <c r="AU56" s="393">
        <v>8</v>
      </c>
    </row>
    <row r="57" spans="2:73" ht="13.9" customHeight="1">
      <c r="B57" s="118"/>
      <c r="C57" s="1836" t="s">
        <v>3048</v>
      </c>
      <c r="D57" s="30"/>
      <c r="E57" s="175" t="str">
        <f>Uebersetzung!D294</f>
        <v>Parois contre le terrain</v>
      </c>
      <c r="F57" s="30"/>
      <c r="G57" s="30"/>
      <c r="H57" s="199"/>
      <c r="I57" s="160"/>
      <c r="J57" s="175" t="s">
        <v>808</v>
      </c>
      <c r="K57" s="30"/>
      <c r="L57" s="160"/>
      <c r="M57" s="30" t="s">
        <v>808</v>
      </c>
      <c r="N57" s="294">
        <f>IF(AF39,Tab!E46,IF(AND(AH40=TRUE,AC69&gt;1),AG149,AG149))</f>
        <v>1</v>
      </c>
      <c r="O57" s="30"/>
      <c r="P57" s="175"/>
      <c r="Q57" s="175"/>
      <c r="R57" s="292">
        <f>IF((I23+V23+I42+V42)&gt;0,(I23*UWand1+V23*UWand3+I42*UWand5+V42*UWand7)/(I23+V23+I42+V42),0)</f>
        <v>0</v>
      </c>
      <c r="S57" s="30"/>
      <c r="T57" s="30"/>
      <c r="U57" s="1234" t="str">
        <f>IF(AND(K104&gt;0,INDEX(UWert!$BG$7:$BG$46,K104,1)),"*1","")</f>
        <v/>
      </c>
      <c r="V57" s="51" t="str">
        <f>Uebersetzung!D193</f>
        <v>Bande de rive: *</v>
      </c>
      <c r="W57" s="30"/>
      <c r="X57" s="2187" t="s">
        <v>2914</v>
      </c>
      <c r="Y57" s="2187"/>
      <c r="Z57" s="2187"/>
      <c r="AA57" s="2188"/>
      <c r="AB57" s="148"/>
      <c r="AC57" s="299">
        <f>IF($H52="",1,VLOOKUP($H52,$AJ$49:$AO$58,6,FALSE))</f>
        <v>1</v>
      </c>
      <c r="AD57" s="190"/>
      <c r="AE57" s="919">
        <v>1</v>
      </c>
      <c r="AF57" s="922">
        <v>1</v>
      </c>
      <c r="AG57" s="921" t="e">
        <f>AF57*AE57*N50</f>
        <v>#VALUE!</v>
      </c>
      <c r="AH57" s="393">
        <v>0</v>
      </c>
      <c r="AJ57" s="118" t="str">
        <f>Tab!$L71</f>
        <v>pièce annexe, isolé Uue&lt;0.4W/m2K</v>
      </c>
      <c r="AK57" s="30"/>
      <c r="AL57" s="30"/>
      <c r="AM57" s="30"/>
      <c r="AN57" s="30"/>
      <c r="AO57" s="327">
        <v>9</v>
      </c>
      <c r="AP57" s="118"/>
      <c r="AQ57" s="30"/>
      <c r="AR57" s="30"/>
      <c r="AS57" s="30"/>
      <c r="AT57" s="30"/>
      <c r="AU57" s="393">
        <v>9</v>
      </c>
    </row>
    <row r="58" spans="2:73" ht="13.9" customHeight="1">
      <c r="B58" s="118"/>
      <c r="C58" s="1836" t="s">
        <v>3049</v>
      </c>
      <c r="D58" s="30"/>
      <c r="E58" s="175" t="str">
        <f>Uebersetzung!D294</f>
        <v>Parois contre le terrain</v>
      </c>
      <c r="F58" s="30"/>
      <c r="G58" s="30"/>
      <c r="H58" s="199"/>
      <c r="I58" s="1238"/>
      <c r="J58" s="175" t="s">
        <v>808</v>
      </c>
      <c r="K58" s="30"/>
      <c r="L58" s="1238"/>
      <c r="M58" s="30" t="s">
        <v>808</v>
      </c>
      <c r="N58" s="294">
        <f>IF(AF39,Tab!H46,IF(AND(AH40=TRUE,AC69&gt;1),AI149,AI149))</f>
        <v>1</v>
      </c>
      <c r="O58" s="30"/>
      <c r="P58" s="175"/>
      <c r="Q58" s="175"/>
      <c r="R58" s="292">
        <f>IF((I24+V24+I43+V43)&gt;0,(I24*UWand2+V24*UWand4+I43*UWand6+V43*UWand8)/(I24+V24+I43+V43),0)</f>
        <v>0</v>
      </c>
      <c r="S58" s="30"/>
      <c r="T58" s="962"/>
      <c r="U58" s="1234" t="str">
        <f>IF(AND(K105&gt;0,INDEX(UWert!$BG$7:$BG$46,K105,1)),"*1","")</f>
        <v/>
      </c>
      <c r="V58" s="51" t="str">
        <f>Uebersetzung!D194</f>
        <v>Mat. de terrain</v>
      </c>
      <c r="W58" s="30"/>
      <c r="X58" s="2187" t="s">
        <v>2906</v>
      </c>
      <c r="Y58" s="2187"/>
      <c r="Z58" s="2187"/>
      <c r="AA58" s="2188"/>
      <c r="AB58" s="148"/>
      <c r="AD58" s="190"/>
      <c r="AE58" s="919">
        <v>1</v>
      </c>
      <c r="AF58" s="922">
        <v>1</v>
      </c>
      <c r="AG58" s="921" t="e">
        <f>AF58*AE58*N51</f>
        <v>#VALUE!</v>
      </c>
      <c r="AH58" s="393">
        <v>0</v>
      </c>
      <c r="AJ58" s="119" t="str">
        <f>Tab!$L72</f>
        <v>jardin d' hiver, véranda</v>
      </c>
      <c r="AK58" s="31"/>
      <c r="AL58" s="31"/>
      <c r="AM58" s="31"/>
      <c r="AN58" s="31"/>
      <c r="AO58" s="305">
        <v>10</v>
      </c>
      <c r="AP58" s="119"/>
      <c r="AQ58" s="31"/>
      <c r="AR58" s="31"/>
      <c r="AS58" s="31"/>
      <c r="AT58" s="31"/>
      <c r="AU58" s="396">
        <v>10</v>
      </c>
    </row>
    <row r="59" spans="2:73" ht="13.9" customHeight="1">
      <c r="B59" s="119"/>
      <c r="C59" s="1303"/>
      <c r="D59" s="31"/>
      <c r="E59" s="1845">
        <f>IF(AC70=AC45,IF(AF41=FALSE,Uebersetzung!D291,IF(AND(AC44&gt;1,AC69&gt;1),Uebersetzung!D292,)),Uebersetzung!D293)</f>
        <v>0</v>
      </c>
      <c r="F59" s="31"/>
      <c r="G59" s="31"/>
      <c r="H59" s="196"/>
      <c r="I59" s="152"/>
      <c r="J59" s="31"/>
      <c r="K59" s="31"/>
      <c r="L59" s="188"/>
      <c r="M59" s="31"/>
      <c r="N59" s="31"/>
      <c r="O59" s="31"/>
      <c r="P59" s="31"/>
      <c r="Q59" s="31"/>
      <c r="R59" s="31"/>
      <c r="S59" s="31"/>
      <c r="T59" s="31"/>
      <c r="U59" s="31"/>
      <c r="V59" s="152"/>
      <c r="W59" s="31"/>
      <c r="X59" s="31"/>
      <c r="Y59" s="188"/>
      <c r="Z59" s="31"/>
      <c r="AA59" s="1847" t="str">
        <f>Uebersetzung!D196</f>
        <v xml:space="preserve">* H = Hauteur, D = Grosseur, l = Valeur lambda     </v>
      </c>
      <c r="AB59" s="148"/>
      <c r="AD59" s="30"/>
      <c r="AE59" s="919"/>
      <c r="AF59" s="922"/>
      <c r="AG59" s="921"/>
      <c r="AH59" s="393"/>
    </row>
    <row r="60" spans="2:73" ht="6" customHeight="1">
      <c r="H60" s="46"/>
      <c r="AB60" s="148"/>
      <c r="AD60" s="190"/>
      <c r="AE60" s="919">
        <v>1</v>
      </c>
      <c r="AF60" s="922">
        <v>1</v>
      </c>
      <c r="AG60" s="921" t="e">
        <f>AF60*AE60*N52</f>
        <v>#VALUE!</v>
      </c>
      <c r="AH60" s="393">
        <v>0</v>
      </c>
    </row>
    <row r="61" spans="2:73" ht="13.9" customHeight="1">
      <c r="B61" s="121"/>
      <c r="C61" s="2175" t="str">
        <f>Uebersetzung!D135</f>
        <v>Chauffage</v>
      </c>
      <c r="D61" s="122"/>
      <c r="E61" s="204" t="s">
        <v>350</v>
      </c>
      <c r="F61" s="122"/>
      <c r="G61" s="122"/>
      <c r="H61" s="197"/>
      <c r="I61" s="151"/>
      <c r="J61" s="122"/>
      <c r="K61" s="122"/>
      <c r="L61" s="187"/>
      <c r="M61" s="122"/>
      <c r="N61" s="122"/>
      <c r="O61" s="122"/>
      <c r="P61" s="122"/>
      <c r="Q61" s="122"/>
      <c r="R61" s="122"/>
      <c r="S61" s="122"/>
      <c r="T61" s="122"/>
      <c r="U61" s="122"/>
      <c r="V61" s="122"/>
      <c r="W61" s="122"/>
      <c r="X61" s="122"/>
      <c r="Y61" s="122"/>
      <c r="Z61" s="122"/>
      <c r="AA61" s="172"/>
      <c r="AB61" s="148"/>
      <c r="AE61" s="229"/>
      <c r="AF61" s="922"/>
      <c r="AG61" s="921"/>
      <c r="AH61" s="393"/>
      <c r="AJ61" s="106" t="s">
        <v>599</v>
      </c>
    </row>
    <row r="62" spans="2:73" ht="13.15" customHeight="1">
      <c r="B62" s="118"/>
      <c r="C62" s="2176"/>
      <c r="D62" s="30"/>
      <c r="E62" s="205" t="str">
        <f>Uebersetzung!D174</f>
        <v>Plancher:</v>
      </c>
      <c r="F62" s="30"/>
      <c r="G62" s="30"/>
      <c r="H62" s="199"/>
      <c r="I62" s="916">
        <f>IF(OR(AC40=1,AC41=1),Uebersetzung!D290,)</f>
        <v>0</v>
      </c>
      <c r="J62" s="30"/>
      <c r="K62" s="30"/>
      <c r="L62" s="193"/>
      <c r="M62" s="30"/>
      <c r="N62" s="200" t="str">
        <f>Uebersetzung!D184</f>
        <v>Profondeur</v>
      </c>
      <c r="O62" s="30"/>
      <c r="P62" s="30"/>
      <c r="Q62" s="30"/>
      <c r="R62" s="200" t="str">
        <f>Uebersetzung!D186</f>
        <v>Longeur</v>
      </c>
      <c r="S62" s="30"/>
      <c r="T62" s="30"/>
      <c r="U62" s="30"/>
      <c r="V62" s="916" t="str">
        <f>IF(OR(U67&lt;&gt;"",U68&lt;&gt;"",U70&lt;&gt;"",U71&lt;&gt;""),Uebersetzung!D220,"")</f>
        <v/>
      </c>
      <c r="W62" s="30"/>
      <c r="X62" s="520"/>
      <c r="Y62" s="30"/>
      <c r="Z62" s="30"/>
      <c r="AA62" s="57"/>
      <c r="AC62" s="148"/>
      <c r="AD62" s="148"/>
      <c r="AE62" s="229"/>
      <c r="AF62" s="922"/>
      <c r="AG62" s="921"/>
      <c r="AH62" s="393"/>
      <c r="AJ62" s="121">
        <f>Tab!$L75</f>
        <v>0</v>
      </c>
      <c r="AK62" s="122"/>
      <c r="AL62" s="122"/>
      <c r="AM62" s="122"/>
      <c r="AN62" s="122"/>
      <c r="AO62" s="399">
        <v>1</v>
      </c>
    </row>
    <row r="63" spans="2:73" ht="13.15" customHeight="1">
      <c r="B63" s="118"/>
      <c r="C63" s="2177"/>
      <c r="D63" s="30"/>
      <c r="E63" s="206"/>
      <c r="F63" s="30"/>
      <c r="G63" s="30"/>
      <c r="H63" s="199"/>
      <c r="I63" s="105" t="str">
        <f>V50</f>
        <v>Surfaces</v>
      </c>
      <c r="J63" s="30"/>
      <c r="K63" s="58" t="str">
        <f>X49</f>
        <v>No</v>
      </c>
      <c r="L63" s="186" t="str">
        <f>Y49</f>
        <v>Valeur U</v>
      </c>
      <c r="M63" s="30"/>
      <c r="N63" s="200" t="str">
        <f>Uebersetzung!D185</f>
        <v>dans terrain:</v>
      </c>
      <c r="O63" s="30"/>
      <c r="P63" s="30"/>
      <c r="Q63" s="30"/>
      <c r="R63" s="200" t="str">
        <f>Uebersetzung!D187</f>
        <v>des côtés</v>
      </c>
      <c r="S63" s="30"/>
      <c r="T63" s="200" t="str">
        <f>Uebersetzung!D188</f>
        <v>Valeur b</v>
      </c>
      <c r="U63" s="30"/>
      <c r="V63" s="200">
        <f>U54</f>
        <v>0</v>
      </c>
      <c r="W63" s="30"/>
      <c r="X63" s="30"/>
      <c r="Y63" s="30"/>
      <c r="Z63" s="30"/>
      <c r="AA63" s="57"/>
      <c r="AC63" s="148"/>
      <c r="AD63" s="148"/>
      <c r="AE63" s="229"/>
      <c r="AF63" s="922"/>
      <c r="AG63" s="921"/>
      <c r="AH63" s="393"/>
      <c r="AJ63" s="118" t="str">
        <f>Tab!$L76</f>
        <v>sous-sol entièrement enterré</v>
      </c>
      <c r="AK63" s="30"/>
      <c r="AL63" s="30"/>
      <c r="AM63" s="30"/>
      <c r="AN63" s="30"/>
      <c r="AO63" s="393">
        <v>2</v>
      </c>
    </row>
    <row r="64" spans="2:73" ht="13.9" customHeight="1">
      <c r="B64" s="118"/>
      <c r="C64" s="1509" t="s">
        <v>446</v>
      </c>
      <c r="D64" s="30"/>
      <c r="E64" s="30" t="str">
        <f>Uebersetzung!D175</f>
        <v>exposé à l'air extérieur</v>
      </c>
      <c r="F64" s="30"/>
      <c r="G64" s="30"/>
      <c r="H64" s="199"/>
      <c r="I64" s="25"/>
      <c r="J64" s="30" t="s">
        <v>243</v>
      </c>
      <c r="K64" s="360"/>
      <c r="L64" s="1240"/>
      <c r="M64" s="291">
        <f>IF(K64&gt;0,IF(L64&gt;0,Fehler1,INDEX(UWert!$BD$7:$BD$41,K64)),L64)</f>
        <v>0</v>
      </c>
      <c r="N64" s="30"/>
      <c r="O64" s="30"/>
      <c r="P64" s="30"/>
      <c r="Q64" s="30"/>
      <c r="R64" s="30"/>
      <c r="S64" s="30"/>
      <c r="T64" s="291">
        <v>1</v>
      </c>
      <c r="U64" s="30"/>
      <c r="V64" s="46" t="str">
        <f>V56</f>
        <v>Méthode</v>
      </c>
      <c r="W64" s="30"/>
      <c r="X64" s="2189" t="s">
        <v>951</v>
      </c>
      <c r="Y64" s="2189"/>
      <c r="Z64" s="2189"/>
      <c r="AA64" s="2190"/>
      <c r="AE64" s="229"/>
      <c r="AF64" s="922"/>
      <c r="AG64" s="921"/>
      <c r="AH64" s="393"/>
      <c r="AJ64" s="118" t="str">
        <f>IF(_Ver09,"",Tab!$L77)</f>
        <v>sous-sol entièrement enterré, isolé Uue&lt;0.4W/m2K</v>
      </c>
      <c r="AK64" s="30"/>
      <c r="AL64" s="30"/>
      <c r="AM64" s="30"/>
      <c r="AN64" s="30"/>
      <c r="AO64" s="393">
        <v>3</v>
      </c>
      <c r="AP64" s="106" t="s">
        <v>950</v>
      </c>
      <c r="AU64" s="27" t="s">
        <v>1979</v>
      </c>
    </row>
    <row r="65" spans="2:73" ht="13.9" customHeight="1">
      <c r="B65" s="118"/>
      <c r="C65" s="1509" t="s">
        <v>446</v>
      </c>
      <c r="D65" s="30"/>
      <c r="E65" s="30" t="str">
        <f>Uebersetzung!D176</f>
        <v>2ème plancher</v>
      </c>
      <c r="F65" s="30"/>
      <c r="G65" s="30"/>
      <c r="H65" s="199"/>
      <c r="I65" s="1236"/>
      <c r="J65" s="30" t="s">
        <v>243</v>
      </c>
      <c r="K65" s="1239"/>
      <c r="L65" s="1241"/>
      <c r="M65" s="291">
        <f>IF(K65&gt;0,IF(L65&gt;0,Fehler1,INDEX(UWert!$BD$7:$BD$41,K65)),L65)</f>
        <v>0</v>
      </c>
      <c r="N65" s="202">
        <f>IF(OR(AF40=TRUE,AG40=TRUE),IF(OR(I57&lt;&gt;N67,I58&lt;&gt;N68),Uebersetzung!D205,),)</f>
        <v>0</v>
      </c>
      <c r="O65" s="30"/>
      <c r="P65" s="30"/>
      <c r="Q65" s="30"/>
      <c r="R65" s="30"/>
      <c r="S65" s="30"/>
      <c r="T65" s="291">
        <v>1</v>
      </c>
      <c r="U65" s="30"/>
      <c r="AA65" s="1800" t="str">
        <f>Uebersetzung!D197</f>
        <v xml:space="preserve">* B = Largeur, D = Grosseur, l = Valeur lambda     </v>
      </c>
      <c r="AE65" s="229"/>
      <c r="AF65" s="922"/>
      <c r="AG65" s="921"/>
      <c r="AH65" s="393"/>
      <c r="AJ65" s="118" t="str">
        <f>Tab!$L78</f>
        <v>sous-sol partiellement enterré ou hors terre</v>
      </c>
      <c r="AK65" s="30"/>
      <c r="AL65" s="30"/>
      <c r="AM65" s="30"/>
      <c r="AN65" s="30"/>
      <c r="AO65" s="393">
        <v>4</v>
      </c>
      <c r="AP65" s="122" t="s">
        <v>951</v>
      </c>
      <c r="AQ65" s="122"/>
      <c r="AR65" s="122"/>
      <c r="AS65" s="122"/>
      <c r="AT65" s="122"/>
      <c r="AU65" s="638" t="b">
        <v>0</v>
      </c>
      <c r="BR65" s="30"/>
      <c r="BS65" s="30"/>
      <c r="BT65" s="30"/>
      <c r="BU65" s="30"/>
    </row>
    <row r="66" spans="2:73" ht="6" customHeight="1">
      <c r="B66" s="118"/>
      <c r="C66" s="30"/>
      <c r="D66" s="30"/>
      <c r="E66" s="30"/>
      <c r="F66" s="30"/>
      <c r="G66" s="30"/>
      <c r="H66" s="199"/>
      <c r="I66" s="51"/>
      <c r="J66" s="30"/>
      <c r="K66" s="30"/>
      <c r="L66" s="193"/>
      <c r="M66" s="63"/>
      <c r="N66" s="30"/>
      <c r="O66" s="30"/>
      <c r="P66" s="30"/>
      <c r="Q66" s="30"/>
      <c r="R66" s="30"/>
      <c r="S66" s="30"/>
      <c r="T66" s="51"/>
      <c r="U66" s="30"/>
      <c r="V66" s="30"/>
      <c r="W66" s="30"/>
      <c r="X66" s="193"/>
      <c r="Y66" s="30"/>
      <c r="Z66" s="30"/>
      <c r="AA66" s="57"/>
      <c r="AE66" s="229">
        <v>1</v>
      </c>
      <c r="AF66" s="922">
        <v>1</v>
      </c>
      <c r="AG66" s="921">
        <f>AF66*AE66*T64</f>
        <v>1</v>
      </c>
      <c r="AH66" s="393">
        <v>0</v>
      </c>
      <c r="AJ66" s="119" t="str">
        <f>IF(_Ver09,"",Tab!$L79)</f>
        <v>sous-sol partiellement enterré, isolé Uue&lt;0.4W/m2K</v>
      </c>
      <c r="AK66" s="31"/>
      <c r="AL66" s="31"/>
      <c r="AM66" s="31"/>
      <c r="AN66" s="31"/>
      <c r="AO66" s="396">
        <v>5</v>
      </c>
      <c r="AP66" s="31" t="s">
        <v>952</v>
      </c>
      <c r="AQ66" s="31"/>
      <c r="AR66" s="31"/>
      <c r="AS66" s="31"/>
      <c r="AT66" s="31"/>
      <c r="AU66" s="267" t="b">
        <v>1</v>
      </c>
    </row>
    <row r="67" spans="2:73" ht="13.9" customHeight="1">
      <c r="B67" s="118"/>
      <c r="C67" s="1509" t="s">
        <v>446</v>
      </c>
      <c r="D67" s="30"/>
      <c r="E67" s="30" t="str">
        <f>Uebersetzung!D177</f>
        <v>en contact avec le terrain</v>
      </c>
      <c r="F67" s="30"/>
      <c r="G67" s="30"/>
      <c r="H67" s="199"/>
      <c r="I67" s="25"/>
      <c r="J67" s="30" t="s">
        <v>243</v>
      </c>
      <c r="K67" s="360"/>
      <c r="L67" s="98"/>
      <c r="M67" s="291">
        <f>IF(K67&gt;0,IF(L67&gt;0,Fehler1,INDEX(UWert!$BD$7:$BD$41,K67)),L67)</f>
        <v>0</v>
      </c>
      <c r="N67" s="160"/>
      <c r="O67" s="30" t="s">
        <v>808</v>
      </c>
      <c r="P67" s="30"/>
      <c r="Q67" s="30"/>
      <c r="R67" s="25"/>
      <c r="S67" s="30" t="s">
        <v>808</v>
      </c>
      <c r="T67" s="291">
        <f>MAX(IF(AND(K67&gt;0,INDEX(UWert!$BG$7:$BG$46,K67,1)),INDEX(UWert!$BF$7:$BF$46,K67,1),IF(OR(AC40=1,R67=0,N67="",M67=0,I67=0),1,IF($AI$40,IF(AND(AI40=TRUE),$AJ$156,AP39),Tab!L46))),0.02)</f>
        <v>1</v>
      </c>
      <c r="U67" s="1234" t="str">
        <f>IF(AND(K67&gt;0,INDEX(UWert!$BG$7:$BG$46,K67,1)),"*1","")</f>
        <v/>
      </c>
      <c r="V67" s="51" t="str">
        <f>V57</f>
        <v>Bande de rive: *</v>
      </c>
      <c r="W67" s="30"/>
      <c r="X67" s="2189" t="s">
        <v>2912</v>
      </c>
      <c r="Y67" s="2189"/>
      <c r="Z67" s="2189"/>
      <c r="AA67" s="2190"/>
      <c r="AC67" s="106" t="s">
        <v>865</v>
      </c>
      <c r="AD67" s="106"/>
      <c r="AE67" s="229">
        <v>1</v>
      </c>
      <c r="AF67" s="922">
        <v>1</v>
      </c>
      <c r="AG67" s="921">
        <f>AF67*AE67*T65</f>
        <v>1</v>
      </c>
      <c r="AH67" s="393">
        <v>0</v>
      </c>
    </row>
    <row r="68" spans="2:73" ht="13.9" customHeight="1">
      <c r="B68" s="118"/>
      <c r="C68" s="1509" t="s">
        <v>446</v>
      </c>
      <c r="D68" s="30"/>
      <c r="E68" s="30" t="str">
        <f>Uebersetzung!D178</f>
        <v>2ème plancher</v>
      </c>
      <c r="F68" s="30"/>
      <c r="G68" s="30"/>
      <c r="H68" s="199"/>
      <c r="I68" s="1236"/>
      <c r="J68" s="30" t="s">
        <v>243</v>
      </c>
      <c r="K68" s="1239"/>
      <c r="L68" s="1237"/>
      <c r="M68" s="291">
        <f>IF(K68&gt;0,IF(L68&gt;0,Fehler1,INDEX(UWert!$BD$7:$BD$41,K68)),L68)</f>
        <v>0</v>
      </c>
      <c r="N68" s="1238"/>
      <c r="O68" s="30" t="s">
        <v>808</v>
      </c>
      <c r="P68" s="30"/>
      <c r="Q68" s="30"/>
      <c r="R68" s="1236"/>
      <c r="S68" s="30" t="s">
        <v>808</v>
      </c>
      <c r="T68" s="291">
        <f>MAX(IF(AND(K68&gt;0,INDEX(UWert!$BG$7:$BG$46,K68,1)),INDEX(UWert!$BF$7:$BF$46,K68,1),IF(OR(AC41=1,R68=0,N68="",M68=0,I68=0),1,IF($AI$40,AP40,Tab!Q46))),0.02)</f>
        <v>1</v>
      </c>
      <c r="U68" s="1234" t="str">
        <f>IF(AND(K68&gt;0,INDEX(UWert!$BG$7:$BG$46,K68,1)),"*1","")</f>
        <v/>
      </c>
      <c r="V68" s="51" t="str">
        <f>V58</f>
        <v>Mat. de terrain</v>
      </c>
      <c r="W68" s="30"/>
      <c r="X68" s="2189" t="s">
        <v>2906</v>
      </c>
      <c r="Y68" s="2189"/>
      <c r="Z68" s="2189"/>
      <c r="AA68" s="2190"/>
      <c r="AE68" s="229"/>
      <c r="AF68" s="922"/>
      <c r="AG68" s="921"/>
      <c r="AH68" s="393"/>
    </row>
    <row r="69" spans="2:73" ht="6" customHeight="1">
      <c r="B69" s="118"/>
      <c r="C69" s="30"/>
      <c r="D69" s="30"/>
      <c r="E69" s="30"/>
      <c r="F69" s="30"/>
      <c r="G69" s="30"/>
      <c r="H69" s="199"/>
      <c r="I69" s="51"/>
      <c r="J69" s="30"/>
      <c r="K69" s="30"/>
      <c r="L69" s="193"/>
      <c r="M69" s="63"/>
      <c r="N69" s="30"/>
      <c r="O69" s="30"/>
      <c r="P69" s="30"/>
      <c r="Q69" s="30"/>
      <c r="R69" s="30"/>
      <c r="S69" s="30"/>
      <c r="T69" s="30"/>
      <c r="U69" s="30"/>
      <c r="V69" s="51"/>
      <c r="W69" s="30"/>
      <c r="X69" s="30"/>
      <c r="Y69" s="193"/>
      <c r="Z69" s="30"/>
      <c r="AA69" s="57"/>
      <c r="AC69" s="1244">
        <f>IF(X67="",1,VLOOKUP(X67,AR83:AU148,4,FALSE))</f>
        <v>1</v>
      </c>
      <c r="AD69" s="190"/>
      <c r="AE69" s="919">
        <f>IF(N67&lt;=2,1.5,IF(N67&lt;=5,1.3,1.2))</f>
        <v>1.5</v>
      </c>
      <c r="AF69" s="920">
        <f ca="1">(Thetai-Thetaea)/(Thetai-TaMin)</f>
        <v>0.72413793103448276</v>
      </c>
      <c r="AG69" s="921">
        <f ca="1">AF69*AE69*T67</f>
        <v>1.0862068965517242</v>
      </c>
      <c r="AH69" s="941">
        <f>N67</f>
        <v>0</v>
      </c>
      <c r="AJ69" s="106" t="s">
        <v>226</v>
      </c>
    </row>
    <row r="70" spans="2:73" ht="13.9" customHeight="1">
      <c r="B70" s="118"/>
      <c r="C70" s="1509" t="s">
        <v>446</v>
      </c>
      <c r="D70" s="30"/>
      <c r="E70" s="30" t="str">
        <f>Uebersetzung!D179</f>
        <v>contre un local non chauffé</v>
      </c>
      <c r="F70" s="30"/>
      <c r="G70" s="30"/>
      <c r="H70" s="199"/>
      <c r="I70" s="25"/>
      <c r="J70" s="30" t="s">
        <v>243</v>
      </c>
      <c r="K70" s="360"/>
      <c r="L70" s="98"/>
      <c r="M70" s="291">
        <f>IF(K70&gt;0,IF(L70&gt;0,Fehler1,INDEX(UWert!$BD$7:$BD$41,K70)),L70)</f>
        <v>0</v>
      </c>
      <c r="N70" s="202" t="str">
        <f>IF(AND(I70&gt;0,AC72=1),Uebersetzung!D202,"")</f>
        <v/>
      </c>
      <c r="O70" s="30"/>
      <c r="P70" s="30"/>
      <c r="Q70" s="30"/>
      <c r="R70" s="30"/>
      <c r="S70" s="30"/>
      <c r="T70" s="294">
        <f>IF(AND(K70&gt;0,INDEX(UWert!$BG$7:$BG$46,K70,1)),INDEX(UWert!$BF$7:$BF$46,K70,1),IF(AC72=1,1,INDEX(Tab!R75:R79,AC72,)))</f>
        <v>1</v>
      </c>
      <c r="U70" s="1234" t="str">
        <f>IF(AND(K70&gt;0,INDEX(UWert!$BG$7:$BG$46,K70,1)),"*1","")</f>
        <v/>
      </c>
      <c r="V70" s="2178" t="s">
        <v>506</v>
      </c>
      <c r="W70" s="2178"/>
      <c r="X70" s="2178"/>
      <c r="Y70" s="2178"/>
      <c r="Z70" s="2178"/>
      <c r="AA70" s="2179"/>
      <c r="AC70" s="1244">
        <f>IF(X68="",1,VLOOKUP(X68,$AJ$70:$AO$72,6,FALSE))</f>
        <v>1</v>
      </c>
      <c r="AD70" s="63"/>
      <c r="AE70" s="919">
        <f>IF(N68&lt;=2,1.5,IF(N68&lt;=5,1.3,1.2))</f>
        <v>1.5</v>
      </c>
      <c r="AF70" s="920">
        <f ca="1">(Thetai-Thetaea)/(Thetai-TaMin)</f>
        <v>0.72413793103448276</v>
      </c>
      <c r="AG70" s="921">
        <f ca="1">AF70*AE70*T68</f>
        <v>1.0862068965517242</v>
      </c>
      <c r="AH70" s="941">
        <f>N68</f>
        <v>0</v>
      </c>
      <c r="AJ70" s="121" t="str">
        <f>Tab!$L96</f>
        <v>Argile ou Silt</v>
      </c>
      <c r="AK70" s="122"/>
      <c r="AL70" s="122"/>
      <c r="AM70" s="122"/>
      <c r="AN70" s="122"/>
      <c r="AO70" s="399">
        <v>1</v>
      </c>
    </row>
    <row r="71" spans="2:73" ht="13.9" customHeight="1">
      <c r="B71" s="118"/>
      <c r="C71" s="1509" t="s">
        <v>446</v>
      </c>
      <c r="D71" s="30"/>
      <c r="E71" s="30" t="str">
        <f>Uebersetzung!D180</f>
        <v>2ème plancher</v>
      </c>
      <c r="F71" s="30"/>
      <c r="G71" s="30"/>
      <c r="H71" s="199"/>
      <c r="I71" s="1236"/>
      <c r="J71" s="30" t="s">
        <v>243</v>
      </c>
      <c r="K71" s="1239"/>
      <c r="L71" s="1237"/>
      <c r="M71" s="291">
        <f>IF(K71&gt;0,IF(L71&gt;0,Fehler1,INDEX(UWert!$BD$7:$BD$41,K71)),L71)</f>
        <v>0</v>
      </c>
      <c r="N71" s="202" t="str">
        <f>IF(AND(I71&gt;0,AC73=1),Uebersetzung!D202,"")</f>
        <v/>
      </c>
      <c r="O71" s="30"/>
      <c r="P71" s="30"/>
      <c r="Q71" s="30"/>
      <c r="R71" s="30"/>
      <c r="S71" s="30"/>
      <c r="T71" s="294">
        <f>IF(AND(K71&gt;0,INDEX(UWert!$BG$7:$BG$46,K71,1)),INDEX(UWert!$BF$7:$BF$46,K71,1),IF(AC73=1,1,INDEX(Tab!R75:R79,AC73,)))</f>
        <v>1</v>
      </c>
      <c r="U71" s="1234" t="str">
        <f>IF(AND(K71&gt;0,INDEX(UWert!$BG$7:$BG$46,K71,1)),"*1","")</f>
        <v/>
      </c>
      <c r="V71" s="2178"/>
      <c r="W71" s="2178"/>
      <c r="X71" s="2178"/>
      <c r="Y71" s="2178"/>
      <c r="Z71" s="2178"/>
      <c r="AA71" s="2179"/>
      <c r="AE71" s="229"/>
      <c r="AF71" s="922"/>
      <c r="AG71" s="921"/>
      <c r="AH71" s="393"/>
      <c r="AJ71" s="118" t="str">
        <f>Tab!$L97</f>
        <v>Sable ou gravier (humide)</v>
      </c>
      <c r="AK71" s="30"/>
      <c r="AL71" s="30"/>
      <c r="AM71" s="30"/>
      <c r="AN71" s="30"/>
      <c r="AO71" s="393">
        <v>2</v>
      </c>
    </row>
    <row r="72" spans="2:73" ht="6" customHeight="1">
      <c r="B72" s="118"/>
      <c r="C72" s="30"/>
      <c r="D72" s="30"/>
      <c r="E72" s="30"/>
      <c r="F72" s="30"/>
      <c r="G72" s="30"/>
      <c r="H72" s="199"/>
      <c r="I72" s="51"/>
      <c r="J72" s="30"/>
      <c r="K72" s="30"/>
      <c r="L72" s="193"/>
      <c r="M72" s="63"/>
      <c r="N72" s="30"/>
      <c r="O72" s="30"/>
      <c r="P72" s="30"/>
      <c r="Q72" s="30"/>
      <c r="R72" s="30"/>
      <c r="S72" s="30"/>
      <c r="T72" s="294"/>
      <c r="U72" s="30"/>
      <c r="V72" s="30"/>
      <c r="W72" s="30"/>
      <c r="X72" s="202"/>
      <c r="Y72" s="30"/>
      <c r="Z72" s="30"/>
      <c r="AA72" s="57"/>
      <c r="AC72" s="297">
        <f>IF($V70="",1,VLOOKUP($V70,$AJ$62:$AO$66,6,FALSE))</f>
        <v>1</v>
      </c>
      <c r="AD72" s="190"/>
      <c r="AE72" s="229">
        <v>1</v>
      </c>
      <c r="AF72" s="922">
        <v>1</v>
      </c>
      <c r="AG72" s="921">
        <f>AF72*AE72*T70</f>
        <v>1</v>
      </c>
      <c r="AH72" s="393">
        <v>0</v>
      </c>
      <c r="AJ72" s="119" t="str">
        <f>Tab!$L98</f>
        <v>Roc homogène</v>
      </c>
      <c r="AK72" s="31"/>
      <c r="AL72" s="31"/>
      <c r="AM72" s="31"/>
      <c r="AN72" s="31"/>
      <c r="AO72" s="396">
        <v>3</v>
      </c>
    </row>
    <row r="73" spans="2:73" ht="13.9" customHeight="1">
      <c r="B73" s="118"/>
      <c r="C73" s="30"/>
      <c r="D73" s="30"/>
      <c r="E73" s="175" t="str">
        <f>Uebersetzung!D181</f>
        <v>cage d'escalier</v>
      </c>
      <c r="F73" s="175"/>
      <c r="G73" s="175"/>
      <c r="H73" s="175"/>
      <c r="I73" s="25"/>
      <c r="J73" s="30" t="s">
        <v>243</v>
      </c>
      <c r="K73" s="360"/>
      <c r="L73" s="1242">
        <f>IF(I73&gt;0,2.5,)</f>
        <v>0</v>
      </c>
      <c r="M73" s="294">
        <f>L73</f>
        <v>0</v>
      </c>
      <c r="N73" s="175">
        <f>IF(I73&gt;0,Uebersetzung!D204,)</f>
        <v>0</v>
      </c>
      <c r="O73" s="193"/>
      <c r="P73" s="193"/>
      <c r="Q73" s="193"/>
      <c r="S73" s="2093"/>
      <c r="T73" s="292">
        <f>IF(1=1,1,IF(I73&gt;0,IF((I70+I71)&gt;0,(T70*I70+T71*I71)/(I70+I71),1),1))</f>
        <v>1</v>
      </c>
      <c r="U73" s="30"/>
      <c r="V73" s="1532">
        <f>IF(AC70=AC45,IF(AG41=FALSE,"Methode? (eine Wahl treffen)",IF(AND(AC44&gt;1,AC69&gt;1),"Randstreifen + Frostriegel gewählt!!",)),"Bodenmaterial nicht identisch!")</f>
        <v>0</v>
      </c>
      <c r="W73" s="30"/>
      <c r="X73" s="1235"/>
      <c r="Z73" s="30"/>
      <c r="AA73" s="57"/>
      <c r="AC73" s="299">
        <f>IF($V71="",1,VLOOKUP($V71,$AJ$62:$AO$66,6,FALSE))</f>
        <v>1</v>
      </c>
      <c r="AD73" s="190"/>
      <c r="AE73" s="229">
        <v>1</v>
      </c>
      <c r="AF73" s="922">
        <v>1</v>
      </c>
      <c r="AG73" s="921">
        <f>AF73*AE73*T71</f>
        <v>1</v>
      </c>
      <c r="AH73" s="393">
        <v>0</v>
      </c>
      <c r="AJ73" s="1530" t="s">
        <v>1206</v>
      </c>
      <c r="AK73" s="1095">
        <f>INDEX(Tab!R96:R98,AC45,1)</f>
        <v>1.5</v>
      </c>
      <c r="AL73" s="172" t="s">
        <v>1190</v>
      </c>
      <c r="AM73" s="121" t="s">
        <v>600</v>
      </c>
      <c r="AN73" s="122"/>
      <c r="AO73" s="172"/>
    </row>
    <row r="74" spans="2:73" ht="6" customHeight="1">
      <c r="B74" s="118"/>
      <c r="C74" s="30"/>
      <c r="D74" s="30"/>
      <c r="H74" s="27"/>
      <c r="R74" s="2093"/>
      <c r="S74" s="2093"/>
      <c r="U74" s="30"/>
      <c r="V74" s="30"/>
      <c r="W74" s="30"/>
      <c r="X74" s="961"/>
      <c r="Z74" s="30"/>
      <c r="AA74" s="57"/>
      <c r="AE74" s="229"/>
      <c r="AF74" s="922"/>
      <c r="AG74" s="921"/>
      <c r="AH74" s="393"/>
      <c r="AJ74" s="118"/>
      <c r="AK74" s="30"/>
      <c r="AL74" s="57"/>
      <c r="AM74" s="118"/>
      <c r="AN74" s="30"/>
      <c r="AO74" s="57"/>
    </row>
    <row r="75" spans="2:73" ht="13.9" customHeight="1">
      <c r="B75" s="118"/>
      <c r="C75" s="1509"/>
      <c r="D75" s="30"/>
      <c r="E75" s="30" t="str">
        <f>Uebersetzung!D182</f>
        <v>contre un local chauffé</v>
      </c>
      <c r="F75" s="30"/>
      <c r="G75" s="30"/>
      <c r="H75" s="199"/>
      <c r="I75" s="25"/>
      <c r="J75" s="30" t="s">
        <v>243</v>
      </c>
      <c r="K75" s="360"/>
      <c r="L75" s="98"/>
      <c r="M75" s="291">
        <f>IF(K75&gt;0,IF(L75&gt;0,Fehler1,INDEX(UWert!$BD$7:$BD$41,K75)),L75)</f>
        <v>0</v>
      </c>
      <c r="O75" s="30"/>
      <c r="P75" s="1325" t="str">
        <f>Uebersetzung!D201</f>
        <v>Temp. loc. ch.</v>
      </c>
      <c r="Q75" s="30"/>
      <c r="R75" s="227"/>
      <c r="S75" s="30" t="s">
        <v>2324</v>
      </c>
      <c r="T75" s="30" t="str">
        <f>Uebersetzung!D203</f>
        <v>(Supplément de régulation y inclu)</v>
      </c>
      <c r="U75" s="30"/>
      <c r="V75" s="30"/>
      <c r="W75" s="30"/>
      <c r="X75" s="202"/>
      <c r="Y75" s="421"/>
      <c r="Z75" s="30"/>
      <c r="AA75" s="57"/>
      <c r="AC75" s="2090" t="b">
        <f>IF(AD75=$AC$7,TRUE,FALSE)</f>
        <v>1</v>
      </c>
      <c r="AD75" s="1509" t="s">
        <v>446</v>
      </c>
      <c r="AE75" s="229">
        <v>1</v>
      </c>
      <c r="AF75" s="922">
        <v>1</v>
      </c>
      <c r="AG75" s="921" t="e">
        <f>AF75*AE75*T75</f>
        <v>#VALUE!</v>
      </c>
      <c r="AH75" s="393">
        <v>0</v>
      </c>
      <c r="AJ75" s="1531" t="s">
        <v>1206</v>
      </c>
      <c r="AK75" s="1092">
        <f>INDEX(Tab!R96:R98,AC70,1)</f>
        <v>1.5</v>
      </c>
      <c r="AL75" s="60" t="s">
        <v>1190</v>
      </c>
      <c r="AM75" s="119" t="s">
        <v>601</v>
      </c>
      <c r="AN75" s="31"/>
      <c r="AO75" s="60"/>
      <c r="AZ75" s="271"/>
      <c r="BA75" s="30"/>
      <c r="BB75" s="30"/>
      <c r="BC75" s="30"/>
      <c r="BD75" s="30"/>
      <c r="BE75" s="30"/>
      <c r="BF75" s="30"/>
    </row>
    <row r="76" spans="2:73" ht="13.9" customHeight="1">
      <c r="B76" s="118"/>
      <c r="C76" s="1509"/>
      <c r="D76" s="30"/>
      <c r="E76" s="30" t="str">
        <f>Uebersetzung!D183</f>
        <v>2ème plancher</v>
      </c>
      <c r="F76" s="30"/>
      <c r="G76" s="30"/>
      <c r="H76" s="199"/>
      <c r="I76" s="1236"/>
      <c r="J76" s="30" t="s">
        <v>243</v>
      </c>
      <c r="K76" s="1239"/>
      <c r="L76" s="1237"/>
      <c r="M76" s="291">
        <f>IF(K76&gt;0,IF(L76&gt;0,Fehler1,INDEX(UWert!$BD$7:$BD$41,K76)),L76)</f>
        <v>0</v>
      </c>
      <c r="N76" s="2087"/>
      <c r="O76" s="30"/>
      <c r="P76" s="1325" t="str">
        <f>Uebersetzung!D201</f>
        <v>Temp. loc. ch.</v>
      </c>
      <c r="Q76" s="30"/>
      <c r="R76" s="2040"/>
      <c r="S76" s="30" t="s">
        <v>2324</v>
      </c>
      <c r="T76" s="30" t="str">
        <f>T75</f>
        <v>(Supplément de régulation y inclu)</v>
      </c>
      <c r="U76" s="30"/>
      <c r="V76" s="30"/>
      <c r="W76" s="30"/>
      <c r="X76" s="30"/>
      <c r="Y76" s="30"/>
      <c r="Z76" s="30"/>
      <c r="AA76" s="57"/>
      <c r="AC76" s="2092" t="b">
        <f>IF(AD76=$AC$7,TRUE,FALSE)</f>
        <v>1</v>
      </c>
      <c r="AD76" s="1509" t="s">
        <v>446</v>
      </c>
      <c r="AE76" s="229">
        <v>1</v>
      </c>
      <c r="AF76" s="922">
        <v>1</v>
      </c>
      <c r="AG76" s="921" t="e">
        <f>AF76*AE76*T76</f>
        <v>#VALUE!</v>
      </c>
      <c r="AH76" s="393">
        <v>0</v>
      </c>
      <c r="AZ76" s="271"/>
      <c r="BA76" s="30"/>
      <c r="BB76" s="30"/>
      <c r="BC76" s="30"/>
      <c r="BD76" s="30"/>
      <c r="BE76" s="30"/>
      <c r="BF76" s="30"/>
    </row>
    <row r="77" spans="2:73" ht="6" customHeight="1">
      <c r="B77" s="119"/>
      <c r="C77" s="31"/>
      <c r="D77" s="31"/>
      <c r="E77" s="31"/>
      <c r="F77" s="31"/>
      <c r="G77" s="31"/>
      <c r="H77" s="31"/>
      <c r="I77" s="152"/>
      <c r="J77" s="31"/>
      <c r="K77" s="31"/>
      <c r="L77" s="188"/>
      <c r="M77" s="31"/>
      <c r="N77" s="31"/>
      <c r="O77" s="31"/>
      <c r="P77" s="31"/>
      <c r="Q77" s="31"/>
      <c r="R77" s="31"/>
      <c r="S77" s="31"/>
      <c r="T77" s="31"/>
      <c r="U77" s="31"/>
      <c r="V77" s="152"/>
      <c r="W77" s="31"/>
      <c r="X77" s="31"/>
      <c r="Y77" s="188"/>
      <c r="Z77" s="31"/>
      <c r="AA77" s="60"/>
      <c r="AC77" s="2193" t="str">
        <f>Uebersetzung!D714</f>
        <v>en bilan</v>
      </c>
      <c r="AD77" s="2094"/>
      <c r="AE77" s="229"/>
      <c r="AF77" s="922"/>
      <c r="AG77" s="921"/>
      <c r="AH77" s="393"/>
    </row>
    <row r="78" spans="2:73" ht="5.45" customHeight="1">
      <c r="H78" s="27"/>
      <c r="AC78" s="2194"/>
      <c r="AD78" s="60"/>
      <c r="AE78" s="229"/>
      <c r="AF78" s="922"/>
      <c r="AG78" s="921"/>
      <c r="AH78" s="393"/>
      <c r="AL78" s="106" t="s">
        <v>602</v>
      </c>
      <c r="AR78" s="106" t="s">
        <v>953</v>
      </c>
    </row>
    <row r="79" spans="2:73" ht="5.45" customHeight="1">
      <c r="H79" s="46"/>
      <c r="AE79" s="229"/>
      <c r="AF79" s="922"/>
      <c r="AG79" s="921"/>
      <c r="AH79" s="393"/>
    </row>
    <row r="80" spans="2:73" ht="6.6" customHeight="1">
      <c r="B80" s="121"/>
      <c r="C80" s="2175" t="str">
        <f>Uebersetzung!D135</f>
        <v>Chauffage</v>
      </c>
      <c r="D80" s="122"/>
      <c r="E80" s="122"/>
      <c r="F80" s="122"/>
      <c r="G80" s="122"/>
      <c r="H80" s="197"/>
      <c r="I80" s="151"/>
      <c r="J80" s="122"/>
      <c r="K80" s="122"/>
      <c r="L80" s="187"/>
      <c r="M80" s="122"/>
      <c r="N80" s="122"/>
      <c r="O80" s="122"/>
      <c r="P80" s="122"/>
      <c r="Q80" s="122"/>
      <c r="R80" s="122"/>
      <c r="S80" s="122"/>
      <c r="T80" s="122"/>
      <c r="U80" s="122"/>
      <c r="V80" s="151"/>
      <c r="W80" s="122"/>
      <c r="X80" s="122"/>
      <c r="Y80" s="187"/>
      <c r="Z80" s="122"/>
      <c r="AA80" s="172"/>
      <c r="AE80" s="229"/>
      <c r="AF80" s="922"/>
      <c r="AG80" s="921"/>
      <c r="AH80" s="393"/>
    </row>
    <row r="81" spans="2:71" ht="15.75" customHeight="1">
      <c r="B81" s="118"/>
      <c r="C81" s="2176"/>
      <c r="D81" s="30"/>
      <c r="E81" s="205" t="str">
        <f>Uebersetzung!D268</f>
        <v>toit, plafond</v>
      </c>
      <c r="F81" s="30"/>
      <c r="G81" s="30"/>
      <c r="H81" s="199"/>
      <c r="I81" s="51"/>
      <c r="J81" s="30"/>
      <c r="K81" s="30"/>
      <c r="L81" s="193"/>
      <c r="M81" s="30"/>
      <c r="N81" s="30"/>
      <c r="O81" s="30"/>
      <c r="P81" s="30"/>
      <c r="Q81" s="30"/>
      <c r="R81" s="200" t="str">
        <f>Uebersetzung!D199</f>
        <v>Temp. du</v>
      </c>
      <c r="S81" s="30"/>
      <c r="T81" s="30"/>
      <c r="U81" s="30"/>
      <c r="V81" s="51"/>
      <c r="W81" s="30"/>
      <c r="X81" s="30"/>
      <c r="Y81" s="193"/>
      <c r="Z81" s="30"/>
      <c r="AA81" s="57"/>
      <c r="AE81" s="229"/>
      <c r="AF81" s="922"/>
      <c r="AG81" s="921"/>
      <c r="AH81" s="393"/>
      <c r="BS81" s="47"/>
    </row>
    <row r="82" spans="2:71" ht="13.15" customHeight="1">
      <c r="B82" s="358"/>
      <c r="C82" s="2176"/>
      <c r="D82" s="200"/>
      <c r="E82" s="105"/>
      <c r="F82" s="30"/>
      <c r="G82" s="30"/>
      <c r="H82" s="199"/>
      <c r="I82" s="105" t="str">
        <f>V50</f>
        <v>Surfaces</v>
      </c>
      <c r="J82" s="30"/>
      <c r="K82" s="58" t="str">
        <f>K63</f>
        <v>No</v>
      </c>
      <c r="L82" s="186" t="str">
        <f>L63</f>
        <v>Valeur U</v>
      </c>
      <c r="M82" s="30"/>
      <c r="N82" s="30"/>
      <c r="O82" s="83"/>
      <c r="P82" s="83"/>
      <c r="Q82" s="83"/>
      <c r="R82" s="200" t="str">
        <f>Uebersetzung!D200</f>
        <v>local chauff.</v>
      </c>
      <c r="S82" s="30"/>
      <c r="T82" s="200" t="str">
        <f>T63</f>
        <v>Valeur b</v>
      </c>
      <c r="U82" s="30"/>
      <c r="V82" s="200" t="str">
        <f>Uebersetzung!D198</f>
        <v>Local non chauffé</v>
      </c>
      <c r="W82" s="193"/>
      <c r="X82" s="51"/>
      <c r="Y82" s="30"/>
      <c r="Z82" s="30"/>
      <c r="AA82" s="203"/>
      <c r="AE82" s="229">
        <v>1</v>
      </c>
      <c r="AF82" s="922">
        <v>1</v>
      </c>
      <c r="AG82" s="921">
        <f>AF82*AE82*T83</f>
        <v>1</v>
      </c>
      <c r="AH82" s="393">
        <v>0</v>
      </c>
    </row>
    <row r="83" spans="2:71" ht="13.9" customHeight="1">
      <c r="B83" s="118"/>
      <c r="C83" s="2177"/>
      <c r="D83" s="30"/>
      <c r="E83" s="30" t="str">
        <f>Uebersetzung!D208</f>
        <v>Vitrage zénithal</v>
      </c>
      <c r="F83" s="30"/>
      <c r="G83" s="30"/>
      <c r="H83" s="199"/>
      <c r="I83" s="1387">
        <f>Fenster!H27</f>
        <v>0</v>
      </c>
      <c r="J83" s="30" t="s">
        <v>243</v>
      </c>
      <c r="K83" s="30"/>
      <c r="L83" s="30"/>
      <c r="M83" s="1788">
        <f>IF(I83&lt;&gt;0,UwH,)</f>
        <v>0</v>
      </c>
      <c r="N83" s="83" t="s">
        <v>244</v>
      </c>
      <c r="O83" s="83"/>
      <c r="P83" s="83"/>
      <c r="Q83" s="83"/>
      <c r="R83" s="30"/>
      <c r="S83" s="30"/>
      <c r="T83" s="294">
        <v>1</v>
      </c>
      <c r="U83" s="30"/>
      <c r="V83" s="30"/>
      <c r="W83" s="30"/>
      <c r="X83" s="51"/>
      <c r="Y83" s="30"/>
      <c r="Z83" s="30"/>
      <c r="AA83" s="203"/>
      <c r="AE83" s="229">
        <v>1</v>
      </c>
      <c r="AF83" s="922">
        <v>1</v>
      </c>
      <c r="AG83" s="921">
        <f>AF83*AE83*T84</f>
        <v>1</v>
      </c>
      <c r="AH83" s="393">
        <v>0</v>
      </c>
      <c r="AL83" s="121" t="str">
        <f>Bauteile!$K303</f>
        <v>Pas de bandes de rive verticale</v>
      </c>
      <c r="AM83" s="122"/>
      <c r="AN83" s="122"/>
      <c r="AO83" s="122"/>
      <c r="AP83" s="122"/>
      <c r="AQ83" s="379">
        <v>1</v>
      </c>
      <c r="AR83" s="121" t="str">
        <f>Bauteile!K186</f>
        <v>Pas de bandes de rive horizontale</v>
      </c>
      <c r="AS83" s="122"/>
      <c r="AT83" s="122"/>
      <c r="AU83" s="379">
        <v>1</v>
      </c>
      <c r="BD83" s="30"/>
      <c r="BE83" s="30" t="s">
        <v>350</v>
      </c>
    </row>
    <row r="84" spans="2:71" ht="13.9" customHeight="1">
      <c r="B84" s="118"/>
      <c r="C84" s="1509"/>
      <c r="D84" s="2118" t="s">
        <v>9351</v>
      </c>
      <c r="E84" s="30" t="str">
        <f>Uebersetzung!D209</f>
        <v>Toit en terrasse</v>
      </c>
      <c r="F84" s="30"/>
      <c r="G84" s="30"/>
      <c r="H84" s="199"/>
      <c r="I84" s="25"/>
      <c r="J84" s="30" t="s">
        <v>243</v>
      </c>
      <c r="K84" s="360"/>
      <c r="L84" s="98"/>
      <c r="M84" s="1788">
        <f>IF(K84&gt;0,IF(L84&gt;0,Fehler1,INDEX(UWert!$BD$7:$BD$41,K84)),L84)</f>
        <v>0</v>
      </c>
      <c r="N84" s="83" t="s">
        <v>244</v>
      </c>
      <c r="O84" s="83"/>
      <c r="P84" s="83"/>
      <c r="Q84" s="83"/>
      <c r="R84" s="30"/>
      <c r="S84" s="30"/>
      <c r="T84" s="294">
        <v>1</v>
      </c>
      <c r="U84" s="200"/>
      <c r="V84" s="200"/>
      <c r="W84" s="200"/>
      <c r="X84" s="51"/>
      <c r="Y84" s="30"/>
      <c r="Z84" s="30"/>
      <c r="AA84" s="57"/>
      <c r="AC84" s="106" t="s">
        <v>865</v>
      </c>
      <c r="AE84" s="229">
        <v>1</v>
      </c>
      <c r="AF84" s="922">
        <v>1</v>
      </c>
      <c r="AG84" s="921">
        <f>AF84*AE84*T85</f>
        <v>1</v>
      </c>
      <c r="AH84" s="393">
        <v>0</v>
      </c>
      <c r="AL84" s="118" t="str">
        <f>Bauteile!$K304</f>
        <v>H = 1 m, D = 0.1 m, l = 0.035</v>
      </c>
      <c r="AM84" s="30"/>
      <c r="AN84" s="30"/>
      <c r="AO84" s="30"/>
      <c r="AP84" s="30"/>
      <c r="AQ84" s="62">
        <v>2</v>
      </c>
      <c r="AR84" s="118" t="str">
        <f>Bauteile!K187</f>
        <v>B = 1 m, D = 0.1 m, l = 0.035</v>
      </c>
      <c r="AS84" s="30"/>
      <c r="AT84" s="30"/>
      <c r="AU84" s="62">
        <v>2</v>
      </c>
      <c r="BE84" s="30">
        <v>0</v>
      </c>
    </row>
    <row r="85" spans="2:71" ht="13.9" customHeight="1">
      <c r="B85" s="118"/>
      <c r="C85" s="1509"/>
      <c r="D85" s="2118" t="s">
        <v>9355</v>
      </c>
      <c r="E85" s="30" t="str">
        <f>Uebersetzung!D210</f>
        <v>2ème toit en terrasse</v>
      </c>
      <c r="F85" s="30"/>
      <c r="G85" s="30"/>
      <c r="H85" s="199"/>
      <c r="I85" s="25"/>
      <c r="J85" s="30" t="s">
        <v>243</v>
      </c>
      <c r="K85" s="360"/>
      <c r="L85" s="98"/>
      <c r="M85" s="1788">
        <f>IF(K85&gt;0,IF(L85&gt;0,Fehler1,INDEX(UWert!$BD$7:$BD$41,K85)),L85)</f>
        <v>0</v>
      </c>
      <c r="N85" s="83" t="s">
        <v>244</v>
      </c>
      <c r="O85" s="83"/>
      <c r="P85" s="83"/>
      <c r="Q85" s="83"/>
      <c r="R85" s="30"/>
      <c r="S85" s="30"/>
      <c r="T85" s="294">
        <v>1</v>
      </c>
      <c r="U85" s="200"/>
      <c r="V85" s="200"/>
      <c r="W85" s="200"/>
      <c r="X85" s="51"/>
      <c r="Y85" s="30"/>
      <c r="Z85" s="30"/>
      <c r="AA85" s="57"/>
      <c r="AC85" s="2090" t="b">
        <f>IF(AD85=$AC$7,TRUE,FALSE)</f>
        <v>1</v>
      </c>
      <c r="AD85" s="1509" t="s">
        <v>446</v>
      </c>
      <c r="AE85" s="229">
        <v>1</v>
      </c>
      <c r="AF85" s="922">
        <v>1</v>
      </c>
      <c r="AG85" s="921">
        <f>AF85*AE85*T86</f>
        <v>1</v>
      </c>
      <c r="AH85" s="393">
        <v>0</v>
      </c>
      <c r="AL85" s="118" t="str">
        <f>Bauteile!$K305</f>
        <v>H = 1 m, D = 0.1 m, l = 0.04</v>
      </c>
      <c r="AM85" s="30"/>
      <c r="AN85" s="30"/>
      <c r="AO85" s="30"/>
      <c r="AP85" s="30"/>
      <c r="AQ85" s="62">
        <v>3</v>
      </c>
      <c r="AR85" s="118" t="str">
        <f>Bauteile!K188</f>
        <v>B = 1 m, D = 0.1 m, l = 0.04</v>
      </c>
      <c r="AS85" s="30"/>
      <c r="AT85" s="30"/>
      <c r="AU85" s="62">
        <v>3</v>
      </c>
      <c r="BE85" s="30"/>
    </row>
    <row r="86" spans="2:71" ht="13.9" customHeight="1">
      <c r="B86" s="118"/>
      <c r="C86" s="1509"/>
      <c r="D86" s="2118" t="s">
        <v>9359</v>
      </c>
      <c r="E86" s="175" t="str">
        <f>Uebersetzung!D211</f>
        <v>Toit incliné</v>
      </c>
      <c r="F86" s="30"/>
      <c r="G86" s="30"/>
      <c r="H86" s="199"/>
      <c r="I86" s="25"/>
      <c r="J86" s="30" t="s">
        <v>243</v>
      </c>
      <c r="K86" s="360"/>
      <c r="L86" s="98"/>
      <c r="M86" s="1788">
        <f>IF(K86&gt;0,IF(L86&gt;0,Fehler1,INDEX(UWert!$BD$7:$BD$41,K86)),L86)</f>
        <v>0</v>
      </c>
      <c r="N86" s="83" t="s">
        <v>244</v>
      </c>
      <c r="O86" s="30"/>
      <c r="P86" s="30"/>
      <c r="Q86" s="30"/>
      <c r="R86" s="30"/>
      <c r="S86" s="30"/>
      <c r="T86" s="294">
        <v>1</v>
      </c>
      <c r="U86" s="30"/>
      <c r="V86" s="916" t="str">
        <f>IF(OR(U88&lt;&gt;"",U89&lt;&gt;""),Uebersetzung!D207,"")</f>
        <v/>
      </c>
      <c r="W86" s="30"/>
      <c r="X86" s="51"/>
      <c r="Y86" s="30"/>
      <c r="Z86" s="30"/>
      <c r="AA86" s="203"/>
      <c r="AC86" s="2092" t="b">
        <f>IF(AD86=$AC$7,TRUE,FALSE)</f>
        <v>1</v>
      </c>
      <c r="AD86" s="1509" t="s">
        <v>446</v>
      </c>
      <c r="AE86" s="229"/>
      <c r="AF86" s="922"/>
      <c r="AG86" s="921"/>
      <c r="AH86" s="393"/>
      <c r="AL86" s="118" t="str">
        <f>Bauteile!$K306</f>
        <v>H = 1 m, D = 0.1 m, l = 0.06</v>
      </c>
      <c r="AM86" s="30"/>
      <c r="AN86" s="30"/>
      <c r="AO86" s="30"/>
      <c r="AP86" s="30"/>
      <c r="AQ86" s="62">
        <v>4</v>
      </c>
      <c r="AR86" s="118" t="str">
        <f>Bauteile!K189</f>
        <v>B = 1 m, D = 0.1 m, l = 0.06</v>
      </c>
      <c r="AS86" s="30"/>
      <c r="AT86" s="30"/>
      <c r="AU86" s="62">
        <v>4</v>
      </c>
    </row>
    <row r="87" spans="2:71" ht="6" customHeight="1">
      <c r="B87" s="118"/>
      <c r="C87" s="30"/>
      <c r="D87" s="30"/>
      <c r="E87" s="175"/>
      <c r="F87" s="30"/>
      <c r="G87" s="30"/>
      <c r="H87" s="199"/>
      <c r="I87" s="51"/>
      <c r="J87" s="30"/>
      <c r="K87" s="30"/>
      <c r="L87" s="193"/>
      <c r="M87" s="171"/>
      <c r="N87" s="30"/>
      <c r="O87" s="198" t="s">
        <v>350</v>
      </c>
      <c r="P87" s="198"/>
      <c r="Q87" s="198"/>
      <c r="R87" s="30"/>
      <c r="S87" s="30"/>
      <c r="T87" s="30"/>
      <c r="U87" s="30"/>
      <c r="V87" s="30"/>
      <c r="W87" s="30"/>
      <c r="X87" s="51"/>
      <c r="Y87" s="30"/>
      <c r="Z87" s="30"/>
      <c r="AA87" s="203"/>
      <c r="AC87" s="2195" t="str">
        <f>Uebersetzung!D714</f>
        <v>en bilan</v>
      </c>
      <c r="AD87" s="2094"/>
      <c r="AE87" s="229">
        <v>1</v>
      </c>
      <c r="AF87" s="922">
        <v>1</v>
      </c>
      <c r="AG87" s="921">
        <f>AF87*AE87*T88</f>
        <v>1</v>
      </c>
      <c r="AH87" s="393">
        <v>0</v>
      </c>
      <c r="AL87" s="118" t="str">
        <f>Bauteile!$K307</f>
        <v>H = 1 m, D = 0.1 m, l = 0.08</v>
      </c>
      <c r="AM87" s="30"/>
      <c r="AN87" s="30"/>
      <c r="AO87" s="30"/>
      <c r="AP87" s="30"/>
      <c r="AQ87" s="62">
        <v>5</v>
      </c>
      <c r="AR87" s="118" t="str">
        <f>Bauteile!K190</f>
        <v>B = 1 m, D = 0.1 m, l = 0.08</v>
      </c>
      <c r="AS87" s="30"/>
      <c r="AT87" s="30"/>
      <c r="AU87" s="62">
        <v>5</v>
      </c>
    </row>
    <row r="88" spans="2:71" ht="13.9" customHeight="1">
      <c r="B88" s="118"/>
      <c r="C88" s="1509"/>
      <c r="D88" s="30"/>
      <c r="E88" s="30" t="str">
        <f>Uebersetzung!D212</f>
        <v>contre un local non chauffé</v>
      </c>
      <c r="F88" s="30"/>
      <c r="G88" s="30"/>
      <c r="H88" s="199"/>
      <c r="I88" s="25"/>
      <c r="J88" s="30" t="s">
        <v>243</v>
      </c>
      <c r="K88" s="360"/>
      <c r="L88" s="98"/>
      <c r="M88" s="1788">
        <f>IF(K88&gt;0,IF(L88&gt;0,Fehler1,INDEX(UWert!$BD$7:$BD$41,K88)),L88)</f>
        <v>0</v>
      </c>
      <c r="N88" s="83" t="s">
        <v>244</v>
      </c>
      <c r="O88" s="30"/>
      <c r="P88" s="30"/>
      <c r="Q88" s="30"/>
      <c r="R88" s="1532" t="str">
        <f>IF(AND(I88&gt;0,AC90=1),Uebersetzung!D206,"")</f>
        <v/>
      </c>
      <c r="S88" s="30"/>
      <c r="T88" s="292">
        <f>IF(AND(K88&gt;0,INDEX(UWert!$BG$7:$BG$46,K88,1)),INDEX(UWert!$BF$7:$BF$46,K88,1),IF(AC90=1,1,INDEX(Tab!R82:R87,AC90)))</f>
        <v>1</v>
      </c>
      <c r="U88" s="1234" t="str">
        <f>IF(AND(K88&gt;0,INDEX(UWert!$BG$7:$BG$46,K88,1)),"*1","")</f>
        <v/>
      </c>
      <c r="V88" s="2178"/>
      <c r="W88" s="2178"/>
      <c r="X88" s="2178"/>
      <c r="Y88" s="2178"/>
      <c r="Z88" s="2178"/>
      <c r="AA88" s="2179"/>
      <c r="AC88" s="2196"/>
      <c r="AD88" s="2096"/>
      <c r="AE88" s="229">
        <v>1</v>
      </c>
      <c r="AF88" s="922">
        <v>1</v>
      </c>
      <c r="AG88" s="921">
        <f>AF88*AE88*T89</f>
        <v>1</v>
      </c>
      <c r="AH88" s="393">
        <v>0</v>
      </c>
      <c r="AL88" s="118" t="str">
        <f>Bauteile!$K308</f>
        <v>H = 1 m, D = 0.08 m, l = 0.03</v>
      </c>
      <c r="AM88" s="30"/>
      <c r="AN88" s="30"/>
      <c r="AO88" s="30"/>
      <c r="AP88" s="30"/>
      <c r="AQ88" s="62">
        <v>6</v>
      </c>
      <c r="AR88" s="118" t="str">
        <f>Bauteile!K191</f>
        <v>B = 1 m, D = 0.08 m, l = 0.03</v>
      </c>
      <c r="AS88" s="30"/>
      <c r="AT88" s="30"/>
      <c r="AU88" s="62">
        <v>6</v>
      </c>
    </row>
    <row r="89" spans="2:71" ht="13.9" customHeight="1">
      <c r="B89" s="118"/>
      <c r="C89" s="1509"/>
      <c r="D89" s="30"/>
      <c r="E89" s="30" t="str">
        <f>Uebersetzung!D213</f>
        <v>2ème toit</v>
      </c>
      <c r="F89" s="30"/>
      <c r="G89" s="30"/>
      <c r="H89" s="199"/>
      <c r="I89" s="25"/>
      <c r="J89" s="30" t="s">
        <v>243</v>
      </c>
      <c r="K89" s="360"/>
      <c r="L89" s="98"/>
      <c r="M89" s="1788">
        <f>IF(K89&gt;0,IF(L89&gt;0,Fehler1,INDEX(UWert!$BD$7:$BD$41,K89)),L89)</f>
        <v>0</v>
      </c>
      <c r="N89" s="83" t="s">
        <v>244</v>
      </c>
      <c r="O89" s="30"/>
      <c r="P89" s="30"/>
      <c r="Q89" s="30"/>
      <c r="R89" s="1532" t="str">
        <f>IF(AND(I89&gt;0,AC91=1),Uebersetzung!D206,"")</f>
        <v/>
      </c>
      <c r="S89" s="30"/>
      <c r="T89" s="292">
        <f>IF(AND(K89&gt;0,INDEX(UWert!$BG$7:$BG$46,K89,1)),INDEX(UWert!$BF$7:$BF$46,K89,1),IF(AC91=1,1,INDEX(Tab!R82:R87,AC91)))</f>
        <v>1</v>
      </c>
      <c r="U89" s="1234" t="str">
        <f>IF(AND(K89&gt;0,INDEX(UWert!$BG$7:$BG$46,K89,1)),"*1","")</f>
        <v/>
      </c>
      <c r="V89" s="2178"/>
      <c r="W89" s="2178"/>
      <c r="X89" s="2178"/>
      <c r="Y89" s="2178"/>
      <c r="Z89" s="2178"/>
      <c r="AA89" s="2179"/>
      <c r="AE89" s="229"/>
      <c r="AF89" s="922"/>
      <c r="AG89" s="921"/>
      <c r="AH89" s="393"/>
      <c r="AL89" s="118" t="str">
        <f>Bauteile!$K309</f>
        <v>H = 1 m, D = 0.08 m, l = 0.04</v>
      </c>
      <c r="AM89" s="30"/>
      <c r="AN89" s="30"/>
      <c r="AO89" s="30"/>
      <c r="AP89" s="30"/>
      <c r="AQ89" s="62">
        <v>7</v>
      </c>
      <c r="AR89" s="118" t="str">
        <f>Bauteile!K192</f>
        <v>B = 1 m, D = 0.08 m, l = 0.04</v>
      </c>
      <c r="AS89" s="30"/>
      <c r="AT89" s="30"/>
      <c r="AU89" s="62">
        <v>7</v>
      </c>
    </row>
    <row r="90" spans="2:71" ht="12" customHeight="1">
      <c r="B90" s="118"/>
      <c r="C90" s="30"/>
      <c r="D90" s="30"/>
      <c r="E90" s="30"/>
      <c r="F90" s="30"/>
      <c r="G90" s="30"/>
      <c r="H90" s="199"/>
      <c r="I90" s="51"/>
      <c r="J90" s="30"/>
      <c r="K90" s="30"/>
      <c r="L90" s="193"/>
      <c r="M90" s="1788"/>
      <c r="N90" s="83"/>
      <c r="O90" s="30"/>
      <c r="Q90" s="30"/>
      <c r="R90" s="30"/>
      <c r="S90" s="30"/>
      <c r="T90" s="292"/>
      <c r="U90" s="30"/>
      <c r="V90" s="30"/>
      <c r="W90" s="30"/>
      <c r="X90" s="51"/>
      <c r="Y90" s="30"/>
      <c r="Z90" s="30"/>
      <c r="AA90" s="57"/>
      <c r="AC90" s="297">
        <f>IF($V88="",1,VLOOKUP($V88,$AP$49:$AU$54,6,FALSE))</f>
        <v>1</v>
      </c>
      <c r="AD90" s="190"/>
      <c r="AE90" s="229">
        <v>1</v>
      </c>
      <c r="AF90" s="922">
        <v>1</v>
      </c>
      <c r="AG90" s="921" t="e">
        <f>AF90*AE90*T91</f>
        <v>#VALUE!</v>
      </c>
      <c r="AH90" s="393"/>
      <c r="AL90" s="118" t="str">
        <f>Bauteile!$K310</f>
        <v>H = 1 m, D = 0.08 m, l = 0.06</v>
      </c>
      <c r="AM90" s="30"/>
      <c r="AN90" s="30"/>
      <c r="AO90" s="30"/>
      <c r="AP90" s="30"/>
      <c r="AQ90" s="62">
        <v>8</v>
      </c>
      <c r="AR90" s="118" t="str">
        <f>Bauteile!K193</f>
        <v>B = 1 m, D = 0.08 m, l = 0.06</v>
      </c>
      <c r="AS90" s="30"/>
      <c r="AT90" s="30"/>
      <c r="AU90" s="62">
        <v>8</v>
      </c>
      <c r="BC90" s="30"/>
      <c r="BD90" s="30"/>
      <c r="BE90" s="30" t="s">
        <v>350</v>
      </c>
      <c r="BF90" s="30"/>
    </row>
    <row r="91" spans="2:71" ht="13.9" customHeight="1">
      <c r="B91" s="118"/>
      <c r="C91" s="1509"/>
      <c r="D91" s="30"/>
      <c r="E91" s="30" t="str">
        <f>Uebersetzung!D214</f>
        <v>contre un local chauffé</v>
      </c>
      <c r="F91" s="30"/>
      <c r="G91" s="30"/>
      <c r="H91" s="199"/>
      <c r="I91" s="25"/>
      <c r="J91" s="30" t="s">
        <v>243</v>
      </c>
      <c r="K91" s="360"/>
      <c r="L91" s="98"/>
      <c r="M91" s="1788">
        <f>IF(K91&gt;0,IF(L91&gt;0,Fehler1,INDEX(UWert!$BD$7:$BD$41,K91)),L91)</f>
        <v>0</v>
      </c>
      <c r="N91" s="83" t="s">
        <v>244</v>
      </c>
      <c r="O91" s="30"/>
      <c r="Q91" s="30"/>
      <c r="R91" s="227"/>
      <c r="S91" s="30" t="s">
        <v>2324</v>
      </c>
      <c r="T91" s="30" t="str">
        <f>Uebersetzung!D216</f>
        <v>( Supplément de régulation et température chauffage sol inclu)</v>
      </c>
      <c r="U91" s="30"/>
      <c r="V91" s="30"/>
      <c r="W91" s="30"/>
      <c r="X91" s="51"/>
      <c r="Y91" s="30"/>
      <c r="Z91" s="30"/>
      <c r="AA91" s="57"/>
      <c r="AC91" s="299">
        <f>IF($V89="",1,VLOOKUP($V89,$AP$49:$AU$54,6,FALSE))</f>
        <v>1</v>
      </c>
      <c r="AD91" s="190"/>
      <c r="AE91" s="229">
        <v>1</v>
      </c>
      <c r="AF91" s="922">
        <v>1</v>
      </c>
      <c r="AG91" s="921" t="e">
        <f>AF91*AE91*T92</f>
        <v>#VALUE!</v>
      </c>
      <c r="AH91" s="393"/>
      <c r="AL91" s="118" t="str">
        <f>Bauteile!$K311</f>
        <v>H = 1 m, D = 0.08 m, l = 0.08</v>
      </c>
      <c r="AM91" s="30"/>
      <c r="AN91" s="30"/>
      <c r="AO91" s="30"/>
      <c r="AP91" s="30"/>
      <c r="AQ91" s="62">
        <v>9</v>
      </c>
      <c r="AR91" s="118" t="str">
        <f>Bauteile!K194</f>
        <v>B = 1 m, D = 0.08 m, l = 0.08</v>
      </c>
      <c r="AS91" s="30"/>
      <c r="AT91" s="30"/>
      <c r="AU91" s="62">
        <v>9</v>
      </c>
      <c r="BC91" s="30"/>
      <c r="BD91" s="30"/>
      <c r="BE91" s="30" t="s">
        <v>350</v>
      </c>
      <c r="BF91" s="30"/>
    </row>
    <row r="92" spans="2:71" ht="13.9" customHeight="1">
      <c r="B92" s="118"/>
      <c r="C92" s="1509"/>
      <c r="D92" s="30"/>
      <c r="E92" s="30" t="str">
        <f>Uebersetzung!D215</f>
        <v>2ème toit</v>
      </c>
      <c r="F92" s="30"/>
      <c r="G92" s="30"/>
      <c r="H92" s="199"/>
      <c r="I92" s="25"/>
      <c r="J92" s="30" t="s">
        <v>243</v>
      </c>
      <c r="K92" s="360"/>
      <c r="L92" s="98"/>
      <c r="M92" s="1788">
        <f>IF(K92&gt;0,IF(L92&gt;0,Fehler1,INDEX(UWert!$BD$7:$BD$41,K92)),L92)</f>
        <v>0</v>
      </c>
      <c r="N92" s="83" t="s">
        <v>244</v>
      </c>
      <c r="O92" s="30"/>
      <c r="Q92" s="30"/>
      <c r="R92" s="227"/>
      <c r="S92" s="30" t="s">
        <v>2324</v>
      </c>
      <c r="T92" s="30" t="str">
        <f>Uebersetzung!D216</f>
        <v>( Supplément de régulation et température chauffage sol inclu)</v>
      </c>
      <c r="U92" s="30"/>
      <c r="V92" s="30"/>
      <c r="W92" s="30"/>
      <c r="X92" s="51"/>
      <c r="Y92" s="30"/>
      <c r="Z92" s="30"/>
      <c r="AA92" s="57"/>
      <c r="AC92" s="2091"/>
      <c r="AE92" s="523"/>
      <c r="AF92" s="923"/>
      <c r="AG92" s="924"/>
      <c r="AH92" s="396"/>
      <c r="AL92" s="118" t="str">
        <f>Bauteile!$K312</f>
        <v>H = 1 m, D = 0.05 m, l = 0.03</v>
      </c>
      <c r="AM92" s="30"/>
      <c r="AN92" s="30"/>
      <c r="AO92" s="30"/>
      <c r="AP92" s="30"/>
      <c r="AQ92" s="62">
        <v>10</v>
      </c>
      <c r="AR92" s="118" t="str">
        <f>Bauteile!K195</f>
        <v>B = 1 m, D = 0.05 m, l = 0.03</v>
      </c>
      <c r="AS92" s="30"/>
      <c r="AT92" s="30"/>
      <c r="AU92" s="62">
        <v>10</v>
      </c>
      <c r="BA92" s="30"/>
      <c r="BB92" s="30"/>
      <c r="BC92" s="30"/>
      <c r="BD92" s="30"/>
      <c r="BE92" s="30"/>
      <c r="BF92" s="30"/>
      <c r="BG92" s="30"/>
    </row>
    <row r="93" spans="2:71" ht="6" customHeight="1">
      <c r="B93" s="118"/>
      <c r="C93" s="30"/>
      <c r="D93" s="30"/>
      <c r="E93" s="30"/>
      <c r="F93" s="30"/>
      <c r="G93" s="30"/>
      <c r="H93" s="30"/>
      <c r="I93" s="30"/>
      <c r="J93" s="30"/>
      <c r="K93" s="30"/>
      <c r="L93" s="30"/>
      <c r="M93" s="30"/>
      <c r="O93" s="30"/>
      <c r="P93" s="175"/>
      <c r="Q93" s="30"/>
      <c r="R93" s="2072"/>
      <c r="S93" s="173"/>
      <c r="U93" s="30"/>
      <c r="V93" s="30"/>
      <c r="W93" s="30"/>
      <c r="X93" s="30"/>
      <c r="Y93" s="30"/>
      <c r="Z93" s="30"/>
      <c r="AA93" s="57"/>
      <c r="AC93" s="2091"/>
      <c r="AE93" s="30"/>
      <c r="AF93" s="30"/>
      <c r="AL93" s="118" t="str">
        <f>Bauteile!$K313</f>
        <v>H = 1 m, D = 0.05 m, l = 0.04</v>
      </c>
      <c r="AM93" s="30"/>
      <c r="AN93" s="30"/>
      <c r="AO93" s="30"/>
      <c r="AP93" s="30"/>
      <c r="AQ93" s="62">
        <v>11</v>
      </c>
      <c r="AR93" s="118" t="str">
        <f>Bauteile!K196</f>
        <v>B = 1 m, D = 0.05 m, l = 0.04</v>
      </c>
      <c r="AS93" s="30"/>
      <c r="AT93" s="30"/>
      <c r="AU93" s="62">
        <v>11</v>
      </c>
      <c r="BI93" s="30"/>
      <c r="BJ93" s="170"/>
      <c r="BK93" s="30"/>
      <c r="BL93" s="30"/>
      <c r="BM93" s="30"/>
      <c r="BN93" s="30"/>
    </row>
    <row r="94" spans="2:71" ht="13.9" customHeight="1">
      <c r="B94" s="119"/>
      <c r="C94" s="30"/>
      <c r="D94" s="31"/>
      <c r="E94" s="30" t="str">
        <f>Uebersetzung!D670</f>
        <v>toit contre la terre</v>
      </c>
      <c r="F94" s="31"/>
      <c r="G94" s="31"/>
      <c r="H94" s="31"/>
      <c r="I94" s="25"/>
      <c r="J94" s="30" t="s">
        <v>243</v>
      </c>
      <c r="K94" s="360"/>
      <c r="L94" s="98"/>
      <c r="M94" s="178">
        <f>IF(K94&gt;0,IF(L94&gt;0,Fehler1,INDEX(UWert!$BD$7:$BD$41,K94)),L94)</f>
        <v>0</v>
      </c>
      <c r="N94" s="83" t="s">
        <v>244</v>
      </c>
      <c r="P94" s="30"/>
      <c r="Q94" s="2088" t="str">
        <f>Uebersetzung!D716</f>
        <v>Profon.</v>
      </c>
      <c r="R94" s="160"/>
      <c r="S94" s="30" t="s">
        <v>808</v>
      </c>
      <c r="T94" s="291">
        <f>Tab!W47</f>
        <v>1</v>
      </c>
      <c r="U94" s="31"/>
      <c r="V94" s="152"/>
      <c r="W94" s="31"/>
      <c r="X94" s="31"/>
      <c r="Y94" s="188"/>
      <c r="Z94" s="31"/>
      <c r="AA94" s="60"/>
      <c r="AE94" s="30"/>
      <c r="AF94" s="30"/>
      <c r="AL94" s="118" t="str">
        <f>Bauteile!$K314</f>
        <v>H = 1 m, D = 0.05 m, l = 0.06</v>
      </c>
      <c r="AM94" s="30"/>
      <c r="AN94" s="30"/>
      <c r="AO94" s="30"/>
      <c r="AP94" s="30"/>
      <c r="AQ94" s="62">
        <v>12</v>
      </c>
      <c r="AR94" s="118" t="str">
        <f>Bauteile!K197</f>
        <v>B = 1 m, D = 0.05 m, l = 0.06</v>
      </c>
      <c r="AS94" s="30"/>
      <c r="AT94" s="30"/>
      <c r="AU94" s="62">
        <v>12</v>
      </c>
    </row>
    <row r="95" spans="2:71" ht="5.45" customHeight="1">
      <c r="B95" s="121"/>
      <c r="C95" s="122"/>
      <c r="D95" s="122"/>
      <c r="E95" s="122"/>
      <c r="F95" s="122"/>
      <c r="G95" s="122"/>
      <c r="H95" s="122"/>
      <c r="I95" s="122">
        <v>6</v>
      </c>
      <c r="J95" s="122"/>
      <c r="K95" s="122"/>
      <c r="L95" s="122"/>
      <c r="M95" s="122"/>
      <c r="N95" s="122"/>
      <c r="O95" s="122"/>
      <c r="P95" s="122"/>
      <c r="Q95" s="122"/>
      <c r="R95" s="122"/>
      <c r="S95" s="122"/>
      <c r="T95" s="122"/>
      <c r="U95" s="122"/>
      <c r="V95" s="122"/>
      <c r="W95" s="122"/>
      <c r="X95" s="122"/>
      <c r="Y95" s="122"/>
      <c r="Z95" s="122"/>
      <c r="AA95" s="172"/>
      <c r="AF95" s="174"/>
      <c r="AG95" s="174"/>
      <c r="AH95" s="174"/>
      <c r="AL95" s="118" t="str">
        <f>Bauteile!$K315</f>
        <v>H = 1 m, D = 0.05 m, l = 0.08</v>
      </c>
      <c r="AM95" s="30"/>
      <c r="AN95" s="30"/>
      <c r="AO95" s="30"/>
      <c r="AP95" s="30"/>
      <c r="AQ95" s="62">
        <v>13</v>
      </c>
      <c r="AR95" s="118" t="str">
        <f>Bauteile!K198</f>
        <v>B = 1 m, D = 0.05 m, l = 0.08</v>
      </c>
      <c r="AS95" s="30"/>
      <c r="AT95" s="30"/>
      <c r="AU95" s="62">
        <v>13</v>
      </c>
      <c r="AX95" s="52"/>
      <c r="AY95" s="52"/>
      <c r="AZ95" s="52"/>
      <c r="BA95" s="52"/>
      <c r="BB95" s="52"/>
      <c r="BC95" s="52"/>
      <c r="BI95" s="271"/>
    </row>
    <row r="96" spans="2:71" ht="15">
      <c r="B96" s="118"/>
      <c r="C96" s="30"/>
      <c r="D96" s="30"/>
      <c r="E96" s="1274" t="s">
        <v>325</v>
      </c>
      <c r="F96" s="30"/>
      <c r="G96" s="202"/>
      <c r="H96" s="199"/>
      <c r="I96" s="51" t="str">
        <f>Uebersetzung!D217</f>
        <v>Les valeurs mensuelles sont à remplir sur la feuille 'ValeurU'.</v>
      </c>
      <c r="J96" s="30"/>
      <c r="K96" s="30"/>
      <c r="L96" s="207"/>
      <c r="M96" s="30"/>
      <c r="N96" s="30"/>
      <c r="O96" s="30"/>
      <c r="P96" s="30"/>
      <c r="Q96" s="30"/>
      <c r="R96" s="30"/>
      <c r="S96" s="64"/>
      <c r="T96" s="64"/>
      <c r="U96" s="64"/>
      <c r="V96" s="64"/>
      <c r="W96" s="64"/>
      <c r="X96" s="64"/>
      <c r="Y96" s="64"/>
      <c r="Z96" s="64"/>
      <c r="AA96" s="128"/>
      <c r="AF96" s="174"/>
      <c r="AG96" s="174"/>
      <c r="AH96" s="174"/>
      <c r="AL96" s="118" t="str">
        <f>Bauteile!$K316</f>
        <v>H = 2 m, D = 0.1 m, l = 0.035</v>
      </c>
      <c r="AM96" s="30"/>
      <c r="AN96" s="30"/>
      <c r="AO96" s="30"/>
      <c r="AP96" s="30"/>
      <c r="AQ96" s="62">
        <v>14</v>
      </c>
      <c r="AR96" s="118" t="str">
        <f>Bauteile!K199</f>
        <v>B = 2 m, D = 0.1 m, l = 0.035</v>
      </c>
      <c r="AS96" s="30"/>
      <c r="AT96" s="30"/>
      <c r="AU96" s="62">
        <v>14</v>
      </c>
      <c r="AX96" s="52"/>
      <c r="AY96" s="52"/>
      <c r="AZ96" s="52"/>
      <c r="BA96" s="52"/>
      <c r="BB96" s="52"/>
      <c r="BC96" s="52"/>
    </row>
    <row r="97" spans="2:69">
      <c r="B97" s="118"/>
      <c r="C97" s="30"/>
      <c r="D97" s="30"/>
      <c r="E97" s="30"/>
      <c r="F97" s="30"/>
      <c r="G97" s="202"/>
      <c r="H97" s="199"/>
      <c r="I97" s="64"/>
      <c r="J97" s="30"/>
      <c r="K97" s="64"/>
      <c r="L97" s="64"/>
      <c r="M97" s="30"/>
      <c r="N97" s="64"/>
      <c r="O97" s="64"/>
      <c r="P97" s="64"/>
      <c r="Q97" s="64"/>
      <c r="R97" s="64"/>
      <c r="S97" s="64"/>
      <c r="T97" s="64"/>
      <c r="U97" s="64"/>
      <c r="V97" s="64"/>
      <c r="W97" s="64"/>
      <c r="X97" s="64"/>
      <c r="Y97" s="64"/>
      <c r="Z97" s="64"/>
      <c r="AA97" s="128"/>
      <c r="AE97" s="174"/>
      <c r="AF97" s="174"/>
      <c r="AG97" s="174"/>
      <c r="AH97" s="174"/>
      <c r="AL97" s="118" t="str">
        <f>Bauteile!$K317</f>
        <v>H = 2 m, D = 0.1 m, l = 0.04</v>
      </c>
      <c r="AM97" s="30"/>
      <c r="AN97" s="30"/>
      <c r="AO97" s="30"/>
      <c r="AP97" s="30"/>
      <c r="AQ97" s="62">
        <v>15</v>
      </c>
      <c r="AR97" s="118" t="str">
        <f>Bauteile!K200</f>
        <v>B = 2 m, D = 0.1 m, l = 0.04</v>
      </c>
      <c r="AS97" s="30"/>
      <c r="AT97" s="30"/>
      <c r="AU97" s="62">
        <v>15</v>
      </c>
      <c r="AX97" s="52"/>
      <c r="AY97" s="52"/>
      <c r="AZ97" s="52"/>
      <c r="BA97" s="52"/>
      <c r="BB97" s="52"/>
      <c r="BC97" s="52"/>
    </row>
    <row r="98" spans="2:69" ht="14.25">
      <c r="B98" s="118"/>
      <c r="C98" s="30"/>
      <c r="D98" s="30"/>
      <c r="E98" s="30"/>
      <c r="F98" s="56" t="str">
        <f>V29&amp;"  "</f>
        <v xml:space="preserve">Sud  </v>
      </c>
      <c r="G98" s="441"/>
      <c r="H98" s="30" t="s">
        <v>243</v>
      </c>
      <c r="I98" s="448">
        <v>32</v>
      </c>
      <c r="J98" s="30"/>
      <c r="K98" s="193"/>
      <c r="L98" s="56" t="str">
        <f>V10&amp;"  "</f>
        <v xml:space="preserve">Est  </v>
      </c>
      <c r="M98" s="449"/>
      <c r="N98" s="1251">
        <v>33</v>
      </c>
      <c r="O98" s="30"/>
      <c r="P98" s="30"/>
      <c r="Q98" s="30"/>
      <c r="R98" s="30"/>
      <c r="S98" s="56" t="str">
        <f>I29&amp;"  "</f>
        <v xml:space="preserve">Ouest  </v>
      </c>
      <c r="T98" s="449"/>
      <c r="U98" s="448">
        <v>34</v>
      </c>
      <c r="V98" s="51"/>
      <c r="W98" s="30"/>
      <c r="X98" s="56" t="str">
        <f>I10&amp;"  "</f>
        <v xml:space="preserve">Nord  </v>
      </c>
      <c r="Y98" s="449"/>
      <c r="Z98" s="448">
        <v>35</v>
      </c>
      <c r="AA98" s="57"/>
      <c r="AL98" s="118" t="str">
        <f>Bauteile!$K318</f>
        <v>H = 2 m, D = 0.1 m, l = 0.06</v>
      </c>
      <c r="AM98" s="30"/>
      <c r="AN98" s="30"/>
      <c r="AO98" s="30"/>
      <c r="AP98" s="30"/>
      <c r="AQ98" s="62">
        <v>16</v>
      </c>
      <c r="AR98" s="118" t="str">
        <f>Bauteile!K201</f>
        <v>B = 2 m, D = 0.1 m, l = 0.06</v>
      </c>
      <c r="AS98" s="30"/>
      <c r="AT98" s="30"/>
      <c r="AU98" s="62">
        <v>16</v>
      </c>
      <c r="AX98" s="52"/>
      <c r="AY98" s="52"/>
      <c r="AZ98" s="52"/>
      <c r="BA98" s="52"/>
      <c r="BB98" s="52"/>
      <c r="BC98" s="52"/>
    </row>
    <row r="99" spans="2:69" ht="6" customHeight="1">
      <c r="B99" s="119"/>
      <c r="C99" s="31"/>
      <c r="D99" s="31"/>
      <c r="E99" s="31"/>
      <c r="F99" s="31"/>
      <c r="G99" s="31"/>
      <c r="H99" s="31"/>
      <c r="I99" s="31"/>
      <c r="J99" s="31"/>
      <c r="K99" s="31"/>
      <c r="L99" s="31"/>
      <c r="M99" s="31"/>
      <c r="N99" s="31"/>
      <c r="O99" s="31"/>
      <c r="P99" s="31"/>
      <c r="Q99" s="31"/>
      <c r="R99" s="31"/>
      <c r="S99" s="31"/>
      <c r="T99" s="31"/>
      <c r="U99" s="31"/>
      <c r="V99" s="31"/>
      <c r="W99" s="31"/>
      <c r="X99" s="31"/>
      <c r="Y99" s="31"/>
      <c r="Z99" s="31"/>
      <c r="AA99" s="60"/>
      <c r="AL99" s="118" t="str">
        <f>Bauteile!$K319</f>
        <v>H = 2 m, D = 0.1 m, l = 0.08</v>
      </c>
      <c r="AM99" s="30"/>
      <c r="AN99" s="30"/>
      <c r="AO99" s="30"/>
      <c r="AP99" s="30"/>
      <c r="AQ99" s="62">
        <v>17</v>
      </c>
      <c r="AR99" s="118" t="str">
        <f>Bauteile!K202</f>
        <v>B = 2 m, D = 0.1 m, l = 0.08</v>
      </c>
      <c r="AS99" s="30"/>
      <c r="AT99" s="30"/>
      <c r="AU99" s="62">
        <v>17</v>
      </c>
      <c r="AX99" s="52"/>
      <c r="AY99" s="52"/>
      <c r="AZ99" s="52"/>
      <c r="BA99" s="52"/>
      <c r="BB99" s="52"/>
      <c r="BC99" s="52"/>
    </row>
    <row r="100" spans="2:69" s="52" customFormat="1" ht="15.75">
      <c r="H100" s="1252"/>
      <c r="I100" s="48"/>
      <c r="L100" s="1253"/>
      <c r="V100" s="48"/>
      <c r="Y100" s="1253"/>
      <c r="AC100" s="27"/>
      <c r="AD100" s="27"/>
      <c r="AE100" s="512" t="s">
        <v>1780</v>
      </c>
      <c r="AF100" s="27"/>
      <c r="AG100" s="27"/>
      <c r="AH100" s="27"/>
      <c r="AI100" s="27"/>
      <c r="AJ100" s="27"/>
      <c r="AK100" s="27"/>
      <c r="AL100" s="118" t="str">
        <f>Bauteile!$K320</f>
        <v>H = 2 m, D = 0.08 m, l = 0.03</v>
      </c>
      <c r="AM100" s="30"/>
      <c r="AN100" s="30"/>
      <c r="AO100" s="30"/>
      <c r="AP100" s="30"/>
      <c r="AQ100" s="62">
        <v>18</v>
      </c>
      <c r="AR100" s="118" t="str">
        <f>Bauteile!K203</f>
        <v>B = 2 m, D = 0.08 m, l = 0.03</v>
      </c>
      <c r="AS100" s="30"/>
      <c r="AT100" s="30"/>
      <c r="AU100" s="62">
        <v>18</v>
      </c>
      <c r="AV100" s="27"/>
      <c r="AW100" s="27"/>
      <c r="BD100" s="27"/>
      <c r="BE100" s="27"/>
      <c r="BF100" s="27"/>
      <c r="BG100" s="27"/>
      <c r="BH100" s="27"/>
      <c r="BI100" s="27"/>
      <c r="BJ100" s="27"/>
      <c r="BK100" s="27"/>
      <c r="BL100" s="27"/>
      <c r="BM100" s="27"/>
      <c r="BN100" s="27"/>
      <c r="BO100" s="27"/>
      <c r="BP100" s="27"/>
      <c r="BQ100" s="27"/>
    </row>
    <row r="101" spans="2:69" s="52" customFormat="1">
      <c r="H101" s="1252"/>
      <c r="I101" s="48"/>
      <c r="L101" s="1253"/>
      <c r="V101" s="48"/>
      <c r="Y101" s="1253"/>
      <c r="AC101" s="27"/>
      <c r="AD101" s="27"/>
      <c r="AE101" s="174"/>
      <c r="AF101" s="27"/>
      <c r="AG101" s="27"/>
      <c r="AH101" s="27"/>
      <c r="AI101" s="27"/>
      <c r="AJ101" s="27"/>
      <c r="AK101" s="27"/>
      <c r="AL101" s="118" t="str">
        <f>Bauteile!$K321</f>
        <v>H = 2 m, D = 0.08 m, l = 0.04</v>
      </c>
      <c r="AM101" s="30"/>
      <c r="AN101" s="30"/>
      <c r="AO101" s="30"/>
      <c r="AP101" s="30"/>
      <c r="AQ101" s="62">
        <v>19</v>
      </c>
      <c r="AR101" s="118" t="str">
        <f>Bauteile!K204</f>
        <v>B = 2 m, D = 0.08 m, l = 0.04</v>
      </c>
      <c r="AS101" s="30"/>
      <c r="AT101" s="30"/>
      <c r="AU101" s="62">
        <v>19</v>
      </c>
      <c r="AV101" s="27"/>
      <c r="AW101" s="27"/>
      <c r="BD101" s="27"/>
      <c r="BE101" s="27"/>
      <c r="BF101" s="27"/>
      <c r="BG101" s="27"/>
      <c r="BH101" s="27"/>
      <c r="BI101" s="27"/>
      <c r="BJ101" s="27"/>
      <c r="BK101" s="27"/>
      <c r="BL101" s="27"/>
      <c r="BM101" s="27"/>
      <c r="BN101" s="27"/>
      <c r="BO101" s="27"/>
      <c r="BP101" s="27"/>
    </row>
    <row r="102" spans="2:69" s="52" customFormat="1">
      <c r="H102" s="1252"/>
      <c r="I102" s="48"/>
      <c r="L102" s="1253"/>
      <c r="V102" s="48"/>
      <c r="Y102" s="1253"/>
      <c r="AA102" s="56"/>
      <c r="AE102" s="174" t="s">
        <v>1781</v>
      </c>
      <c r="AF102" s="1252"/>
      <c r="AG102" s="1252"/>
      <c r="AH102" s="1252"/>
      <c r="AL102" s="118" t="str">
        <f>Bauteile!$K322</f>
        <v>H = 2 m, D = 0.08 m, l = 0.06</v>
      </c>
      <c r="AM102" s="105"/>
      <c r="AN102" s="105"/>
      <c r="AO102" s="105"/>
      <c r="AP102" s="105"/>
      <c r="AQ102" s="62">
        <v>20</v>
      </c>
      <c r="AR102" s="118" t="str">
        <f>Bauteile!K205</f>
        <v>B = 2 m, D = 0.08 m, l = 0.06</v>
      </c>
      <c r="AS102" s="105"/>
      <c r="AT102" s="105"/>
      <c r="AU102" s="62">
        <v>20</v>
      </c>
    </row>
    <row r="103" spans="2:69" s="52" customFormat="1">
      <c r="AE103" s="516" t="s">
        <v>1783</v>
      </c>
      <c r="AF103" s="1254"/>
      <c r="AG103" s="1254"/>
      <c r="AH103" s="1255">
        <f>IF(R67&gt;0,2*I67/R67,)</f>
        <v>0</v>
      </c>
      <c r="AL103" s="118" t="str">
        <f>Bauteile!$K323</f>
        <v>H = 2 m, D = 0.08 m, l = 0.08</v>
      </c>
      <c r="AM103" s="105"/>
      <c r="AN103" s="105"/>
      <c r="AO103" s="105"/>
      <c r="AP103" s="105"/>
      <c r="AQ103" s="62">
        <v>21</v>
      </c>
      <c r="AR103" s="118" t="str">
        <f>Bauteile!K206</f>
        <v>B = 2 m, D = 0.08 m, l = 0.08</v>
      </c>
      <c r="AS103" s="105"/>
      <c r="AT103" s="105"/>
      <c r="AU103" s="62">
        <v>21</v>
      </c>
    </row>
    <row r="104" spans="2:69" s="52" customFormat="1">
      <c r="AE104" s="517" t="s">
        <v>1785</v>
      </c>
      <c r="AF104" s="1256"/>
      <c r="AG104" s="1256"/>
      <c r="AH104" s="1257">
        <f>IF(R68&gt;0,2*I68/R68,)</f>
        <v>0</v>
      </c>
      <c r="AL104" s="118" t="str">
        <f>Bauteile!$K324</f>
        <v>H = 2 m, D = 0.05 m, l = 0.03</v>
      </c>
      <c r="AM104" s="105"/>
      <c r="AN104" s="105"/>
      <c r="AO104" s="105"/>
      <c r="AP104" s="105"/>
      <c r="AQ104" s="62">
        <v>22</v>
      </c>
      <c r="AR104" s="118" t="str">
        <f>Bauteile!K207</f>
        <v>B = 2 m, D = 0.05 m, l = 0.03</v>
      </c>
      <c r="AS104" s="105"/>
      <c r="AT104" s="105"/>
      <c r="AU104" s="62">
        <v>22</v>
      </c>
    </row>
    <row r="105" spans="2:69" s="52" customFormat="1">
      <c r="AE105" s="516" t="s">
        <v>2363</v>
      </c>
      <c r="AF105" s="1254"/>
      <c r="AG105" s="1254"/>
      <c r="AH105" s="1255">
        <f>IF(M67&gt;0,IF(L57&gt;0,L57+lamda/M67+lamda/25,0.3+lamda/M67+lamda/25),)</f>
        <v>0</v>
      </c>
      <c r="AL105" s="118" t="str">
        <f>Bauteile!$K325</f>
        <v>H = 2 m, D = 0.05 m, l = 0.04</v>
      </c>
      <c r="AM105" s="105"/>
      <c r="AN105" s="105"/>
      <c r="AO105" s="105"/>
      <c r="AP105" s="105"/>
      <c r="AQ105" s="62">
        <v>23</v>
      </c>
      <c r="AR105" s="118" t="str">
        <f>Bauteile!K208</f>
        <v>B = 2 m, D = 0.05 m, l = 0.04</v>
      </c>
      <c r="AS105" s="105"/>
      <c r="AT105" s="105"/>
      <c r="AU105" s="62">
        <v>23</v>
      </c>
    </row>
    <row r="106" spans="2:69" s="52" customFormat="1">
      <c r="AE106" s="519" t="s">
        <v>18</v>
      </c>
      <c r="AF106" s="1258"/>
      <c r="AG106" s="1258"/>
      <c r="AH106" s="1259">
        <f>IF(M68&gt;0,IF(L58&gt;0,L58+lamda/M68+lamda/25,0.3+lamda/M68+lamda/25),)</f>
        <v>0</v>
      </c>
      <c r="AL106" s="118" t="str">
        <f>Bauteile!$K326</f>
        <v>H = 2 m, D = 0.05 m, l = 0.06</v>
      </c>
      <c r="AM106" s="105"/>
      <c r="AN106" s="105"/>
      <c r="AO106" s="105"/>
      <c r="AP106" s="105"/>
      <c r="AQ106" s="62">
        <v>24</v>
      </c>
      <c r="AR106" s="118" t="str">
        <f>Bauteile!K209</f>
        <v>B = 2 m, D = 0.05 m, l = 0.06</v>
      </c>
      <c r="AS106" s="105"/>
      <c r="AT106" s="105"/>
      <c r="AU106" s="62">
        <v>24</v>
      </c>
    </row>
    <row r="107" spans="2:69" s="52" customFormat="1">
      <c r="AE107" s="530" t="s">
        <v>2070</v>
      </c>
      <c r="AF107" s="120"/>
      <c r="AG107" s="120"/>
      <c r="AH107" s="1260">
        <f>IF((I67+I68)&gt;0,((I67*bodend1)+(I68*bodend2))/(I67+I68),)</f>
        <v>0</v>
      </c>
      <c r="AL107" s="118" t="str">
        <f>Bauteile!$K327</f>
        <v>H = 2 m, D = 0.05 m, l = 0.08</v>
      </c>
      <c r="AM107" s="105"/>
      <c r="AN107" s="105"/>
      <c r="AO107" s="105"/>
      <c r="AP107" s="105"/>
      <c r="AQ107" s="62">
        <v>25</v>
      </c>
      <c r="AR107" s="118" t="str">
        <f>Bauteile!K210</f>
        <v>B = 2 m, D = 0.05 m, l = 0.08</v>
      </c>
      <c r="AS107" s="105"/>
      <c r="AT107" s="105"/>
      <c r="AU107" s="62">
        <v>25</v>
      </c>
    </row>
    <row r="108" spans="2:69" s="52" customFormat="1">
      <c r="AC108" s="52">
        <f>bodend2</f>
        <v>0</v>
      </c>
      <c r="AE108" s="358" t="s">
        <v>19</v>
      </c>
      <c r="AF108" s="1258"/>
      <c r="AG108" s="1258"/>
      <c r="AH108" s="1261">
        <f>IF(R57&gt;0,lamda/R57,)</f>
        <v>0</v>
      </c>
      <c r="AL108" s="118" t="str">
        <f>Bauteile!$K328</f>
        <v>H = 3 m, D = 0.1 m, l = 0.035</v>
      </c>
      <c r="AM108" s="105"/>
      <c r="AN108" s="105"/>
      <c r="AO108" s="105"/>
      <c r="AP108" s="105"/>
      <c r="AQ108" s="62">
        <v>26</v>
      </c>
      <c r="AR108" s="118" t="str">
        <f>Bauteile!K211</f>
        <v>B = 3 m, D = 0.1 m, l = 0.035</v>
      </c>
      <c r="AS108" s="105"/>
      <c r="AT108" s="105"/>
      <c r="AU108" s="62">
        <v>26</v>
      </c>
    </row>
    <row r="109" spans="2:69" s="52" customFormat="1">
      <c r="AE109" s="517" t="s">
        <v>20</v>
      </c>
      <c r="AF109" s="1256"/>
      <c r="AG109" s="1256"/>
      <c r="AH109" s="1262">
        <f>IF(R58&gt;0,lamda/R58,)</f>
        <v>0</v>
      </c>
      <c r="AL109" s="118" t="str">
        <f>Bauteile!$K329</f>
        <v>H = 3 m, D = 0.1 m, l = 0.04</v>
      </c>
      <c r="AM109" s="105"/>
      <c r="AN109" s="105"/>
      <c r="AO109" s="105"/>
      <c r="AP109" s="105"/>
      <c r="AQ109" s="62">
        <v>27</v>
      </c>
      <c r="AR109" s="118" t="str">
        <f>Bauteile!K212</f>
        <v>B = 3 m, D = 0.1 m, l = 0.04</v>
      </c>
      <c r="AS109" s="105"/>
      <c r="AT109" s="105"/>
      <c r="AU109" s="62">
        <v>27</v>
      </c>
    </row>
    <row r="110" spans="2:69" s="52" customFormat="1">
      <c r="AE110" s="1263" t="s">
        <v>1786</v>
      </c>
      <c r="AF110" s="1258"/>
      <c r="AG110" s="1258"/>
      <c r="AH110" s="1261">
        <f>IF((0.457*boden1+bodend1+N67/2)&gt;0,lamda/(0.457*boden1+bodend1+N67/2),)</f>
        <v>0</v>
      </c>
      <c r="AL110" s="118" t="str">
        <f>Bauteile!$K330</f>
        <v>H = 3 m, D = 0.1 m, l = 0.06</v>
      </c>
      <c r="AM110" s="105"/>
      <c r="AN110" s="105"/>
      <c r="AO110" s="105"/>
      <c r="AP110" s="105"/>
      <c r="AQ110" s="62">
        <v>28</v>
      </c>
      <c r="AR110" s="118" t="str">
        <f>Bauteile!K213</f>
        <v>B = 3 m, D = 0.1 m, l = 0.06</v>
      </c>
      <c r="AS110" s="105"/>
      <c r="AT110" s="105"/>
      <c r="AU110" s="62">
        <v>28</v>
      </c>
    </row>
    <row r="111" spans="2:69" s="52" customFormat="1">
      <c r="AE111" s="1263" t="s">
        <v>1787</v>
      </c>
      <c r="AF111" s="1258"/>
      <c r="AG111" s="1258"/>
      <c r="AH111" s="1261">
        <f>IF((0.457*boden2+bodend2+N68/2)&gt;0,lamda/(0.457*boden2+bodend2+N68/2),)</f>
        <v>0</v>
      </c>
      <c r="AL111" s="118" t="str">
        <f>Bauteile!$K331</f>
        <v>H = 3 m, D = 0.1 m, l = 0.08</v>
      </c>
      <c r="AM111" s="105"/>
      <c r="AN111" s="105"/>
      <c r="AO111" s="105"/>
      <c r="AP111" s="105"/>
      <c r="AQ111" s="62">
        <v>29</v>
      </c>
      <c r="AR111" s="118" t="str">
        <f>Bauteile!K214</f>
        <v>B = 3 m, D = 0.1 m, l = 0.08</v>
      </c>
      <c r="AS111" s="105"/>
      <c r="AT111" s="105"/>
      <c r="AU111" s="62">
        <v>29</v>
      </c>
    </row>
    <row r="112" spans="2:69" s="52" customFormat="1">
      <c r="AE112" s="1263" t="s">
        <v>1788</v>
      </c>
      <c r="AF112" s="1258"/>
      <c r="AG112" s="1258"/>
      <c r="AH112" s="1261">
        <f>IF(I57&gt;0,(2*lamda)/(PI()*I57)*(1+((0.5*dt)/(dt+I57)))*LN(I57/wandd1+1),)</f>
        <v>0</v>
      </c>
      <c r="AL112" s="118" t="str">
        <f>Bauteile!$K332</f>
        <v>H = 3 m, D = 0.08 m, l = 0.03</v>
      </c>
      <c r="AM112" s="105"/>
      <c r="AN112" s="105"/>
      <c r="AO112" s="105"/>
      <c r="AP112" s="105"/>
      <c r="AQ112" s="62">
        <v>30</v>
      </c>
      <c r="AR112" s="118" t="str">
        <f>Bauteile!K215</f>
        <v>B = 3 m, D = 0.08 m, l = 0.03</v>
      </c>
      <c r="AS112" s="105"/>
      <c r="AT112" s="105"/>
      <c r="AU112" s="62">
        <v>30</v>
      </c>
    </row>
    <row r="113" spans="2:47" s="52" customFormat="1">
      <c r="AE113" s="1263" t="s">
        <v>587</v>
      </c>
      <c r="AF113" s="1258"/>
      <c r="AG113" s="1258"/>
      <c r="AH113" s="1261">
        <f>IF(I58&gt;0,(2*lamda)/(PI()*I58)*(1+((0.5*dt)/(dt+I58)))*LN(I58/wandd2+1),)</f>
        <v>0</v>
      </c>
      <c r="AL113" s="118" t="str">
        <f>Bauteile!$K333</f>
        <v>H = 3 m, D = 0.08 m, l = 0.04</v>
      </c>
      <c r="AM113" s="105"/>
      <c r="AN113" s="105"/>
      <c r="AO113" s="105"/>
      <c r="AP113" s="105"/>
      <c r="AQ113" s="62">
        <v>31</v>
      </c>
      <c r="AR113" s="118" t="str">
        <f>Bauteile!K216</f>
        <v>B = 3 m, D = 0.08 m, l = 0.04</v>
      </c>
      <c r="AS113" s="105"/>
      <c r="AT113" s="105"/>
      <c r="AU113" s="62">
        <v>31</v>
      </c>
    </row>
    <row r="114" spans="2:47" s="52" customFormat="1">
      <c r="AE114" s="1263" t="s">
        <v>588</v>
      </c>
      <c r="AF114" s="1258"/>
      <c r="AG114" s="1258"/>
      <c r="AH114" s="1261">
        <f>IF(N67&gt;0,((2*lamda)/(PI()*boden1+bodend1+(N67/2)))*LN(((PI()*boden1)/(bodend1+(N67/2)))+1),)</f>
        <v>0</v>
      </c>
      <c r="AL114" s="118" t="str">
        <f>Bauteile!$K334</f>
        <v>H = 3 m, D = 0.08 m, l = 0.06</v>
      </c>
      <c r="AM114" s="105"/>
      <c r="AN114" s="105"/>
      <c r="AO114" s="105"/>
      <c r="AP114" s="105"/>
      <c r="AQ114" s="62">
        <v>32</v>
      </c>
      <c r="AR114" s="118" t="str">
        <f>Bauteile!K217</f>
        <v>B = 3 m, D = 0.08 m, l = 0.06</v>
      </c>
      <c r="AS114" s="105"/>
      <c r="AT114" s="105"/>
      <c r="AU114" s="62">
        <v>32</v>
      </c>
    </row>
    <row r="115" spans="2:47" s="52" customFormat="1">
      <c r="AE115" s="1263" t="s">
        <v>589</v>
      </c>
      <c r="AF115" s="1258"/>
      <c r="AG115" s="1258"/>
      <c r="AH115" s="1261">
        <f>IF(N68&gt;0,((2*lamda)/(PI()*boden2+bodend2+(N68/2)))*LN(((PI()*boden2)/(bodend2+(N68/2)))+1),)</f>
        <v>0</v>
      </c>
      <c r="AL115" s="118" t="str">
        <f>Bauteile!$K335</f>
        <v>H = 3 m, D = 0.08 m, l = 0.08</v>
      </c>
      <c r="AM115" s="105"/>
      <c r="AN115" s="105"/>
      <c r="AO115" s="105"/>
      <c r="AP115" s="105"/>
      <c r="AQ115" s="62">
        <v>33</v>
      </c>
      <c r="AR115" s="118" t="str">
        <f>Bauteile!K218</f>
        <v>B = 3 m, D = 0.08 m, l = 0.08</v>
      </c>
      <c r="AS115" s="105"/>
      <c r="AT115" s="105"/>
      <c r="AU115" s="62">
        <v>33</v>
      </c>
    </row>
    <row r="116" spans="2:47" s="52" customFormat="1">
      <c r="AE116" s="1263" t="s">
        <v>590</v>
      </c>
      <c r="AF116" s="1258"/>
      <c r="AG116" s="1258"/>
      <c r="AH116" s="1261">
        <f>IF(I57&gt;0,(2*lamda)/(PI()*I57)*(1+((0.5*wandd1)/(wandd1+I57)))*LN(I57/wandd1+1),)</f>
        <v>0</v>
      </c>
      <c r="AL116" s="118" t="str">
        <f>Bauteile!$K336</f>
        <v>H = 3 m, D = 0.05 m, l = 0.03</v>
      </c>
      <c r="AM116" s="105"/>
      <c r="AN116" s="105"/>
      <c r="AO116" s="105"/>
      <c r="AP116" s="105"/>
      <c r="AQ116" s="62">
        <v>34</v>
      </c>
      <c r="AR116" s="118" t="str">
        <f>Bauteile!K219</f>
        <v>B = 3 m, D = 0.05 m, l = 0.03</v>
      </c>
      <c r="AS116" s="105"/>
      <c r="AT116" s="105"/>
      <c r="AU116" s="62">
        <v>34</v>
      </c>
    </row>
    <row r="117" spans="2:47" s="52" customFormat="1">
      <c r="S117" s="1264"/>
      <c r="T117" s="1264"/>
      <c r="U117" s="1264"/>
      <c r="V117" s="1265"/>
      <c r="W117" s="1264"/>
      <c r="X117" s="1264"/>
      <c r="Y117" s="1266"/>
      <c r="Z117" s="1264"/>
      <c r="AA117" s="1264"/>
      <c r="AB117" s="1264"/>
      <c r="AE117" s="1263" t="s">
        <v>591</v>
      </c>
      <c r="AF117" s="1258"/>
      <c r="AG117" s="1258"/>
      <c r="AH117" s="1261">
        <f>IF(I58&gt;0,(2*lamda)/(PI()*I58)*(1+((0.5*wandd2)/(wandd2+I58)))*LN(I58/wandd2+1),)</f>
        <v>0</v>
      </c>
      <c r="AL117" s="118" t="str">
        <f>Bauteile!$K337</f>
        <v>H = 3 m, D = 0.05 m, l = 0.04</v>
      </c>
      <c r="AM117" s="105"/>
      <c r="AN117" s="105"/>
      <c r="AO117" s="105"/>
      <c r="AP117" s="105"/>
      <c r="AQ117" s="62">
        <v>35</v>
      </c>
      <c r="AR117" s="118" t="str">
        <f>Bauteile!K220</f>
        <v>B = 3 m, D = 0.05 m, l = 0.04</v>
      </c>
      <c r="AS117" s="105"/>
      <c r="AT117" s="105"/>
      <c r="AU117" s="62">
        <v>35</v>
      </c>
    </row>
    <row r="118" spans="2:47" s="52" customFormat="1">
      <c r="M118" s="1264"/>
      <c r="N118" s="1264"/>
      <c r="O118" s="1264"/>
      <c r="P118" s="1264"/>
      <c r="Q118" s="1264"/>
      <c r="R118" s="1264"/>
      <c r="S118" s="1264"/>
      <c r="T118" s="1264"/>
      <c r="U118" s="1264"/>
      <c r="V118" s="1265"/>
      <c r="W118" s="1264"/>
      <c r="X118" s="1264"/>
      <c r="Y118" s="1266"/>
      <c r="Z118" s="1264"/>
      <c r="AA118" s="1264"/>
      <c r="AB118" s="1264"/>
      <c r="AE118" s="519" t="s">
        <v>592</v>
      </c>
      <c r="AF118" s="1258"/>
      <c r="AG118" s="1258"/>
      <c r="AH118" s="1261">
        <f>IF(((bodend1+N67)/2)&lt;boden1,AH114,IF(((bodend1+N67)/2)&lt;&gt;boden1,AH110,AH114))</f>
        <v>0</v>
      </c>
      <c r="AL118" s="118" t="str">
        <f>Bauteile!$K338</f>
        <v>H = 3 m, D = 0.05 m, l = 0.06</v>
      </c>
      <c r="AM118" s="105"/>
      <c r="AN118" s="105"/>
      <c r="AO118" s="105"/>
      <c r="AP118" s="105"/>
      <c r="AQ118" s="62">
        <v>36</v>
      </c>
      <c r="AR118" s="118" t="str">
        <f>Bauteile!K221</f>
        <v>B = 3 m, D = 0.05 m, l = 0.06</v>
      </c>
      <c r="AS118" s="105"/>
      <c r="AT118" s="105"/>
      <c r="AU118" s="62">
        <v>36</v>
      </c>
    </row>
    <row r="119" spans="2:47" s="52" customFormat="1">
      <c r="B119" s="1264"/>
      <c r="C119" s="1264"/>
      <c r="D119" s="1264"/>
      <c r="E119" s="1264"/>
      <c r="F119" s="1264"/>
      <c r="G119" s="1264"/>
      <c r="H119" s="1252"/>
      <c r="I119" s="1265"/>
      <c r="J119" s="1264"/>
      <c r="K119" s="1264"/>
      <c r="L119" s="1266"/>
      <c r="M119" s="1264"/>
      <c r="N119" s="1264"/>
      <c r="O119" s="1264"/>
      <c r="P119" s="1264"/>
      <c r="Q119" s="1264"/>
      <c r="R119" s="1264"/>
      <c r="S119" s="1264"/>
      <c r="T119" s="1264"/>
      <c r="U119" s="1264"/>
      <c r="V119" s="1265"/>
      <c r="W119" s="1264"/>
      <c r="X119" s="1264"/>
      <c r="Y119" s="1266"/>
      <c r="Z119" s="1264"/>
      <c r="AA119" s="1264"/>
      <c r="AB119" s="1264"/>
      <c r="AC119" s="1264"/>
      <c r="AD119" s="1264"/>
      <c r="AE119" s="519" t="s">
        <v>593</v>
      </c>
      <c r="AF119" s="1258"/>
      <c r="AG119" s="1258"/>
      <c r="AH119" s="1261">
        <f>IF(((bodend2+N68)/2)&lt;boden2,AH115,IF(((bodend2+N68)/2)&lt;&gt;boden2,AH111,AH115))</f>
        <v>0</v>
      </c>
      <c r="AL119" s="118" t="str">
        <f>Bauteile!$K339</f>
        <v>H = 3 m, D = 0.05 m, l = 0.08</v>
      </c>
      <c r="AM119" s="105"/>
      <c r="AN119" s="105"/>
      <c r="AO119" s="105"/>
      <c r="AP119" s="105"/>
      <c r="AQ119" s="62">
        <v>37</v>
      </c>
      <c r="AR119" s="118" t="str">
        <f>Bauteile!K222</f>
        <v>B = 3 m, D = 0.05 m, l = 0.08</v>
      </c>
      <c r="AS119" s="105"/>
      <c r="AT119" s="105"/>
      <c r="AU119" s="62">
        <v>37</v>
      </c>
    </row>
    <row r="120" spans="2:47" s="52" customFormat="1">
      <c r="B120" s="1264"/>
      <c r="C120" s="1264"/>
      <c r="D120" s="1264"/>
      <c r="E120" s="1264"/>
      <c r="F120" s="1264"/>
      <c r="G120" s="1264"/>
      <c r="H120" s="1252"/>
      <c r="I120" s="1265"/>
      <c r="J120" s="1264"/>
      <c r="K120" s="1264"/>
      <c r="L120" s="1266"/>
      <c r="M120" s="1264"/>
      <c r="N120" s="1264"/>
      <c r="O120" s="1264"/>
      <c r="P120" s="1264"/>
      <c r="Q120" s="1264"/>
      <c r="R120" s="1264"/>
      <c r="S120" s="1264"/>
      <c r="T120" s="1264"/>
      <c r="U120" s="1264"/>
      <c r="V120" s="1265"/>
      <c r="W120" s="1264"/>
      <c r="X120" s="1264"/>
      <c r="Y120" s="1266"/>
      <c r="Z120" s="1264"/>
      <c r="AA120" s="1264"/>
      <c r="AB120" s="1264"/>
      <c r="AC120" s="1264"/>
      <c r="AD120" s="1264"/>
      <c r="AE120" s="519" t="s">
        <v>594</v>
      </c>
      <c r="AF120" s="1258"/>
      <c r="AG120" s="1258"/>
      <c r="AH120" s="1261">
        <f>IF(wandd1&lt;dt,AH116,IF(wandd1&lt;&gt;dt,AH112,AH116))</f>
        <v>0</v>
      </c>
      <c r="AL120" s="118" t="str">
        <f>Bauteile!$K340</f>
        <v>H = 5 m, D = 0.1 m, l = 0.035</v>
      </c>
      <c r="AM120" s="105"/>
      <c r="AN120" s="105"/>
      <c r="AO120" s="105"/>
      <c r="AP120" s="105"/>
      <c r="AQ120" s="62">
        <v>38</v>
      </c>
      <c r="AR120" s="118" t="str">
        <f>Bauteile!K223</f>
        <v>B = 5 m, D = 0.1 m, l = 0.035</v>
      </c>
      <c r="AS120" s="105"/>
      <c r="AT120" s="105"/>
      <c r="AU120" s="62">
        <v>38</v>
      </c>
    </row>
    <row r="121" spans="2:47" s="52" customFormat="1">
      <c r="B121" s="1264"/>
      <c r="C121" s="1264"/>
      <c r="D121" s="1264"/>
      <c r="E121" s="1264"/>
      <c r="F121" s="1264"/>
      <c r="G121" s="1264"/>
      <c r="H121" s="1252"/>
      <c r="I121" s="1265"/>
      <c r="J121" s="1264"/>
      <c r="K121" s="1264"/>
      <c r="L121" s="1266"/>
      <c r="M121" s="1264"/>
      <c r="N121" s="1264"/>
      <c r="O121" s="1264"/>
      <c r="P121" s="1264"/>
      <c r="Q121" s="1264"/>
      <c r="R121" s="1264"/>
      <c r="S121" s="1264"/>
      <c r="T121" s="1264"/>
      <c r="U121" s="1264"/>
      <c r="V121" s="1265"/>
      <c r="W121" s="1264"/>
      <c r="X121" s="1264"/>
      <c r="Y121" s="1266"/>
      <c r="Z121" s="1264"/>
      <c r="AA121" s="1264"/>
      <c r="AB121" s="1264"/>
      <c r="AC121" s="1264"/>
      <c r="AD121" s="1264"/>
      <c r="AE121" s="517" t="s">
        <v>595</v>
      </c>
      <c r="AF121" s="1256"/>
      <c r="AG121" s="1256"/>
      <c r="AH121" s="1262">
        <f>IF(wandd2&lt;dt,AH117,IF(wandd2&lt;&gt;dt,AH113,AH117))</f>
        <v>0</v>
      </c>
      <c r="AL121" s="118" t="str">
        <f>Bauteile!$K341</f>
        <v>H = 5 m, D = 0.1 m, l = 0.04</v>
      </c>
      <c r="AM121" s="105"/>
      <c r="AN121" s="105"/>
      <c r="AO121" s="105"/>
      <c r="AP121" s="105"/>
      <c r="AQ121" s="62">
        <v>39</v>
      </c>
      <c r="AR121" s="118" t="str">
        <f>Bauteile!K224</f>
        <v>B = 5 m, D = 0.1 m, l = 0.04</v>
      </c>
      <c r="AS121" s="105"/>
      <c r="AT121" s="105"/>
      <c r="AU121" s="62">
        <v>39</v>
      </c>
    </row>
    <row r="122" spans="2:47" s="52" customFormat="1">
      <c r="B122" s="1264"/>
      <c r="C122" s="1264"/>
      <c r="D122" s="1264"/>
      <c r="E122" s="1264"/>
      <c r="F122" s="1264"/>
      <c r="G122" s="1264"/>
      <c r="H122" s="1252"/>
      <c r="I122" s="1265"/>
      <c r="J122" s="1264"/>
      <c r="K122" s="1264"/>
      <c r="L122" s="1266"/>
      <c r="M122" s="1264"/>
      <c r="N122" s="1264"/>
      <c r="O122" s="1264"/>
      <c r="P122" s="1264"/>
      <c r="Q122" s="1264"/>
      <c r="R122" s="1264"/>
      <c r="S122" s="1264"/>
      <c r="T122" s="1264"/>
      <c r="U122" s="1264"/>
      <c r="V122" s="1265"/>
      <c r="W122" s="1264"/>
      <c r="X122" s="1264"/>
      <c r="Y122" s="1266"/>
      <c r="Z122" s="1264"/>
      <c r="AA122" s="1264"/>
      <c r="AB122" s="1264"/>
      <c r="AC122" s="1264"/>
      <c r="AD122" s="1264"/>
      <c r="AE122" s="1252" t="s">
        <v>596</v>
      </c>
      <c r="AF122" s="1252"/>
      <c r="AG122" s="1252"/>
      <c r="AH122" s="1267">
        <f>IF((I67+N67*R67)&gt;0,(I67*AH118+N67*R67*AH120)/(I67+N67*R67),)</f>
        <v>0</v>
      </c>
      <c r="AL122" s="118" t="str">
        <f>Bauteile!$K342</f>
        <v>H = 5 m, D = 0.1 m, l = 0.06</v>
      </c>
      <c r="AM122" s="105"/>
      <c r="AN122" s="105"/>
      <c r="AO122" s="105"/>
      <c r="AP122" s="105"/>
      <c r="AQ122" s="62">
        <v>40</v>
      </c>
      <c r="AR122" s="118" t="str">
        <f>Bauteile!K225</f>
        <v>B = 5 m, D = 0.1 m, l = 0.06</v>
      </c>
      <c r="AS122" s="105"/>
      <c r="AT122" s="105"/>
      <c r="AU122" s="62">
        <v>40</v>
      </c>
    </row>
    <row r="123" spans="2:47" s="52" customFormat="1">
      <c r="B123" s="1264"/>
      <c r="C123" s="1264"/>
      <c r="D123" s="1264"/>
      <c r="E123" s="1264"/>
      <c r="F123" s="1264"/>
      <c r="G123" s="1264"/>
      <c r="H123" s="1252"/>
      <c r="I123" s="1265"/>
      <c r="J123" s="1264"/>
      <c r="K123" s="1264"/>
      <c r="L123" s="1266"/>
      <c r="M123" s="1264"/>
      <c r="N123" s="1264"/>
      <c r="O123" s="1264"/>
      <c r="P123" s="1264"/>
      <c r="Q123" s="1264"/>
      <c r="R123" s="1264"/>
      <c r="S123" s="1264"/>
      <c r="T123" s="1264"/>
      <c r="U123" s="1264"/>
      <c r="V123" s="1265"/>
      <c r="W123" s="1264"/>
      <c r="X123" s="1264"/>
      <c r="Y123" s="1266"/>
      <c r="Z123" s="1264"/>
      <c r="AA123" s="1264"/>
      <c r="AB123" s="1264"/>
      <c r="AC123" s="1264"/>
      <c r="AD123" s="1264"/>
      <c r="AE123" s="1252" t="s">
        <v>597</v>
      </c>
      <c r="AF123" s="1252"/>
      <c r="AG123" s="1252"/>
      <c r="AH123" s="1252">
        <f>IF((I68+N68*R68)&gt;0,(I68*AH119+N68*R68*AH121)/(I68+N68*R68),)</f>
        <v>0</v>
      </c>
      <c r="AL123" s="118" t="str">
        <f>Bauteile!$K343</f>
        <v>H = 5 m, D = 0.1 m, l = 0.08</v>
      </c>
      <c r="AM123" s="105"/>
      <c r="AN123" s="105"/>
      <c r="AO123" s="105"/>
      <c r="AP123" s="105"/>
      <c r="AQ123" s="62">
        <v>41</v>
      </c>
      <c r="AR123" s="118" t="str">
        <f>Bauteile!K226</f>
        <v>B = 5 m, D = 0.1 m, l = 0.08</v>
      </c>
      <c r="AS123" s="105"/>
      <c r="AT123" s="105"/>
      <c r="AU123" s="62">
        <v>41</v>
      </c>
    </row>
    <row r="124" spans="2:47" s="52" customFormat="1">
      <c r="B124" s="1264"/>
      <c r="C124" s="1264"/>
      <c r="D124" s="1264"/>
      <c r="E124" s="1264"/>
      <c r="F124" s="1264"/>
      <c r="G124" s="1264"/>
      <c r="H124" s="1252"/>
      <c r="I124" s="1265"/>
      <c r="J124" s="1264"/>
      <c r="K124" s="1264"/>
      <c r="L124" s="1266"/>
      <c r="M124" s="1264"/>
      <c r="N124" s="1264"/>
      <c r="O124" s="1264"/>
      <c r="P124" s="1264"/>
      <c r="Q124" s="1264"/>
      <c r="R124" s="1264"/>
      <c r="S124" s="1264"/>
      <c r="T124" s="1264"/>
      <c r="U124" s="1264"/>
      <c r="V124" s="1265"/>
      <c r="W124" s="1264"/>
      <c r="X124" s="1264"/>
      <c r="Y124" s="1266"/>
      <c r="Z124" s="1264"/>
      <c r="AA124" s="1264"/>
      <c r="AB124" s="1264"/>
      <c r="AC124" s="1264"/>
      <c r="AD124" s="1264"/>
      <c r="AE124" s="1264"/>
      <c r="AI124" s="120"/>
      <c r="AJ124" s="120"/>
      <c r="AL124" s="118" t="str">
        <f>Bauteile!$K344</f>
        <v>H = 5 m, D = 0.08 m, l = 0.03</v>
      </c>
      <c r="AM124" s="105"/>
      <c r="AN124" s="105"/>
      <c r="AO124" s="105"/>
      <c r="AP124" s="105"/>
      <c r="AQ124" s="62">
        <v>42</v>
      </c>
      <c r="AR124" s="118" t="str">
        <f>Bauteile!K227</f>
        <v>B = 5 m, D = 0.08 m, l = 0.03</v>
      </c>
      <c r="AS124" s="105"/>
      <c r="AT124" s="105"/>
      <c r="AU124" s="62">
        <v>42</v>
      </c>
    </row>
    <row r="125" spans="2:47" s="52" customFormat="1">
      <c r="B125" s="1264"/>
      <c r="C125" s="1264"/>
      <c r="D125" s="1264"/>
      <c r="E125" s="1264"/>
      <c r="F125" s="1264"/>
      <c r="G125" s="1264"/>
      <c r="H125" s="1252"/>
      <c r="I125" s="1265"/>
      <c r="J125" s="1264"/>
      <c r="K125" s="1264"/>
      <c r="L125" s="1266"/>
      <c r="M125" s="1264"/>
      <c r="N125" s="1264"/>
      <c r="O125" s="1264"/>
      <c r="P125" s="1264"/>
      <c r="Q125" s="1264"/>
      <c r="R125" s="1264"/>
      <c r="S125" s="1264"/>
      <c r="T125" s="1264"/>
      <c r="U125" s="1264"/>
      <c r="V125" s="1265"/>
      <c r="W125" s="1264"/>
      <c r="X125" s="1264"/>
      <c r="Y125" s="1266"/>
      <c r="Z125" s="1264"/>
      <c r="AA125" s="1264"/>
      <c r="AB125" s="1264"/>
      <c r="AC125" s="1264"/>
      <c r="AD125" s="1264"/>
      <c r="AE125" s="1287" t="s">
        <v>2390</v>
      </c>
      <c r="AF125" s="1319"/>
      <c r="AG125" s="1319"/>
      <c r="AH125" s="1319"/>
      <c r="AI125" s="1320"/>
      <c r="AJ125" s="1321"/>
      <c r="AL125" s="118" t="str">
        <f>Bauteile!$K345</f>
        <v>H = 5 m, D = 0.08 m, l = 0.04</v>
      </c>
      <c r="AM125" s="105"/>
      <c r="AN125" s="105"/>
      <c r="AO125" s="105"/>
      <c r="AP125" s="105"/>
      <c r="AQ125" s="62">
        <v>43</v>
      </c>
      <c r="AR125" s="118" t="str">
        <f>Bauteile!K228</f>
        <v>B = 5 m, D = 0.08 m, l = 0.04</v>
      </c>
      <c r="AS125" s="105"/>
      <c r="AT125" s="105"/>
      <c r="AU125" s="62">
        <v>43</v>
      </c>
    </row>
    <row r="126" spans="2:47" s="52" customFormat="1">
      <c r="B126" s="1264"/>
      <c r="C126" s="1264"/>
      <c r="D126" s="1264"/>
      <c r="E126" s="1264"/>
      <c r="F126" s="1264"/>
      <c r="G126" s="1264"/>
      <c r="H126" s="1252"/>
      <c r="I126" s="1265"/>
      <c r="J126" s="1264"/>
      <c r="K126" s="1264"/>
      <c r="L126" s="1266"/>
      <c r="M126" s="1264"/>
      <c r="N126" s="1264"/>
      <c r="O126" s="1264"/>
      <c r="P126" s="1264"/>
      <c r="Q126" s="1264"/>
      <c r="R126" s="1264"/>
      <c r="S126" s="1264"/>
      <c r="T126" s="1264"/>
      <c r="U126" s="1264"/>
      <c r="V126" s="1265"/>
      <c r="W126" s="1264"/>
      <c r="X126" s="1264"/>
      <c r="Y126" s="1266"/>
      <c r="Z126" s="1264"/>
      <c r="AA126" s="1264"/>
      <c r="AB126" s="1264"/>
      <c r="AC126" s="1264"/>
      <c r="AD126" s="1264"/>
      <c r="AE126" s="1268"/>
      <c r="AF126" s="105"/>
      <c r="AG126" s="105"/>
      <c r="AH126" s="105"/>
      <c r="AI126" s="105"/>
      <c r="AJ126" s="1269"/>
      <c r="AL126" s="118" t="str">
        <f>Bauteile!$K346</f>
        <v>H = 5 m, D = 0.08 m, l = 0.06</v>
      </c>
      <c r="AM126" s="105"/>
      <c r="AN126" s="105"/>
      <c r="AO126" s="105"/>
      <c r="AP126" s="105"/>
      <c r="AQ126" s="62">
        <v>44</v>
      </c>
      <c r="AR126" s="118" t="str">
        <f>Bauteile!K229</f>
        <v>B = 5 m, D = 0.08 m, l = 0.06</v>
      </c>
      <c r="AS126" s="105"/>
      <c r="AT126" s="105"/>
      <c r="AU126" s="62">
        <v>44</v>
      </c>
    </row>
    <row r="127" spans="2:47" s="52" customFormat="1">
      <c r="B127" s="1264"/>
      <c r="C127" s="1264"/>
      <c r="D127" s="1264"/>
      <c r="E127" s="1264"/>
      <c r="F127" s="1264"/>
      <c r="G127" s="1264"/>
      <c r="H127" s="1252"/>
      <c r="I127" s="1265"/>
      <c r="J127" s="1264"/>
      <c r="K127" s="1264"/>
      <c r="L127" s="1266"/>
      <c r="M127" s="1264"/>
      <c r="N127" s="1264"/>
      <c r="O127" s="1264"/>
      <c r="P127" s="1264"/>
      <c r="Q127" s="1264"/>
      <c r="R127" s="1264"/>
      <c r="S127" s="1264"/>
      <c r="T127" s="1264"/>
      <c r="U127" s="1264"/>
      <c r="V127" s="1265"/>
      <c r="W127" s="1264"/>
      <c r="X127" s="1264"/>
      <c r="Y127" s="1266"/>
      <c r="Z127" s="1264"/>
      <c r="AA127" s="1264"/>
      <c r="AB127" s="1264"/>
      <c r="AC127" s="1264"/>
      <c r="AD127" s="1264"/>
      <c r="AE127" s="1268" t="s">
        <v>2388</v>
      </c>
      <c r="AF127" s="105"/>
      <c r="AG127" s="175" t="s">
        <v>1</v>
      </c>
      <c r="AH127" s="105"/>
      <c r="AI127" s="1325" t="s">
        <v>1</v>
      </c>
      <c r="AJ127" s="1269"/>
      <c r="AL127" s="118" t="str">
        <f>Bauteile!$K347</f>
        <v>H = 5 m, D = 0.08 m, l = 0.08</v>
      </c>
      <c r="AM127" s="105"/>
      <c r="AN127" s="105"/>
      <c r="AO127" s="105"/>
      <c r="AP127" s="105"/>
      <c r="AQ127" s="62">
        <v>45</v>
      </c>
      <c r="AR127" s="118" t="str">
        <f>Bauteile!K230</f>
        <v>B = 5 m, D = 0.08 m, l = 0.08</v>
      </c>
      <c r="AS127" s="105"/>
      <c r="AT127" s="105"/>
      <c r="AU127" s="62">
        <v>45</v>
      </c>
    </row>
    <row r="128" spans="2:47" s="52" customFormat="1">
      <c r="B128" s="1264"/>
      <c r="C128" s="1264"/>
      <c r="D128" s="1264"/>
      <c r="E128" s="1264"/>
      <c r="F128" s="1264"/>
      <c r="G128" s="1264"/>
      <c r="H128" s="1252"/>
      <c r="I128" s="1265"/>
      <c r="J128" s="1264"/>
      <c r="K128" s="1264"/>
      <c r="L128" s="1266"/>
      <c r="M128" s="1264"/>
      <c r="N128" s="1264"/>
      <c r="O128" s="1264"/>
      <c r="P128" s="1264"/>
      <c r="Q128" s="1264"/>
      <c r="R128" s="1264"/>
      <c r="S128" s="1264"/>
      <c r="T128" s="1264"/>
      <c r="U128" s="1264"/>
      <c r="V128" s="1265"/>
      <c r="W128" s="1264"/>
      <c r="X128" s="1264"/>
      <c r="Y128" s="1266"/>
      <c r="Z128" s="1264"/>
      <c r="AA128" s="1264"/>
      <c r="AB128" s="1264"/>
      <c r="AC128" s="1264"/>
      <c r="AD128" s="1264"/>
      <c r="AE128" s="1268"/>
      <c r="AF128" s="105"/>
      <c r="AG128" s="1324" t="s">
        <v>1687</v>
      </c>
      <c r="AH128" s="120"/>
      <c r="AI128" s="1303" t="s">
        <v>1688</v>
      </c>
      <c r="AJ128" s="1315"/>
      <c r="AL128" s="118" t="str">
        <f>Bauteile!$K348</f>
        <v>H = 5 m, D = 0.05 m, l = 0.03</v>
      </c>
      <c r="AM128" s="105"/>
      <c r="AN128" s="105"/>
      <c r="AO128" s="105"/>
      <c r="AP128" s="105"/>
      <c r="AQ128" s="62">
        <v>46</v>
      </c>
      <c r="AR128" s="118" t="str">
        <f>Bauteile!K231</f>
        <v>B = 5 m, D = 0.05 m, l = 0.03</v>
      </c>
      <c r="AS128" s="105"/>
      <c r="AT128" s="105"/>
      <c r="AU128" s="62">
        <v>46</v>
      </c>
    </row>
    <row r="129" spans="2:69" s="52" customFormat="1" ht="14.25">
      <c r="B129" s="1264"/>
      <c r="C129" s="1264"/>
      <c r="D129" s="1264"/>
      <c r="E129" s="1264"/>
      <c r="F129" s="1264"/>
      <c r="G129" s="1264"/>
      <c r="H129" s="1252"/>
      <c r="I129" s="1265"/>
      <c r="J129" s="1264"/>
      <c r="K129" s="1264"/>
      <c r="L129" s="1266"/>
      <c r="M129" s="1264"/>
      <c r="N129" s="1264"/>
      <c r="O129" s="1264"/>
      <c r="P129" s="1264"/>
      <c r="Q129" s="1264"/>
      <c r="R129" s="1264"/>
      <c r="S129" s="1264"/>
      <c r="T129" s="1264"/>
      <c r="U129" s="1264"/>
      <c r="V129" s="1265"/>
      <c r="W129" s="1264"/>
      <c r="X129" s="1264"/>
      <c r="Y129" s="1266"/>
      <c r="Z129" s="1264"/>
      <c r="AA129" s="1264"/>
      <c r="AB129" s="1264"/>
      <c r="AC129" s="1264"/>
      <c r="AD129" s="1264"/>
      <c r="AE129" s="1268"/>
      <c r="AF129" s="1305" t="s">
        <v>1835</v>
      </c>
      <c r="AG129" s="1314">
        <f>Bau!$I$67</f>
        <v>0</v>
      </c>
      <c r="AH129" s="201" t="s">
        <v>243</v>
      </c>
      <c r="AI129" s="1314">
        <f>Bau!$I$67</f>
        <v>0</v>
      </c>
      <c r="AJ129" s="1316" t="s">
        <v>243</v>
      </c>
      <c r="AL129" s="118" t="str">
        <f>Bauteile!$K349</f>
        <v>H = 5 m, D = 0.05 m, l = 0.04</v>
      </c>
      <c r="AM129" s="105"/>
      <c r="AN129" s="105"/>
      <c r="AO129" s="105"/>
      <c r="AP129" s="105"/>
      <c r="AQ129" s="62">
        <v>47</v>
      </c>
      <c r="AR129" s="118" t="str">
        <f>Bauteile!K232</f>
        <v>B = 5 m, D = 0.05 m, l = 0.04</v>
      </c>
      <c r="AS129" s="105"/>
      <c r="AT129" s="105"/>
      <c r="AU129" s="62">
        <v>47</v>
      </c>
    </row>
    <row r="130" spans="2:69" s="52" customFormat="1">
      <c r="B130" s="1264"/>
      <c r="C130" s="1264"/>
      <c r="D130" s="1264"/>
      <c r="E130" s="1264"/>
      <c r="F130" s="1264"/>
      <c r="G130" s="1264"/>
      <c r="H130" s="1252"/>
      <c r="I130" s="1265"/>
      <c r="J130" s="1264"/>
      <c r="K130" s="1264"/>
      <c r="L130" s="1266"/>
      <c r="M130" s="1264"/>
      <c r="N130" s="1264"/>
      <c r="O130" s="1264"/>
      <c r="P130" s="1264"/>
      <c r="Q130" s="1264"/>
      <c r="R130" s="1264"/>
      <c r="S130" s="1264"/>
      <c r="T130" s="1264"/>
      <c r="U130" s="1264"/>
      <c r="V130" s="1265"/>
      <c r="W130" s="1264"/>
      <c r="X130" s="1264"/>
      <c r="Y130" s="1266"/>
      <c r="Z130" s="1264"/>
      <c r="AA130" s="1264"/>
      <c r="AB130" s="1264"/>
      <c r="AC130" s="1264"/>
      <c r="AD130" s="1264"/>
      <c r="AE130" s="1268"/>
      <c r="AF130" s="1305" t="s">
        <v>1836</v>
      </c>
      <c r="AG130" s="1314">
        <f>Bau!$R$67</f>
        <v>0</v>
      </c>
      <c r="AH130" s="201" t="s">
        <v>808</v>
      </c>
      <c r="AI130" s="1314">
        <f>Bau!$R$67</f>
        <v>0</v>
      </c>
      <c r="AJ130" s="1316" t="s">
        <v>808</v>
      </c>
      <c r="AL130" s="118" t="str">
        <f>Bauteile!$K350</f>
        <v>H = 5 m, D = 0.05 m, l = 0.06</v>
      </c>
      <c r="AM130" s="105"/>
      <c r="AN130" s="105"/>
      <c r="AO130" s="105"/>
      <c r="AP130" s="105"/>
      <c r="AQ130" s="62">
        <v>48</v>
      </c>
      <c r="AR130" s="118" t="str">
        <f>Bauteile!K233</f>
        <v>B = 5 m, D = 0.05 m, l = 0.06</v>
      </c>
      <c r="AS130" s="105"/>
      <c r="AT130" s="105"/>
      <c r="AU130" s="62">
        <v>48</v>
      </c>
    </row>
    <row r="131" spans="2:69" s="52" customFormat="1" ht="15.75">
      <c r="B131" s="1264"/>
      <c r="C131" s="1264"/>
      <c r="D131" s="1264"/>
      <c r="E131" s="1264"/>
      <c r="F131" s="1264"/>
      <c r="G131" s="1264"/>
      <c r="H131" s="1252"/>
      <c r="I131" s="1265"/>
      <c r="J131" s="1264"/>
      <c r="K131" s="1264"/>
      <c r="L131" s="1266"/>
      <c r="M131" s="1264"/>
      <c r="N131" s="1264"/>
      <c r="O131" s="1264"/>
      <c r="P131" s="1264"/>
      <c r="Q131" s="1264"/>
      <c r="R131" s="1264"/>
      <c r="S131" s="1264"/>
      <c r="T131" s="1264"/>
      <c r="U131" s="1264"/>
      <c r="V131" s="1265"/>
      <c r="W131" s="1264"/>
      <c r="X131" s="1264"/>
      <c r="Y131" s="1266"/>
      <c r="Z131" s="1264"/>
      <c r="AA131" s="1264"/>
      <c r="AB131" s="1264"/>
      <c r="AC131" s="1264"/>
      <c r="AD131" s="1264"/>
      <c r="AE131" s="1268"/>
      <c r="AF131" s="1305" t="s">
        <v>1693</v>
      </c>
      <c r="AG131" s="1306">
        <f>IF(OR(AG157=0,AG158=0),0,1/(Bau!$AG$159/Bau!$AG$158))</f>
        <v>0</v>
      </c>
      <c r="AH131" s="201" t="s">
        <v>1694</v>
      </c>
      <c r="AI131" s="1311">
        <f>IF(OR(AI157=0,AI158=0),0,1/(Bau!$AI$159/Bau!$AI$158))</f>
        <v>0</v>
      </c>
      <c r="AJ131" s="1316" t="s">
        <v>1694</v>
      </c>
      <c r="AL131" s="118" t="str">
        <f>Bauteile!$K351</f>
        <v>H = 5 m, D = 0.05 m, l = 0.08</v>
      </c>
      <c r="AM131" s="105"/>
      <c r="AN131" s="105"/>
      <c r="AO131" s="105"/>
      <c r="AP131" s="105"/>
      <c r="AQ131" s="62">
        <v>49</v>
      </c>
      <c r="AR131" s="118" t="str">
        <f>Bauteile!K234</f>
        <v>B = 5 m, D = 0.05 m, l = 0.08</v>
      </c>
      <c r="AS131" s="105"/>
      <c r="AT131" s="105"/>
      <c r="AU131" s="62">
        <v>49</v>
      </c>
    </row>
    <row r="132" spans="2:69" s="52" customFormat="1" ht="15.75">
      <c r="B132" s="1264"/>
      <c r="C132" s="1264"/>
      <c r="D132" s="1264"/>
      <c r="E132" s="1264"/>
      <c r="F132" s="1264"/>
      <c r="G132" s="1264"/>
      <c r="H132" s="1252"/>
      <c r="I132" s="1265"/>
      <c r="J132" s="1264"/>
      <c r="K132" s="1264"/>
      <c r="L132" s="1266"/>
      <c r="M132" s="1264"/>
      <c r="N132" s="1264"/>
      <c r="O132" s="1264"/>
      <c r="P132" s="1264"/>
      <c r="Q132" s="1264"/>
      <c r="R132" s="1264"/>
      <c r="S132" s="1264"/>
      <c r="T132" s="1264"/>
      <c r="U132" s="1264"/>
      <c r="V132" s="1265"/>
      <c r="W132" s="1264"/>
      <c r="X132" s="1264"/>
      <c r="Y132" s="1266"/>
      <c r="Z132" s="1264"/>
      <c r="AA132" s="1264"/>
      <c r="AB132" s="1264"/>
      <c r="AC132" s="1264"/>
      <c r="AD132" s="1264"/>
      <c r="AE132" s="1268"/>
      <c r="AF132" s="1305" t="s">
        <v>1695</v>
      </c>
      <c r="AG132" s="1307">
        <f>Bau!$AG$158</f>
        <v>0</v>
      </c>
      <c r="AH132" s="201" t="s">
        <v>808</v>
      </c>
      <c r="AI132" s="1311">
        <f>Bau!$AI$158</f>
        <v>0</v>
      </c>
      <c r="AJ132" s="1316" t="s">
        <v>808</v>
      </c>
      <c r="AL132" s="118" t="str">
        <f>Bauteile!$K352</f>
        <v>H = 8 m, D = 0.1 m, l = 0.035</v>
      </c>
      <c r="AM132" s="105"/>
      <c r="AN132" s="105"/>
      <c r="AO132" s="105"/>
      <c r="AP132" s="105"/>
      <c r="AQ132" s="62">
        <v>50</v>
      </c>
      <c r="AR132" s="118" t="str">
        <f>Bauteile!K235</f>
        <v>B = 8 m, D = 0.1 m, l = 0.035</v>
      </c>
      <c r="AS132" s="105"/>
      <c r="AT132" s="105"/>
      <c r="AU132" s="62">
        <v>50</v>
      </c>
    </row>
    <row r="133" spans="2:69">
      <c r="B133" s="43"/>
      <c r="C133" s="43"/>
      <c r="D133" s="43"/>
      <c r="E133" s="43"/>
      <c r="F133" s="43"/>
      <c r="G133" s="43"/>
      <c r="H133" s="174"/>
      <c r="I133" s="97"/>
      <c r="J133" s="43"/>
      <c r="K133" s="43"/>
      <c r="L133" s="96"/>
      <c r="M133" s="43"/>
      <c r="N133" s="43"/>
      <c r="O133" s="43"/>
      <c r="P133" s="43"/>
      <c r="Q133" s="43"/>
      <c r="R133" s="43"/>
      <c r="S133" s="43"/>
      <c r="T133" s="43"/>
      <c r="U133" s="43"/>
      <c r="V133" s="97"/>
      <c r="W133" s="43"/>
      <c r="X133" s="43"/>
      <c r="Y133" s="96"/>
      <c r="Z133" s="43"/>
      <c r="AA133" s="43"/>
      <c r="AB133" s="43"/>
      <c r="AC133" s="1264"/>
      <c r="AD133" s="1264"/>
      <c r="AE133" s="1268"/>
      <c r="AF133" s="965" t="s">
        <v>1059</v>
      </c>
      <c r="AG133" s="1308">
        <f>Bau!$AG$160</f>
        <v>1.5</v>
      </c>
      <c r="AH133" s="1309" t="s">
        <v>1190</v>
      </c>
      <c r="AI133" s="1308">
        <f>Bau!$AG$160</f>
        <v>1.5</v>
      </c>
      <c r="AJ133" s="1317" t="s">
        <v>1190</v>
      </c>
      <c r="AK133" s="52"/>
      <c r="AL133" s="118" t="str">
        <f>Bauteile!$K353</f>
        <v>H = 8 m, D = 0.1 m, l = 0.04</v>
      </c>
      <c r="AM133" s="105"/>
      <c r="AN133" s="105"/>
      <c r="AO133" s="105"/>
      <c r="AP133" s="105"/>
      <c r="AQ133" s="62">
        <v>51</v>
      </c>
      <c r="AR133" s="118" t="str">
        <f>Bauteile!K236</f>
        <v>B = 8 m, D = 0.1 m, l = 0.04</v>
      </c>
      <c r="AS133" s="105"/>
      <c r="AT133" s="105"/>
      <c r="AU133" s="62">
        <v>51</v>
      </c>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row>
    <row r="134" spans="2:69">
      <c r="B134" s="43"/>
      <c r="C134" s="43"/>
      <c r="D134" s="43"/>
      <c r="E134" s="43"/>
      <c r="F134" s="43"/>
      <c r="G134" s="43"/>
      <c r="H134" s="174"/>
      <c r="I134" s="97"/>
      <c r="J134" s="43"/>
      <c r="K134" s="43"/>
      <c r="L134" s="96"/>
      <c r="M134" s="43"/>
      <c r="N134" s="43"/>
      <c r="O134" s="43"/>
      <c r="P134" s="43"/>
      <c r="Q134" s="43"/>
      <c r="R134" s="43"/>
      <c r="S134" s="43"/>
      <c r="T134" s="43"/>
      <c r="U134" s="43"/>
      <c r="V134" s="97"/>
      <c r="W134" s="43"/>
      <c r="X134" s="43"/>
      <c r="Y134" s="96"/>
      <c r="Z134" s="43"/>
      <c r="AA134" s="43"/>
      <c r="AB134" s="43"/>
      <c r="AC134" s="1264"/>
      <c r="AD134" s="1264"/>
      <c r="AE134" s="1268"/>
      <c r="AF134" s="1310" t="s">
        <v>1838</v>
      </c>
      <c r="AG134" s="1308">
        <f>Bau!$L$57</f>
        <v>0</v>
      </c>
      <c r="AH134" s="1309" t="s">
        <v>808</v>
      </c>
      <c r="AI134" s="1308">
        <f>Bau!$L$57</f>
        <v>0</v>
      </c>
      <c r="AJ134" s="1317" t="s">
        <v>808</v>
      </c>
      <c r="AK134" s="52"/>
      <c r="AL134" s="118" t="str">
        <f>Bauteile!$K354</f>
        <v>H = 8 m, D = 0.1 m, l = 0.06</v>
      </c>
      <c r="AM134" s="105"/>
      <c r="AN134" s="105"/>
      <c r="AO134" s="105"/>
      <c r="AP134" s="105"/>
      <c r="AQ134" s="62">
        <v>52</v>
      </c>
      <c r="AR134" s="118" t="str">
        <f>Bauteile!K237</f>
        <v>B = 8 m, D = 0.1 m, l = 0.06</v>
      </c>
      <c r="AS134" s="105"/>
      <c r="AT134" s="105"/>
      <c r="AU134" s="62">
        <v>52</v>
      </c>
      <c r="AV134" s="52"/>
      <c r="AW134" s="52"/>
      <c r="AX134" s="52"/>
      <c r="AY134" s="52"/>
      <c r="AZ134" s="52"/>
      <c r="BA134" s="52"/>
      <c r="BB134" s="52"/>
      <c r="BC134" s="52"/>
      <c r="BD134" s="52"/>
      <c r="BE134" s="52"/>
      <c r="BF134" s="52"/>
      <c r="BG134" s="52"/>
      <c r="BH134" s="52"/>
      <c r="BI134" s="52"/>
      <c r="BJ134" s="52"/>
      <c r="BK134" s="52"/>
      <c r="BL134" s="52"/>
      <c r="BM134" s="52"/>
      <c r="BN134" s="52"/>
      <c r="BO134" s="52"/>
      <c r="BP134" s="52"/>
    </row>
    <row r="135" spans="2:69" ht="15.75">
      <c r="B135" s="43"/>
      <c r="C135" s="43"/>
      <c r="D135" s="43"/>
      <c r="E135" s="43"/>
      <c r="F135" s="43"/>
      <c r="G135" s="43"/>
      <c r="H135" s="174"/>
      <c r="I135" s="97"/>
      <c r="J135" s="43"/>
      <c r="K135" s="43"/>
      <c r="L135" s="96"/>
      <c r="M135" s="43"/>
      <c r="N135" s="43"/>
      <c r="O135" s="43"/>
      <c r="P135" s="43"/>
      <c r="Q135" s="43"/>
      <c r="R135" s="43"/>
      <c r="S135" s="43"/>
      <c r="T135" s="43"/>
      <c r="U135" s="43"/>
      <c r="V135" s="97"/>
      <c r="W135" s="43"/>
      <c r="X135" s="43"/>
      <c r="Y135" s="96"/>
      <c r="Z135" s="43"/>
      <c r="AA135" s="43"/>
      <c r="AB135" s="43"/>
      <c r="AC135" s="43"/>
      <c r="AD135" s="43"/>
      <c r="AE135" s="118"/>
      <c r="AF135" s="1310" t="s">
        <v>1060</v>
      </c>
      <c r="AG135" s="1308">
        <v>0.04</v>
      </c>
      <c r="AH135" s="1309" t="s">
        <v>1694</v>
      </c>
      <c r="AI135" s="1308">
        <v>0.04</v>
      </c>
      <c r="AJ135" s="1317" t="s">
        <v>1694</v>
      </c>
      <c r="AL135" s="118" t="str">
        <f>Bauteile!$K355</f>
        <v>H = 8 m, D = 0.1 m, l = 0.08</v>
      </c>
      <c r="AM135" s="30"/>
      <c r="AN135" s="30"/>
      <c r="AO135" s="30"/>
      <c r="AP135" s="30"/>
      <c r="AQ135" s="62">
        <v>53</v>
      </c>
      <c r="AR135" s="118" t="str">
        <f>Bauteile!K238</f>
        <v>B = 8 m, D = 0.1 m, l = 0.08</v>
      </c>
      <c r="AS135" s="30"/>
      <c r="AT135" s="30"/>
      <c r="AU135" s="62">
        <v>53</v>
      </c>
    </row>
    <row r="136" spans="2:69">
      <c r="B136" s="43"/>
      <c r="C136" s="43"/>
      <c r="D136" s="43"/>
      <c r="E136" s="43"/>
      <c r="F136" s="43"/>
      <c r="G136" s="43"/>
      <c r="H136" s="174"/>
      <c r="I136" s="97"/>
      <c r="J136" s="43"/>
      <c r="K136" s="43"/>
      <c r="L136" s="96"/>
      <c r="M136" s="43"/>
      <c r="N136" s="43"/>
      <c r="O136" s="43"/>
      <c r="P136" s="43"/>
      <c r="Q136" s="43"/>
      <c r="R136" s="43"/>
      <c r="S136" s="43"/>
      <c r="T136" s="43"/>
      <c r="U136" s="43"/>
      <c r="V136" s="97"/>
      <c r="W136" s="43"/>
      <c r="X136" s="43"/>
      <c r="Y136" s="96"/>
      <c r="Z136" s="43"/>
      <c r="AA136" s="43"/>
      <c r="AB136" s="43"/>
      <c r="AC136" s="43"/>
      <c r="AD136" s="43"/>
      <c r="AE136" s="118"/>
      <c r="AF136" s="1310" t="s">
        <v>1839</v>
      </c>
      <c r="AG136" s="1313">
        <f>Bau!$AG$157</f>
        <v>0</v>
      </c>
      <c r="AH136" s="1309" t="s">
        <v>808</v>
      </c>
      <c r="AI136" s="193">
        <f>Bau!$AI$157</f>
        <v>0</v>
      </c>
      <c r="AJ136" s="1317" t="s">
        <v>808</v>
      </c>
      <c r="AL136" s="118" t="str">
        <f>Bauteile!$K356</f>
        <v>H = 8 m, D = 0.08 m, l = 0.03</v>
      </c>
      <c r="AM136" s="30"/>
      <c r="AN136" s="30"/>
      <c r="AO136" s="30"/>
      <c r="AP136" s="30"/>
      <c r="AQ136" s="62">
        <v>54</v>
      </c>
      <c r="AR136" s="118" t="str">
        <f>Bauteile!K239</f>
        <v>B = 8 m, D = 0.08 m, l = 0.03</v>
      </c>
      <c r="AS136" s="30"/>
      <c r="AT136" s="30"/>
      <c r="AU136" s="62">
        <v>54</v>
      </c>
    </row>
    <row r="137" spans="2:69">
      <c r="B137" s="43"/>
      <c r="C137" s="43"/>
      <c r="D137" s="43"/>
      <c r="E137" s="43"/>
      <c r="F137" s="43"/>
      <c r="G137" s="43"/>
      <c r="H137" s="174"/>
      <c r="I137" s="97"/>
      <c r="J137" s="43"/>
      <c r="K137" s="43"/>
      <c r="L137" s="96"/>
      <c r="M137" s="43"/>
      <c r="N137" s="43"/>
      <c r="O137" s="43"/>
      <c r="P137" s="43"/>
      <c r="Q137" s="43"/>
      <c r="R137" s="43"/>
      <c r="S137" s="43"/>
      <c r="T137" s="43"/>
      <c r="U137" s="43"/>
      <c r="V137" s="97"/>
      <c r="W137" s="43"/>
      <c r="X137" s="43"/>
      <c r="Y137" s="96"/>
      <c r="Z137" s="43"/>
      <c r="AA137" s="43"/>
      <c r="AB137" s="43"/>
      <c r="AC137" s="43"/>
      <c r="AD137" s="43"/>
      <c r="AE137" s="118"/>
      <c r="AF137" s="1310" t="s">
        <v>2386</v>
      </c>
      <c r="AG137" s="1313">
        <f>N67</f>
        <v>0</v>
      </c>
      <c r="AH137" s="1309" t="s">
        <v>808</v>
      </c>
      <c r="AI137" s="1313">
        <f>N67</f>
        <v>0</v>
      </c>
      <c r="AJ137" s="1317" t="s">
        <v>808</v>
      </c>
      <c r="AL137" s="118" t="str">
        <f>Bauteile!$K357</f>
        <v>H = 8 m, D = 0.08 m, l = 0.04</v>
      </c>
      <c r="AM137" s="30"/>
      <c r="AN137" s="30"/>
      <c r="AO137" s="30"/>
      <c r="AP137" s="30"/>
      <c r="AQ137" s="62">
        <v>55</v>
      </c>
      <c r="AR137" s="118" t="str">
        <f>Bauteile!K240</f>
        <v>B = 8 m, D = 0.08 m, l = 0.04</v>
      </c>
      <c r="AS137" s="30"/>
      <c r="AT137" s="30"/>
      <c r="AU137" s="62">
        <v>55</v>
      </c>
    </row>
    <row r="138" spans="2:69">
      <c r="B138" s="43"/>
      <c r="C138" s="43"/>
      <c r="D138" s="43"/>
      <c r="E138" s="43"/>
      <c r="F138" s="43"/>
      <c r="G138" s="43"/>
      <c r="H138" s="174"/>
      <c r="I138" s="97"/>
      <c r="J138" s="43"/>
      <c r="K138" s="43"/>
      <c r="L138" s="96"/>
      <c r="M138" s="43"/>
      <c r="N138" s="43"/>
      <c r="O138" s="43"/>
      <c r="P138" s="43"/>
      <c r="Q138" s="43"/>
      <c r="R138" s="43"/>
      <c r="S138" s="43"/>
      <c r="T138" s="43"/>
      <c r="U138" s="43"/>
      <c r="V138" s="97"/>
      <c r="W138" s="43"/>
      <c r="X138" s="43"/>
      <c r="Y138" s="96"/>
      <c r="Z138" s="43"/>
      <c r="AA138" s="43"/>
      <c r="AB138" s="43"/>
      <c r="AC138" s="43"/>
      <c r="AD138" s="43"/>
      <c r="AE138" s="358"/>
      <c r="AF138" s="56"/>
      <c r="AG138" s="30"/>
      <c r="AH138" s="30"/>
      <c r="AI138" s="30"/>
      <c r="AJ138" s="57"/>
      <c r="AL138" s="118" t="str">
        <f>Bauteile!$K358</f>
        <v>H = 8 m, D = 0.08 m, l = 0.06</v>
      </c>
      <c r="AM138" s="30"/>
      <c r="AN138" s="30"/>
      <c r="AO138" s="30"/>
      <c r="AP138" s="30"/>
      <c r="AQ138" s="62">
        <v>56</v>
      </c>
      <c r="AR138" s="118" t="str">
        <f>Bauteile!K241</f>
        <v>B = 8 m, D = 0.08 m, l = 0.06</v>
      </c>
      <c r="AS138" s="30"/>
      <c r="AT138" s="30"/>
      <c r="AU138" s="62">
        <v>56</v>
      </c>
    </row>
    <row r="139" spans="2:69">
      <c r="B139" s="43"/>
      <c r="C139" s="43"/>
      <c r="D139" s="43"/>
      <c r="E139" s="43"/>
      <c r="F139" s="43"/>
      <c r="G139" s="43"/>
      <c r="H139" s="174"/>
      <c r="I139" s="97"/>
      <c r="J139" s="43"/>
      <c r="K139" s="43"/>
      <c r="L139" s="96"/>
      <c r="M139" s="43"/>
      <c r="N139" s="43"/>
      <c r="O139" s="43"/>
      <c r="P139" s="43"/>
      <c r="Q139" s="43"/>
      <c r="R139" s="43"/>
      <c r="S139" s="43"/>
      <c r="T139" s="43"/>
      <c r="U139" s="43"/>
      <c r="V139" s="97"/>
      <c r="W139" s="43"/>
      <c r="X139" s="43"/>
      <c r="Y139" s="96"/>
      <c r="Z139" s="43"/>
      <c r="AA139" s="43"/>
      <c r="AB139" s="43"/>
      <c r="AC139" s="43"/>
      <c r="AD139" s="43"/>
      <c r="AE139" s="358" t="s">
        <v>2389</v>
      </c>
      <c r="AF139" s="56"/>
      <c r="AG139" s="30"/>
      <c r="AH139" s="30"/>
      <c r="AI139" s="30"/>
      <c r="AJ139" s="57"/>
      <c r="AL139" s="118" t="str">
        <f>Bauteile!$K359</f>
        <v>H = 8 m, D = 0.08 m, l = 0.08</v>
      </c>
      <c r="AM139" s="30"/>
      <c r="AN139" s="30"/>
      <c r="AO139" s="30"/>
      <c r="AP139" s="30"/>
      <c r="AQ139" s="62">
        <v>57</v>
      </c>
      <c r="AR139" s="118" t="str">
        <f>Bauteile!K242</f>
        <v>B = 8 m, D = 0.08 m, l = 0.08</v>
      </c>
      <c r="AS139" s="30"/>
      <c r="AT139" s="30"/>
      <c r="AU139" s="62">
        <v>57</v>
      </c>
    </row>
    <row r="140" spans="2:69">
      <c r="B140" s="43"/>
      <c r="C140" s="43"/>
      <c r="D140" s="43"/>
      <c r="E140" s="43"/>
      <c r="F140" s="43"/>
      <c r="G140" s="43"/>
      <c r="H140" s="174"/>
      <c r="I140" s="97"/>
      <c r="J140" s="43"/>
      <c r="K140" s="43"/>
      <c r="L140" s="96"/>
      <c r="M140" s="43"/>
      <c r="N140" s="43"/>
      <c r="O140" s="43"/>
      <c r="P140" s="43"/>
      <c r="Q140" s="43"/>
      <c r="R140" s="43"/>
      <c r="S140" s="43"/>
      <c r="T140" s="43"/>
      <c r="U140" s="43"/>
      <c r="V140" s="97"/>
      <c r="W140" s="43"/>
      <c r="X140" s="43"/>
      <c r="Y140" s="96"/>
      <c r="Z140" s="43"/>
      <c r="AA140" s="43"/>
      <c r="AB140" s="43"/>
      <c r="AC140" s="43"/>
      <c r="AD140" s="43"/>
      <c r="AE140" s="118" t="s">
        <v>1691</v>
      </c>
      <c r="AF140" s="56" t="s">
        <v>480</v>
      </c>
      <c r="AG140" s="962" t="str">
        <f>IF(AG130&gt;0,AG129/(0.5*AG130),"")</f>
        <v/>
      </c>
      <c r="AH140" s="30" t="s">
        <v>808</v>
      </c>
      <c r="AI140" s="962" t="str">
        <f>IF(AI130&gt;0,AI129/(0.5*AI130),"")</f>
        <v/>
      </c>
      <c r="AJ140" s="57" t="s">
        <v>808</v>
      </c>
      <c r="AL140" s="118" t="str">
        <f>Bauteile!$K360</f>
        <v>H = 8 m, D = 0.05 m, l = 0.03</v>
      </c>
      <c r="AM140" s="30"/>
      <c r="AN140" s="30"/>
      <c r="AO140" s="30"/>
      <c r="AP140" s="30"/>
      <c r="AQ140" s="62">
        <v>58</v>
      </c>
      <c r="AR140" s="118" t="str">
        <f>Bauteile!K243</f>
        <v>B = 8 m, D = 0.05 m, l = 0.03</v>
      </c>
      <c r="AS140" s="30"/>
      <c r="AT140" s="30"/>
      <c r="AU140" s="62">
        <v>58</v>
      </c>
    </row>
    <row r="141" spans="2:69" ht="14.25">
      <c r="B141" s="43"/>
      <c r="C141" s="43"/>
      <c r="D141" s="43"/>
      <c r="E141" s="43"/>
      <c r="F141" s="43"/>
      <c r="G141" s="43"/>
      <c r="H141" s="174"/>
      <c r="I141" s="97"/>
      <c r="J141" s="43"/>
      <c r="K141" s="43"/>
      <c r="L141" s="96"/>
      <c r="M141" s="43"/>
      <c r="N141" s="43"/>
      <c r="O141" s="43"/>
      <c r="P141" s="43"/>
      <c r="Q141" s="43"/>
      <c r="R141" s="43"/>
      <c r="S141" s="43"/>
      <c r="T141" s="43"/>
      <c r="U141" s="43"/>
      <c r="V141" s="97"/>
      <c r="W141" s="43"/>
      <c r="X141" s="43"/>
      <c r="Y141" s="96"/>
      <c r="Z141" s="43"/>
      <c r="AA141" s="43"/>
      <c r="AB141" s="43"/>
      <c r="AC141" s="43"/>
      <c r="AD141" s="43"/>
      <c r="AE141" s="118"/>
      <c r="AF141" s="56" t="s">
        <v>481</v>
      </c>
      <c r="AG141" s="962">
        <f>AG131-AG132/AG133</f>
        <v>0</v>
      </c>
      <c r="AH141" s="30" t="s">
        <v>1837</v>
      </c>
      <c r="AI141" s="962">
        <f>AI131-AI132/AI133</f>
        <v>0</v>
      </c>
      <c r="AJ141" s="57" t="s">
        <v>1837</v>
      </c>
      <c r="AL141" s="118" t="str">
        <f>Bauteile!$K361</f>
        <v>H = 8 m, D = 0.05 m, l = 0.04</v>
      </c>
      <c r="AM141" s="30"/>
      <c r="AN141" s="30"/>
      <c r="AO141" s="30"/>
      <c r="AP141" s="30"/>
      <c r="AQ141" s="62">
        <v>59</v>
      </c>
      <c r="AR141" s="118" t="str">
        <f>Bauteile!K244</f>
        <v>B = 8 m, D = 0.05 m, l = 0.04</v>
      </c>
      <c r="AS141" s="30"/>
      <c r="AT141" s="30"/>
      <c r="AU141" s="62">
        <v>59</v>
      </c>
    </row>
    <row r="142" spans="2:69">
      <c r="B142" s="43"/>
      <c r="C142" s="43"/>
      <c r="D142" s="43"/>
      <c r="E142" s="43"/>
      <c r="F142" s="43"/>
      <c r="G142" s="43"/>
      <c r="H142" s="174"/>
      <c r="I142" s="97"/>
      <c r="J142" s="43"/>
      <c r="K142" s="43"/>
      <c r="L142" s="96"/>
      <c r="M142" s="43"/>
      <c r="N142" s="43"/>
      <c r="O142" s="43"/>
      <c r="P142" s="43"/>
      <c r="Q142" s="43"/>
      <c r="R142" s="43"/>
      <c r="S142" s="43"/>
      <c r="T142" s="43"/>
      <c r="U142" s="43"/>
      <c r="V142" s="97"/>
      <c r="W142" s="43"/>
      <c r="X142" s="43"/>
      <c r="Y142" s="96"/>
      <c r="Z142" s="43"/>
      <c r="AA142" s="43"/>
      <c r="AB142" s="43"/>
      <c r="AC142" s="43"/>
      <c r="AD142" s="43"/>
      <c r="AE142" s="118"/>
      <c r="AF142" s="56" t="s">
        <v>482</v>
      </c>
      <c r="AG142" s="962">
        <f>AG141*AG133</f>
        <v>0</v>
      </c>
      <c r="AH142" s="30" t="s">
        <v>808</v>
      </c>
      <c r="AI142" s="962">
        <f>AI141*AI133</f>
        <v>0</v>
      </c>
      <c r="AJ142" s="57" t="s">
        <v>808</v>
      </c>
      <c r="AL142" s="118" t="str">
        <f>Bauteile!$K362</f>
        <v>H = 8 m, D = 0.05 m, l = 0.06</v>
      </c>
      <c r="AM142" s="30"/>
      <c r="AN142" s="30"/>
      <c r="AO142" s="30"/>
      <c r="AP142" s="30"/>
      <c r="AQ142" s="62">
        <v>60</v>
      </c>
      <c r="AR142" s="118" t="str">
        <f>Bauteile!K245</f>
        <v>B = 8 m, D = 0.05 m, l = 0.06</v>
      </c>
      <c r="AS142" s="30"/>
      <c r="AT142" s="30"/>
      <c r="AU142" s="62">
        <v>60</v>
      </c>
    </row>
    <row r="143" spans="2:69" ht="15.75">
      <c r="B143" s="43"/>
      <c r="C143" s="43"/>
      <c r="D143" s="43"/>
      <c r="E143" s="43"/>
      <c r="F143" s="43"/>
      <c r="G143" s="43"/>
      <c r="H143" s="174"/>
      <c r="I143" s="97"/>
      <c r="J143" s="43"/>
      <c r="K143" s="43"/>
      <c r="L143" s="96"/>
      <c r="M143" s="43"/>
      <c r="N143" s="43"/>
      <c r="O143" s="43"/>
      <c r="P143" s="43"/>
      <c r="Q143" s="43"/>
      <c r="R143" s="43"/>
      <c r="S143" s="43"/>
      <c r="T143" s="43"/>
      <c r="U143" s="43"/>
      <c r="X143" s="43"/>
      <c r="Y143" s="96"/>
      <c r="Z143" s="43"/>
      <c r="AA143" s="43"/>
      <c r="AB143" s="43"/>
      <c r="AC143" s="43"/>
      <c r="AD143" s="43"/>
      <c r="AE143" s="118"/>
      <c r="AF143" s="56" t="s">
        <v>221</v>
      </c>
      <c r="AG143" s="962" t="e">
        <f>AG134+AG133*(1/Bau!$M$67+AG135)</f>
        <v>#DIV/0!</v>
      </c>
      <c r="AH143" s="30" t="s">
        <v>808</v>
      </c>
      <c r="AI143" s="962" t="e">
        <f>AI134+AI133*(1/Bau!$M$67+AI135)</f>
        <v>#DIV/0!</v>
      </c>
      <c r="AJ143" s="57" t="s">
        <v>808</v>
      </c>
      <c r="AL143" s="118" t="str">
        <f>Bauteile!$K363</f>
        <v>H = 8 m, D = 0.05 m, l = 0.08</v>
      </c>
      <c r="AM143" s="30"/>
      <c r="AN143" s="30"/>
      <c r="AO143" s="30"/>
      <c r="AP143" s="30"/>
      <c r="AQ143" s="62">
        <v>61</v>
      </c>
      <c r="AR143" s="118" t="str">
        <f>Bauteile!K246</f>
        <v>B = 8 m, D = 0.05 m, l = 0.08</v>
      </c>
      <c r="AS143" s="30"/>
      <c r="AT143" s="30"/>
      <c r="AU143" s="62">
        <v>61</v>
      </c>
    </row>
    <row r="144" spans="2:69" ht="15.75">
      <c r="B144" s="43"/>
      <c r="C144" s="43"/>
      <c r="D144" s="43"/>
      <c r="E144" s="43"/>
      <c r="F144" s="43"/>
      <c r="G144" s="43"/>
      <c r="H144" s="174"/>
      <c r="I144" s="97"/>
      <c r="J144" s="43"/>
      <c r="K144" s="43"/>
      <c r="L144" s="96"/>
      <c r="M144" s="43"/>
      <c r="N144" s="43"/>
      <c r="O144" s="43"/>
      <c r="P144" s="43"/>
      <c r="Q144" s="43"/>
      <c r="R144" s="43"/>
      <c r="S144" s="43"/>
      <c r="T144" s="43"/>
      <c r="U144" s="43"/>
      <c r="X144" s="43"/>
      <c r="Y144" s="96"/>
      <c r="Z144" s="43"/>
      <c r="AA144" s="43"/>
      <c r="AB144" s="43"/>
      <c r="AC144" s="43"/>
      <c r="AD144" s="43"/>
      <c r="AE144" s="118"/>
      <c r="AF144" s="56" t="s">
        <v>222</v>
      </c>
      <c r="AG144" s="962" t="e">
        <f>IF((AG143+0.5*AG137)&lt;AG140,2*AG133/(PI()*AG140+AG143+0.5*AG137)*LN(PI()*AG140/(AG143+0.5*AG137)+1),AG133/(0.457*AG140+AG143+0.5*AG137))</f>
        <v>#DIV/0!</v>
      </c>
      <c r="AH144" s="30" t="s">
        <v>247</v>
      </c>
      <c r="AI144" s="962" t="e">
        <f>IF((AI143+0.5*AI137)&lt;AI140,2*AI133/(PI()*AI140+AI143+0.5*AI137)*LN(PI()*AI140/(AI143+0.5*AI137)+1),AI133/(0.457*AI140+AI143+0.5*AI137))</f>
        <v>#DIV/0!</v>
      </c>
      <c r="AJ144" s="57" t="s">
        <v>247</v>
      </c>
      <c r="AL144" s="118" t="str">
        <f>Bauteile!$K364</f>
        <v>H = 4 m, D = 0.1 m, l = 0.06</v>
      </c>
      <c r="AM144" s="30"/>
      <c r="AN144" s="30"/>
      <c r="AO144" s="30"/>
      <c r="AP144" s="30"/>
      <c r="AQ144" s="62">
        <v>62</v>
      </c>
      <c r="AR144" s="118" t="str">
        <f>Bauteile!K247</f>
        <v>B = 4 m, D = 0.1 m, l = 0.06</v>
      </c>
      <c r="AS144" s="30"/>
      <c r="AT144" s="30"/>
      <c r="AU144" s="62">
        <v>62</v>
      </c>
    </row>
    <row r="145" spans="2:47" ht="15.75">
      <c r="B145" s="43"/>
      <c r="C145" s="43"/>
      <c r="D145" s="43"/>
      <c r="E145" s="43"/>
      <c r="F145" s="43"/>
      <c r="G145" s="43"/>
      <c r="H145" s="174"/>
      <c r="I145" s="97"/>
      <c r="J145" s="43"/>
      <c r="K145" s="43"/>
      <c r="L145" s="96"/>
      <c r="M145" s="43"/>
      <c r="N145" s="43"/>
      <c r="O145" s="43"/>
      <c r="P145" s="43"/>
      <c r="Q145" s="43"/>
      <c r="R145" s="43"/>
      <c r="S145" s="43"/>
      <c r="T145" s="43"/>
      <c r="U145" s="43"/>
      <c r="V145" s="97"/>
      <c r="W145" s="43"/>
      <c r="X145" s="43"/>
      <c r="Y145" s="27"/>
      <c r="AA145" s="43"/>
      <c r="AB145" s="43"/>
      <c r="AC145" s="43"/>
      <c r="AD145" s="43"/>
      <c r="AE145" s="118"/>
      <c r="AF145" s="56" t="s">
        <v>1689</v>
      </c>
      <c r="AG145" s="962">
        <f>Bau!$M$67</f>
        <v>0</v>
      </c>
      <c r="AH145" s="30" t="s">
        <v>247</v>
      </c>
      <c r="AI145" s="962">
        <f>Bau!$M$67</f>
        <v>0</v>
      </c>
      <c r="AJ145" s="57" t="s">
        <v>247</v>
      </c>
      <c r="AL145" s="118" t="str">
        <f>Bauteile!$K365</f>
        <v>H = 3 m, D = 0.1 m, l = 0.06</v>
      </c>
      <c r="AM145" s="30"/>
      <c r="AN145" s="30"/>
      <c r="AO145" s="30"/>
      <c r="AP145" s="30"/>
      <c r="AQ145" s="62">
        <v>63</v>
      </c>
      <c r="AR145" s="118" t="str">
        <f>Bauteile!K248</f>
        <v>B = 3 m, D = 0.1 m, l = 0.06</v>
      </c>
      <c r="AS145" s="30"/>
      <c r="AT145" s="30"/>
      <c r="AU145" s="62">
        <v>63</v>
      </c>
    </row>
    <row r="146" spans="2:47" ht="15.75">
      <c r="B146" s="43"/>
      <c r="C146" s="43"/>
      <c r="D146" s="43"/>
      <c r="E146" s="43"/>
      <c r="F146" s="43"/>
      <c r="G146" s="43"/>
      <c r="H146" s="174"/>
      <c r="I146" s="97"/>
      <c r="J146" s="43"/>
      <c r="K146" s="43"/>
      <c r="L146" s="96"/>
      <c r="M146" s="43"/>
      <c r="N146" s="43"/>
      <c r="O146" s="43"/>
      <c r="P146" s="43"/>
      <c r="Q146" s="43"/>
      <c r="R146" s="43"/>
      <c r="S146" s="43"/>
      <c r="T146" s="43"/>
      <c r="U146" s="43"/>
      <c r="V146" s="97"/>
      <c r="W146" s="43"/>
      <c r="X146" s="43"/>
      <c r="Y146" s="96"/>
      <c r="Z146" s="43"/>
      <c r="AA146" s="43"/>
      <c r="AB146" s="43"/>
      <c r="AC146" s="43"/>
      <c r="AD146" s="43"/>
      <c r="AE146" s="118"/>
      <c r="AF146" s="56" t="s">
        <v>223</v>
      </c>
      <c r="AG146" s="1311" t="e">
        <f>AG144/AG145</f>
        <v>#DIV/0!</v>
      </c>
      <c r="AH146" s="30"/>
      <c r="AI146" s="1311" t="e">
        <f>AI144/AI145</f>
        <v>#DIV/0!</v>
      </c>
      <c r="AJ146" s="57"/>
      <c r="AL146" s="118" t="str">
        <f>Bauteile!$K366</f>
        <v>H = 2.5 m, D = 0.05 m, l = 0.06</v>
      </c>
      <c r="AM146" s="30"/>
      <c r="AN146" s="30"/>
      <c r="AO146" s="30"/>
      <c r="AP146" s="30"/>
      <c r="AQ146" s="62">
        <v>64</v>
      </c>
      <c r="AR146" s="118" t="str">
        <f>Bauteile!K249</f>
        <v>B = 2.5 m, D = 0.5 m, l = 0.06</v>
      </c>
      <c r="AS146" s="30"/>
      <c r="AT146" s="30"/>
      <c r="AU146" s="62">
        <v>64</v>
      </c>
    </row>
    <row r="147" spans="2:47" ht="15.75">
      <c r="B147" s="43"/>
      <c r="C147" s="43"/>
      <c r="D147" s="43"/>
      <c r="E147" s="43"/>
      <c r="F147" s="43"/>
      <c r="G147" s="43"/>
      <c r="H147" s="174"/>
      <c r="I147" s="97"/>
      <c r="J147" s="43"/>
      <c r="K147" s="43"/>
      <c r="L147" s="96"/>
      <c r="M147" s="43"/>
      <c r="N147" s="43"/>
      <c r="O147" s="43"/>
      <c r="P147" s="43"/>
      <c r="Q147" s="43"/>
      <c r="R147" s="43"/>
      <c r="S147" s="43"/>
      <c r="T147" s="43"/>
      <c r="U147" s="43"/>
      <c r="V147" s="97"/>
      <c r="W147" s="43"/>
      <c r="X147" s="43"/>
      <c r="Y147" s="96"/>
      <c r="Z147" s="43"/>
      <c r="AA147" s="43"/>
      <c r="AB147" s="43"/>
      <c r="AC147" s="43"/>
      <c r="AD147" s="43"/>
      <c r="AE147" s="118"/>
      <c r="AF147" s="56" t="s">
        <v>2387</v>
      </c>
      <c r="AG147" s="962" t="e">
        <f>AG133*(1/R57+AG135)</f>
        <v>#DIV/0!</v>
      </c>
      <c r="AH147" s="30" t="s">
        <v>808</v>
      </c>
      <c r="AI147" s="962" t="e">
        <f>AI133*(1/R58+AI135)</f>
        <v>#DIV/0!</v>
      </c>
      <c r="AJ147" s="57" t="s">
        <v>808</v>
      </c>
      <c r="AL147" s="118">
        <f>Bauteile!$K367</f>
        <v>0</v>
      </c>
      <c r="AM147" s="30"/>
      <c r="AN147" s="30"/>
      <c r="AO147" s="30"/>
      <c r="AP147" s="30"/>
      <c r="AQ147" s="62">
        <v>65</v>
      </c>
      <c r="AR147" s="118">
        <f>Bauteile!K250</f>
        <v>0</v>
      </c>
      <c r="AS147" s="30"/>
      <c r="AT147" s="30"/>
      <c r="AU147" s="62">
        <v>65</v>
      </c>
    </row>
    <row r="148" spans="2:47" ht="15.75">
      <c r="B148" s="43"/>
      <c r="C148" s="43"/>
      <c r="D148" s="43"/>
      <c r="E148" s="43"/>
      <c r="F148" s="43"/>
      <c r="G148" s="43"/>
      <c r="H148" s="174"/>
      <c r="I148" s="97"/>
      <c r="J148" s="43"/>
      <c r="K148" s="43"/>
      <c r="L148" s="96"/>
      <c r="M148" s="43"/>
      <c r="N148" s="43"/>
      <c r="O148" s="43"/>
      <c r="P148" s="43"/>
      <c r="Q148" s="43"/>
      <c r="R148" s="43"/>
      <c r="S148" s="43"/>
      <c r="T148" s="43"/>
      <c r="U148" s="43"/>
      <c r="V148" s="97"/>
      <c r="W148" s="43"/>
      <c r="X148" s="43"/>
      <c r="Y148" s="96"/>
      <c r="Z148" s="43"/>
      <c r="AA148" s="43"/>
      <c r="AB148" s="43"/>
      <c r="AC148" s="43"/>
      <c r="AD148" s="43"/>
      <c r="AE148" s="118"/>
      <c r="AF148" s="56" t="s">
        <v>1061</v>
      </c>
      <c r="AG148" s="962" t="e">
        <f>IF(AG147&gt;=AG143,2*AG133/(PI()*AG137)*(1+0.5*AG143/(AG143+AG137))*LN(AG137/AG147+1),2*AG133/(PI()*AG137)*(1+0.5*AG143/(AG147+AG137))*LN(AG137/AG147+1))</f>
        <v>#DIV/0!</v>
      </c>
      <c r="AH148" s="30" t="s">
        <v>247</v>
      </c>
      <c r="AI148" s="962" t="e">
        <f>IF(AI147&gt;=AI143,2*AI133/(PI()*AI137)*(1+0.5*AI143/(AI143+AI137))*LN(AI137/AI147+1),2*AI133/(PI()*AI137)*(1+0.5*AI143/(AI147+AI137))*LN(AI137/AI147+1))</f>
        <v>#DIV/0!</v>
      </c>
      <c r="AJ148" s="57" t="s">
        <v>247</v>
      </c>
      <c r="AL148" s="119">
        <f>Bauteile!$K368</f>
        <v>0</v>
      </c>
      <c r="AM148" s="31"/>
      <c r="AN148" s="31"/>
      <c r="AO148" s="31"/>
      <c r="AP148" s="31"/>
      <c r="AQ148" s="320">
        <v>66</v>
      </c>
      <c r="AR148" s="119">
        <f>Bauteile!K251</f>
        <v>0</v>
      </c>
      <c r="AS148" s="31"/>
      <c r="AT148" s="31"/>
      <c r="AU148" s="320">
        <v>66</v>
      </c>
    </row>
    <row r="149" spans="2:47" ht="15.75">
      <c r="B149" s="43"/>
      <c r="C149" s="43"/>
      <c r="D149" s="43"/>
      <c r="E149" s="43"/>
      <c r="F149" s="43"/>
      <c r="G149" s="43"/>
      <c r="H149" s="174"/>
      <c r="I149" s="97"/>
      <c r="J149" s="43"/>
      <c r="K149" s="43"/>
      <c r="L149" s="96"/>
      <c r="M149" s="43"/>
      <c r="N149" s="43"/>
      <c r="O149" s="43"/>
      <c r="P149" s="43"/>
      <c r="Q149" s="43"/>
      <c r="R149" s="43"/>
      <c r="S149" s="43"/>
      <c r="T149" s="43"/>
      <c r="U149" s="43"/>
      <c r="V149" s="97"/>
      <c r="W149" s="43"/>
      <c r="X149" s="43"/>
      <c r="Y149" s="96"/>
      <c r="Z149" s="43"/>
      <c r="AA149" s="43"/>
      <c r="AB149" s="43"/>
      <c r="AC149" s="43"/>
      <c r="AD149" s="43"/>
      <c r="AE149" s="118"/>
      <c r="AF149" s="56" t="s">
        <v>1686</v>
      </c>
      <c r="AG149" s="963">
        <f>IF(OR(R57=0,AG137=0),1,AG148/R57)</f>
        <v>1</v>
      </c>
      <c r="AH149" s="30"/>
      <c r="AI149" s="963">
        <f>IF(OR(R58=0,AI137=0),1,AI148/R58)</f>
        <v>1</v>
      </c>
      <c r="AJ149" s="57"/>
      <c r="AR149" s="27">
        <f>Bauteile!K252</f>
        <v>0</v>
      </c>
    </row>
    <row r="150" spans="2:47">
      <c r="B150" s="43"/>
      <c r="C150" s="43"/>
      <c r="D150" s="43"/>
      <c r="E150" s="43"/>
      <c r="F150" s="43"/>
      <c r="G150" s="43"/>
      <c r="H150" s="174"/>
      <c r="I150" s="97"/>
      <c r="J150" s="43"/>
      <c r="K150" s="43"/>
      <c r="L150" s="96"/>
      <c r="M150" s="43"/>
      <c r="N150" s="43"/>
      <c r="O150" s="43"/>
      <c r="P150" s="43"/>
      <c r="Q150" s="43"/>
      <c r="R150" s="43"/>
      <c r="S150" s="43"/>
      <c r="T150" s="43"/>
      <c r="U150" s="43"/>
      <c r="V150" s="97"/>
      <c r="W150" s="43"/>
      <c r="X150" s="43"/>
      <c r="Y150" s="96"/>
      <c r="Z150" s="43"/>
      <c r="AA150" s="43"/>
      <c r="AB150" s="43"/>
      <c r="AC150" s="43"/>
      <c r="AD150" s="43"/>
      <c r="AE150" s="118"/>
      <c r="AF150" s="56"/>
      <c r="AG150" s="963"/>
      <c r="AH150" s="30"/>
      <c r="AI150" s="30"/>
      <c r="AJ150" s="57"/>
      <c r="AR150" s="27">
        <f>Bauteile!K253</f>
        <v>0</v>
      </c>
    </row>
    <row r="151" spans="2:47">
      <c r="B151" s="43"/>
      <c r="C151" s="43"/>
      <c r="D151" s="43"/>
      <c r="E151" s="43"/>
      <c r="F151" s="43"/>
      <c r="G151" s="43"/>
      <c r="H151" s="174"/>
      <c r="I151" s="97"/>
      <c r="J151" s="43"/>
      <c r="K151" s="43"/>
      <c r="L151" s="96"/>
      <c r="M151" s="43"/>
      <c r="N151" s="43"/>
      <c r="O151" s="43"/>
      <c r="P151" s="43"/>
      <c r="Q151" s="43"/>
      <c r="R151" s="43"/>
      <c r="S151" s="43"/>
      <c r="T151" s="43"/>
      <c r="U151" s="43"/>
      <c r="V151" s="97"/>
      <c r="W151" s="43"/>
      <c r="X151" s="43"/>
      <c r="Y151" s="96"/>
      <c r="Z151" s="43"/>
      <c r="AA151" s="43"/>
      <c r="AB151" s="43"/>
      <c r="AC151" s="43"/>
      <c r="AD151" s="43"/>
      <c r="AE151" s="118" t="s">
        <v>1692</v>
      </c>
      <c r="AF151" s="56"/>
      <c r="AJ151" s="57"/>
      <c r="AR151" s="27">
        <f>Bauteile!K254</f>
        <v>0</v>
      </c>
    </row>
    <row r="152" spans="2:47">
      <c r="B152" s="43"/>
      <c r="C152" s="43"/>
      <c r="D152" s="43"/>
      <c r="E152" s="108"/>
      <c r="F152" s="75"/>
      <c r="G152" s="75"/>
      <c r="H152" s="75"/>
      <c r="I152" s="75"/>
      <c r="J152" s="75"/>
      <c r="K152" s="75"/>
      <c r="L152" s="75"/>
      <c r="M152" s="75"/>
      <c r="N152" s="75"/>
      <c r="O152" s="75"/>
      <c r="P152" s="75"/>
      <c r="Q152" s="75"/>
      <c r="R152" s="75"/>
      <c r="S152" s="75"/>
      <c r="T152" s="75"/>
      <c r="U152" s="75"/>
      <c r="V152" s="75"/>
      <c r="Y152" s="27"/>
      <c r="AC152" s="43"/>
      <c r="AD152" s="43"/>
      <c r="AE152" s="118"/>
      <c r="AF152" s="965" t="s">
        <v>227</v>
      </c>
      <c r="AG152" s="962" t="e">
        <f>-AG133/PI()*(LN(AG136/AG143+1)-LN(AG136/(AG143+AG142)+1))</f>
        <v>#DIV/0!</v>
      </c>
      <c r="AH152" s="1304"/>
      <c r="AI152" s="962" t="e">
        <f>-AI133/PI()*(LN(2*AI136/AI143+1)-LN(2*AI136/(AI143+AI142)+1))</f>
        <v>#DIV/0!</v>
      </c>
      <c r="AJ152" s="57" t="s">
        <v>1190</v>
      </c>
      <c r="AR152" s="27">
        <f>Bauteile!K255</f>
        <v>0</v>
      </c>
    </row>
    <row r="153" spans="2:47" ht="15.75">
      <c r="E153" s="148"/>
      <c r="F153" s="75"/>
      <c r="G153" s="75"/>
      <c r="H153" s="75"/>
      <c r="I153" s="75"/>
      <c r="J153" s="75"/>
      <c r="K153" s="75"/>
      <c r="L153" s="75"/>
      <c r="M153" s="75"/>
      <c r="N153" s="75"/>
      <c r="O153" s="75"/>
      <c r="P153" s="75"/>
      <c r="Q153" s="75"/>
      <c r="R153" s="75"/>
      <c r="S153" s="75"/>
      <c r="T153" s="75"/>
      <c r="U153" s="75"/>
      <c r="V153" s="75"/>
      <c r="Y153" s="27"/>
      <c r="AA153" s="29"/>
      <c r="AC153" s="43"/>
      <c r="AD153" s="43"/>
      <c r="AE153" s="118"/>
      <c r="AF153" s="56" t="s">
        <v>1690</v>
      </c>
      <c r="AG153" s="962" t="e">
        <f>AG144+2*AG152/AG140</f>
        <v>#DIV/0!</v>
      </c>
      <c r="AH153" s="1304"/>
      <c r="AI153" s="962" t="e">
        <f>AI144+2*AI152/AI140</f>
        <v>#DIV/0!</v>
      </c>
      <c r="AJ153" s="57" t="s">
        <v>247</v>
      </c>
    </row>
    <row r="154" spans="2:47" ht="15.75">
      <c r="E154" s="148"/>
      <c r="F154" s="75"/>
      <c r="G154" s="75"/>
      <c r="H154" s="75"/>
      <c r="I154" s="75"/>
      <c r="J154" s="75"/>
      <c r="K154" s="75"/>
      <c r="L154" s="75"/>
      <c r="M154" s="75"/>
      <c r="N154" s="75"/>
      <c r="O154" s="75"/>
      <c r="P154" s="75"/>
      <c r="Q154" s="75"/>
      <c r="R154" s="75"/>
      <c r="S154" s="75"/>
      <c r="T154" s="75"/>
      <c r="U154" s="75"/>
      <c r="V154" s="75"/>
      <c r="Y154" s="27"/>
      <c r="AA154" s="29"/>
      <c r="AE154" s="118"/>
      <c r="AF154" s="56" t="s">
        <v>1018</v>
      </c>
      <c r="AG154" s="963">
        <f>IF(OR(I67="",M67="",N67="",R67=""),1,AG153/AG145)</f>
        <v>1</v>
      </c>
      <c r="AH154" s="963"/>
      <c r="AI154" s="1318">
        <f>IF(OR(I67="",M67="",N67="",R67=""),1,AI153/AI145)</f>
        <v>1</v>
      </c>
      <c r="AJ154" s="60"/>
    </row>
    <row r="155" spans="2:47">
      <c r="E155" s="148"/>
      <c r="F155" s="75"/>
      <c r="G155" s="75"/>
      <c r="H155" s="75"/>
      <c r="I155" s="75"/>
      <c r="J155" s="75"/>
      <c r="K155" s="75"/>
      <c r="L155" s="75"/>
      <c r="M155" s="75"/>
      <c r="N155" s="75"/>
      <c r="O155" s="75"/>
      <c r="P155" s="75"/>
      <c r="Q155" s="75"/>
      <c r="R155" s="75"/>
      <c r="S155" s="75"/>
      <c r="T155" s="75"/>
      <c r="U155" s="75"/>
      <c r="V155" s="75"/>
      <c r="AE155" s="1287" t="s">
        <v>225</v>
      </c>
      <c r="AF155" s="1286"/>
      <c r="AG155" s="1286"/>
      <c r="AH155" s="1322"/>
      <c r="AI155" s="1286"/>
      <c r="AJ155" s="1323"/>
    </row>
    <row r="156" spans="2:47">
      <c r="B156" s="47"/>
      <c r="C156" s="47"/>
      <c r="D156" s="47"/>
      <c r="E156" s="148"/>
      <c r="F156" s="75"/>
      <c r="G156" s="75"/>
      <c r="H156" s="75"/>
      <c r="I156" s="75"/>
      <c r="J156" s="75"/>
      <c r="K156" s="75"/>
      <c r="L156" s="75"/>
      <c r="M156" s="75"/>
      <c r="N156" s="75"/>
      <c r="O156" s="75"/>
      <c r="P156" s="75"/>
      <c r="Q156" s="75"/>
      <c r="R156" s="75"/>
      <c r="S156" s="75"/>
      <c r="T156" s="75"/>
      <c r="U156" s="75"/>
      <c r="V156" s="75"/>
      <c r="AE156" s="118"/>
      <c r="AF156" s="56" t="s">
        <v>224</v>
      </c>
      <c r="AG156" s="28">
        <f>AC69</f>
        <v>1</v>
      </c>
      <c r="AI156" s="28">
        <f>AC44</f>
        <v>1</v>
      </c>
      <c r="AJ156" s="1326">
        <f>IF(AND(AC69&gt;1,AI40=TRUE),AG154,AI154)</f>
        <v>1</v>
      </c>
    </row>
    <row r="157" spans="2:47">
      <c r="B157" s="47"/>
      <c r="C157" s="47"/>
      <c r="D157" s="47"/>
      <c r="E157" s="148"/>
      <c r="F157" s="75"/>
      <c r="G157" s="75"/>
      <c r="H157" s="75"/>
      <c r="I157" s="75"/>
      <c r="J157" s="75"/>
      <c r="K157" s="75"/>
      <c r="L157" s="75"/>
      <c r="M157" s="75"/>
      <c r="N157" s="75"/>
      <c r="O157" s="75"/>
      <c r="P157" s="75"/>
      <c r="Q157" s="75"/>
      <c r="R157" s="75"/>
      <c r="S157" s="75"/>
      <c r="T157" s="75"/>
      <c r="U157" s="75"/>
      <c r="V157" s="75"/>
      <c r="Y157" s="149"/>
      <c r="AE157" s="118"/>
      <c r="AF157" s="56" t="s">
        <v>1149</v>
      </c>
      <c r="AG157" s="63">
        <f>INDEX(Bauteile!P186:P251,AC69)</f>
        <v>0</v>
      </c>
      <c r="AI157" s="28">
        <f>INDEX(Bauteile!P303:P368,AC44)</f>
        <v>0</v>
      </c>
      <c r="AJ157" s="57"/>
    </row>
    <row r="158" spans="2:47">
      <c r="B158" s="47"/>
      <c r="C158" s="47"/>
      <c r="D158" s="47"/>
      <c r="E158" s="149"/>
      <c r="F158" s="75"/>
      <c r="G158" s="75"/>
      <c r="H158" s="75"/>
      <c r="I158" s="75"/>
      <c r="J158" s="75"/>
      <c r="K158" s="75"/>
      <c r="L158" s="75"/>
      <c r="M158" s="75"/>
      <c r="N158" s="75"/>
      <c r="O158" s="75"/>
      <c r="P158" s="75"/>
      <c r="Q158" s="75"/>
      <c r="R158" s="75"/>
      <c r="S158" s="75"/>
      <c r="T158" s="75"/>
      <c r="U158" s="75"/>
      <c r="V158" s="75"/>
      <c r="AE158" s="118"/>
      <c r="AF158" s="56" t="s">
        <v>0</v>
      </c>
      <c r="AG158" s="63">
        <f>INDEX(Bauteile!Q186:Q251,Bau!AC69)</f>
        <v>0</v>
      </c>
      <c r="AI158" s="28">
        <f>INDEX(Bauteile!Q303:Q368,AC44)</f>
        <v>0</v>
      </c>
      <c r="AJ158" s="57"/>
    </row>
    <row r="159" spans="2:47">
      <c r="E159" s="75"/>
      <c r="F159" s="75"/>
      <c r="G159" s="75"/>
      <c r="H159" s="75"/>
      <c r="I159" s="75"/>
      <c r="J159" s="75"/>
      <c r="K159" s="75"/>
      <c r="L159" s="75"/>
      <c r="M159" s="75"/>
      <c r="N159" s="75"/>
      <c r="O159" s="75"/>
      <c r="P159" s="75"/>
      <c r="Q159" s="75"/>
      <c r="R159" s="75"/>
      <c r="S159" s="75"/>
      <c r="T159" s="75"/>
      <c r="U159" s="75"/>
      <c r="V159" s="75"/>
      <c r="AE159" s="118"/>
      <c r="AF159" s="521" t="s">
        <v>1752</v>
      </c>
      <c r="AG159" s="63">
        <f>INDEX(Bauteile!R186:R251,AC69)</f>
        <v>0</v>
      </c>
      <c r="AI159" s="28">
        <f>INDEX(Bauteile!R303:R368,AC44)</f>
        <v>0</v>
      </c>
      <c r="AJ159" s="57"/>
    </row>
    <row r="160" spans="2:47">
      <c r="E160" s="75"/>
      <c r="F160" s="75"/>
      <c r="G160" s="75"/>
      <c r="H160" s="75"/>
      <c r="I160" s="75"/>
      <c r="J160" s="75"/>
      <c r="K160" s="75"/>
      <c r="L160" s="75"/>
      <c r="M160" s="75"/>
      <c r="N160" s="75"/>
      <c r="O160" s="75"/>
      <c r="P160" s="75"/>
      <c r="Q160" s="75"/>
      <c r="R160" s="75"/>
      <c r="S160" s="75"/>
      <c r="T160" s="75"/>
      <c r="U160" s="75"/>
      <c r="V160" s="75"/>
      <c r="AE160" s="119"/>
      <c r="AF160" s="1312" t="s">
        <v>1753</v>
      </c>
      <c r="AG160" s="59">
        <f>INDEX(Tab!R96:R98,AC45)</f>
        <v>1.5</v>
      </c>
      <c r="AH160" s="31"/>
      <c r="AI160" s="59">
        <f>INDEX(Tab!R96:R98,AC45)</f>
        <v>1.5</v>
      </c>
      <c r="AJ160" s="60"/>
    </row>
    <row r="161" spans="5:21">
      <c r="E161" s="75"/>
      <c r="H161" s="174"/>
      <c r="I161" s="101"/>
      <c r="J161" s="75"/>
      <c r="K161" s="75"/>
      <c r="L161" s="100"/>
      <c r="M161" s="75"/>
      <c r="N161" s="75"/>
      <c r="O161" s="75"/>
      <c r="P161" s="75"/>
      <c r="Q161" s="75"/>
      <c r="R161" s="75"/>
      <c r="S161" s="75"/>
      <c r="T161" s="75"/>
      <c r="U161" s="75"/>
    </row>
    <row r="162" spans="5:21">
      <c r="E162" s="75"/>
      <c r="H162" s="174"/>
      <c r="I162" s="101"/>
      <c r="J162" s="75"/>
      <c r="K162" s="75"/>
      <c r="L162" s="100"/>
      <c r="M162" s="75"/>
      <c r="N162" s="75"/>
      <c r="O162" s="75"/>
      <c r="P162" s="75"/>
      <c r="Q162" s="75"/>
      <c r="R162" s="75"/>
      <c r="S162" s="75"/>
      <c r="T162" s="75"/>
      <c r="U162" s="75"/>
    </row>
    <row r="163" spans="5:21">
      <c r="E163" s="75"/>
      <c r="H163" s="174"/>
      <c r="I163" s="101"/>
      <c r="J163" s="75"/>
      <c r="K163" s="75"/>
      <c r="L163" s="100"/>
      <c r="M163" s="75"/>
      <c r="N163" s="75"/>
      <c r="O163" s="75"/>
      <c r="P163" s="75"/>
      <c r="Q163" s="75"/>
      <c r="R163" s="75"/>
      <c r="S163" s="75"/>
      <c r="T163" s="75"/>
      <c r="U163" s="75"/>
    </row>
    <row r="164" spans="5:21">
      <c r="E164" s="75"/>
      <c r="H164" s="174"/>
      <c r="I164" s="101"/>
      <c r="J164" s="75"/>
      <c r="K164" s="75"/>
      <c r="L164" s="100"/>
      <c r="M164" s="75"/>
      <c r="N164" s="75"/>
      <c r="O164" s="75"/>
      <c r="P164" s="75"/>
      <c r="Q164" s="75"/>
      <c r="R164" s="75"/>
      <c r="S164" s="75"/>
      <c r="T164" s="75"/>
      <c r="U164" s="75"/>
    </row>
    <row r="165" spans="5:21">
      <c r="E165" s="75"/>
      <c r="H165" s="174"/>
      <c r="I165" s="101"/>
      <c r="J165" s="75"/>
      <c r="K165" s="75"/>
      <c r="L165" s="100"/>
      <c r="M165" s="75"/>
      <c r="N165" s="75"/>
      <c r="O165" s="75"/>
      <c r="P165" s="75"/>
      <c r="Q165" s="75"/>
      <c r="R165" s="75"/>
      <c r="S165" s="75"/>
      <c r="T165" s="75"/>
      <c r="U165" s="75"/>
    </row>
    <row r="166" spans="5:21">
      <c r="E166" s="75"/>
      <c r="H166" s="174"/>
      <c r="I166" s="101"/>
      <c r="J166" s="75"/>
      <c r="K166" s="75"/>
      <c r="L166" s="100"/>
      <c r="M166" s="75"/>
      <c r="N166" s="75"/>
      <c r="O166" s="75"/>
      <c r="P166" s="75"/>
      <c r="Q166" s="75"/>
      <c r="R166" s="75"/>
      <c r="S166" s="75"/>
      <c r="T166" s="75"/>
      <c r="U166" s="75"/>
    </row>
    <row r="167" spans="5:21">
      <c r="E167" s="75"/>
      <c r="H167" s="174"/>
      <c r="I167" s="101"/>
      <c r="J167" s="75"/>
      <c r="K167" s="75"/>
      <c r="L167" s="100"/>
      <c r="M167" s="75"/>
      <c r="N167" s="75"/>
      <c r="O167" s="75"/>
      <c r="P167" s="75"/>
      <c r="Q167" s="75"/>
      <c r="R167" s="75"/>
      <c r="S167" s="75"/>
      <c r="T167" s="75"/>
      <c r="U167" s="75"/>
    </row>
    <row r="168" spans="5:21">
      <c r="E168" s="75"/>
      <c r="H168" s="174"/>
      <c r="I168" s="101"/>
      <c r="J168" s="75"/>
      <c r="K168" s="75"/>
      <c r="L168" s="100"/>
      <c r="M168" s="75"/>
      <c r="N168" s="75"/>
      <c r="O168" s="75"/>
      <c r="P168" s="75"/>
      <c r="Q168" s="75"/>
      <c r="R168" s="75"/>
      <c r="S168" s="75"/>
      <c r="T168" s="75"/>
      <c r="U168" s="75"/>
    </row>
    <row r="169" spans="5:21">
      <c r="E169" s="75"/>
      <c r="H169" s="174"/>
      <c r="I169" s="101"/>
      <c r="J169" s="75"/>
      <c r="K169" s="75"/>
      <c r="L169" s="100"/>
      <c r="M169" s="75"/>
      <c r="N169" s="75"/>
      <c r="O169" s="75"/>
      <c r="P169" s="75"/>
      <c r="Q169" s="75"/>
      <c r="R169" s="75"/>
      <c r="S169" s="75"/>
      <c r="T169" s="75"/>
      <c r="U169" s="75"/>
    </row>
    <row r="170" spans="5:21">
      <c r="E170" s="75"/>
      <c r="H170" s="174"/>
      <c r="I170" s="101"/>
      <c r="J170" s="75"/>
      <c r="K170" s="75"/>
      <c r="L170" s="100"/>
      <c r="M170" s="75"/>
      <c r="N170" s="75"/>
      <c r="O170" s="75"/>
      <c r="P170" s="75"/>
      <c r="Q170" s="75"/>
      <c r="R170" s="75"/>
      <c r="S170" s="75"/>
      <c r="T170" s="75"/>
      <c r="U170" s="75"/>
    </row>
    <row r="171" spans="5:21">
      <c r="E171" s="75"/>
      <c r="H171" s="174"/>
      <c r="I171" s="101"/>
      <c r="J171" s="75"/>
      <c r="K171" s="75"/>
      <c r="L171" s="100"/>
      <c r="M171" s="75"/>
      <c r="N171" s="75"/>
      <c r="O171" s="75"/>
      <c r="P171" s="75"/>
      <c r="Q171" s="75"/>
      <c r="R171" s="75"/>
      <c r="S171" s="75"/>
      <c r="T171" s="75"/>
      <c r="U171" s="75"/>
    </row>
    <row r="172" spans="5:21">
      <c r="E172" s="75"/>
      <c r="H172" s="174"/>
      <c r="I172" s="101"/>
      <c r="J172" s="75"/>
      <c r="K172" s="75"/>
      <c r="L172" s="100"/>
      <c r="M172" s="75"/>
      <c r="N172" s="75"/>
      <c r="O172" s="75"/>
      <c r="P172" s="75"/>
      <c r="Q172" s="75"/>
      <c r="R172" s="75"/>
      <c r="S172" s="75"/>
      <c r="T172" s="75"/>
      <c r="U172" s="75"/>
    </row>
    <row r="173" spans="5:21">
      <c r="E173" s="75"/>
      <c r="H173" s="174"/>
      <c r="I173" s="101"/>
      <c r="J173" s="75"/>
      <c r="K173" s="75"/>
      <c r="L173" s="100"/>
      <c r="M173" s="75"/>
      <c r="N173" s="75"/>
      <c r="O173" s="75"/>
      <c r="P173" s="75"/>
      <c r="Q173" s="75"/>
      <c r="R173" s="75"/>
      <c r="S173" s="75"/>
      <c r="T173" s="75"/>
      <c r="U173" s="75"/>
    </row>
    <row r="174" spans="5:21">
      <c r="E174" s="75"/>
      <c r="H174" s="174"/>
      <c r="I174" s="101"/>
      <c r="J174" s="75"/>
      <c r="K174" s="75"/>
      <c r="L174" s="100"/>
      <c r="M174" s="75"/>
      <c r="N174" s="75"/>
      <c r="O174" s="75"/>
      <c r="P174" s="75"/>
      <c r="Q174" s="75"/>
      <c r="R174" s="75"/>
      <c r="S174" s="75"/>
      <c r="T174" s="75"/>
      <c r="U174" s="75"/>
    </row>
    <row r="175" spans="5:21">
      <c r="E175" s="75"/>
      <c r="H175" s="174"/>
      <c r="I175" s="101"/>
      <c r="J175" s="75"/>
      <c r="K175" s="75"/>
      <c r="L175" s="100"/>
      <c r="M175" s="75"/>
      <c r="N175" s="75"/>
      <c r="O175" s="75"/>
      <c r="P175" s="75"/>
      <c r="Q175" s="75"/>
      <c r="R175" s="75"/>
      <c r="S175" s="75"/>
      <c r="T175" s="75"/>
      <c r="U175" s="75"/>
    </row>
    <row r="176" spans="5:21">
      <c r="E176" s="75"/>
      <c r="H176" s="174"/>
      <c r="I176" s="101"/>
      <c r="J176" s="75"/>
      <c r="K176" s="75"/>
      <c r="L176" s="100"/>
      <c r="M176" s="75"/>
      <c r="N176" s="75"/>
      <c r="O176" s="75"/>
      <c r="P176" s="75"/>
      <c r="Q176" s="75"/>
      <c r="R176" s="75"/>
      <c r="S176" s="75"/>
      <c r="T176" s="75"/>
      <c r="U176" s="75"/>
    </row>
    <row r="177" spans="5:21">
      <c r="E177" s="75"/>
      <c r="H177" s="174"/>
      <c r="I177" s="101"/>
      <c r="J177" s="75"/>
      <c r="K177" s="75"/>
      <c r="L177" s="100"/>
      <c r="M177" s="75"/>
      <c r="N177" s="75"/>
      <c r="O177" s="75"/>
      <c r="P177" s="75"/>
      <c r="Q177" s="75"/>
      <c r="R177" s="75"/>
      <c r="S177" s="75"/>
      <c r="T177" s="75"/>
      <c r="U177" s="75"/>
    </row>
    <row r="178" spans="5:21">
      <c r="E178" s="75"/>
      <c r="H178" s="174"/>
      <c r="I178" s="101"/>
      <c r="J178" s="75"/>
      <c r="K178" s="75"/>
      <c r="L178" s="100"/>
      <c r="M178" s="75"/>
      <c r="N178" s="75"/>
      <c r="O178" s="75"/>
      <c r="P178" s="75"/>
      <c r="Q178" s="75"/>
      <c r="R178" s="75"/>
      <c r="S178" s="75"/>
      <c r="T178" s="75"/>
      <c r="U178" s="75"/>
    </row>
    <row r="179" spans="5:21">
      <c r="E179" s="75"/>
      <c r="H179" s="174"/>
      <c r="I179" s="101"/>
      <c r="J179" s="75"/>
      <c r="K179" s="75"/>
      <c r="L179" s="100"/>
      <c r="M179" s="75"/>
      <c r="N179" s="75"/>
      <c r="O179" s="75"/>
      <c r="P179" s="75"/>
      <c r="Q179" s="75"/>
      <c r="R179" s="75"/>
      <c r="S179" s="75"/>
      <c r="T179" s="75"/>
      <c r="U179" s="75"/>
    </row>
    <row r="180" spans="5:21">
      <c r="E180" s="75"/>
      <c r="H180" s="174"/>
      <c r="I180" s="101"/>
      <c r="J180" s="75"/>
      <c r="K180" s="75"/>
      <c r="L180" s="100"/>
      <c r="M180" s="75"/>
      <c r="N180" s="75"/>
      <c r="O180" s="75"/>
      <c r="P180" s="75"/>
      <c r="Q180" s="75"/>
      <c r="R180" s="75"/>
      <c r="S180" s="75"/>
      <c r="T180" s="75"/>
      <c r="U180" s="75"/>
    </row>
    <row r="181" spans="5:21">
      <c r="E181" s="75"/>
      <c r="H181" s="174"/>
      <c r="I181" s="101"/>
      <c r="J181" s="75"/>
      <c r="K181" s="75"/>
      <c r="L181" s="100"/>
      <c r="M181" s="75"/>
      <c r="N181" s="75"/>
      <c r="O181" s="75"/>
      <c r="P181" s="75"/>
      <c r="Q181" s="75"/>
      <c r="R181" s="75"/>
      <c r="S181" s="75"/>
      <c r="T181" s="75"/>
      <c r="U181" s="75"/>
    </row>
    <row r="182" spans="5:21">
      <c r="E182" s="75"/>
      <c r="H182" s="174"/>
      <c r="I182" s="101"/>
      <c r="J182" s="75"/>
      <c r="K182" s="75"/>
      <c r="L182" s="100"/>
      <c r="M182" s="75"/>
      <c r="N182" s="75"/>
      <c r="O182" s="75"/>
      <c r="P182" s="75"/>
      <c r="Q182" s="75"/>
      <c r="R182" s="75"/>
      <c r="S182" s="75"/>
      <c r="T182" s="75"/>
      <c r="U182" s="75"/>
    </row>
    <row r="183" spans="5:21">
      <c r="E183" s="75"/>
      <c r="H183" s="174"/>
      <c r="I183" s="101"/>
      <c r="J183" s="75"/>
      <c r="K183" s="75"/>
      <c r="L183" s="100"/>
      <c r="M183" s="75"/>
      <c r="N183" s="75"/>
      <c r="O183" s="75"/>
      <c r="P183" s="75"/>
      <c r="Q183" s="75"/>
      <c r="R183" s="75"/>
      <c r="S183" s="75"/>
      <c r="T183" s="75"/>
      <c r="U183" s="75"/>
    </row>
    <row r="184" spans="5:21">
      <c r="E184" s="75"/>
      <c r="H184" s="174"/>
      <c r="I184" s="101"/>
      <c r="J184" s="75"/>
      <c r="K184" s="75"/>
      <c r="L184" s="100"/>
      <c r="M184" s="75"/>
      <c r="N184" s="75"/>
      <c r="O184" s="75"/>
      <c r="P184" s="75"/>
      <c r="Q184" s="75"/>
      <c r="R184" s="75"/>
      <c r="S184" s="75"/>
      <c r="T184" s="75"/>
      <c r="U184" s="75"/>
    </row>
    <row r="185" spans="5:21">
      <c r="E185" s="75"/>
      <c r="H185" s="174"/>
      <c r="I185" s="101"/>
      <c r="J185" s="75"/>
      <c r="K185" s="75"/>
      <c r="L185" s="100"/>
      <c r="M185" s="75"/>
      <c r="N185" s="75"/>
      <c r="O185" s="75"/>
      <c r="P185" s="75"/>
      <c r="Q185" s="75"/>
      <c r="R185" s="75"/>
      <c r="S185" s="75"/>
      <c r="T185" s="75"/>
      <c r="U185" s="75"/>
    </row>
    <row r="186" spans="5:21">
      <c r="E186" s="75"/>
      <c r="H186" s="174"/>
      <c r="I186" s="101"/>
      <c r="J186" s="75"/>
      <c r="K186" s="75"/>
      <c r="L186" s="100"/>
      <c r="M186" s="75"/>
      <c r="N186" s="75"/>
      <c r="O186" s="75"/>
      <c r="P186" s="75"/>
      <c r="Q186" s="75"/>
      <c r="R186" s="75"/>
      <c r="S186" s="75"/>
      <c r="T186" s="75"/>
      <c r="U186" s="75"/>
    </row>
    <row r="187" spans="5:21">
      <c r="E187" s="75"/>
      <c r="H187" s="174"/>
      <c r="I187" s="101"/>
      <c r="J187" s="75"/>
      <c r="K187" s="75"/>
      <c r="L187" s="100"/>
      <c r="M187" s="75"/>
      <c r="N187" s="75"/>
      <c r="O187" s="75"/>
      <c r="P187" s="75"/>
      <c r="Q187" s="75"/>
      <c r="R187" s="75"/>
      <c r="S187" s="75"/>
      <c r="T187" s="75"/>
      <c r="U187" s="75"/>
    </row>
    <row r="188" spans="5:21">
      <c r="E188" s="75"/>
      <c r="H188" s="174"/>
      <c r="I188" s="101"/>
      <c r="J188" s="75"/>
      <c r="K188" s="75"/>
      <c r="L188" s="100"/>
      <c r="M188" s="75"/>
      <c r="N188" s="75"/>
      <c r="O188" s="75"/>
      <c r="P188" s="75"/>
      <c r="Q188" s="75"/>
      <c r="R188" s="75"/>
      <c r="S188" s="75"/>
      <c r="T188" s="75"/>
      <c r="U188" s="75"/>
    </row>
    <row r="189" spans="5:21">
      <c r="E189" s="75"/>
      <c r="H189" s="174"/>
      <c r="I189" s="101"/>
      <c r="J189" s="75"/>
      <c r="K189" s="75"/>
      <c r="L189" s="100"/>
      <c r="M189" s="75"/>
      <c r="N189" s="75"/>
      <c r="O189" s="75"/>
      <c r="P189" s="75"/>
      <c r="Q189" s="75"/>
      <c r="R189" s="75"/>
      <c r="S189" s="75"/>
      <c r="T189" s="75"/>
      <c r="U189" s="75"/>
    </row>
    <row r="190" spans="5:21">
      <c r="E190" s="75"/>
      <c r="H190" s="174"/>
      <c r="I190" s="101"/>
      <c r="J190" s="75"/>
      <c r="K190" s="75"/>
      <c r="L190" s="100"/>
      <c r="M190" s="75"/>
      <c r="N190" s="75"/>
      <c r="O190" s="75"/>
      <c r="P190" s="75"/>
      <c r="Q190" s="75"/>
      <c r="R190" s="75"/>
      <c r="S190" s="75"/>
      <c r="T190" s="75"/>
      <c r="U190" s="75"/>
    </row>
    <row r="191" spans="5:21">
      <c r="E191" s="75"/>
      <c r="H191" s="174"/>
      <c r="I191" s="101"/>
      <c r="J191" s="75"/>
      <c r="K191" s="75"/>
      <c r="L191" s="100"/>
      <c r="M191" s="75"/>
      <c r="N191" s="75"/>
      <c r="O191" s="75"/>
      <c r="P191" s="75"/>
      <c r="Q191" s="75"/>
      <c r="R191" s="75"/>
      <c r="S191" s="75"/>
      <c r="T191" s="75"/>
      <c r="U191" s="75"/>
    </row>
    <row r="192" spans="5:21">
      <c r="E192" s="75"/>
      <c r="H192" s="174"/>
      <c r="I192" s="101"/>
      <c r="J192" s="75"/>
      <c r="K192" s="75"/>
      <c r="L192" s="100"/>
      <c r="M192" s="75"/>
      <c r="N192" s="75"/>
      <c r="O192" s="75"/>
      <c r="P192" s="75"/>
      <c r="Q192" s="75"/>
      <c r="R192" s="75"/>
      <c r="S192" s="75"/>
      <c r="T192" s="75"/>
      <c r="U192" s="75"/>
    </row>
    <row r="193" spans="5:21">
      <c r="E193" s="75"/>
      <c r="H193" s="174"/>
      <c r="I193" s="101"/>
      <c r="J193" s="75"/>
      <c r="K193" s="75"/>
      <c r="L193" s="100"/>
      <c r="M193" s="75"/>
      <c r="N193" s="75"/>
      <c r="O193" s="75"/>
      <c r="P193" s="75"/>
      <c r="Q193" s="75"/>
      <c r="R193" s="75"/>
      <c r="S193" s="75"/>
      <c r="T193" s="75"/>
      <c r="U193" s="75"/>
    </row>
    <row r="194" spans="5:21">
      <c r="E194" s="75"/>
      <c r="H194" s="174"/>
      <c r="I194" s="101"/>
      <c r="J194" s="75"/>
      <c r="K194" s="75"/>
      <c r="L194" s="100"/>
      <c r="M194" s="75"/>
      <c r="N194" s="75"/>
      <c r="O194" s="75"/>
      <c r="P194" s="75"/>
      <c r="Q194" s="75"/>
      <c r="R194" s="75"/>
      <c r="S194" s="75"/>
      <c r="T194" s="75"/>
      <c r="U194" s="75"/>
    </row>
    <row r="195" spans="5:21">
      <c r="E195" s="75"/>
      <c r="H195" s="174"/>
      <c r="I195" s="101"/>
      <c r="J195" s="75"/>
      <c r="K195" s="75"/>
      <c r="L195" s="100"/>
      <c r="M195" s="75"/>
      <c r="N195" s="75"/>
      <c r="O195" s="75"/>
      <c r="P195" s="75"/>
      <c r="Q195" s="75"/>
      <c r="R195" s="75"/>
      <c r="S195" s="75"/>
      <c r="T195" s="75"/>
      <c r="U195" s="75"/>
    </row>
    <row r="196" spans="5:21">
      <c r="E196" s="75"/>
      <c r="H196" s="174"/>
      <c r="I196" s="101"/>
      <c r="J196" s="75"/>
      <c r="K196" s="75"/>
      <c r="L196" s="100"/>
      <c r="M196" s="75"/>
      <c r="N196" s="75"/>
      <c r="O196" s="75"/>
      <c r="P196" s="75"/>
      <c r="Q196" s="75"/>
      <c r="R196" s="75"/>
      <c r="S196" s="75"/>
      <c r="T196" s="75"/>
      <c r="U196" s="75"/>
    </row>
    <row r="197" spans="5:21">
      <c r="E197" s="75"/>
      <c r="H197" s="174"/>
      <c r="I197" s="101"/>
      <c r="J197" s="75"/>
      <c r="K197" s="75"/>
      <c r="L197" s="100"/>
      <c r="M197" s="75"/>
      <c r="N197" s="75"/>
      <c r="O197" s="75"/>
      <c r="P197" s="75"/>
      <c r="Q197" s="75"/>
      <c r="R197" s="75"/>
      <c r="S197" s="75"/>
      <c r="T197" s="75"/>
      <c r="U197" s="75"/>
    </row>
    <row r="198" spans="5:21">
      <c r="E198" s="75"/>
      <c r="H198" s="174"/>
      <c r="I198" s="101"/>
      <c r="J198" s="75"/>
      <c r="K198" s="75"/>
      <c r="L198" s="100"/>
      <c r="M198" s="75"/>
      <c r="N198" s="75"/>
      <c r="O198" s="75"/>
      <c r="P198" s="75"/>
      <c r="Q198" s="75"/>
      <c r="R198" s="75"/>
      <c r="S198" s="75"/>
      <c r="T198" s="75"/>
      <c r="U198" s="75"/>
    </row>
    <row r="199" spans="5:21">
      <c r="E199" s="75"/>
      <c r="H199" s="174"/>
      <c r="I199" s="101"/>
      <c r="J199" s="75"/>
      <c r="K199" s="75"/>
      <c r="L199" s="100"/>
      <c r="M199" s="75"/>
      <c r="N199" s="75"/>
      <c r="O199" s="75"/>
      <c r="P199" s="75"/>
      <c r="Q199" s="75"/>
      <c r="R199" s="75"/>
      <c r="S199" s="75"/>
      <c r="T199" s="75"/>
      <c r="U199" s="75"/>
    </row>
    <row r="200" spans="5:21">
      <c r="E200" s="75"/>
      <c r="H200" s="174"/>
      <c r="I200" s="101"/>
      <c r="J200" s="75"/>
      <c r="K200" s="75"/>
      <c r="L200" s="100"/>
      <c r="M200" s="75"/>
      <c r="N200" s="75"/>
      <c r="O200" s="75"/>
      <c r="P200" s="75"/>
      <c r="Q200" s="75"/>
      <c r="R200" s="75"/>
      <c r="S200" s="75"/>
      <c r="T200" s="75"/>
      <c r="U200" s="75"/>
    </row>
    <row r="201" spans="5:21">
      <c r="E201" s="75"/>
      <c r="H201" s="174"/>
      <c r="I201" s="101"/>
      <c r="J201" s="75"/>
      <c r="K201" s="75"/>
      <c r="L201" s="100"/>
      <c r="M201" s="75"/>
      <c r="N201" s="75"/>
      <c r="O201" s="75"/>
      <c r="P201" s="75"/>
      <c r="Q201" s="75"/>
      <c r="R201" s="75"/>
      <c r="S201" s="75"/>
      <c r="T201" s="75"/>
      <c r="U201" s="75"/>
    </row>
    <row r="202" spans="5:21">
      <c r="E202" s="75"/>
      <c r="H202" s="174"/>
      <c r="I202" s="101"/>
      <c r="J202" s="75"/>
      <c r="K202" s="75"/>
      <c r="L202" s="100"/>
      <c r="M202" s="75"/>
      <c r="N202" s="75"/>
      <c r="O202" s="75"/>
      <c r="P202" s="75"/>
      <c r="Q202" s="75"/>
      <c r="R202" s="75"/>
      <c r="S202" s="75"/>
      <c r="T202" s="75"/>
      <c r="U202" s="75"/>
    </row>
    <row r="203" spans="5:21">
      <c r="E203" s="75"/>
      <c r="H203" s="174"/>
      <c r="I203" s="101"/>
      <c r="J203" s="75"/>
      <c r="K203" s="75"/>
      <c r="L203" s="100"/>
      <c r="M203" s="75"/>
      <c r="N203" s="75"/>
      <c r="O203" s="75"/>
      <c r="P203" s="75"/>
      <c r="Q203" s="75"/>
      <c r="R203" s="75"/>
      <c r="S203" s="75"/>
      <c r="T203" s="75"/>
      <c r="U203" s="75"/>
    </row>
    <row r="204" spans="5:21">
      <c r="E204" s="75"/>
      <c r="H204" s="174"/>
      <c r="I204" s="101"/>
      <c r="J204" s="75"/>
      <c r="K204" s="75"/>
      <c r="L204" s="100"/>
      <c r="M204" s="75"/>
      <c r="N204" s="75"/>
      <c r="O204" s="75"/>
      <c r="P204" s="75"/>
      <c r="Q204" s="75"/>
      <c r="R204" s="75"/>
      <c r="S204" s="75"/>
      <c r="T204" s="75"/>
      <c r="U204" s="75"/>
    </row>
    <row r="205" spans="5:21">
      <c r="E205" s="75"/>
      <c r="H205" s="174"/>
      <c r="I205" s="101"/>
      <c r="J205" s="75"/>
      <c r="K205" s="75"/>
      <c r="L205" s="100"/>
      <c r="M205" s="75"/>
      <c r="N205" s="75"/>
      <c r="O205" s="75"/>
      <c r="P205" s="75"/>
      <c r="Q205" s="75"/>
      <c r="R205" s="75"/>
      <c r="S205" s="75"/>
      <c r="T205" s="75"/>
      <c r="U205" s="75"/>
    </row>
    <row r="206" spans="5:21">
      <c r="E206" s="75"/>
      <c r="H206" s="174"/>
      <c r="I206" s="101"/>
      <c r="J206" s="75"/>
      <c r="K206" s="75"/>
      <c r="L206" s="100"/>
      <c r="M206" s="75"/>
      <c r="N206" s="75"/>
      <c r="O206" s="75"/>
      <c r="P206" s="75"/>
      <c r="Q206" s="75"/>
      <c r="R206" s="75"/>
      <c r="S206" s="75"/>
      <c r="T206" s="75"/>
      <c r="U206" s="75"/>
    </row>
    <row r="207" spans="5:21">
      <c r="E207" s="75"/>
      <c r="H207" s="174"/>
      <c r="I207" s="101"/>
      <c r="J207" s="75"/>
      <c r="K207" s="75"/>
      <c r="L207" s="100"/>
      <c r="M207" s="75"/>
      <c r="N207" s="75"/>
      <c r="O207" s="75"/>
      <c r="P207" s="75"/>
      <c r="Q207" s="75"/>
      <c r="R207" s="75"/>
      <c r="S207" s="75"/>
      <c r="T207" s="75"/>
      <c r="U207" s="75"/>
    </row>
    <row r="208" spans="5:21">
      <c r="E208" s="75"/>
      <c r="H208" s="174"/>
      <c r="I208" s="101"/>
      <c r="J208" s="75"/>
      <c r="K208" s="75"/>
      <c r="L208" s="100"/>
      <c r="M208" s="75"/>
      <c r="N208" s="75"/>
      <c r="O208" s="75"/>
      <c r="P208" s="75"/>
      <c r="Q208" s="75"/>
      <c r="R208" s="75"/>
      <c r="S208" s="75"/>
      <c r="T208" s="75"/>
      <c r="U208" s="75"/>
    </row>
    <row r="209" spans="5:21">
      <c r="E209" s="75"/>
      <c r="H209" s="174"/>
      <c r="I209" s="101"/>
      <c r="J209" s="75"/>
      <c r="K209" s="75"/>
      <c r="L209" s="100"/>
      <c r="M209" s="75"/>
      <c r="N209" s="75"/>
      <c r="O209" s="75"/>
      <c r="P209" s="75"/>
      <c r="Q209" s="75"/>
      <c r="R209" s="75"/>
      <c r="S209" s="75"/>
      <c r="T209" s="75"/>
      <c r="U209" s="75"/>
    </row>
    <row r="210" spans="5:21">
      <c r="E210" s="75"/>
      <c r="H210" s="174"/>
      <c r="I210" s="101"/>
      <c r="J210" s="75"/>
      <c r="K210" s="75"/>
      <c r="L210" s="100"/>
      <c r="M210" s="75"/>
      <c r="N210" s="75"/>
      <c r="O210" s="75"/>
      <c r="P210" s="75"/>
      <c r="Q210" s="75"/>
      <c r="R210" s="75"/>
      <c r="S210" s="75"/>
      <c r="T210" s="75"/>
      <c r="U210" s="75"/>
    </row>
    <row r="211" spans="5:21">
      <c r="E211" s="75"/>
      <c r="H211" s="174"/>
      <c r="I211" s="101"/>
      <c r="J211" s="75"/>
      <c r="K211" s="75"/>
      <c r="L211" s="100"/>
      <c r="M211" s="75"/>
      <c r="N211" s="75"/>
      <c r="O211" s="75"/>
      <c r="P211" s="75"/>
      <c r="Q211" s="75"/>
      <c r="R211" s="75"/>
      <c r="S211" s="75"/>
      <c r="T211" s="75"/>
      <c r="U211" s="75"/>
    </row>
    <row r="212" spans="5:21">
      <c r="E212" s="75"/>
      <c r="H212" s="174"/>
      <c r="I212" s="101"/>
      <c r="J212" s="75"/>
      <c r="K212" s="75"/>
      <c r="L212" s="100"/>
      <c r="M212" s="75"/>
      <c r="N212" s="75"/>
      <c r="O212" s="75"/>
      <c r="P212" s="75"/>
      <c r="Q212" s="75"/>
      <c r="R212" s="75"/>
      <c r="S212" s="75"/>
      <c r="T212" s="75"/>
      <c r="U212" s="75"/>
    </row>
    <row r="213" spans="5:21">
      <c r="E213" s="75"/>
      <c r="H213" s="174"/>
      <c r="I213" s="101"/>
      <c r="J213" s="75"/>
      <c r="K213" s="75"/>
      <c r="L213" s="100"/>
      <c r="M213" s="75"/>
      <c r="N213" s="75"/>
      <c r="O213" s="75"/>
      <c r="P213" s="75"/>
      <c r="Q213" s="75"/>
      <c r="R213" s="75"/>
      <c r="S213" s="75"/>
      <c r="T213" s="75"/>
      <c r="U213" s="75"/>
    </row>
    <row r="214" spans="5:21">
      <c r="E214" s="75"/>
      <c r="H214" s="174"/>
      <c r="I214" s="101"/>
      <c r="J214" s="75"/>
      <c r="K214" s="75"/>
      <c r="L214" s="100"/>
      <c r="M214" s="75"/>
      <c r="N214" s="75"/>
      <c r="O214" s="75"/>
      <c r="P214" s="75"/>
      <c r="Q214" s="75"/>
      <c r="R214" s="75"/>
      <c r="S214" s="75"/>
      <c r="T214" s="75"/>
      <c r="U214" s="75"/>
    </row>
    <row r="215" spans="5:21">
      <c r="E215" s="75"/>
      <c r="H215" s="174"/>
      <c r="I215" s="101"/>
      <c r="J215" s="75"/>
      <c r="K215" s="75"/>
      <c r="L215" s="100"/>
      <c r="M215" s="75"/>
      <c r="N215" s="75"/>
      <c r="O215" s="75"/>
      <c r="P215" s="75"/>
      <c r="Q215" s="75"/>
      <c r="R215" s="75"/>
      <c r="S215" s="75"/>
      <c r="T215" s="75"/>
      <c r="U215" s="75"/>
    </row>
    <row r="216" spans="5:21">
      <c r="E216" s="75"/>
      <c r="H216" s="174"/>
      <c r="I216" s="101"/>
      <c r="J216" s="75"/>
      <c r="K216" s="75"/>
      <c r="L216" s="100"/>
      <c r="M216" s="75"/>
      <c r="N216" s="75"/>
      <c r="O216" s="75"/>
      <c r="P216" s="75"/>
      <c r="Q216" s="75"/>
      <c r="R216" s="75"/>
      <c r="S216" s="75"/>
      <c r="T216" s="75"/>
      <c r="U216" s="75"/>
    </row>
    <row r="217" spans="5:21">
      <c r="E217" s="75"/>
      <c r="H217" s="174"/>
      <c r="I217" s="101"/>
      <c r="J217" s="75"/>
      <c r="K217" s="75"/>
      <c r="L217" s="100"/>
      <c r="M217" s="75"/>
      <c r="N217" s="75"/>
      <c r="O217" s="75"/>
      <c r="P217" s="75"/>
      <c r="Q217" s="75"/>
      <c r="R217" s="75"/>
      <c r="S217" s="75"/>
      <c r="T217" s="75"/>
      <c r="U217" s="75"/>
    </row>
    <row r="218" spans="5:21">
      <c r="E218" s="75"/>
      <c r="H218" s="174"/>
      <c r="I218" s="101"/>
      <c r="J218" s="75"/>
      <c r="K218" s="75"/>
      <c r="L218" s="100"/>
      <c r="M218" s="75"/>
      <c r="N218" s="75"/>
      <c r="O218" s="75"/>
      <c r="P218" s="75"/>
      <c r="Q218" s="75"/>
      <c r="R218" s="75"/>
      <c r="S218" s="75"/>
      <c r="T218" s="75"/>
      <c r="U218" s="75"/>
    </row>
    <row r="219" spans="5:21">
      <c r="E219" s="75"/>
      <c r="H219" s="174"/>
      <c r="I219" s="101"/>
      <c r="J219" s="75"/>
      <c r="K219" s="75"/>
      <c r="L219" s="100"/>
      <c r="M219" s="75"/>
      <c r="N219" s="75"/>
      <c r="O219" s="75"/>
      <c r="P219" s="75"/>
      <c r="Q219" s="75"/>
      <c r="R219" s="75"/>
      <c r="S219" s="75"/>
      <c r="T219" s="75"/>
      <c r="U219" s="75"/>
    </row>
    <row r="220" spans="5:21">
      <c r="E220" s="75"/>
      <c r="H220" s="174"/>
      <c r="I220" s="101"/>
      <c r="J220" s="75"/>
      <c r="K220" s="75"/>
      <c r="L220" s="100"/>
      <c r="M220" s="75"/>
      <c r="N220" s="75"/>
      <c r="O220" s="75"/>
      <c r="P220" s="75"/>
      <c r="Q220" s="75"/>
      <c r="R220" s="75"/>
      <c r="S220" s="75"/>
      <c r="T220" s="75"/>
      <c r="U220" s="75"/>
    </row>
    <row r="221" spans="5:21">
      <c r="E221" s="75"/>
      <c r="H221" s="174"/>
      <c r="I221" s="101"/>
      <c r="J221" s="75"/>
      <c r="K221" s="75"/>
      <c r="L221" s="100"/>
      <c r="M221" s="75"/>
      <c r="N221" s="75"/>
      <c r="O221" s="75"/>
      <c r="P221" s="75"/>
      <c r="Q221" s="75"/>
      <c r="R221" s="75"/>
      <c r="S221" s="75"/>
      <c r="T221" s="75"/>
      <c r="U221" s="75"/>
    </row>
    <row r="222" spans="5:21">
      <c r="E222" s="75"/>
      <c r="H222" s="174"/>
      <c r="I222" s="101"/>
      <c r="J222" s="75"/>
      <c r="K222" s="75"/>
      <c r="L222" s="100"/>
      <c r="M222" s="75"/>
      <c r="N222" s="75"/>
      <c r="O222" s="75"/>
      <c r="P222" s="75"/>
      <c r="Q222" s="75"/>
      <c r="R222" s="75"/>
      <c r="S222" s="75"/>
      <c r="T222" s="75"/>
      <c r="U222" s="75"/>
    </row>
    <row r="223" spans="5:21">
      <c r="E223" s="75"/>
      <c r="H223" s="174"/>
      <c r="I223" s="101"/>
      <c r="J223" s="75"/>
      <c r="K223" s="75"/>
      <c r="L223" s="100"/>
      <c r="M223" s="75"/>
      <c r="N223" s="75"/>
      <c r="O223" s="75"/>
      <c r="P223" s="75"/>
      <c r="Q223" s="75"/>
      <c r="R223" s="75"/>
      <c r="S223" s="75"/>
      <c r="T223" s="75"/>
      <c r="U223" s="75"/>
    </row>
    <row r="224" spans="5:21">
      <c r="E224" s="75"/>
      <c r="H224" s="174"/>
      <c r="I224" s="101"/>
      <c r="J224" s="75"/>
      <c r="K224" s="75"/>
      <c r="L224" s="100"/>
      <c r="M224" s="75"/>
      <c r="N224" s="75"/>
      <c r="O224" s="75"/>
      <c r="P224" s="75"/>
      <c r="Q224" s="75"/>
      <c r="R224" s="75"/>
      <c r="S224" s="75"/>
      <c r="T224" s="75"/>
      <c r="U224" s="75"/>
    </row>
    <row r="225" spans="5:21">
      <c r="E225" s="75"/>
      <c r="H225" s="174"/>
      <c r="I225" s="101"/>
      <c r="J225" s="75"/>
      <c r="K225" s="75"/>
      <c r="L225" s="100"/>
      <c r="M225" s="75"/>
      <c r="N225" s="75"/>
      <c r="O225" s="75"/>
      <c r="P225" s="75"/>
      <c r="Q225" s="75"/>
      <c r="R225" s="75"/>
      <c r="S225" s="75"/>
      <c r="T225" s="75"/>
      <c r="U225" s="75"/>
    </row>
    <row r="226" spans="5:21">
      <c r="E226" s="75"/>
      <c r="H226" s="174"/>
      <c r="I226" s="101"/>
      <c r="J226" s="75"/>
      <c r="K226" s="75"/>
      <c r="L226" s="100"/>
      <c r="M226" s="75"/>
      <c r="N226" s="75"/>
      <c r="O226" s="75"/>
      <c r="P226" s="75"/>
      <c r="Q226" s="75"/>
      <c r="R226" s="75"/>
      <c r="S226" s="75"/>
      <c r="T226" s="75"/>
      <c r="U226" s="75"/>
    </row>
    <row r="227" spans="5:21">
      <c r="E227" s="75"/>
      <c r="H227" s="174"/>
      <c r="I227" s="101"/>
      <c r="J227" s="75"/>
      <c r="K227" s="75"/>
      <c r="L227" s="100"/>
      <c r="M227" s="75"/>
      <c r="N227" s="75"/>
      <c r="O227" s="75"/>
      <c r="P227" s="75"/>
      <c r="Q227" s="75"/>
      <c r="R227" s="75"/>
      <c r="S227" s="75"/>
      <c r="T227" s="75"/>
      <c r="U227" s="75"/>
    </row>
    <row r="228" spans="5:21">
      <c r="E228" s="75"/>
      <c r="H228" s="174"/>
      <c r="I228" s="101"/>
      <c r="J228" s="75"/>
      <c r="K228" s="75"/>
      <c r="L228" s="100"/>
      <c r="M228" s="75"/>
      <c r="N228" s="75"/>
      <c r="O228" s="75"/>
      <c r="P228" s="75"/>
      <c r="Q228" s="75"/>
      <c r="R228" s="75"/>
      <c r="S228" s="75"/>
      <c r="T228" s="75"/>
      <c r="U228" s="75"/>
    </row>
    <row r="229" spans="5:21">
      <c r="E229" s="75"/>
      <c r="H229" s="174"/>
      <c r="I229" s="101"/>
      <c r="J229" s="75"/>
      <c r="K229" s="75"/>
      <c r="L229" s="100"/>
      <c r="M229" s="75"/>
      <c r="N229" s="75"/>
      <c r="O229" s="75"/>
      <c r="P229" s="75"/>
      <c r="Q229" s="75"/>
      <c r="R229" s="75"/>
      <c r="S229" s="75"/>
      <c r="T229" s="75"/>
      <c r="U229" s="75"/>
    </row>
    <row r="230" spans="5:21">
      <c r="E230" s="75"/>
      <c r="H230" s="174"/>
      <c r="I230" s="101"/>
      <c r="J230" s="75"/>
      <c r="K230" s="75"/>
      <c r="L230" s="100"/>
      <c r="M230" s="75"/>
      <c r="N230" s="75"/>
      <c r="O230" s="75"/>
      <c r="P230" s="75"/>
      <c r="Q230" s="75"/>
      <c r="R230" s="75"/>
      <c r="S230" s="75"/>
      <c r="T230" s="75"/>
      <c r="U230" s="75"/>
    </row>
    <row r="231" spans="5:21">
      <c r="E231" s="75"/>
      <c r="H231" s="174"/>
      <c r="I231" s="101"/>
      <c r="J231" s="75"/>
      <c r="K231" s="75"/>
      <c r="L231" s="100"/>
      <c r="M231" s="75"/>
      <c r="N231" s="75"/>
      <c r="O231" s="75"/>
      <c r="P231" s="75"/>
      <c r="Q231" s="75"/>
      <c r="R231" s="75"/>
      <c r="S231" s="75"/>
      <c r="T231" s="75"/>
      <c r="U231" s="75"/>
    </row>
    <row r="232" spans="5:21">
      <c r="E232" s="75"/>
      <c r="H232" s="174"/>
      <c r="I232" s="101"/>
      <c r="J232" s="75"/>
      <c r="K232" s="75"/>
      <c r="L232" s="100"/>
      <c r="M232" s="75"/>
      <c r="N232" s="75"/>
      <c r="O232" s="75"/>
      <c r="P232" s="75"/>
      <c r="Q232" s="75"/>
      <c r="R232" s="75"/>
      <c r="S232" s="75"/>
      <c r="T232" s="75"/>
      <c r="U232" s="75"/>
    </row>
    <row r="233" spans="5:21">
      <c r="E233" s="75"/>
      <c r="H233" s="174"/>
      <c r="I233" s="101"/>
      <c r="J233" s="75"/>
      <c r="K233" s="75"/>
      <c r="L233" s="100"/>
      <c r="M233" s="75"/>
      <c r="N233" s="75"/>
      <c r="O233" s="75"/>
      <c r="P233" s="75"/>
      <c r="Q233" s="75"/>
      <c r="R233" s="75"/>
      <c r="S233" s="75"/>
      <c r="T233" s="75"/>
      <c r="U233" s="75"/>
    </row>
    <row r="234" spans="5:21">
      <c r="E234" s="75"/>
      <c r="H234" s="174"/>
      <c r="I234" s="101"/>
      <c r="J234" s="75"/>
      <c r="K234" s="75"/>
      <c r="L234" s="100"/>
      <c r="M234" s="75"/>
      <c r="N234" s="75"/>
      <c r="O234" s="75"/>
      <c r="P234" s="75"/>
      <c r="Q234" s="75"/>
      <c r="R234" s="75"/>
      <c r="S234" s="75"/>
      <c r="T234" s="75"/>
      <c r="U234" s="75"/>
    </row>
    <row r="235" spans="5:21">
      <c r="E235" s="75"/>
      <c r="H235" s="174"/>
      <c r="I235" s="101"/>
      <c r="J235" s="75"/>
      <c r="K235" s="75"/>
      <c r="L235" s="100"/>
      <c r="M235" s="75"/>
      <c r="N235" s="75"/>
      <c r="O235" s="75"/>
      <c r="P235" s="75"/>
      <c r="Q235" s="75"/>
      <c r="R235" s="75"/>
      <c r="S235" s="75"/>
      <c r="T235" s="75"/>
      <c r="U235" s="75"/>
    </row>
    <row r="236" spans="5:21">
      <c r="E236" s="75"/>
      <c r="H236" s="174"/>
      <c r="I236" s="101"/>
      <c r="J236" s="75"/>
      <c r="K236" s="75"/>
      <c r="L236" s="100"/>
      <c r="M236" s="75"/>
      <c r="N236" s="75"/>
      <c r="O236" s="75"/>
      <c r="P236" s="75"/>
      <c r="Q236" s="75"/>
      <c r="R236" s="75"/>
      <c r="S236" s="75"/>
      <c r="T236" s="75"/>
      <c r="U236" s="75"/>
    </row>
    <row r="237" spans="5:21">
      <c r="E237" s="75"/>
      <c r="H237" s="174"/>
      <c r="I237" s="101"/>
      <c r="J237" s="75"/>
      <c r="K237" s="75"/>
      <c r="L237" s="100"/>
      <c r="M237" s="75"/>
      <c r="N237" s="75"/>
      <c r="O237" s="75"/>
      <c r="P237" s="75"/>
      <c r="Q237" s="75"/>
      <c r="R237" s="75"/>
      <c r="S237" s="75"/>
      <c r="T237" s="75"/>
      <c r="U237" s="75"/>
    </row>
    <row r="238" spans="5:21">
      <c r="E238" s="75"/>
      <c r="H238" s="174"/>
      <c r="I238" s="101"/>
      <c r="J238" s="75"/>
      <c r="K238" s="75"/>
      <c r="L238" s="100"/>
      <c r="M238" s="75"/>
      <c r="N238" s="75"/>
      <c r="O238" s="75"/>
      <c r="P238" s="75"/>
      <c r="Q238" s="75"/>
      <c r="R238" s="75"/>
      <c r="S238" s="75"/>
      <c r="T238" s="75"/>
      <c r="U238" s="75"/>
    </row>
    <row r="239" spans="5:21">
      <c r="E239" s="75"/>
      <c r="H239" s="174"/>
      <c r="I239" s="101"/>
      <c r="J239" s="75"/>
      <c r="K239" s="75"/>
      <c r="L239" s="100"/>
      <c r="M239" s="75"/>
      <c r="N239" s="75"/>
      <c r="O239" s="75"/>
      <c r="P239" s="75"/>
      <c r="Q239" s="75"/>
      <c r="R239" s="75"/>
      <c r="S239" s="75"/>
      <c r="T239" s="75"/>
      <c r="U239" s="75"/>
    </row>
    <row r="240" spans="5:21">
      <c r="E240" s="75"/>
      <c r="H240" s="174"/>
      <c r="I240" s="101"/>
      <c r="J240" s="75"/>
      <c r="K240" s="75"/>
      <c r="L240" s="100"/>
      <c r="M240" s="75"/>
      <c r="N240" s="75"/>
      <c r="O240" s="75"/>
      <c r="P240" s="75"/>
      <c r="Q240" s="75"/>
      <c r="R240" s="75"/>
      <c r="S240" s="75"/>
      <c r="T240" s="75"/>
      <c r="U240" s="75"/>
    </row>
    <row r="241" spans="5:21">
      <c r="E241" s="75"/>
      <c r="H241" s="174"/>
      <c r="I241" s="101"/>
      <c r="J241" s="75"/>
      <c r="K241" s="75"/>
      <c r="L241" s="100"/>
      <c r="M241" s="75"/>
      <c r="N241" s="75"/>
      <c r="O241" s="75"/>
      <c r="P241" s="75"/>
      <c r="Q241" s="75"/>
      <c r="R241" s="75"/>
      <c r="S241" s="75"/>
      <c r="T241" s="75"/>
      <c r="U241" s="75"/>
    </row>
    <row r="242" spans="5:21">
      <c r="H242" s="174"/>
    </row>
    <row r="243" spans="5:21">
      <c r="H243" s="174"/>
    </row>
    <row r="244" spans="5:21">
      <c r="H244" s="174"/>
    </row>
    <row r="245" spans="5:21">
      <c r="H245" s="174"/>
    </row>
    <row r="246" spans="5:21">
      <c r="H246" s="174"/>
    </row>
    <row r="247" spans="5:21">
      <c r="H247" s="174"/>
    </row>
    <row r="248" spans="5:21">
      <c r="H248" s="174"/>
    </row>
    <row r="249" spans="5:21">
      <c r="H249" s="174"/>
    </row>
    <row r="250" spans="5:21">
      <c r="H250" s="174"/>
    </row>
    <row r="251" spans="5:21">
      <c r="H251" s="174"/>
    </row>
    <row r="252" spans="5:21">
      <c r="H252" s="174"/>
    </row>
    <row r="253" spans="5:21">
      <c r="H253" s="174"/>
    </row>
    <row r="254" spans="5:21">
      <c r="H254" s="174"/>
    </row>
    <row r="255" spans="5:21">
      <c r="H255" s="174"/>
    </row>
    <row r="256" spans="5:21">
      <c r="H256" s="174"/>
    </row>
    <row r="257" spans="8:8">
      <c r="H257" s="174"/>
    </row>
    <row r="258" spans="8:8">
      <c r="H258" s="174"/>
    </row>
    <row r="259" spans="8:8">
      <c r="H259" s="174"/>
    </row>
    <row r="260" spans="8:8">
      <c r="H260" s="174"/>
    </row>
    <row r="261" spans="8:8">
      <c r="H261" s="174"/>
    </row>
    <row r="262" spans="8:8">
      <c r="H262" s="174"/>
    </row>
    <row r="263" spans="8:8">
      <c r="H263" s="174"/>
    </row>
    <row r="264" spans="8:8">
      <c r="H264" s="174"/>
    </row>
    <row r="265" spans="8:8">
      <c r="H265" s="174"/>
    </row>
    <row r="266" spans="8:8">
      <c r="H266" s="174"/>
    </row>
    <row r="267" spans="8:8">
      <c r="H267" s="174"/>
    </row>
    <row r="268" spans="8:8">
      <c r="H268" s="174"/>
    </row>
    <row r="269" spans="8:8">
      <c r="H269" s="174"/>
    </row>
    <row r="270" spans="8:8">
      <c r="H270" s="174"/>
    </row>
    <row r="271" spans="8:8">
      <c r="H271" s="174"/>
    </row>
    <row r="272" spans="8:8">
      <c r="H272" s="174"/>
    </row>
    <row r="273" spans="8:8">
      <c r="H273" s="174"/>
    </row>
    <row r="274" spans="8:8">
      <c r="H274" s="174"/>
    </row>
    <row r="275" spans="8:8">
      <c r="H275" s="174"/>
    </row>
    <row r="276" spans="8:8">
      <c r="H276" s="174"/>
    </row>
    <row r="277" spans="8:8">
      <c r="H277" s="174"/>
    </row>
    <row r="278" spans="8:8">
      <c r="H278" s="174"/>
    </row>
    <row r="279" spans="8:8">
      <c r="H279" s="174"/>
    </row>
    <row r="280" spans="8:8">
      <c r="H280" s="174"/>
    </row>
    <row r="281" spans="8:8">
      <c r="H281" s="174"/>
    </row>
    <row r="282" spans="8:8">
      <c r="H282" s="174"/>
    </row>
    <row r="283" spans="8:8">
      <c r="H283" s="174"/>
    </row>
    <row r="284" spans="8:8">
      <c r="H284" s="174"/>
    </row>
    <row r="285" spans="8:8">
      <c r="H285" s="174"/>
    </row>
    <row r="286" spans="8:8">
      <c r="H286" s="174"/>
    </row>
    <row r="287" spans="8:8">
      <c r="H287" s="174"/>
    </row>
    <row r="288" spans="8:8">
      <c r="H288" s="174"/>
    </row>
    <row r="289" spans="8:8">
      <c r="H289" s="174"/>
    </row>
    <row r="290" spans="8:8">
      <c r="H290" s="174"/>
    </row>
    <row r="291" spans="8:8">
      <c r="H291" s="174"/>
    </row>
    <row r="292" spans="8:8">
      <c r="H292" s="174"/>
    </row>
    <row r="293" spans="8:8">
      <c r="H293" s="174"/>
    </row>
    <row r="294" spans="8:8">
      <c r="H294" s="174"/>
    </row>
    <row r="295" spans="8:8">
      <c r="H295" s="174"/>
    </row>
    <row r="296" spans="8:8">
      <c r="H296" s="174"/>
    </row>
    <row r="297" spans="8:8">
      <c r="H297" s="174"/>
    </row>
    <row r="298" spans="8:8">
      <c r="H298" s="174"/>
    </row>
    <row r="299" spans="8:8">
      <c r="H299" s="174"/>
    </row>
    <row r="300" spans="8:8">
      <c r="H300" s="174"/>
    </row>
    <row r="301" spans="8:8">
      <c r="H301" s="174"/>
    </row>
    <row r="302" spans="8:8">
      <c r="H302" s="174"/>
    </row>
    <row r="303" spans="8:8">
      <c r="H303" s="174"/>
    </row>
    <row r="304" spans="8:8">
      <c r="H304" s="174"/>
    </row>
    <row r="305" spans="8:8">
      <c r="H305" s="174"/>
    </row>
    <row r="306" spans="8:8">
      <c r="H306" s="174"/>
    </row>
    <row r="307" spans="8:8">
      <c r="H307" s="174"/>
    </row>
    <row r="308" spans="8:8">
      <c r="H308" s="174"/>
    </row>
    <row r="309" spans="8:8">
      <c r="H309" s="174"/>
    </row>
    <row r="310" spans="8:8">
      <c r="H310" s="174"/>
    </row>
    <row r="311" spans="8:8">
      <c r="H311" s="174"/>
    </row>
    <row r="312" spans="8:8">
      <c r="H312" s="174"/>
    </row>
    <row r="313" spans="8:8">
      <c r="H313" s="174"/>
    </row>
    <row r="314" spans="8:8">
      <c r="H314" s="174"/>
    </row>
    <row r="315" spans="8:8">
      <c r="H315" s="174"/>
    </row>
    <row r="316" spans="8:8">
      <c r="H316" s="174"/>
    </row>
    <row r="317" spans="8:8">
      <c r="H317" s="174"/>
    </row>
    <row r="318" spans="8:8">
      <c r="H318" s="174"/>
    </row>
    <row r="319" spans="8:8">
      <c r="H319" s="174"/>
    </row>
    <row r="320" spans="8:8">
      <c r="H320" s="174"/>
    </row>
    <row r="321" spans="8:8">
      <c r="H321" s="174"/>
    </row>
    <row r="322" spans="8:8">
      <c r="H322" s="174"/>
    </row>
    <row r="323" spans="8:8">
      <c r="H323" s="174"/>
    </row>
    <row r="324" spans="8:8">
      <c r="H324" s="174"/>
    </row>
    <row r="325" spans="8:8">
      <c r="H325" s="174"/>
    </row>
    <row r="326" spans="8:8">
      <c r="H326" s="174"/>
    </row>
    <row r="327" spans="8:8">
      <c r="H327" s="174"/>
    </row>
    <row r="328" spans="8:8">
      <c r="H328" s="174"/>
    </row>
    <row r="329" spans="8:8">
      <c r="H329" s="174"/>
    </row>
    <row r="330" spans="8:8">
      <c r="H330" s="174"/>
    </row>
    <row r="331" spans="8:8">
      <c r="H331" s="174"/>
    </row>
    <row r="332" spans="8:8">
      <c r="H332" s="174"/>
    </row>
    <row r="333" spans="8:8">
      <c r="H333" s="174"/>
    </row>
    <row r="334" spans="8:8">
      <c r="H334" s="174"/>
    </row>
    <row r="335" spans="8:8">
      <c r="H335" s="174"/>
    </row>
    <row r="336" spans="8:8">
      <c r="H336" s="174"/>
    </row>
    <row r="337" spans="8:8">
      <c r="H337" s="174"/>
    </row>
    <row r="338" spans="8:8">
      <c r="H338" s="174"/>
    </row>
    <row r="339" spans="8:8">
      <c r="H339" s="174"/>
    </row>
    <row r="340" spans="8:8">
      <c r="H340" s="174"/>
    </row>
    <row r="341" spans="8:8">
      <c r="H341" s="174"/>
    </row>
    <row r="342" spans="8:8">
      <c r="H342" s="174"/>
    </row>
    <row r="343" spans="8:8">
      <c r="H343" s="174"/>
    </row>
    <row r="344" spans="8:8">
      <c r="H344" s="174"/>
    </row>
    <row r="345" spans="8:8">
      <c r="H345" s="174"/>
    </row>
    <row r="346" spans="8:8">
      <c r="H346" s="174"/>
    </row>
    <row r="347" spans="8:8">
      <c r="H347" s="174"/>
    </row>
    <row r="348" spans="8:8">
      <c r="H348" s="174"/>
    </row>
    <row r="349" spans="8:8">
      <c r="H349" s="174"/>
    </row>
    <row r="350" spans="8:8">
      <c r="H350" s="174"/>
    </row>
    <row r="351" spans="8:8">
      <c r="H351" s="174"/>
    </row>
    <row r="352" spans="8:8">
      <c r="H352" s="174"/>
    </row>
    <row r="353" spans="8:8">
      <c r="H353" s="174"/>
    </row>
    <row r="354" spans="8:8">
      <c r="H354" s="174"/>
    </row>
    <row r="355" spans="8:8">
      <c r="H355" s="174"/>
    </row>
    <row r="356" spans="8:8">
      <c r="H356" s="174"/>
    </row>
    <row r="357" spans="8:8">
      <c r="H357" s="174"/>
    </row>
    <row r="358" spans="8:8">
      <c r="H358" s="174"/>
    </row>
    <row r="359" spans="8:8">
      <c r="H359" s="174"/>
    </row>
    <row r="360" spans="8:8">
      <c r="H360" s="174"/>
    </row>
    <row r="361" spans="8:8">
      <c r="H361" s="174"/>
    </row>
    <row r="362" spans="8:8">
      <c r="H362" s="174"/>
    </row>
    <row r="363" spans="8:8">
      <c r="H363" s="174"/>
    </row>
    <row r="364" spans="8:8">
      <c r="H364" s="174"/>
    </row>
    <row r="365" spans="8:8">
      <c r="H365" s="174"/>
    </row>
    <row r="366" spans="8:8">
      <c r="H366" s="174"/>
    </row>
    <row r="367" spans="8:8">
      <c r="H367" s="174"/>
    </row>
    <row r="368" spans="8:8">
      <c r="H368" s="174"/>
    </row>
    <row r="369" spans="8:8">
      <c r="H369" s="174"/>
    </row>
    <row r="370" spans="8:8">
      <c r="H370" s="174"/>
    </row>
    <row r="371" spans="8:8">
      <c r="H371" s="174"/>
    </row>
    <row r="372" spans="8:8">
      <c r="H372" s="174"/>
    </row>
    <row r="373" spans="8:8">
      <c r="H373" s="174"/>
    </row>
    <row r="374" spans="8:8">
      <c r="H374" s="174"/>
    </row>
    <row r="375" spans="8:8">
      <c r="H375" s="174"/>
    </row>
    <row r="376" spans="8:8">
      <c r="H376" s="174"/>
    </row>
    <row r="377" spans="8:8">
      <c r="H377" s="174"/>
    </row>
    <row r="378" spans="8:8">
      <c r="H378" s="174"/>
    </row>
    <row r="379" spans="8:8">
      <c r="H379" s="174"/>
    </row>
    <row r="380" spans="8:8">
      <c r="H380" s="174"/>
    </row>
    <row r="381" spans="8:8">
      <c r="H381" s="174"/>
    </row>
    <row r="382" spans="8:8">
      <c r="H382" s="174"/>
    </row>
    <row r="383" spans="8:8">
      <c r="H383" s="174"/>
    </row>
    <row r="384" spans="8:8">
      <c r="H384" s="174"/>
    </row>
    <row r="385" spans="8:8">
      <c r="H385" s="174"/>
    </row>
    <row r="386" spans="8:8">
      <c r="H386" s="174"/>
    </row>
    <row r="387" spans="8:8">
      <c r="H387" s="174"/>
    </row>
    <row r="388" spans="8:8">
      <c r="H388" s="174"/>
    </row>
    <row r="389" spans="8:8">
      <c r="H389" s="174"/>
    </row>
    <row r="390" spans="8:8">
      <c r="H390" s="174"/>
    </row>
    <row r="391" spans="8:8">
      <c r="H391" s="174"/>
    </row>
    <row r="392" spans="8:8">
      <c r="H392" s="174"/>
    </row>
    <row r="393" spans="8:8">
      <c r="H393" s="174"/>
    </row>
    <row r="394" spans="8:8">
      <c r="H394" s="174"/>
    </row>
    <row r="395" spans="8:8">
      <c r="H395" s="174"/>
    </row>
    <row r="396" spans="8:8">
      <c r="H396" s="174"/>
    </row>
    <row r="397" spans="8:8">
      <c r="H397" s="174"/>
    </row>
    <row r="398" spans="8:8">
      <c r="H398" s="174"/>
    </row>
    <row r="399" spans="8:8">
      <c r="H399" s="174"/>
    </row>
    <row r="400" spans="8:8">
      <c r="H400" s="174"/>
    </row>
    <row r="401" spans="8:8">
      <c r="H401" s="174"/>
    </row>
    <row r="402" spans="8:8">
      <c r="H402" s="174"/>
    </row>
    <row r="403" spans="8:8">
      <c r="H403" s="174"/>
    </row>
    <row r="404" spans="8:8">
      <c r="H404" s="174"/>
    </row>
    <row r="405" spans="8:8">
      <c r="H405" s="174"/>
    </row>
    <row r="406" spans="8:8">
      <c r="H406" s="174"/>
    </row>
    <row r="407" spans="8:8">
      <c r="H407" s="174"/>
    </row>
    <row r="408" spans="8:8">
      <c r="H408" s="174"/>
    </row>
    <row r="409" spans="8:8">
      <c r="H409" s="174"/>
    </row>
    <row r="410" spans="8:8">
      <c r="H410" s="174"/>
    </row>
    <row r="411" spans="8:8">
      <c r="H411" s="174"/>
    </row>
    <row r="412" spans="8:8">
      <c r="H412" s="174"/>
    </row>
    <row r="413" spans="8:8">
      <c r="H413" s="174"/>
    </row>
    <row r="414" spans="8:8">
      <c r="H414" s="174"/>
    </row>
    <row r="415" spans="8:8">
      <c r="H415" s="174"/>
    </row>
    <row r="416" spans="8:8">
      <c r="H416" s="174"/>
    </row>
    <row r="417" spans="8:8">
      <c r="H417" s="174"/>
    </row>
    <row r="418" spans="8:8">
      <c r="H418" s="174"/>
    </row>
    <row r="419" spans="8:8">
      <c r="H419" s="174"/>
    </row>
    <row r="420" spans="8:8">
      <c r="H420" s="174"/>
    </row>
    <row r="421" spans="8:8">
      <c r="H421" s="174"/>
    </row>
    <row r="422" spans="8:8">
      <c r="H422" s="174"/>
    </row>
    <row r="423" spans="8:8">
      <c r="H423" s="174"/>
    </row>
    <row r="424" spans="8:8">
      <c r="H424" s="174"/>
    </row>
    <row r="425" spans="8:8">
      <c r="H425" s="174"/>
    </row>
    <row r="426" spans="8:8">
      <c r="H426" s="174"/>
    </row>
    <row r="427" spans="8:8">
      <c r="H427" s="174"/>
    </row>
    <row r="428" spans="8:8">
      <c r="H428" s="174"/>
    </row>
    <row r="429" spans="8:8">
      <c r="H429" s="174"/>
    </row>
    <row r="430" spans="8:8">
      <c r="H430" s="174"/>
    </row>
    <row r="431" spans="8:8">
      <c r="H431" s="174"/>
    </row>
    <row r="432" spans="8:8">
      <c r="H432" s="174"/>
    </row>
    <row r="433" spans="8:8">
      <c r="H433" s="174"/>
    </row>
    <row r="434" spans="8:8">
      <c r="H434" s="174"/>
    </row>
    <row r="435" spans="8:8">
      <c r="H435" s="174"/>
    </row>
    <row r="436" spans="8:8">
      <c r="H436" s="174"/>
    </row>
    <row r="437" spans="8:8">
      <c r="H437" s="174"/>
    </row>
    <row r="438" spans="8:8">
      <c r="H438" s="174"/>
    </row>
    <row r="439" spans="8:8">
      <c r="H439" s="174"/>
    </row>
    <row r="440" spans="8:8">
      <c r="H440" s="174"/>
    </row>
    <row r="441" spans="8:8">
      <c r="H441" s="174"/>
    </row>
    <row r="442" spans="8:8">
      <c r="H442" s="174"/>
    </row>
    <row r="443" spans="8:8">
      <c r="H443" s="174"/>
    </row>
    <row r="444" spans="8:8">
      <c r="H444" s="174"/>
    </row>
    <row r="445" spans="8:8">
      <c r="H445" s="174"/>
    </row>
    <row r="446" spans="8:8">
      <c r="H446" s="174"/>
    </row>
    <row r="447" spans="8:8">
      <c r="H447" s="174"/>
    </row>
    <row r="448" spans="8:8">
      <c r="H448" s="174"/>
    </row>
    <row r="449" spans="8:8">
      <c r="H449" s="174"/>
    </row>
    <row r="450" spans="8:8">
      <c r="H450" s="174"/>
    </row>
    <row r="451" spans="8:8">
      <c r="H451" s="174"/>
    </row>
    <row r="452" spans="8:8">
      <c r="H452" s="174"/>
    </row>
    <row r="453" spans="8:8">
      <c r="H453" s="174"/>
    </row>
    <row r="454" spans="8:8">
      <c r="H454" s="174"/>
    </row>
    <row r="455" spans="8:8">
      <c r="H455" s="174"/>
    </row>
    <row r="456" spans="8:8">
      <c r="H456" s="174"/>
    </row>
    <row r="457" spans="8:8">
      <c r="H457" s="174"/>
    </row>
    <row r="458" spans="8:8">
      <c r="H458" s="174"/>
    </row>
    <row r="459" spans="8:8">
      <c r="H459" s="174"/>
    </row>
    <row r="460" spans="8:8">
      <c r="H460" s="174"/>
    </row>
    <row r="461" spans="8:8">
      <c r="H461" s="174"/>
    </row>
    <row r="462" spans="8:8">
      <c r="H462" s="174"/>
    </row>
    <row r="463" spans="8:8">
      <c r="H463" s="174"/>
    </row>
    <row r="464" spans="8:8">
      <c r="H464" s="174"/>
    </row>
    <row r="465" spans="8:8">
      <c r="H465" s="174"/>
    </row>
    <row r="466" spans="8:8">
      <c r="H466" s="174"/>
    </row>
    <row r="467" spans="8:8">
      <c r="H467" s="174"/>
    </row>
    <row r="468" spans="8:8">
      <c r="H468" s="174"/>
    </row>
    <row r="469" spans="8:8">
      <c r="H469" s="174"/>
    </row>
    <row r="470" spans="8:8">
      <c r="H470" s="174"/>
    </row>
    <row r="471" spans="8:8">
      <c r="H471" s="174"/>
    </row>
    <row r="472" spans="8:8">
      <c r="H472" s="174"/>
    </row>
    <row r="473" spans="8:8">
      <c r="H473" s="174"/>
    </row>
    <row r="474" spans="8:8">
      <c r="H474" s="174"/>
    </row>
    <row r="475" spans="8:8">
      <c r="H475" s="174"/>
    </row>
    <row r="476" spans="8:8">
      <c r="H476" s="174"/>
    </row>
    <row r="477" spans="8:8">
      <c r="H477" s="174"/>
    </row>
    <row r="478" spans="8:8">
      <c r="H478" s="174"/>
    </row>
    <row r="479" spans="8:8">
      <c r="H479" s="174"/>
    </row>
    <row r="480" spans="8:8">
      <c r="H480" s="174"/>
    </row>
    <row r="481" spans="8:8">
      <c r="H481" s="174"/>
    </row>
    <row r="482" spans="8:8">
      <c r="H482" s="174"/>
    </row>
    <row r="483" spans="8:8">
      <c r="H483" s="174"/>
    </row>
    <row r="484" spans="8:8">
      <c r="H484" s="174"/>
    </row>
    <row r="485" spans="8:8">
      <c r="H485" s="174"/>
    </row>
    <row r="486" spans="8:8">
      <c r="H486" s="174"/>
    </row>
    <row r="487" spans="8:8">
      <c r="H487" s="174"/>
    </row>
    <row r="488" spans="8:8">
      <c r="H488" s="174"/>
    </row>
    <row r="489" spans="8:8">
      <c r="H489" s="174"/>
    </row>
    <row r="490" spans="8:8">
      <c r="H490" s="174"/>
    </row>
    <row r="491" spans="8:8">
      <c r="H491" s="174"/>
    </row>
    <row r="492" spans="8:8">
      <c r="H492" s="174"/>
    </row>
    <row r="493" spans="8:8">
      <c r="H493" s="174"/>
    </row>
    <row r="494" spans="8:8">
      <c r="H494" s="174"/>
    </row>
    <row r="495" spans="8:8">
      <c r="H495" s="174"/>
    </row>
    <row r="496" spans="8:8">
      <c r="H496" s="174"/>
    </row>
    <row r="497" spans="8:8">
      <c r="H497" s="174"/>
    </row>
    <row r="498" spans="8:8">
      <c r="H498" s="174"/>
    </row>
    <row r="499" spans="8:8">
      <c r="H499" s="174"/>
    </row>
    <row r="500" spans="8:8">
      <c r="H500" s="174"/>
    </row>
    <row r="501" spans="8:8">
      <c r="H501" s="174"/>
    </row>
    <row r="502" spans="8:8">
      <c r="H502" s="174"/>
    </row>
    <row r="503" spans="8:8">
      <c r="H503" s="174"/>
    </row>
    <row r="504" spans="8:8">
      <c r="H504" s="174"/>
    </row>
    <row r="505" spans="8:8">
      <c r="H505" s="174"/>
    </row>
    <row r="506" spans="8:8">
      <c r="H506" s="174"/>
    </row>
    <row r="507" spans="8:8">
      <c r="H507" s="174"/>
    </row>
    <row r="508" spans="8:8">
      <c r="H508" s="174"/>
    </row>
    <row r="509" spans="8:8">
      <c r="H509" s="174"/>
    </row>
    <row r="510" spans="8:8">
      <c r="H510" s="174"/>
    </row>
    <row r="511" spans="8:8">
      <c r="H511" s="174"/>
    </row>
    <row r="512" spans="8:8">
      <c r="H512" s="174"/>
    </row>
    <row r="513" spans="8:8">
      <c r="H513" s="174"/>
    </row>
    <row r="514" spans="8:8">
      <c r="H514" s="174"/>
    </row>
    <row r="515" spans="8:8">
      <c r="H515" s="174"/>
    </row>
    <row r="516" spans="8:8">
      <c r="H516" s="174"/>
    </row>
    <row r="517" spans="8:8">
      <c r="H517" s="174"/>
    </row>
    <row r="518" spans="8:8">
      <c r="H518" s="174"/>
    </row>
    <row r="519" spans="8:8">
      <c r="H519" s="174"/>
    </row>
    <row r="520" spans="8:8">
      <c r="H520" s="174"/>
    </row>
    <row r="521" spans="8:8">
      <c r="H521" s="174"/>
    </row>
    <row r="522" spans="8:8">
      <c r="H522" s="174"/>
    </row>
    <row r="523" spans="8:8">
      <c r="H523" s="174"/>
    </row>
    <row r="524" spans="8:8">
      <c r="H524" s="174"/>
    </row>
    <row r="525" spans="8:8">
      <c r="H525" s="174"/>
    </row>
    <row r="526" spans="8:8">
      <c r="H526" s="174"/>
    </row>
    <row r="527" spans="8:8">
      <c r="H527" s="174"/>
    </row>
    <row r="528" spans="8:8">
      <c r="H528" s="174"/>
    </row>
    <row r="529" spans="8:8">
      <c r="H529" s="174"/>
    </row>
    <row r="530" spans="8:8">
      <c r="H530" s="174"/>
    </row>
    <row r="531" spans="8:8">
      <c r="H531" s="174"/>
    </row>
    <row r="532" spans="8:8">
      <c r="H532" s="174"/>
    </row>
    <row r="533" spans="8:8">
      <c r="H533" s="174"/>
    </row>
    <row r="534" spans="8:8">
      <c r="H534" s="174"/>
    </row>
    <row r="535" spans="8:8">
      <c r="H535" s="174"/>
    </row>
    <row r="536" spans="8:8">
      <c r="H536" s="174"/>
    </row>
    <row r="537" spans="8:8">
      <c r="H537" s="174"/>
    </row>
    <row r="538" spans="8:8">
      <c r="H538" s="174"/>
    </row>
    <row r="539" spans="8:8">
      <c r="H539" s="174"/>
    </row>
    <row r="540" spans="8:8">
      <c r="H540" s="174"/>
    </row>
    <row r="541" spans="8:8">
      <c r="H541" s="174"/>
    </row>
    <row r="542" spans="8:8">
      <c r="H542" s="174"/>
    </row>
    <row r="543" spans="8:8">
      <c r="H543" s="174"/>
    </row>
    <row r="544" spans="8:8">
      <c r="H544" s="174"/>
    </row>
    <row r="545" spans="8:8">
      <c r="H545" s="174"/>
    </row>
    <row r="546" spans="8:8">
      <c r="H546" s="174"/>
    </row>
    <row r="547" spans="8:8">
      <c r="H547" s="174"/>
    </row>
    <row r="548" spans="8:8">
      <c r="H548" s="174"/>
    </row>
    <row r="549" spans="8:8">
      <c r="H549" s="174"/>
    </row>
    <row r="550" spans="8:8">
      <c r="H550" s="174"/>
    </row>
    <row r="551" spans="8:8">
      <c r="H551" s="174"/>
    </row>
    <row r="552" spans="8:8">
      <c r="H552" s="174"/>
    </row>
    <row r="553" spans="8:8">
      <c r="H553" s="174"/>
    </row>
    <row r="554" spans="8:8">
      <c r="H554" s="174"/>
    </row>
    <row r="555" spans="8:8">
      <c r="H555" s="174"/>
    </row>
    <row r="556" spans="8:8">
      <c r="H556" s="174"/>
    </row>
    <row r="557" spans="8:8">
      <c r="H557" s="174"/>
    </row>
    <row r="558" spans="8:8">
      <c r="H558" s="174"/>
    </row>
    <row r="559" spans="8:8">
      <c r="H559" s="174"/>
    </row>
    <row r="560" spans="8:8">
      <c r="H560" s="174"/>
    </row>
    <row r="561" spans="8:8">
      <c r="H561" s="174"/>
    </row>
    <row r="562" spans="8:8">
      <c r="H562" s="174"/>
    </row>
    <row r="563" spans="8:8">
      <c r="H563" s="174"/>
    </row>
    <row r="564" spans="8:8">
      <c r="H564" s="174"/>
    </row>
    <row r="565" spans="8:8">
      <c r="H565" s="174"/>
    </row>
    <row r="566" spans="8:8">
      <c r="H566" s="174"/>
    </row>
    <row r="567" spans="8:8">
      <c r="H567" s="174"/>
    </row>
    <row r="568" spans="8:8">
      <c r="H568" s="174"/>
    </row>
    <row r="569" spans="8:8">
      <c r="H569" s="174"/>
    </row>
    <row r="570" spans="8:8">
      <c r="H570" s="174"/>
    </row>
    <row r="571" spans="8:8">
      <c r="H571" s="174"/>
    </row>
    <row r="572" spans="8:8">
      <c r="H572" s="174"/>
    </row>
    <row r="573" spans="8:8">
      <c r="H573" s="174"/>
    </row>
    <row r="574" spans="8:8">
      <c r="H574" s="174"/>
    </row>
    <row r="575" spans="8:8">
      <c r="H575" s="174"/>
    </row>
    <row r="576" spans="8:8">
      <c r="H576" s="174"/>
    </row>
    <row r="577" spans="8:8">
      <c r="H577" s="174"/>
    </row>
    <row r="578" spans="8:8">
      <c r="H578" s="174"/>
    </row>
    <row r="579" spans="8:8">
      <c r="H579" s="174"/>
    </row>
    <row r="580" spans="8:8">
      <c r="H580" s="174"/>
    </row>
    <row r="581" spans="8:8">
      <c r="H581" s="174"/>
    </row>
    <row r="582" spans="8:8">
      <c r="H582" s="174"/>
    </row>
    <row r="583" spans="8:8">
      <c r="H583" s="174"/>
    </row>
    <row r="584" spans="8:8">
      <c r="H584" s="174"/>
    </row>
    <row r="585" spans="8:8">
      <c r="H585" s="174"/>
    </row>
    <row r="586" spans="8:8">
      <c r="H586" s="174"/>
    </row>
    <row r="587" spans="8:8">
      <c r="H587" s="174"/>
    </row>
    <row r="588" spans="8:8">
      <c r="H588" s="174"/>
    </row>
    <row r="589" spans="8:8">
      <c r="H589" s="174"/>
    </row>
    <row r="590" spans="8:8">
      <c r="H590" s="174"/>
    </row>
    <row r="591" spans="8:8">
      <c r="H591" s="174"/>
    </row>
    <row r="592" spans="8:8">
      <c r="H592" s="174"/>
    </row>
    <row r="593" spans="8:8">
      <c r="H593" s="174"/>
    </row>
    <row r="594" spans="8:8">
      <c r="H594" s="174"/>
    </row>
    <row r="595" spans="8:8">
      <c r="H595" s="174"/>
    </row>
    <row r="596" spans="8:8">
      <c r="H596" s="174"/>
    </row>
    <row r="597" spans="8:8">
      <c r="H597" s="174"/>
    </row>
    <row r="598" spans="8:8">
      <c r="H598" s="174"/>
    </row>
    <row r="599" spans="8:8">
      <c r="H599" s="174"/>
    </row>
    <row r="600" spans="8:8">
      <c r="H600" s="174"/>
    </row>
    <row r="601" spans="8:8">
      <c r="H601" s="174"/>
    </row>
    <row r="602" spans="8:8">
      <c r="H602" s="174"/>
    </row>
    <row r="603" spans="8:8">
      <c r="H603" s="174"/>
    </row>
    <row r="604" spans="8:8">
      <c r="H604" s="174"/>
    </row>
    <row r="605" spans="8:8">
      <c r="H605" s="174"/>
    </row>
    <row r="606" spans="8:8">
      <c r="H606" s="174"/>
    </row>
    <row r="607" spans="8:8">
      <c r="H607" s="174"/>
    </row>
    <row r="608" spans="8:8">
      <c r="H608" s="174"/>
    </row>
    <row r="609" spans="8:8">
      <c r="H609" s="174"/>
    </row>
    <row r="610" spans="8:8">
      <c r="H610" s="174"/>
    </row>
    <row r="611" spans="8:8">
      <c r="H611" s="174"/>
    </row>
    <row r="612" spans="8:8">
      <c r="H612" s="174"/>
    </row>
    <row r="613" spans="8:8">
      <c r="H613" s="174"/>
    </row>
    <row r="614" spans="8:8">
      <c r="H614" s="174"/>
    </row>
    <row r="615" spans="8:8">
      <c r="H615" s="174"/>
    </row>
    <row r="616" spans="8:8">
      <c r="H616" s="174"/>
    </row>
    <row r="617" spans="8:8">
      <c r="H617" s="174"/>
    </row>
    <row r="618" spans="8:8">
      <c r="H618" s="174"/>
    </row>
    <row r="619" spans="8:8">
      <c r="H619" s="174"/>
    </row>
    <row r="620" spans="8:8">
      <c r="H620" s="174"/>
    </row>
    <row r="621" spans="8:8">
      <c r="H621" s="174"/>
    </row>
    <row r="622" spans="8:8">
      <c r="H622" s="174"/>
    </row>
    <row r="623" spans="8:8">
      <c r="H623" s="174"/>
    </row>
    <row r="624" spans="8:8">
      <c r="H624" s="174"/>
    </row>
    <row r="625" spans="8:8">
      <c r="H625" s="174"/>
    </row>
    <row r="626" spans="8:8">
      <c r="H626" s="174"/>
    </row>
    <row r="627" spans="8:8">
      <c r="H627" s="174"/>
    </row>
    <row r="628" spans="8:8">
      <c r="H628" s="174"/>
    </row>
    <row r="629" spans="8:8">
      <c r="H629" s="174"/>
    </row>
    <row r="630" spans="8:8">
      <c r="H630" s="174"/>
    </row>
    <row r="631" spans="8:8">
      <c r="H631" s="174"/>
    </row>
    <row r="632" spans="8:8">
      <c r="H632" s="174"/>
    </row>
    <row r="633" spans="8:8">
      <c r="H633" s="174"/>
    </row>
    <row r="634" spans="8:8">
      <c r="H634" s="174"/>
    </row>
    <row r="635" spans="8:8">
      <c r="H635" s="174"/>
    </row>
    <row r="636" spans="8:8">
      <c r="H636" s="174"/>
    </row>
    <row r="637" spans="8:8">
      <c r="H637" s="174"/>
    </row>
    <row r="638" spans="8:8">
      <c r="H638" s="174"/>
    </row>
    <row r="639" spans="8:8">
      <c r="H639" s="174"/>
    </row>
    <row r="640" spans="8:8">
      <c r="H640" s="174"/>
    </row>
    <row r="641" spans="8:8">
      <c r="H641" s="174"/>
    </row>
    <row r="642" spans="8:8">
      <c r="H642" s="174"/>
    </row>
    <row r="643" spans="8:8">
      <c r="H643" s="174"/>
    </row>
    <row r="644" spans="8:8">
      <c r="H644" s="174"/>
    </row>
    <row r="645" spans="8:8">
      <c r="H645" s="174"/>
    </row>
    <row r="646" spans="8:8">
      <c r="H646" s="174"/>
    </row>
    <row r="647" spans="8:8">
      <c r="H647" s="174"/>
    </row>
    <row r="648" spans="8:8">
      <c r="H648" s="174"/>
    </row>
    <row r="649" spans="8:8">
      <c r="H649" s="174"/>
    </row>
    <row r="650" spans="8:8">
      <c r="H650" s="174"/>
    </row>
    <row r="651" spans="8:8">
      <c r="H651" s="174"/>
    </row>
    <row r="652" spans="8:8">
      <c r="H652" s="174"/>
    </row>
    <row r="653" spans="8:8">
      <c r="H653" s="174"/>
    </row>
    <row r="654" spans="8:8">
      <c r="H654" s="174"/>
    </row>
    <row r="655" spans="8:8">
      <c r="H655" s="174"/>
    </row>
    <row r="656" spans="8:8">
      <c r="H656" s="174"/>
    </row>
    <row r="657" spans="8:8">
      <c r="H657" s="174"/>
    </row>
    <row r="658" spans="8:8">
      <c r="H658" s="174"/>
    </row>
    <row r="659" spans="8:8">
      <c r="H659" s="174"/>
    </row>
    <row r="660" spans="8:8">
      <c r="H660" s="174"/>
    </row>
    <row r="661" spans="8:8">
      <c r="H661" s="174"/>
    </row>
    <row r="662" spans="8:8">
      <c r="H662" s="174"/>
    </row>
    <row r="663" spans="8:8">
      <c r="H663" s="174"/>
    </row>
    <row r="664" spans="8:8">
      <c r="H664" s="174"/>
    </row>
    <row r="665" spans="8:8">
      <c r="H665" s="174"/>
    </row>
    <row r="666" spans="8:8">
      <c r="H666" s="174"/>
    </row>
    <row r="667" spans="8:8">
      <c r="H667" s="174"/>
    </row>
    <row r="668" spans="8:8">
      <c r="H668" s="174"/>
    </row>
    <row r="669" spans="8:8">
      <c r="H669" s="174"/>
    </row>
    <row r="670" spans="8:8">
      <c r="H670" s="174"/>
    </row>
    <row r="671" spans="8:8">
      <c r="H671" s="174"/>
    </row>
    <row r="672" spans="8:8">
      <c r="H672" s="174"/>
    </row>
    <row r="673" spans="8:8">
      <c r="H673" s="174"/>
    </row>
    <row r="674" spans="8:8">
      <c r="H674" s="174"/>
    </row>
    <row r="675" spans="8:8">
      <c r="H675" s="174"/>
    </row>
    <row r="676" spans="8:8">
      <c r="H676" s="174"/>
    </row>
    <row r="677" spans="8:8">
      <c r="H677" s="174"/>
    </row>
    <row r="678" spans="8:8">
      <c r="H678" s="174"/>
    </row>
    <row r="679" spans="8:8">
      <c r="H679" s="174"/>
    </row>
    <row r="680" spans="8:8">
      <c r="H680" s="174"/>
    </row>
    <row r="681" spans="8:8">
      <c r="H681" s="174"/>
    </row>
    <row r="682" spans="8:8">
      <c r="H682" s="174"/>
    </row>
    <row r="683" spans="8:8">
      <c r="H683" s="174"/>
    </row>
    <row r="684" spans="8:8">
      <c r="H684" s="174"/>
    </row>
    <row r="685" spans="8:8">
      <c r="H685" s="174"/>
    </row>
    <row r="686" spans="8:8">
      <c r="H686" s="174"/>
    </row>
    <row r="687" spans="8:8">
      <c r="H687" s="174"/>
    </row>
    <row r="688" spans="8:8">
      <c r="H688" s="174"/>
    </row>
    <row r="689" spans="8:8">
      <c r="H689" s="174"/>
    </row>
    <row r="690" spans="8:8">
      <c r="H690" s="174"/>
    </row>
    <row r="691" spans="8:8">
      <c r="H691" s="174"/>
    </row>
    <row r="692" spans="8:8">
      <c r="H692" s="174"/>
    </row>
    <row r="693" spans="8:8">
      <c r="H693" s="174"/>
    </row>
    <row r="694" spans="8:8">
      <c r="H694" s="174"/>
    </row>
    <row r="695" spans="8:8">
      <c r="H695" s="174"/>
    </row>
    <row r="696" spans="8:8">
      <c r="H696" s="174"/>
    </row>
    <row r="697" spans="8:8">
      <c r="H697" s="174"/>
    </row>
    <row r="698" spans="8:8">
      <c r="H698" s="174"/>
    </row>
    <row r="699" spans="8:8">
      <c r="H699" s="174"/>
    </row>
    <row r="700" spans="8:8">
      <c r="H700" s="174"/>
    </row>
    <row r="701" spans="8:8">
      <c r="H701" s="174"/>
    </row>
    <row r="702" spans="8:8">
      <c r="H702" s="174"/>
    </row>
    <row r="703" spans="8:8">
      <c r="H703" s="174"/>
    </row>
    <row r="704" spans="8:8">
      <c r="H704" s="174"/>
    </row>
    <row r="705" spans="8:8">
      <c r="H705" s="174"/>
    </row>
    <row r="706" spans="8:8">
      <c r="H706" s="174"/>
    </row>
    <row r="707" spans="8:8">
      <c r="H707" s="174"/>
    </row>
    <row r="708" spans="8:8">
      <c r="H708" s="174"/>
    </row>
    <row r="709" spans="8:8">
      <c r="H709" s="174"/>
    </row>
    <row r="710" spans="8:8">
      <c r="H710" s="174"/>
    </row>
    <row r="711" spans="8:8">
      <c r="H711" s="174"/>
    </row>
    <row r="712" spans="8:8">
      <c r="H712" s="174"/>
    </row>
    <row r="713" spans="8:8">
      <c r="H713" s="174"/>
    </row>
    <row r="714" spans="8:8">
      <c r="H714" s="174"/>
    </row>
    <row r="715" spans="8:8">
      <c r="H715" s="174"/>
    </row>
    <row r="716" spans="8:8">
      <c r="H716" s="174"/>
    </row>
    <row r="717" spans="8:8">
      <c r="H717" s="174"/>
    </row>
    <row r="718" spans="8:8">
      <c r="H718" s="174"/>
    </row>
    <row r="719" spans="8:8">
      <c r="H719" s="174"/>
    </row>
    <row r="720" spans="8:8">
      <c r="H720" s="174"/>
    </row>
    <row r="721" spans="8:8">
      <c r="H721" s="174"/>
    </row>
    <row r="722" spans="8:8">
      <c r="H722" s="174"/>
    </row>
    <row r="723" spans="8:8">
      <c r="H723" s="174"/>
    </row>
    <row r="724" spans="8:8">
      <c r="H724" s="174"/>
    </row>
    <row r="725" spans="8:8">
      <c r="H725" s="174"/>
    </row>
    <row r="726" spans="8:8">
      <c r="H726" s="174"/>
    </row>
    <row r="727" spans="8:8">
      <c r="H727" s="174"/>
    </row>
    <row r="728" spans="8:8">
      <c r="H728" s="174"/>
    </row>
    <row r="729" spans="8:8">
      <c r="H729" s="174"/>
    </row>
    <row r="730" spans="8:8">
      <c r="H730" s="174"/>
    </row>
    <row r="731" spans="8:8">
      <c r="H731" s="174"/>
    </row>
    <row r="732" spans="8:8">
      <c r="H732" s="174"/>
    </row>
    <row r="733" spans="8:8">
      <c r="H733" s="174"/>
    </row>
    <row r="734" spans="8:8">
      <c r="H734" s="174"/>
    </row>
    <row r="735" spans="8:8">
      <c r="H735" s="174"/>
    </row>
    <row r="736" spans="8:8">
      <c r="H736" s="174"/>
    </row>
    <row r="737" spans="8:8">
      <c r="H737" s="174"/>
    </row>
    <row r="738" spans="8:8">
      <c r="H738" s="174"/>
    </row>
    <row r="739" spans="8:8">
      <c r="H739" s="174"/>
    </row>
    <row r="740" spans="8:8">
      <c r="H740" s="174"/>
    </row>
    <row r="741" spans="8:8">
      <c r="H741" s="174"/>
    </row>
    <row r="742" spans="8:8">
      <c r="H742" s="174"/>
    </row>
    <row r="743" spans="8:8">
      <c r="H743" s="174"/>
    </row>
    <row r="744" spans="8:8">
      <c r="H744" s="174"/>
    </row>
    <row r="745" spans="8:8">
      <c r="H745" s="174"/>
    </row>
    <row r="746" spans="8:8">
      <c r="H746" s="174"/>
    </row>
    <row r="747" spans="8:8">
      <c r="H747" s="174"/>
    </row>
    <row r="748" spans="8:8">
      <c r="H748" s="174"/>
    </row>
    <row r="749" spans="8:8">
      <c r="H749" s="174"/>
    </row>
    <row r="750" spans="8:8">
      <c r="H750" s="174"/>
    </row>
    <row r="751" spans="8:8">
      <c r="H751" s="174"/>
    </row>
    <row r="752" spans="8:8">
      <c r="H752" s="174"/>
    </row>
    <row r="753" spans="8:8">
      <c r="H753" s="174"/>
    </row>
    <row r="754" spans="8:8">
      <c r="H754" s="174"/>
    </row>
    <row r="755" spans="8:8">
      <c r="H755" s="174"/>
    </row>
    <row r="756" spans="8:8">
      <c r="H756" s="174"/>
    </row>
    <row r="757" spans="8:8">
      <c r="H757" s="174"/>
    </row>
    <row r="758" spans="8:8">
      <c r="H758" s="174"/>
    </row>
    <row r="759" spans="8:8">
      <c r="H759" s="174"/>
    </row>
    <row r="760" spans="8:8">
      <c r="H760" s="174"/>
    </row>
    <row r="761" spans="8:8">
      <c r="H761" s="174"/>
    </row>
    <row r="762" spans="8:8">
      <c r="H762" s="174"/>
    </row>
    <row r="763" spans="8:8">
      <c r="H763" s="174"/>
    </row>
    <row r="764" spans="8:8">
      <c r="H764" s="174"/>
    </row>
    <row r="765" spans="8:8">
      <c r="H765" s="174"/>
    </row>
    <row r="766" spans="8:8">
      <c r="H766" s="174"/>
    </row>
    <row r="767" spans="8:8">
      <c r="H767" s="174"/>
    </row>
    <row r="768" spans="8:8">
      <c r="H768" s="174"/>
    </row>
    <row r="769" spans="8:8">
      <c r="H769" s="174"/>
    </row>
    <row r="770" spans="8:8">
      <c r="H770" s="174"/>
    </row>
    <row r="771" spans="8:8">
      <c r="H771" s="174"/>
    </row>
    <row r="772" spans="8:8">
      <c r="H772" s="174"/>
    </row>
    <row r="773" spans="8:8">
      <c r="H773" s="174"/>
    </row>
    <row r="774" spans="8:8">
      <c r="H774" s="174"/>
    </row>
    <row r="775" spans="8:8">
      <c r="H775" s="174"/>
    </row>
    <row r="776" spans="8:8">
      <c r="H776" s="174"/>
    </row>
    <row r="777" spans="8:8">
      <c r="H777" s="174"/>
    </row>
    <row r="778" spans="8:8">
      <c r="H778" s="174"/>
    </row>
    <row r="779" spans="8:8">
      <c r="H779" s="174"/>
    </row>
    <row r="780" spans="8:8">
      <c r="H780" s="174"/>
    </row>
    <row r="781" spans="8:8">
      <c r="H781" s="174"/>
    </row>
    <row r="782" spans="8:8">
      <c r="H782" s="174"/>
    </row>
    <row r="783" spans="8:8">
      <c r="H783" s="174"/>
    </row>
    <row r="784" spans="8:8">
      <c r="H784" s="174"/>
    </row>
    <row r="785" spans="8:8">
      <c r="H785" s="174"/>
    </row>
    <row r="786" spans="8:8">
      <c r="H786" s="174"/>
    </row>
    <row r="787" spans="8:8">
      <c r="H787" s="174"/>
    </row>
    <row r="788" spans="8:8">
      <c r="H788" s="174"/>
    </row>
    <row r="789" spans="8:8">
      <c r="H789" s="174"/>
    </row>
    <row r="790" spans="8:8">
      <c r="H790" s="174"/>
    </row>
    <row r="791" spans="8:8">
      <c r="H791" s="174"/>
    </row>
    <row r="792" spans="8:8">
      <c r="H792" s="174"/>
    </row>
    <row r="793" spans="8:8">
      <c r="H793" s="174"/>
    </row>
    <row r="794" spans="8:8">
      <c r="H794" s="174"/>
    </row>
    <row r="795" spans="8:8">
      <c r="H795" s="174"/>
    </row>
    <row r="796" spans="8:8">
      <c r="H796" s="174"/>
    </row>
    <row r="797" spans="8:8">
      <c r="H797" s="174"/>
    </row>
    <row r="798" spans="8:8">
      <c r="H798" s="174"/>
    </row>
    <row r="799" spans="8:8">
      <c r="H799" s="174"/>
    </row>
    <row r="800" spans="8:8">
      <c r="H800" s="174"/>
    </row>
    <row r="801" spans="8:8">
      <c r="H801" s="174"/>
    </row>
    <row r="802" spans="8:8">
      <c r="H802" s="174"/>
    </row>
    <row r="803" spans="8:8">
      <c r="H803" s="174"/>
    </row>
    <row r="804" spans="8:8">
      <c r="H804" s="174"/>
    </row>
    <row r="805" spans="8:8">
      <c r="H805" s="174"/>
    </row>
    <row r="806" spans="8:8">
      <c r="H806" s="174"/>
    </row>
    <row r="807" spans="8:8">
      <c r="H807" s="174"/>
    </row>
    <row r="808" spans="8:8">
      <c r="H808" s="174"/>
    </row>
    <row r="809" spans="8:8">
      <c r="H809" s="174"/>
    </row>
    <row r="810" spans="8:8">
      <c r="H810" s="174"/>
    </row>
    <row r="811" spans="8:8">
      <c r="H811" s="174"/>
    </row>
    <row r="812" spans="8:8">
      <c r="H812" s="174"/>
    </row>
    <row r="813" spans="8:8">
      <c r="H813" s="174"/>
    </row>
    <row r="814" spans="8:8">
      <c r="H814" s="174"/>
    </row>
    <row r="815" spans="8:8">
      <c r="H815" s="174"/>
    </row>
    <row r="816" spans="8:8">
      <c r="H816" s="174"/>
    </row>
    <row r="817" spans="8:8">
      <c r="H817" s="174"/>
    </row>
    <row r="818" spans="8:8">
      <c r="H818" s="174"/>
    </row>
    <row r="819" spans="8:8">
      <c r="H819" s="174"/>
    </row>
    <row r="820" spans="8:8">
      <c r="H820" s="174"/>
    </row>
    <row r="821" spans="8:8">
      <c r="H821" s="174"/>
    </row>
    <row r="822" spans="8:8">
      <c r="H822" s="174"/>
    </row>
    <row r="823" spans="8:8">
      <c r="H823" s="174"/>
    </row>
    <row r="824" spans="8:8">
      <c r="H824" s="174"/>
    </row>
    <row r="825" spans="8:8">
      <c r="H825" s="174"/>
    </row>
    <row r="826" spans="8:8">
      <c r="H826" s="174"/>
    </row>
    <row r="827" spans="8:8">
      <c r="H827" s="174"/>
    </row>
    <row r="828" spans="8:8">
      <c r="H828" s="174"/>
    </row>
    <row r="829" spans="8:8">
      <c r="H829" s="174"/>
    </row>
    <row r="830" spans="8:8">
      <c r="H830" s="174"/>
    </row>
    <row r="831" spans="8:8">
      <c r="H831" s="174"/>
    </row>
    <row r="832" spans="8:8">
      <c r="H832" s="174"/>
    </row>
    <row r="833" spans="8:8">
      <c r="H833" s="174"/>
    </row>
    <row r="834" spans="8:8">
      <c r="H834" s="174"/>
    </row>
    <row r="835" spans="8:8">
      <c r="H835" s="174"/>
    </row>
    <row r="836" spans="8:8">
      <c r="H836" s="174"/>
    </row>
    <row r="837" spans="8:8">
      <c r="H837" s="174"/>
    </row>
    <row r="838" spans="8:8">
      <c r="H838" s="174"/>
    </row>
    <row r="839" spans="8:8">
      <c r="H839" s="174"/>
    </row>
    <row r="840" spans="8:8">
      <c r="H840" s="174"/>
    </row>
    <row r="841" spans="8:8">
      <c r="H841" s="174"/>
    </row>
    <row r="842" spans="8:8">
      <c r="H842" s="174"/>
    </row>
    <row r="843" spans="8:8">
      <c r="H843" s="174"/>
    </row>
    <row r="844" spans="8:8">
      <c r="H844" s="174"/>
    </row>
    <row r="845" spans="8:8">
      <c r="H845" s="174"/>
    </row>
    <row r="846" spans="8:8">
      <c r="H846" s="174"/>
    </row>
    <row r="847" spans="8:8">
      <c r="H847" s="174"/>
    </row>
    <row r="848" spans="8:8">
      <c r="H848" s="174"/>
    </row>
    <row r="849" spans="8:8">
      <c r="H849" s="174"/>
    </row>
    <row r="850" spans="8:8">
      <c r="H850" s="174"/>
    </row>
    <row r="851" spans="8:8">
      <c r="H851" s="174"/>
    </row>
    <row r="852" spans="8:8">
      <c r="H852" s="174"/>
    </row>
    <row r="853" spans="8:8">
      <c r="H853" s="174"/>
    </row>
    <row r="854" spans="8:8">
      <c r="H854" s="174"/>
    </row>
    <row r="855" spans="8:8">
      <c r="H855" s="174"/>
    </row>
    <row r="856" spans="8:8">
      <c r="H856" s="174"/>
    </row>
    <row r="857" spans="8:8">
      <c r="H857" s="174"/>
    </row>
    <row r="858" spans="8:8">
      <c r="H858" s="174"/>
    </row>
    <row r="859" spans="8:8">
      <c r="H859" s="174"/>
    </row>
    <row r="860" spans="8:8">
      <c r="H860" s="174"/>
    </row>
    <row r="861" spans="8:8">
      <c r="H861" s="174"/>
    </row>
    <row r="862" spans="8:8">
      <c r="H862" s="174"/>
    </row>
    <row r="863" spans="8:8">
      <c r="H863" s="174"/>
    </row>
    <row r="864" spans="8:8">
      <c r="H864" s="174"/>
    </row>
    <row r="865" spans="8:8">
      <c r="H865" s="174"/>
    </row>
    <row r="866" spans="8:8">
      <c r="H866" s="174"/>
    </row>
    <row r="867" spans="8:8">
      <c r="H867" s="174"/>
    </row>
    <row r="868" spans="8:8">
      <c r="H868" s="174"/>
    </row>
    <row r="869" spans="8:8">
      <c r="H869" s="174"/>
    </row>
    <row r="870" spans="8:8">
      <c r="H870" s="174"/>
    </row>
    <row r="871" spans="8:8">
      <c r="H871" s="174"/>
    </row>
    <row r="872" spans="8:8">
      <c r="H872" s="174"/>
    </row>
    <row r="873" spans="8:8">
      <c r="H873" s="174"/>
    </row>
    <row r="874" spans="8:8">
      <c r="H874" s="174"/>
    </row>
    <row r="875" spans="8:8">
      <c r="H875" s="174"/>
    </row>
    <row r="876" spans="8:8">
      <c r="H876" s="174"/>
    </row>
    <row r="877" spans="8:8">
      <c r="H877" s="174"/>
    </row>
    <row r="878" spans="8:8">
      <c r="H878" s="174"/>
    </row>
    <row r="879" spans="8:8">
      <c r="H879" s="174"/>
    </row>
    <row r="880" spans="8:8">
      <c r="H880" s="174"/>
    </row>
    <row r="881" spans="8:8">
      <c r="H881" s="174"/>
    </row>
    <row r="882" spans="8:8">
      <c r="H882" s="174"/>
    </row>
    <row r="883" spans="8:8">
      <c r="H883" s="174"/>
    </row>
    <row r="884" spans="8:8">
      <c r="H884" s="174"/>
    </row>
    <row r="885" spans="8:8">
      <c r="H885" s="174"/>
    </row>
    <row r="886" spans="8:8">
      <c r="H886" s="174"/>
    </row>
    <row r="887" spans="8:8">
      <c r="H887" s="174"/>
    </row>
    <row r="888" spans="8:8">
      <c r="H888" s="174"/>
    </row>
    <row r="889" spans="8:8">
      <c r="H889" s="174"/>
    </row>
    <row r="890" spans="8:8">
      <c r="H890" s="174"/>
    </row>
    <row r="891" spans="8:8">
      <c r="H891" s="174"/>
    </row>
    <row r="892" spans="8:8">
      <c r="H892" s="174"/>
    </row>
    <row r="893" spans="8:8">
      <c r="H893" s="174"/>
    </row>
    <row r="894" spans="8:8">
      <c r="H894" s="174"/>
    </row>
    <row r="895" spans="8:8">
      <c r="H895" s="174"/>
    </row>
    <row r="896" spans="8:8">
      <c r="H896" s="174"/>
    </row>
    <row r="897" spans="8:8">
      <c r="H897" s="174"/>
    </row>
    <row r="898" spans="8:8">
      <c r="H898" s="174"/>
    </row>
    <row r="899" spans="8:8">
      <c r="H899" s="174"/>
    </row>
    <row r="900" spans="8:8">
      <c r="H900" s="174"/>
    </row>
    <row r="901" spans="8:8">
      <c r="H901" s="174"/>
    </row>
    <row r="902" spans="8:8">
      <c r="H902" s="174"/>
    </row>
    <row r="903" spans="8:8">
      <c r="H903" s="174"/>
    </row>
    <row r="904" spans="8:8">
      <c r="H904" s="174"/>
    </row>
    <row r="905" spans="8:8">
      <c r="H905" s="174"/>
    </row>
    <row r="906" spans="8:8">
      <c r="H906" s="174"/>
    </row>
    <row r="907" spans="8:8">
      <c r="H907" s="174"/>
    </row>
    <row r="908" spans="8:8">
      <c r="H908" s="174"/>
    </row>
    <row r="909" spans="8:8">
      <c r="H909" s="174"/>
    </row>
    <row r="910" spans="8:8">
      <c r="H910" s="174"/>
    </row>
    <row r="911" spans="8:8">
      <c r="H911" s="174"/>
    </row>
    <row r="912" spans="8:8">
      <c r="H912" s="174"/>
    </row>
    <row r="913" spans="8:8">
      <c r="H913" s="174"/>
    </row>
    <row r="914" spans="8:8">
      <c r="H914" s="174"/>
    </row>
    <row r="915" spans="8:8">
      <c r="H915" s="174"/>
    </row>
    <row r="916" spans="8:8">
      <c r="H916" s="174"/>
    </row>
    <row r="917" spans="8:8">
      <c r="H917" s="174"/>
    </row>
    <row r="918" spans="8:8">
      <c r="H918" s="174"/>
    </row>
    <row r="919" spans="8:8">
      <c r="H919" s="174"/>
    </row>
    <row r="920" spans="8:8">
      <c r="H920" s="174"/>
    </row>
    <row r="921" spans="8:8">
      <c r="H921" s="174"/>
    </row>
    <row r="922" spans="8:8">
      <c r="H922" s="174"/>
    </row>
    <row r="923" spans="8:8">
      <c r="H923" s="174"/>
    </row>
    <row r="924" spans="8:8">
      <c r="H924" s="174"/>
    </row>
    <row r="925" spans="8:8">
      <c r="H925" s="174"/>
    </row>
    <row r="926" spans="8:8">
      <c r="H926" s="174"/>
    </row>
    <row r="927" spans="8:8">
      <c r="H927" s="174"/>
    </row>
    <row r="928" spans="8:8">
      <c r="H928" s="174"/>
    </row>
    <row r="929" spans="8:8">
      <c r="H929" s="174"/>
    </row>
    <row r="930" spans="8:8">
      <c r="H930" s="174"/>
    </row>
    <row r="931" spans="8:8">
      <c r="H931" s="174"/>
    </row>
    <row r="932" spans="8:8">
      <c r="H932" s="174"/>
    </row>
    <row r="933" spans="8:8">
      <c r="H933" s="174"/>
    </row>
    <row r="934" spans="8:8">
      <c r="H934" s="174"/>
    </row>
    <row r="935" spans="8:8">
      <c r="H935" s="174"/>
    </row>
    <row r="936" spans="8:8">
      <c r="H936" s="174"/>
    </row>
    <row r="937" spans="8:8">
      <c r="H937" s="174"/>
    </row>
    <row r="938" spans="8:8">
      <c r="H938" s="174"/>
    </row>
    <row r="939" spans="8:8">
      <c r="H939" s="174"/>
    </row>
    <row r="940" spans="8:8">
      <c r="H940" s="174"/>
    </row>
    <row r="941" spans="8:8">
      <c r="H941" s="174"/>
    </row>
    <row r="942" spans="8:8">
      <c r="H942" s="174"/>
    </row>
    <row r="943" spans="8:8">
      <c r="H943" s="174"/>
    </row>
    <row r="944" spans="8:8">
      <c r="H944" s="174"/>
    </row>
    <row r="945" spans="8:8">
      <c r="H945" s="174"/>
    </row>
    <row r="946" spans="8:8">
      <c r="H946" s="174"/>
    </row>
    <row r="947" spans="8:8">
      <c r="H947" s="174"/>
    </row>
    <row r="948" spans="8:8">
      <c r="H948" s="174"/>
    </row>
    <row r="949" spans="8:8">
      <c r="H949" s="174"/>
    </row>
    <row r="950" spans="8:8">
      <c r="H950" s="174"/>
    </row>
    <row r="951" spans="8:8">
      <c r="H951" s="174"/>
    </row>
    <row r="952" spans="8:8">
      <c r="H952" s="174"/>
    </row>
    <row r="953" spans="8:8">
      <c r="H953" s="174"/>
    </row>
    <row r="954" spans="8:8">
      <c r="H954" s="174"/>
    </row>
    <row r="955" spans="8:8">
      <c r="H955" s="174"/>
    </row>
    <row r="956" spans="8:8">
      <c r="H956" s="174"/>
    </row>
    <row r="957" spans="8:8">
      <c r="H957" s="174"/>
    </row>
    <row r="958" spans="8:8">
      <c r="H958" s="174"/>
    </row>
    <row r="959" spans="8:8">
      <c r="H959" s="174"/>
    </row>
    <row r="960" spans="8:8">
      <c r="H960" s="174"/>
    </row>
    <row r="961" spans="8:8">
      <c r="H961" s="174"/>
    </row>
    <row r="962" spans="8:8">
      <c r="H962" s="174"/>
    </row>
    <row r="963" spans="8:8">
      <c r="H963" s="174"/>
    </row>
    <row r="964" spans="8:8">
      <c r="H964" s="174"/>
    </row>
    <row r="965" spans="8:8">
      <c r="H965" s="174"/>
    </row>
    <row r="966" spans="8:8">
      <c r="H966" s="174"/>
    </row>
    <row r="967" spans="8:8">
      <c r="H967" s="174"/>
    </row>
    <row r="968" spans="8:8">
      <c r="H968" s="174"/>
    </row>
    <row r="969" spans="8:8">
      <c r="H969" s="174"/>
    </row>
    <row r="970" spans="8:8">
      <c r="H970" s="174"/>
    </row>
    <row r="971" spans="8:8">
      <c r="H971" s="174"/>
    </row>
    <row r="972" spans="8:8">
      <c r="H972" s="174"/>
    </row>
    <row r="973" spans="8:8">
      <c r="H973" s="174"/>
    </row>
    <row r="974" spans="8:8">
      <c r="H974" s="174"/>
    </row>
    <row r="975" spans="8:8">
      <c r="H975" s="174"/>
    </row>
    <row r="976" spans="8:8">
      <c r="H976" s="174"/>
    </row>
    <row r="977" spans="8:8">
      <c r="H977" s="174"/>
    </row>
    <row r="978" spans="8:8">
      <c r="H978" s="174"/>
    </row>
    <row r="979" spans="8:8">
      <c r="H979" s="174"/>
    </row>
    <row r="980" spans="8:8">
      <c r="H980" s="174"/>
    </row>
    <row r="981" spans="8:8">
      <c r="H981" s="174"/>
    </row>
    <row r="982" spans="8:8">
      <c r="H982" s="174"/>
    </row>
    <row r="983" spans="8:8">
      <c r="H983" s="174"/>
    </row>
    <row r="984" spans="8:8">
      <c r="H984" s="174"/>
    </row>
    <row r="985" spans="8:8">
      <c r="H985" s="174"/>
    </row>
    <row r="986" spans="8:8">
      <c r="H986" s="174"/>
    </row>
    <row r="987" spans="8:8">
      <c r="H987" s="174"/>
    </row>
    <row r="988" spans="8:8">
      <c r="H988" s="174"/>
    </row>
    <row r="989" spans="8:8">
      <c r="H989" s="174"/>
    </row>
    <row r="990" spans="8:8">
      <c r="H990" s="174"/>
    </row>
    <row r="991" spans="8:8">
      <c r="H991" s="174"/>
    </row>
    <row r="992" spans="8:8">
      <c r="H992" s="174"/>
    </row>
    <row r="993" spans="8:8">
      <c r="H993" s="174"/>
    </row>
    <row r="994" spans="8:8">
      <c r="H994" s="174"/>
    </row>
    <row r="995" spans="8:8">
      <c r="H995" s="174"/>
    </row>
    <row r="996" spans="8:8">
      <c r="H996" s="174"/>
    </row>
    <row r="997" spans="8:8">
      <c r="H997" s="174"/>
    </row>
    <row r="998" spans="8:8">
      <c r="H998" s="174"/>
    </row>
    <row r="999" spans="8:8">
      <c r="H999" s="174"/>
    </row>
    <row r="1000" spans="8:8">
      <c r="H1000" s="174"/>
    </row>
    <row r="1001" spans="8:8">
      <c r="H1001" s="174"/>
    </row>
    <row r="1002" spans="8:8">
      <c r="H1002" s="174"/>
    </row>
    <row r="1003" spans="8:8">
      <c r="H1003" s="174"/>
    </row>
    <row r="1004" spans="8:8">
      <c r="H1004" s="174"/>
    </row>
    <row r="1005" spans="8:8">
      <c r="H1005" s="174"/>
    </row>
    <row r="1006" spans="8:8">
      <c r="H1006" s="174"/>
    </row>
    <row r="1007" spans="8:8">
      <c r="H1007" s="174"/>
    </row>
    <row r="1008" spans="8:8">
      <c r="H1008" s="174"/>
    </row>
    <row r="1009" spans="8:8">
      <c r="H1009" s="174"/>
    </row>
    <row r="1010" spans="8:8">
      <c r="H1010" s="174"/>
    </row>
    <row r="1011" spans="8:8">
      <c r="H1011" s="174"/>
    </row>
    <row r="1012" spans="8:8">
      <c r="H1012" s="174"/>
    </row>
    <row r="1013" spans="8:8">
      <c r="H1013" s="174"/>
    </row>
    <row r="1014" spans="8:8">
      <c r="H1014" s="174"/>
    </row>
    <row r="1015" spans="8:8">
      <c r="H1015" s="174"/>
    </row>
    <row r="1016" spans="8:8">
      <c r="H1016" s="174"/>
    </row>
    <row r="1017" spans="8:8">
      <c r="H1017" s="174"/>
    </row>
    <row r="1018" spans="8:8">
      <c r="H1018" s="174"/>
    </row>
    <row r="1019" spans="8:8">
      <c r="H1019" s="174"/>
    </row>
    <row r="1020" spans="8:8">
      <c r="H1020" s="174"/>
    </row>
    <row r="1021" spans="8:8">
      <c r="H1021" s="174"/>
    </row>
    <row r="1022" spans="8:8">
      <c r="H1022" s="174"/>
    </row>
    <row r="1023" spans="8:8">
      <c r="H1023" s="174"/>
    </row>
    <row r="1024" spans="8:8">
      <c r="H1024" s="174"/>
    </row>
    <row r="1025" spans="8:8">
      <c r="H1025" s="174"/>
    </row>
    <row r="1026" spans="8:8">
      <c r="H1026" s="174"/>
    </row>
    <row r="1027" spans="8:8">
      <c r="H1027" s="174"/>
    </row>
    <row r="1028" spans="8:8">
      <c r="H1028" s="174"/>
    </row>
    <row r="1029" spans="8:8">
      <c r="H1029" s="174"/>
    </row>
    <row r="1030" spans="8:8">
      <c r="H1030" s="174"/>
    </row>
    <row r="1031" spans="8:8">
      <c r="H1031" s="174"/>
    </row>
    <row r="1032" spans="8:8">
      <c r="H1032" s="174"/>
    </row>
    <row r="1033" spans="8:8">
      <c r="H1033" s="174"/>
    </row>
    <row r="1034" spans="8:8">
      <c r="H1034" s="174"/>
    </row>
    <row r="1035" spans="8:8">
      <c r="H1035" s="174"/>
    </row>
    <row r="1036" spans="8:8">
      <c r="H1036" s="174"/>
    </row>
    <row r="1037" spans="8:8">
      <c r="H1037" s="174"/>
    </row>
    <row r="1038" spans="8:8">
      <c r="H1038" s="174"/>
    </row>
    <row r="1039" spans="8:8">
      <c r="H1039" s="174"/>
    </row>
    <row r="1040" spans="8:8">
      <c r="H1040" s="174"/>
    </row>
    <row r="1041" spans="8:8">
      <c r="H1041" s="174"/>
    </row>
    <row r="1042" spans="8:8">
      <c r="H1042" s="174"/>
    </row>
    <row r="1043" spans="8:8">
      <c r="H1043" s="174"/>
    </row>
    <row r="1044" spans="8:8">
      <c r="H1044" s="174"/>
    </row>
    <row r="1045" spans="8:8">
      <c r="H1045" s="174"/>
    </row>
    <row r="1046" spans="8:8">
      <c r="H1046" s="174"/>
    </row>
    <row r="1047" spans="8:8">
      <c r="H1047" s="174"/>
    </row>
    <row r="1048" spans="8:8">
      <c r="H1048" s="174"/>
    </row>
    <row r="1049" spans="8:8">
      <c r="H1049" s="174"/>
    </row>
    <row r="1050" spans="8:8">
      <c r="H1050" s="174"/>
    </row>
    <row r="1051" spans="8:8">
      <c r="H1051" s="174"/>
    </row>
    <row r="1052" spans="8:8">
      <c r="H1052" s="174"/>
    </row>
  </sheetData>
  <sheetProtection password="C9AE" sheet="1" objects="1" scenarios="1"/>
  <mergeCells count="25">
    <mergeCell ref="AC17:AD17"/>
    <mergeCell ref="V88:AA88"/>
    <mergeCell ref="V89:AA89"/>
    <mergeCell ref="V70:AA70"/>
    <mergeCell ref="V71:AA71"/>
    <mergeCell ref="X67:AA67"/>
    <mergeCell ref="X68:AA68"/>
    <mergeCell ref="AC77:AC78"/>
    <mergeCell ref="AC87:AC88"/>
    <mergeCell ref="C80:C83"/>
    <mergeCell ref="H49:M49"/>
    <mergeCell ref="H50:M50"/>
    <mergeCell ref="Z1:AA1"/>
    <mergeCell ref="G2:I2"/>
    <mergeCell ref="C61:C63"/>
    <mergeCell ref="C8:C13"/>
    <mergeCell ref="P8:P13"/>
    <mergeCell ref="X57:AA57"/>
    <mergeCell ref="X58:AA58"/>
    <mergeCell ref="X56:AA56"/>
    <mergeCell ref="C28:C32"/>
    <mergeCell ref="P28:P32"/>
    <mergeCell ref="X64:AA64"/>
    <mergeCell ref="H51:M51"/>
    <mergeCell ref="H52:M52"/>
  </mergeCells>
  <phoneticPr fontId="0" type="noConversion"/>
  <conditionalFormatting sqref="K64:L65 K84:L86 I88:I89 K88:L89 I91:I92 K91:L92 R91:R92 E14:E18 G14:G18 K14:L18 I20 K20:L20 R14:R18 T14:T18 X14:Y18 V20 X20:Y20 E33:E37 G33:G37 K33:L34 I39 K39:L39 R33:R37 T33:T37 X33:Y37 V39 X39:Y39 K67:K68 K70:L71 K75:L76 I73 G98 K73 M98 T98 Y98 V51:V52 R75:R76 X51:Y52 T51:T52 I64:I65 I67:I68 I70:I71 I75:I76 I84:I86 X56:X58 X64 X67:X68 V70:AA71 V88:V89 H49:H52 K36:L37 K35">
    <cfRule type="cellIs" dxfId="167" priority="45" stopIfTrue="1" operator="notEqual">
      <formula>""</formula>
    </cfRule>
  </conditionalFormatting>
  <conditionalFormatting sqref="L68">
    <cfRule type="cellIs" dxfId="166" priority="52" stopIfTrue="1" operator="notEqual">
      <formula>""</formula>
    </cfRule>
    <cfRule type="expression" dxfId="165" priority="53" stopIfTrue="1">
      <formula>AND($AA$60=1,$M$84=0)</formula>
    </cfRule>
  </conditionalFormatting>
  <conditionalFormatting sqref="L57 R67 I57 N67">
    <cfRule type="cellIs" dxfId="164" priority="54" stopIfTrue="1" operator="notEqual">
      <formula>""</formula>
    </cfRule>
    <cfRule type="expression" dxfId="163" priority="55" stopIfTrue="1">
      <formula>$AC$40=1</formula>
    </cfRule>
  </conditionalFormatting>
  <conditionalFormatting sqref="I83">
    <cfRule type="cellIs" dxfId="162" priority="58" stopIfTrue="1" operator="notEqual">
      <formula>""</formula>
    </cfRule>
  </conditionalFormatting>
  <conditionalFormatting sqref="I25:I26 K25:L26">
    <cfRule type="cellIs" dxfId="161" priority="44" stopIfTrue="1" operator="notEqual">
      <formula>""</formula>
    </cfRule>
  </conditionalFormatting>
  <conditionalFormatting sqref="I23 K23">
    <cfRule type="cellIs" dxfId="160" priority="41" stopIfTrue="1" operator="notEqual">
      <formula>""</formula>
    </cfRule>
  </conditionalFormatting>
  <conditionalFormatting sqref="I22 K22:L22">
    <cfRule type="cellIs" dxfId="159" priority="40" stopIfTrue="1" operator="notEqual">
      <formula>""</formula>
    </cfRule>
  </conditionalFormatting>
  <conditionalFormatting sqref="V25:V26 X25:Y26">
    <cfRule type="cellIs" dxfId="158" priority="39" stopIfTrue="1" operator="notEqual">
      <formula>""</formula>
    </cfRule>
  </conditionalFormatting>
  <conditionalFormatting sqref="V23 X23">
    <cfRule type="cellIs" dxfId="157" priority="36" stopIfTrue="1" operator="notEqual">
      <formula>""</formula>
    </cfRule>
  </conditionalFormatting>
  <conditionalFormatting sqref="V22 X22:Y22">
    <cfRule type="cellIs" dxfId="156" priority="35" stopIfTrue="1" operator="notEqual">
      <formula>""</formula>
    </cfRule>
  </conditionalFormatting>
  <conditionalFormatting sqref="I44:I45 K44:L45">
    <cfRule type="cellIs" dxfId="155" priority="34" stopIfTrue="1" operator="notEqual">
      <formula>""</formula>
    </cfRule>
  </conditionalFormatting>
  <conditionalFormatting sqref="I42 K42">
    <cfRule type="cellIs" dxfId="154" priority="31" stopIfTrue="1" operator="notEqual">
      <formula>""</formula>
    </cfRule>
  </conditionalFormatting>
  <conditionalFormatting sqref="I41 K41:L41">
    <cfRule type="cellIs" dxfId="153" priority="30" stopIfTrue="1" operator="notEqual">
      <formula>""</formula>
    </cfRule>
  </conditionalFormatting>
  <conditionalFormatting sqref="V44:V45 X44:Y45">
    <cfRule type="cellIs" dxfId="152" priority="29" stopIfTrue="1" operator="notEqual">
      <formula>""</formula>
    </cfRule>
  </conditionalFormatting>
  <conditionalFormatting sqref="V42 X42">
    <cfRule type="cellIs" dxfId="151" priority="26" stopIfTrue="1" operator="notEqual">
      <formula>""</formula>
    </cfRule>
  </conditionalFormatting>
  <conditionalFormatting sqref="V41 X41:Y41">
    <cfRule type="cellIs" dxfId="150" priority="25" stopIfTrue="1" operator="notEqual">
      <formula>""</formula>
    </cfRule>
  </conditionalFormatting>
  <conditionalFormatting sqref="I43 K43">
    <cfRule type="cellIs" dxfId="149" priority="22" stopIfTrue="1" operator="notEqual">
      <formula>""</formula>
    </cfRule>
  </conditionalFormatting>
  <conditionalFormatting sqref="V43 X43">
    <cfRule type="cellIs" dxfId="148" priority="19" stopIfTrue="1" operator="notEqual">
      <formula>""</formula>
    </cfRule>
  </conditionalFormatting>
  <conditionalFormatting sqref="L58 R68 I58 N68">
    <cfRule type="cellIs" dxfId="147" priority="79" stopIfTrue="1" operator="notEqual">
      <formula>""</formula>
    </cfRule>
    <cfRule type="expression" dxfId="146" priority="80" stopIfTrue="1">
      <formula>$AC$41=1</formula>
    </cfRule>
  </conditionalFormatting>
  <conditionalFormatting sqref="I24 K24">
    <cfRule type="cellIs" dxfId="145" priority="16" stopIfTrue="1" operator="notEqual">
      <formula>""</formula>
    </cfRule>
  </conditionalFormatting>
  <conditionalFormatting sqref="V24 X24">
    <cfRule type="cellIs" dxfId="144" priority="13" stopIfTrue="1" operator="notEqual">
      <formula>""</formula>
    </cfRule>
  </conditionalFormatting>
  <conditionalFormatting sqref="I94">
    <cfRule type="cellIs" dxfId="143" priority="12" stopIfTrue="1" operator="notEqual">
      <formula>""</formula>
    </cfRule>
  </conditionalFormatting>
  <conditionalFormatting sqref="K94:L94">
    <cfRule type="cellIs" dxfId="142" priority="11" stopIfTrue="1" operator="notEqual">
      <formula>""</formula>
    </cfRule>
  </conditionalFormatting>
  <conditionalFormatting sqref="R94">
    <cfRule type="cellIs" dxfId="141" priority="7" stopIfTrue="1" operator="notEqual">
      <formula>""</formula>
    </cfRule>
    <cfRule type="expression" dxfId="140" priority="8" stopIfTrue="1">
      <formula>$AC$40=1</formula>
    </cfRule>
  </conditionalFormatting>
  <conditionalFormatting sqref="N49:N52">
    <cfRule type="cellIs" dxfId="139" priority="6" operator="equal">
      <formula>"&lt;----"</formula>
    </cfRule>
  </conditionalFormatting>
  <conditionalFormatting sqref="L42:L43 Y42:Y43 L23:L24 Y23:Y24">
    <cfRule type="cellIs" dxfId="138" priority="81" stopIfTrue="1" operator="notEqual">
      <formula>""</formula>
    </cfRule>
    <cfRule type="expression" dxfId="137" priority="82" stopIfTrue="1">
      <formula>AND(#REF!=1,$M$64=0)</formula>
    </cfRule>
  </conditionalFormatting>
  <conditionalFormatting sqref="L67">
    <cfRule type="cellIs" dxfId="136" priority="89" stopIfTrue="1" operator="notEqual">
      <formula>""</formula>
    </cfRule>
    <cfRule type="expression" dxfId="135" priority="90" stopIfTrue="1">
      <formula>AND(#REF!=1,$M$83=0)</formula>
    </cfRule>
  </conditionalFormatting>
  <conditionalFormatting sqref="AA51">
    <cfRule type="cellIs" dxfId="134" priority="5" stopIfTrue="1" operator="notEqual">
      <formula>""</formula>
    </cfRule>
  </conditionalFormatting>
  <conditionalFormatting sqref="AA52">
    <cfRule type="cellIs" dxfId="133" priority="4" stopIfTrue="1" operator="notEqual">
      <formula>""</formula>
    </cfRule>
  </conditionalFormatting>
  <conditionalFormatting sqref="I6">
    <cfRule type="cellIs" dxfId="132" priority="3" stopIfTrue="1" operator="notEqual">
      <formula>""</formula>
    </cfRule>
  </conditionalFormatting>
  <conditionalFormatting sqref="L35">
    <cfRule type="cellIs" dxfId="131" priority="1" stopIfTrue="1" operator="notEqual">
      <formula>""</formula>
    </cfRule>
  </conditionalFormatting>
  <dataValidations count="11">
    <dataValidation type="list" allowBlank="1" showInputMessage="1" showErrorMessage="1" sqref="P14:P18 P33:P37 C14:C18 C33:C37 C84:C86 C88:C89 C91:C92 C64:C65 C67:C68 C70:C71 C75:C76 AD85:AD86 AD75:AD76 AD48:AD49">
      <formula1>$AC$7:$AC$8</formula1>
    </dataValidation>
    <dataValidation type="list" allowBlank="1" showInputMessage="1" showErrorMessage="1" sqref="X68:AA68 X58">
      <formula1>$AJ$70:$AJ$72</formula1>
    </dataValidation>
    <dataValidation type="list" allowBlank="1" showInputMessage="1" showErrorMessage="1" sqref="X57">
      <formula1>$AL$83:$AL$148</formula1>
    </dataValidation>
    <dataValidation type="list" allowBlank="1" showInputMessage="1" showErrorMessage="1" sqref="X67:AA67">
      <formula1>$AR$83:$AR$148</formula1>
    </dataValidation>
    <dataValidation type="list" allowBlank="1" showInputMessage="1" showErrorMessage="1" sqref="C41 C44:C45 P41 P44:P45 P22 P25:P26 C22 C25:C26">
      <formula1>$AC$32:$AC$36</formula1>
    </dataValidation>
    <dataValidation type="list" allowBlank="1" showInputMessage="1" showErrorMessage="1" sqref="X64 X56">
      <formula1>$AP$65:$AP$66</formula1>
    </dataValidation>
    <dataValidation type="list" allowBlank="1" showInputMessage="1" showErrorMessage="1" sqref="H49:H52 I49:M50">
      <formula1>$AJ$49:$AJ$58</formula1>
    </dataValidation>
    <dataValidation type="list" allowBlank="1" showInputMessage="1" showErrorMessage="1" sqref="V70:AA71">
      <formula1>$AJ$62:$AJ$66</formula1>
    </dataValidation>
    <dataValidation type="list" allowBlank="1" showInputMessage="1" showErrorMessage="1" sqref="V88:AA89">
      <formula1>$AP$49:$AP$54</formula1>
    </dataValidation>
    <dataValidation type="list" allowBlank="1" showInputMessage="1" showErrorMessage="1" sqref="AA51:AA52">
      <formula1>$AE$42:$AE$46</formula1>
    </dataValidation>
    <dataValidation type="list" allowBlank="1" showInputMessage="1" showErrorMessage="1" sqref="I6">
      <formula1>$AC$18:$AC$21</formula1>
    </dataValidation>
  </dataValidations>
  <pageMargins left="0.59055118110236227" right="0.15748031496062992" top="0.39370078740157483" bottom="0.27559055118110237" header="0.19685039370078741" footer="0.19685039370078741"/>
  <pageSetup paperSize="9" scale="6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E50887"/>
  <sheetViews>
    <sheetView zoomScale="75" zoomScaleNormal="75" workbookViewId="0"/>
  </sheetViews>
  <sheetFormatPr baseColWidth="10" defaultColWidth="11.5703125" defaultRowHeight="12.75"/>
  <cols>
    <col min="1" max="1" width="2.7109375" style="28" customWidth="1"/>
    <col min="2" max="2" width="7.140625" style="29" customWidth="1"/>
    <col min="3" max="3" width="5.140625" style="29" customWidth="1"/>
    <col min="4" max="4" width="8.140625" style="29" customWidth="1"/>
    <col min="5" max="5" width="8.140625" style="28" customWidth="1"/>
    <col min="6" max="6" width="8" style="28" customWidth="1"/>
    <col min="7" max="7" width="14.28515625" style="28" customWidth="1"/>
    <col min="8" max="8" width="10.5703125" style="28" customWidth="1"/>
    <col min="9" max="9" width="11" style="28" customWidth="1"/>
    <col min="10" max="10" width="9" style="28" customWidth="1"/>
    <col min="11" max="12" width="8.140625" style="28" customWidth="1"/>
    <col min="13" max="13" width="8.140625" style="34" customWidth="1"/>
    <col min="14" max="19" width="8.140625" style="28" customWidth="1"/>
    <col min="20" max="20" width="7.42578125" style="28" customWidth="1"/>
    <col min="21" max="16384" width="11.5703125" style="28"/>
  </cols>
  <sheetData>
    <row r="1" spans="2:24" s="27" customFormat="1">
      <c r="B1" s="27" t="str">
        <f>Projekt!B1</f>
        <v>Programme Entech 380/1, Ver. 6.1, BFE/EnFK-Zert.-Nr. 1639, SIA 380/1 (Edition 2016)</v>
      </c>
      <c r="E1" s="342" t="str">
        <f>Projekt!AV34</f>
        <v>SIA 380/1 (Edition 2016)</v>
      </c>
      <c r="H1" s="48">
        <f>Projekt!E5</f>
        <v>0</v>
      </c>
      <c r="K1" s="47"/>
      <c r="L1" s="37"/>
      <c r="M1" s="185" t="str">
        <f>"Qh= "&amp;ROUND(Qh,0)&amp;" MJ/m2"</f>
        <v>Qh= 0 MJ/m2</v>
      </c>
      <c r="Q1" s="37"/>
      <c r="R1" s="2616">
        <f ca="1">NOW()</f>
        <v>43566.628989236109</v>
      </c>
      <c r="S1" s="2616"/>
      <c r="X1" s="45"/>
    </row>
    <row r="2" spans="2:24" ht="37.5" customHeight="1">
      <c r="B2" s="381" t="s">
        <v>1182</v>
      </c>
      <c r="C2" s="382"/>
      <c r="D2" s="382"/>
      <c r="M2" s="383"/>
    </row>
    <row r="3" spans="2:24" ht="15.6" customHeight="1">
      <c r="B3" s="382"/>
      <c r="C3" s="382"/>
      <c r="D3" s="382"/>
      <c r="M3" s="383"/>
    </row>
    <row r="4" spans="2:24" ht="15.6" customHeight="1">
      <c r="B4" s="384" t="s">
        <v>1806</v>
      </c>
      <c r="C4" s="385"/>
      <c r="D4" s="153"/>
      <c r="E4" s="153"/>
      <c r="F4" s="153"/>
      <c r="G4" s="386"/>
      <c r="H4" s="387" t="s">
        <v>971</v>
      </c>
      <c r="I4" s="387" t="s">
        <v>972</v>
      </c>
      <c r="J4" s="387" t="s">
        <v>973</v>
      </c>
      <c r="K4" s="387" t="s">
        <v>974</v>
      </c>
      <c r="L4" s="387" t="s">
        <v>975</v>
      </c>
      <c r="M4" s="387" t="s">
        <v>1674</v>
      </c>
      <c r="N4" s="387" t="s">
        <v>1675</v>
      </c>
      <c r="O4" s="387" t="s">
        <v>1676</v>
      </c>
      <c r="P4" s="387" t="s">
        <v>1677</v>
      </c>
      <c r="Q4" s="387" t="s">
        <v>1678</v>
      </c>
      <c r="R4" s="387" t="s">
        <v>1679</v>
      </c>
      <c r="S4" s="387" t="s">
        <v>1680</v>
      </c>
    </row>
    <row r="5" spans="2:24" ht="15.6" customHeight="1">
      <c r="B5" s="161"/>
      <c r="C5" s="153"/>
      <c r="D5" s="153"/>
      <c r="E5" s="153"/>
      <c r="F5" s="162"/>
      <c r="G5" s="290"/>
      <c r="H5" s="388" t="s">
        <v>346</v>
      </c>
      <c r="I5" s="389" t="s">
        <v>346</v>
      </c>
      <c r="J5" s="347" t="s">
        <v>206</v>
      </c>
      <c r="K5" s="389" t="s">
        <v>208</v>
      </c>
      <c r="L5" s="347" t="s">
        <v>854</v>
      </c>
      <c r="M5" s="389" t="s">
        <v>855</v>
      </c>
      <c r="N5" s="347" t="s">
        <v>857</v>
      </c>
      <c r="O5" s="389" t="s">
        <v>980</v>
      </c>
      <c r="P5" s="347" t="s">
        <v>349</v>
      </c>
      <c r="Q5" s="389" t="s">
        <v>979</v>
      </c>
      <c r="R5" s="347" t="s">
        <v>860</v>
      </c>
      <c r="S5" s="389" t="s">
        <v>235</v>
      </c>
    </row>
    <row r="6" spans="2:24" ht="10.15" customHeight="1">
      <c r="B6" s="154"/>
      <c r="C6" s="64"/>
      <c r="D6" s="64"/>
      <c r="E6" s="64"/>
      <c r="F6" s="128"/>
      <c r="G6" s="214"/>
      <c r="H6" s="366" t="s">
        <v>348</v>
      </c>
      <c r="I6" s="390" t="s">
        <v>347</v>
      </c>
      <c r="J6" s="345" t="s">
        <v>207</v>
      </c>
      <c r="K6" s="390"/>
      <c r="L6" s="345"/>
      <c r="M6" s="390" t="s">
        <v>856</v>
      </c>
      <c r="N6" s="345" t="s">
        <v>858</v>
      </c>
      <c r="O6" s="390"/>
      <c r="P6" s="345"/>
      <c r="Q6" s="390"/>
      <c r="R6" s="345" t="s">
        <v>234</v>
      </c>
      <c r="S6" s="390" t="s">
        <v>236</v>
      </c>
    </row>
    <row r="7" spans="2:24" ht="10.15" customHeight="1">
      <c r="B7" s="154"/>
      <c r="C7" s="64"/>
      <c r="D7" s="64"/>
      <c r="E7" s="64"/>
      <c r="F7" s="128"/>
      <c r="G7" s="214"/>
      <c r="H7" s="366"/>
      <c r="I7" s="390"/>
      <c r="J7" s="345"/>
      <c r="K7" s="390"/>
      <c r="L7" s="345"/>
      <c r="M7" s="390"/>
      <c r="N7" s="345" t="s">
        <v>859</v>
      </c>
      <c r="O7" s="390"/>
      <c r="P7" s="345"/>
      <c r="Q7" s="390"/>
      <c r="R7" s="345"/>
      <c r="S7" s="390"/>
    </row>
    <row r="8" spans="2:24" ht="15" customHeight="1">
      <c r="B8" s="161" t="s">
        <v>1418</v>
      </c>
      <c r="C8" s="153"/>
      <c r="D8" s="153"/>
      <c r="E8" s="153"/>
      <c r="F8" s="153"/>
      <c r="G8" s="1827" t="s">
        <v>2324</v>
      </c>
      <c r="H8" s="304">
        <v>20</v>
      </c>
      <c r="I8" s="304">
        <v>20</v>
      </c>
      <c r="J8" s="304">
        <v>20</v>
      </c>
      <c r="K8" s="304">
        <v>20</v>
      </c>
      <c r="L8" s="304">
        <v>20</v>
      </c>
      <c r="M8" s="304">
        <v>20</v>
      </c>
      <c r="N8" s="304">
        <v>20</v>
      </c>
      <c r="O8" s="304">
        <v>22</v>
      </c>
      <c r="P8" s="304">
        <v>18</v>
      </c>
      <c r="Q8" s="304">
        <v>18</v>
      </c>
      <c r="R8" s="304">
        <v>18</v>
      </c>
      <c r="S8" s="399">
        <v>28</v>
      </c>
    </row>
    <row r="9" spans="2:24" ht="15" customHeight="1">
      <c r="B9" s="154" t="s">
        <v>1419</v>
      </c>
      <c r="C9" s="64"/>
      <c r="D9" s="64"/>
      <c r="E9" s="64"/>
      <c r="F9" s="64"/>
      <c r="G9" s="1928" t="s">
        <v>1157</v>
      </c>
      <c r="H9" s="327">
        <v>40</v>
      </c>
      <c r="I9" s="327">
        <v>60</v>
      </c>
      <c r="J9" s="327">
        <v>20</v>
      </c>
      <c r="K9" s="327">
        <v>10</v>
      </c>
      <c r="L9" s="327">
        <v>10</v>
      </c>
      <c r="M9" s="327">
        <v>5</v>
      </c>
      <c r="N9" s="327">
        <v>5</v>
      </c>
      <c r="O9" s="327">
        <v>30</v>
      </c>
      <c r="P9" s="327">
        <v>20</v>
      </c>
      <c r="Q9" s="327">
        <v>100</v>
      </c>
      <c r="R9" s="327">
        <v>20</v>
      </c>
      <c r="S9" s="393">
        <v>20</v>
      </c>
    </row>
    <row r="10" spans="2:24" ht="15" customHeight="1">
      <c r="B10" s="154" t="s">
        <v>1420</v>
      </c>
      <c r="C10" s="64"/>
      <c r="D10" s="64"/>
      <c r="E10" s="64"/>
      <c r="F10" s="64"/>
      <c r="G10" s="1928" t="s">
        <v>1124</v>
      </c>
      <c r="H10" s="327">
        <v>70</v>
      </c>
      <c r="I10" s="327">
        <v>70</v>
      </c>
      <c r="J10" s="327">
        <v>80</v>
      </c>
      <c r="K10" s="327">
        <v>70</v>
      </c>
      <c r="L10" s="327">
        <v>90</v>
      </c>
      <c r="M10" s="327">
        <v>100</v>
      </c>
      <c r="N10" s="327">
        <v>80</v>
      </c>
      <c r="O10" s="327">
        <v>80</v>
      </c>
      <c r="P10" s="327">
        <v>100</v>
      </c>
      <c r="Q10" s="327">
        <v>100</v>
      </c>
      <c r="R10" s="327">
        <v>100</v>
      </c>
      <c r="S10" s="393">
        <v>60</v>
      </c>
    </row>
    <row r="11" spans="2:24" ht="15" customHeight="1">
      <c r="B11" s="154" t="s">
        <v>1019</v>
      </c>
      <c r="C11" s="64"/>
      <c r="D11" s="64"/>
      <c r="E11" s="64"/>
      <c r="F11" s="64"/>
      <c r="G11" s="1928" t="s">
        <v>1125</v>
      </c>
      <c r="H11" s="327">
        <v>12</v>
      </c>
      <c r="I11" s="327">
        <v>12</v>
      </c>
      <c r="J11" s="327">
        <v>6</v>
      </c>
      <c r="K11" s="327">
        <v>4</v>
      </c>
      <c r="L11" s="327">
        <v>4</v>
      </c>
      <c r="M11" s="327">
        <v>3</v>
      </c>
      <c r="N11" s="327">
        <v>3</v>
      </c>
      <c r="O11" s="327">
        <v>16</v>
      </c>
      <c r="P11" s="327">
        <v>6</v>
      </c>
      <c r="Q11" s="327">
        <v>6</v>
      </c>
      <c r="R11" s="327">
        <v>6</v>
      </c>
      <c r="S11" s="393">
        <v>4</v>
      </c>
    </row>
    <row r="12" spans="2:24" ht="15" customHeight="1">
      <c r="B12" s="154" t="s">
        <v>1118</v>
      </c>
      <c r="C12" s="64"/>
      <c r="D12" s="64"/>
      <c r="E12" s="64"/>
      <c r="F12" s="64"/>
      <c r="G12" s="1928" t="s">
        <v>1158</v>
      </c>
      <c r="H12" s="327">
        <f>IF(_Ver09,IF(Projekt=2,IF(Projekt!AV34="Minergie-P",60,100),100),28*3.6)</f>
        <v>100.8</v>
      </c>
      <c r="I12" s="327">
        <f>IF(_Ver09,IF(Projekt=2,IF(Projekt!AV34="Minergie-P",60,80),80),22*3.6)</f>
        <v>79.2</v>
      </c>
      <c r="J12" s="327">
        <f>IF(_Ver09,IF(Projekt=2,IF(Projekt!AV34="Minergie-P",60,80),80),22*3.6)</f>
        <v>79.2</v>
      </c>
      <c r="K12" s="327">
        <f>IF(_Ver09,IF(Projekt=2,IF(Projekt!AV34="Minergie-P",30,40),40),11*3.6)</f>
        <v>39.6</v>
      </c>
      <c r="L12" s="327">
        <f>IF(_Ver09,IF(Projekt=2,IF(Projekt!AV34="Minergie-P",85,120),120),33*3.6)</f>
        <v>118.8</v>
      </c>
      <c r="M12" s="327">
        <f>IF(_Ver09,IF(Projekt=2,IF(Projekt!AV34="Minergie-P",85,120),120),33*3.6)</f>
        <v>118.8</v>
      </c>
      <c r="N12" s="327">
        <f>IF(_Ver09,IF(Projekt=2,IF(Projekt!AV34="Minergie-P",40,60),60),17*3.6)</f>
        <v>61.2</v>
      </c>
      <c r="O12" s="1928">
        <f>IF(_Ver09,100,28*3.6)</f>
        <v>100.8</v>
      </c>
      <c r="P12" s="327">
        <f>IF(_Ver09,IF(Projekt=2,IF(Projekt!AV34="Minergie-P",45,60),60),17*3.6)</f>
        <v>61.2</v>
      </c>
      <c r="Q12" s="327">
        <f>IF(_Ver09,IF(Projekt=2,IF(Projekt!AV34="Minergie-P",15,20),20),6*3.6)</f>
        <v>21.6</v>
      </c>
      <c r="R12" s="327">
        <f>IF(_Ver09,IF(Projekt=2,IF(Projekt!AV34="Minergie-P",15,20),20),6*3.6)</f>
        <v>21.6</v>
      </c>
      <c r="S12" s="393">
        <f>IF(_Ver09,200,56*3.6)</f>
        <v>201.6</v>
      </c>
    </row>
    <row r="13" spans="2:24" ht="15" customHeight="1">
      <c r="B13" s="154" t="s">
        <v>1122</v>
      </c>
      <c r="C13" s="64"/>
      <c r="D13" s="64"/>
      <c r="E13" s="64"/>
      <c r="F13" s="64"/>
      <c r="G13" s="1928" t="s">
        <v>2325</v>
      </c>
      <c r="H13" s="327">
        <v>0.7</v>
      </c>
      <c r="I13" s="327">
        <v>0.7</v>
      </c>
      <c r="J13" s="327">
        <v>0.9</v>
      </c>
      <c r="K13" s="327">
        <v>0.9</v>
      </c>
      <c r="L13" s="327">
        <v>0.8</v>
      </c>
      <c r="M13" s="327">
        <v>0.7</v>
      </c>
      <c r="N13" s="327">
        <v>0.8</v>
      </c>
      <c r="O13" s="327">
        <v>0.7</v>
      </c>
      <c r="P13" s="327">
        <v>0.9</v>
      </c>
      <c r="Q13" s="327">
        <v>0.9</v>
      </c>
      <c r="R13" s="327">
        <v>0.9</v>
      </c>
      <c r="S13" s="393">
        <v>0.7</v>
      </c>
    </row>
    <row r="14" spans="2:24" ht="15" customHeight="1">
      <c r="B14" s="154" t="s">
        <v>1123</v>
      </c>
      <c r="C14" s="64"/>
      <c r="D14" s="64"/>
      <c r="E14" s="64"/>
      <c r="F14" s="64"/>
      <c r="G14" s="1928" t="s">
        <v>1159</v>
      </c>
      <c r="H14" s="327">
        <f>IF(Projekt=2,IF(Projekt!AV34="Minergie-P",0.27,0.7),0.7)</f>
        <v>0.7</v>
      </c>
      <c r="I14" s="327">
        <f>IF(Projekt=2,IF(Projekt!AV34="Minergie-P",0.27,0.7),0.7)</f>
        <v>0.7</v>
      </c>
      <c r="J14" s="327">
        <f>IF(Projekt=2,IF(Projekt!AV34="Minergie-P",0.33,0.7),0.7)</f>
        <v>0.7</v>
      </c>
      <c r="K14" s="327">
        <f>IF(Projekt=2,IF(Projekt!AV34="Minergie-P",0.29,0.7),0.7)</f>
        <v>0.7</v>
      </c>
      <c r="L14" s="327">
        <f>IF(Projekt=2,IF(Projekt!AV34="Minergie-P",0.29,0.7),0.7)</f>
        <v>0.7</v>
      </c>
      <c r="M14" s="327">
        <f>IF(Projekt=2,IF(Projekt!AV34="Minergie-P",0.5,1.2),1.2)</f>
        <v>1.2</v>
      </c>
      <c r="N14" s="1929">
        <f>IF(Projekt=2,IF(Projekt!AV34="Minergie-P",0.29,1),1)</f>
        <v>1</v>
      </c>
      <c r="O14" s="1929">
        <v>1</v>
      </c>
      <c r="P14" s="327">
        <f>IF(Projekt=2,IF(Projekt!AV34="Minergie-P",0.33,0.7),0.7)</f>
        <v>0.7</v>
      </c>
      <c r="Q14" s="327">
        <f>IF(Projekt=2,IF(Projekt!AV34="Minergie-P",0.12,0.3),0.3)</f>
        <v>0.3</v>
      </c>
      <c r="R14" s="327">
        <f>IF(Projekt=2,IF(Projekt!AV34="Minergie-P",0.29,0.7),0.7)</f>
        <v>0.7</v>
      </c>
      <c r="S14" s="393">
        <v>0.7</v>
      </c>
    </row>
    <row r="15" spans="2:24" ht="15" customHeight="1">
      <c r="B15" s="154" t="s">
        <v>651</v>
      </c>
      <c r="C15" s="64"/>
      <c r="D15" s="64"/>
      <c r="E15" s="64"/>
      <c r="F15" s="64"/>
      <c r="G15" s="1928" t="s">
        <v>1158</v>
      </c>
      <c r="H15" s="327">
        <f>IF(_Ver09,75,21*3.6)</f>
        <v>75.600000000000009</v>
      </c>
      <c r="I15" s="327">
        <f>IF(_Ver09,50,14*3.6)</f>
        <v>50.4</v>
      </c>
      <c r="J15" s="327">
        <f>IF(_Ver09,25,7*3.6)</f>
        <v>25.2</v>
      </c>
      <c r="K15" s="327">
        <f>IF(_Ver09,25,7*3.6)</f>
        <v>25.2</v>
      </c>
      <c r="L15" s="327">
        <f>IF(_Ver09,25,7*3.6)</f>
        <v>25.2</v>
      </c>
      <c r="M15" s="327">
        <f>IF(_Ver09,200,56*3.6)</f>
        <v>201.6</v>
      </c>
      <c r="N15" s="327">
        <f>IF(_Ver09,50,14*3.6)</f>
        <v>50.4</v>
      </c>
      <c r="O15" s="327">
        <f>IF(_Ver09,100,28*3.6)</f>
        <v>100.8</v>
      </c>
      <c r="P15" s="327">
        <f>IF(_Ver09,25,7*3.6)</f>
        <v>25.2</v>
      </c>
      <c r="Q15" s="327">
        <f>IF(_Ver09,5,3.6)</f>
        <v>3.6</v>
      </c>
      <c r="R15" s="327">
        <f>IF(_Ver09,300,83*3.6)</f>
        <v>298.8</v>
      </c>
      <c r="S15" s="393">
        <f>IF(_Ver09,300,83*3.6)</f>
        <v>298.8</v>
      </c>
    </row>
    <row r="16" spans="2:24" ht="15" customHeight="1">
      <c r="B16" s="167" t="s">
        <v>3924</v>
      </c>
      <c r="C16" s="35"/>
      <c r="D16" s="35"/>
      <c r="E16" s="59"/>
      <c r="F16" s="59"/>
      <c r="G16" s="1912" t="s">
        <v>3925</v>
      </c>
      <c r="H16" s="305">
        <v>3.1</v>
      </c>
      <c r="I16" s="305">
        <v>2.4</v>
      </c>
      <c r="J16" s="305">
        <v>3.3</v>
      </c>
      <c r="K16" s="305">
        <v>2.2999999999999998</v>
      </c>
      <c r="L16" s="305">
        <v>4.5</v>
      </c>
      <c r="M16" s="1912">
        <v>5.2</v>
      </c>
      <c r="N16" s="305">
        <v>3.5</v>
      </c>
      <c r="O16" s="305">
        <v>4</v>
      </c>
      <c r="P16" s="305">
        <v>3</v>
      </c>
      <c r="Q16" s="305">
        <v>0.8</v>
      </c>
      <c r="R16" s="305">
        <v>1.8</v>
      </c>
      <c r="S16" s="396">
        <v>4.9000000000000004</v>
      </c>
    </row>
    <row r="17" spans="2:29" ht="28.9" customHeight="1">
      <c r="B17" s="397" t="s">
        <v>552</v>
      </c>
      <c r="C17" s="382"/>
      <c r="D17" s="382"/>
      <c r="E17" s="382"/>
      <c r="F17" s="382"/>
      <c r="G17" s="382"/>
      <c r="H17" s="382"/>
      <c r="I17" s="382"/>
      <c r="J17" s="382"/>
      <c r="K17" s="382"/>
      <c r="L17" s="382"/>
      <c r="M17" s="382"/>
    </row>
    <row r="18" spans="2:29" ht="15" customHeight="1">
      <c r="B18" s="384" t="s">
        <v>1806</v>
      </c>
      <c r="C18" s="385"/>
      <c r="D18" s="385"/>
      <c r="E18" s="398"/>
      <c r="F18" s="398"/>
      <c r="G18" s="387">
        <f>INDEX(B30:B42,Kategorie,)</f>
        <v>0</v>
      </c>
      <c r="H18" s="387" t="s">
        <v>971</v>
      </c>
      <c r="I18" s="387" t="s">
        <v>972</v>
      </c>
      <c r="J18" s="387" t="s">
        <v>973</v>
      </c>
      <c r="K18" s="387" t="s">
        <v>974</v>
      </c>
      <c r="L18" s="387" t="s">
        <v>975</v>
      </c>
      <c r="M18" s="387" t="s">
        <v>1674</v>
      </c>
      <c r="N18" s="387" t="s">
        <v>1675</v>
      </c>
      <c r="O18" s="387" t="s">
        <v>1676</v>
      </c>
      <c r="P18" s="387" t="s">
        <v>1677</v>
      </c>
      <c r="Q18" s="387" t="s">
        <v>1678</v>
      </c>
      <c r="R18" s="387" t="s">
        <v>1679</v>
      </c>
      <c r="S18" s="387" t="s">
        <v>1680</v>
      </c>
    </row>
    <row r="19" spans="2:29" ht="15" customHeight="1">
      <c r="B19" s="161"/>
      <c r="C19" s="153"/>
      <c r="D19" s="153"/>
      <c r="E19" s="161"/>
      <c r="F19" s="162"/>
      <c r="G19" s="399"/>
      <c r="H19" s="388" t="s">
        <v>346</v>
      </c>
      <c r="I19" s="389" t="s">
        <v>346</v>
      </c>
      <c r="J19" s="347" t="s">
        <v>206</v>
      </c>
      <c r="K19" s="389" t="s">
        <v>208</v>
      </c>
      <c r="L19" s="347" t="s">
        <v>854</v>
      </c>
      <c r="M19" s="389" t="s">
        <v>855</v>
      </c>
      <c r="N19" s="347" t="s">
        <v>857</v>
      </c>
      <c r="O19" s="389" t="s">
        <v>980</v>
      </c>
      <c r="P19" s="347" t="s">
        <v>349</v>
      </c>
      <c r="Q19" s="389" t="s">
        <v>979</v>
      </c>
      <c r="R19" s="347" t="s">
        <v>860</v>
      </c>
      <c r="S19" s="389" t="s">
        <v>235</v>
      </c>
      <c r="W19" s="1730"/>
    </row>
    <row r="20" spans="2:29" ht="15" customHeight="1">
      <c r="B20" s="327"/>
      <c r="C20" s="63"/>
      <c r="D20" s="64"/>
      <c r="E20" s="154"/>
      <c r="F20" s="128"/>
      <c r="G20" s="393"/>
      <c r="H20" s="366" t="s">
        <v>348</v>
      </c>
      <c r="I20" s="390" t="s">
        <v>347</v>
      </c>
      <c r="J20" s="345" t="s">
        <v>207</v>
      </c>
      <c r="K20" s="390"/>
      <c r="L20" s="345"/>
      <c r="M20" s="390" t="s">
        <v>856</v>
      </c>
      <c r="N20" s="345" t="s">
        <v>858</v>
      </c>
      <c r="O20" s="390"/>
      <c r="P20" s="345"/>
      <c r="Q20" s="390"/>
      <c r="R20" s="345" t="s">
        <v>234</v>
      </c>
      <c r="S20" s="390" t="s">
        <v>236</v>
      </c>
      <c r="W20" s="1730"/>
    </row>
    <row r="21" spans="2:29" ht="15" customHeight="1">
      <c r="B21" s="446" t="s">
        <v>418</v>
      </c>
      <c r="C21" s="35"/>
      <c r="D21" s="35"/>
      <c r="E21" s="316" t="s">
        <v>1376</v>
      </c>
      <c r="F21" s="524"/>
      <c r="G21" s="396">
        <f>INDEX(C30:C42,Kategorie,)</f>
        <v>0</v>
      </c>
      <c r="H21" s="367"/>
      <c r="I21" s="391"/>
      <c r="J21" s="346"/>
      <c r="K21" s="391"/>
      <c r="L21" s="346"/>
      <c r="M21" s="391"/>
      <c r="N21" s="346" t="s">
        <v>859</v>
      </c>
      <c r="O21" s="391"/>
      <c r="P21" s="346"/>
      <c r="Q21" s="391"/>
      <c r="R21" s="346"/>
      <c r="S21" s="391"/>
      <c r="W21" s="1730"/>
    </row>
    <row r="22" spans="2:29" ht="15" customHeight="1">
      <c r="B22" s="639" t="s">
        <v>1160</v>
      </c>
      <c r="C22" s="1214"/>
      <c r="D22" s="1214"/>
      <c r="E22" s="1215">
        <f>IF(muken14,E24,INDEX(G22:S22,Kategorie))</f>
        <v>80</v>
      </c>
      <c r="F22" s="1216" t="s">
        <v>1158</v>
      </c>
      <c r="G22" s="1223">
        <v>80</v>
      </c>
      <c r="H22" s="327">
        <f>IF(_Ver09,55,13*3.6)</f>
        <v>46.800000000000004</v>
      </c>
      <c r="I22" s="393">
        <f>IF(_Ver09,65,16*3.6)</f>
        <v>57.6</v>
      </c>
      <c r="J22" s="63">
        <f>IF(_Ver09,65,13*3.6)</f>
        <v>46.800000000000004</v>
      </c>
      <c r="K22" s="393">
        <f>IF(_Ver09,70,14*3.6)</f>
        <v>50.4</v>
      </c>
      <c r="L22" s="63">
        <f>IF(_Ver09,50,7*3.6)</f>
        <v>25.2</v>
      </c>
      <c r="M22" s="393">
        <f>IF(_Ver09,95,16*3.6)</f>
        <v>57.6</v>
      </c>
      <c r="N22" s="63">
        <f>IF(_Ver09,95,18*3.6)</f>
        <v>64.8</v>
      </c>
      <c r="O22" s="393">
        <f>IF(_Ver09,80,18*3.6)</f>
        <v>64.8</v>
      </c>
      <c r="P22" s="63">
        <f>IF(_Ver09,60,10*3.6)</f>
        <v>36</v>
      </c>
      <c r="Q22" s="393">
        <f>IF(_Ver09,60,14*3.6)</f>
        <v>50.4</v>
      </c>
      <c r="R22" s="63">
        <f>IF(_Ver09,75,16*3.6)</f>
        <v>57.6</v>
      </c>
      <c r="S22" s="393">
        <f>IF(_Ver09,70,15*3.6)</f>
        <v>54</v>
      </c>
      <c r="W22" s="1730"/>
    </row>
    <row r="23" spans="2:29" ht="15" customHeight="1">
      <c r="B23" s="1217" t="s">
        <v>1161</v>
      </c>
      <c r="C23" s="1218"/>
      <c r="D23" s="1218"/>
      <c r="E23" s="1201">
        <f>IF(muken14,E25,INDEX(G23:S23,Kategorie))</f>
        <v>90</v>
      </c>
      <c r="F23" s="1219" t="s">
        <v>1158</v>
      </c>
      <c r="G23" s="1224">
        <v>90</v>
      </c>
      <c r="H23" s="305">
        <f>IF(_Ver09,65,15*3.6)</f>
        <v>54</v>
      </c>
      <c r="I23" s="396">
        <f>IF(_Ver09,65,15*3.6)</f>
        <v>54</v>
      </c>
      <c r="J23" s="59">
        <f>IF(_Ver09,85,15*3.6)</f>
        <v>54</v>
      </c>
      <c r="K23" s="396">
        <f>IF(_Ver09,70,15*3.6)</f>
        <v>54</v>
      </c>
      <c r="L23" s="59">
        <f>IF(_Ver09,65,14*3.6)</f>
        <v>50.4</v>
      </c>
      <c r="M23" s="396">
        <f>IF(_Ver09,75,15*3.6)</f>
        <v>54</v>
      </c>
      <c r="N23" s="59">
        <f>IF(_Ver09,75,15*3.6)</f>
        <v>54</v>
      </c>
      <c r="O23" s="396">
        <f>IF(_Ver09,80,17*3.6)</f>
        <v>61.2</v>
      </c>
      <c r="P23" s="59">
        <f>IF(_Ver09,70,14*3.6)</f>
        <v>50.4</v>
      </c>
      <c r="Q23" s="396">
        <f>IF(_Ver09,70,14*3.6)</f>
        <v>50.4</v>
      </c>
      <c r="R23" s="59">
        <f>IF(_Ver09,70,14*3.6)</f>
        <v>50.4</v>
      </c>
      <c r="S23" s="396">
        <f>IF(_Ver09,90,18*3.6)</f>
        <v>64.8</v>
      </c>
      <c r="W23" s="1730"/>
    </row>
    <row r="24" spans="2:29" ht="15" customHeight="1">
      <c r="B24" s="1727" t="s">
        <v>2419</v>
      </c>
      <c r="C24" s="1214"/>
      <c r="D24" s="1214"/>
      <c r="E24" s="1215">
        <f>INDEX(G24:S24,Kategorie)</f>
        <v>80</v>
      </c>
      <c r="F24" s="1216" t="s">
        <v>1158</v>
      </c>
      <c r="G24" s="1223">
        <v>80</v>
      </c>
      <c r="H24" s="327">
        <f>14*3.6</f>
        <v>50.4</v>
      </c>
      <c r="I24" s="393">
        <f>16*3.6</f>
        <v>57.6</v>
      </c>
      <c r="J24" s="63">
        <f>16*3.6</f>
        <v>57.6</v>
      </c>
      <c r="K24" s="393">
        <f>18*3.6</f>
        <v>64.8</v>
      </c>
      <c r="L24" s="63">
        <f>13*3.6</f>
        <v>46.800000000000004</v>
      </c>
      <c r="M24" s="393">
        <f>24*3.6</f>
        <v>86.4</v>
      </c>
      <c r="N24" s="63">
        <f>24*3.6</f>
        <v>86.4</v>
      </c>
      <c r="O24" s="393">
        <f>20*3.6</f>
        <v>72</v>
      </c>
      <c r="P24" s="63">
        <f>15*3.6</f>
        <v>54</v>
      </c>
      <c r="Q24" s="393">
        <f>15*3.6</f>
        <v>54</v>
      </c>
      <c r="R24" s="63">
        <f>19*3.6</f>
        <v>68.400000000000006</v>
      </c>
      <c r="S24" s="393">
        <f>19*3.6</f>
        <v>68.400000000000006</v>
      </c>
      <c r="W24" s="1730"/>
    </row>
    <row r="25" spans="2:29" ht="15" customHeight="1">
      <c r="B25" s="1728" t="s">
        <v>2420</v>
      </c>
      <c r="C25" s="1218"/>
      <c r="D25" s="1218"/>
      <c r="E25" s="1201">
        <f>INDEX(G25:S25,Kategorie)</f>
        <v>90</v>
      </c>
      <c r="F25" s="1219" t="s">
        <v>1158</v>
      </c>
      <c r="G25" s="1224">
        <v>90</v>
      </c>
      <c r="H25" s="305">
        <f>16*3.6</f>
        <v>57.6</v>
      </c>
      <c r="I25" s="396">
        <f>16*3.6</f>
        <v>57.6</v>
      </c>
      <c r="J25" s="59">
        <f>21*3.6</f>
        <v>75.600000000000009</v>
      </c>
      <c r="K25" s="396">
        <f>18*3.6</f>
        <v>64.8</v>
      </c>
      <c r="L25" s="59">
        <f>16*3.6</f>
        <v>57.6</v>
      </c>
      <c r="M25" s="396">
        <f>19*3.6</f>
        <v>68.400000000000006</v>
      </c>
      <c r="N25" s="59">
        <f>19*3.6</f>
        <v>68.400000000000006</v>
      </c>
      <c r="O25" s="396">
        <f>20*3.6</f>
        <v>72</v>
      </c>
      <c r="P25" s="59">
        <f>18*3.6</f>
        <v>64.8</v>
      </c>
      <c r="Q25" s="396">
        <f>18*3.6</f>
        <v>64.8</v>
      </c>
      <c r="R25" s="59">
        <f>18*3.6</f>
        <v>64.8</v>
      </c>
      <c r="S25" s="396">
        <f>25*3.6</f>
        <v>90</v>
      </c>
      <c r="W25" s="1730"/>
    </row>
    <row r="26" spans="2:29" ht="15" customHeight="1">
      <c r="B26" s="1220" t="s">
        <v>120</v>
      </c>
      <c r="C26" s="1221"/>
      <c r="D26" s="1221"/>
      <c r="E26" s="1215">
        <f>INDEX(G26:S26,Kategorie)</f>
        <v>1</v>
      </c>
      <c r="F26" s="1222" t="s">
        <v>2325</v>
      </c>
      <c r="G26" s="1225">
        <v>1</v>
      </c>
      <c r="H26" s="399">
        <v>1</v>
      </c>
      <c r="I26" s="399">
        <v>1</v>
      </c>
      <c r="J26" s="399">
        <f>IF(_Ver09,0.8,1)</f>
        <v>1</v>
      </c>
      <c r="K26" s="399">
        <f>IF(_Ver09,0.8,1)</f>
        <v>1</v>
      </c>
      <c r="L26" s="399">
        <f>IF(_Ver09,0.8,1)</f>
        <v>1</v>
      </c>
      <c r="M26" s="399">
        <f>IF(_Ver09,0.8,1)</f>
        <v>1</v>
      </c>
      <c r="N26" s="399">
        <f>IF(_Ver09,0.8,1)</f>
        <v>1</v>
      </c>
      <c r="O26" s="399">
        <v>1</v>
      </c>
      <c r="P26" s="399">
        <f>IF(_Ver09,0.8,1)</f>
        <v>1</v>
      </c>
      <c r="Q26" s="399">
        <f>IF(_Ver09,0.8,1)</f>
        <v>1</v>
      </c>
      <c r="R26" s="399">
        <f>IF(_Ver09,0.8,1)</f>
        <v>1</v>
      </c>
      <c r="S26" s="399">
        <f>IF(_Ver09,0.8,1)</f>
        <v>1</v>
      </c>
      <c r="W26" s="1730"/>
    </row>
    <row r="27" spans="2:29" ht="15" customHeight="1">
      <c r="B27" s="1217" t="s">
        <v>427</v>
      </c>
      <c r="C27" s="1218"/>
      <c r="D27" s="1218"/>
      <c r="E27" s="1201">
        <f>INDEX(G27:S27,Kategorie)</f>
        <v>15</v>
      </c>
      <c r="F27" s="1201" t="s">
        <v>1125</v>
      </c>
      <c r="G27" s="1226">
        <v>15</v>
      </c>
      <c r="H27" s="396">
        <v>15</v>
      </c>
      <c r="I27" s="396">
        <v>15</v>
      </c>
      <c r="J27" s="396">
        <f>IF(_Ver09,70,15)</f>
        <v>15</v>
      </c>
      <c r="K27" s="396">
        <f>IF(_Ver09,70,15)</f>
        <v>15</v>
      </c>
      <c r="L27" s="396">
        <f>IF(_Ver09,70,15)</f>
        <v>15</v>
      </c>
      <c r="M27" s="396">
        <f>IF(_Ver09,70,15)</f>
        <v>15</v>
      </c>
      <c r="N27" s="396">
        <f>IF(_Ver09,70,15)</f>
        <v>15</v>
      </c>
      <c r="O27" s="396">
        <v>15</v>
      </c>
      <c r="P27" s="396">
        <f>IF(_Ver09,70,15)</f>
        <v>15</v>
      </c>
      <c r="Q27" s="396">
        <f>IF(_Ver09,70,15)</f>
        <v>15</v>
      </c>
      <c r="R27" s="396">
        <f>IF(_Ver09,70,15)</f>
        <v>15</v>
      </c>
      <c r="S27" s="396">
        <f>IF(_Ver09,70,15)</f>
        <v>15</v>
      </c>
      <c r="W27" s="1730"/>
    </row>
    <row r="28" spans="2:29" ht="15" customHeight="1">
      <c r="B28" s="1726" t="s">
        <v>3975</v>
      </c>
      <c r="C28" s="1935"/>
      <c r="D28" s="1935"/>
      <c r="E28" s="1935"/>
      <c r="F28" s="1935"/>
      <c r="G28" s="1936"/>
      <c r="H28" s="28">
        <v>20</v>
      </c>
      <c r="I28" s="413">
        <v>25</v>
      </c>
      <c r="J28" s="28">
        <v>25</v>
      </c>
      <c r="K28" s="413">
        <v>20</v>
      </c>
      <c r="M28" s="462"/>
      <c r="O28" s="413"/>
      <c r="Q28" s="413"/>
      <c r="R28" s="413"/>
      <c r="S28" s="413"/>
      <c r="W28" s="1730"/>
    </row>
    <row r="29" spans="2:29" ht="15" customHeight="1">
      <c r="B29" s="401" t="s">
        <v>1229</v>
      </c>
      <c r="C29" s="402"/>
      <c r="D29" s="363"/>
      <c r="E29" s="379"/>
      <c r="F29" s="384" t="s">
        <v>424</v>
      </c>
      <c r="G29" s="213"/>
      <c r="H29" s="213"/>
      <c r="I29" s="213"/>
      <c r="J29" s="213"/>
      <c r="K29" s="213"/>
      <c r="L29" s="213"/>
      <c r="M29" s="403"/>
      <c r="N29" s="213"/>
      <c r="O29" s="213"/>
      <c r="P29" s="213"/>
      <c r="Q29" s="213"/>
      <c r="R29" s="213"/>
      <c r="S29" s="379"/>
      <c r="W29" s="1730"/>
    </row>
    <row r="30" spans="2:29" ht="15" customHeight="1">
      <c r="B30" s="154"/>
      <c r="C30" s="64"/>
      <c r="D30" s="364"/>
      <c r="E30" s="62"/>
      <c r="F30" s="327"/>
      <c r="G30" s="63"/>
      <c r="H30" s="63"/>
      <c r="I30" s="63"/>
      <c r="J30" s="63"/>
      <c r="K30" s="63"/>
      <c r="L30" s="63"/>
      <c r="M30" s="58"/>
      <c r="N30" s="63"/>
      <c r="O30" s="63"/>
      <c r="P30" s="63"/>
      <c r="Q30" s="63"/>
      <c r="R30" s="63"/>
      <c r="S30" s="62"/>
      <c r="W30" s="1730"/>
      <c r="AC30" s="342"/>
    </row>
    <row r="31" spans="2:29" ht="15" customHeight="1">
      <c r="B31" s="404" t="s">
        <v>1482</v>
      </c>
      <c r="C31" s="175" t="str">
        <f>Uebersetzung!D110</f>
        <v>I: habitat collectif</v>
      </c>
      <c r="D31" s="64"/>
      <c r="E31" s="62"/>
      <c r="F31" s="343" t="s">
        <v>1792</v>
      </c>
      <c r="G31" s="171"/>
      <c r="H31" s="171"/>
      <c r="I31" s="171"/>
      <c r="J31" s="171"/>
      <c r="K31" s="171"/>
      <c r="L31" s="171"/>
      <c r="M31" s="405"/>
      <c r="N31" s="171"/>
      <c r="O31" s="171"/>
      <c r="P31" s="171"/>
      <c r="Q31" s="171"/>
      <c r="R31" s="171"/>
      <c r="S31" s="344"/>
      <c r="AC31" s="342"/>
    </row>
    <row r="32" spans="2:29" ht="15" customHeight="1">
      <c r="B32" s="404" t="s">
        <v>1483</v>
      </c>
      <c r="C32" s="175" t="str">
        <f>Uebersetzung!D111</f>
        <v>II: habitat individuel</v>
      </c>
      <c r="D32" s="64"/>
      <c r="E32" s="62"/>
      <c r="F32" s="343" t="s">
        <v>1372</v>
      </c>
      <c r="G32" s="171"/>
      <c r="H32" s="171"/>
      <c r="I32" s="171"/>
      <c r="J32" s="171"/>
      <c r="K32" s="171"/>
      <c r="L32" s="171"/>
      <c r="M32" s="405"/>
      <c r="N32" s="171"/>
      <c r="O32" s="171"/>
      <c r="P32" s="171"/>
      <c r="Q32" s="171"/>
      <c r="R32" s="171"/>
      <c r="S32" s="344"/>
      <c r="AC32" s="342"/>
    </row>
    <row r="33" spans="1:31" ht="15" customHeight="1">
      <c r="B33" s="404" t="s">
        <v>1484</v>
      </c>
      <c r="C33" s="175" t="str">
        <f>Uebersetzung!D112</f>
        <v>III: administration</v>
      </c>
      <c r="D33" s="64"/>
      <c r="E33" s="62"/>
      <c r="F33" s="406" t="s">
        <v>1702</v>
      </c>
      <c r="G33" s="171"/>
      <c r="H33" s="171"/>
      <c r="I33" s="171"/>
      <c r="J33" s="171"/>
      <c r="K33" s="171"/>
      <c r="L33" s="171"/>
      <c r="M33" s="405"/>
      <c r="N33" s="171"/>
      <c r="O33" s="171"/>
      <c r="P33" s="171"/>
      <c r="Q33" s="171"/>
      <c r="R33" s="171"/>
      <c r="S33" s="344"/>
    </row>
    <row r="34" spans="1:31" ht="15" customHeight="1">
      <c r="B34" s="404" t="s">
        <v>1485</v>
      </c>
      <c r="C34" s="175" t="str">
        <f>Uebersetzung!D113</f>
        <v>IV: écoles</v>
      </c>
      <c r="D34" s="64"/>
      <c r="E34" s="62"/>
      <c r="F34" s="343" t="s">
        <v>1711</v>
      </c>
      <c r="G34" s="171"/>
      <c r="H34" s="171"/>
      <c r="I34" s="171"/>
      <c r="J34" s="171"/>
      <c r="K34" s="171"/>
      <c r="L34" s="171"/>
      <c r="M34" s="405"/>
      <c r="N34" s="171"/>
      <c r="O34" s="171"/>
      <c r="P34" s="171"/>
      <c r="Q34" s="171"/>
      <c r="R34" s="171"/>
      <c r="S34" s="344"/>
    </row>
    <row r="35" spans="1:31" ht="15" customHeight="1">
      <c r="B35" s="404" t="s">
        <v>1486</v>
      </c>
      <c r="C35" s="175" t="str">
        <f>Uebersetzung!D114</f>
        <v>V: commerce</v>
      </c>
      <c r="D35" s="64"/>
      <c r="E35" s="62"/>
      <c r="F35" s="343" t="s">
        <v>1373</v>
      </c>
      <c r="G35" s="171"/>
      <c r="H35" s="171"/>
      <c r="I35" s="171"/>
      <c r="J35" s="171"/>
      <c r="K35" s="171"/>
      <c r="L35" s="171"/>
      <c r="M35" s="405"/>
      <c r="N35" s="171"/>
      <c r="O35" s="171"/>
      <c r="P35" s="171"/>
      <c r="Q35" s="171"/>
      <c r="R35" s="171"/>
      <c r="S35" s="344"/>
      <c r="W35" s="304"/>
      <c r="X35" s="379"/>
      <c r="Y35" s="1791"/>
      <c r="Z35" s="2011"/>
      <c r="AA35" s="304" t="s">
        <v>85</v>
      </c>
      <c r="AB35" s="379" t="s">
        <v>84</v>
      </c>
      <c r="AC35" s="1791"/>
      <c r="AD35" s="1791"/>
      <c r="AE35" s="1791"/>
    </row>
    <row r="36" spans="1:31" s="370" customFormat="1" ht="15" customHeight="1">
      <c r="A36" s="28"/>
      <c r="B36" s="404" t="s">
        <v>1487</v>
      </c>
      <c r="C36" s="175" t="str">
        <f>Uebersetzung!D115</f>
        <v>VI: restauration</v>
      </c>
      <c r="D36" s="291"/>
      <c r="E36" s="371"/>
      <c r="F36" s="343" t="s">
        <v>1374</v>
      </c>
      <c r="G36" s="224"/>
      <c r="H36" s="224"/>
      <c r="I36" s="224"/>
      <c r="J36" s="224"/>
      <c r="K36" s="224"/>
      <c r="L36" s="224"/>
      <c r="M36" s="224"/>
      <c r="N36" s="224"/>
      <c r="O36" s="224"/>
      <c r="P36" s="224"/>
      <c r="Q36" s="224"/>
      <c r="R36" s="224"/>
      <c r="S36" s="407"/>
      <c r="W36" s="964">
        <v>2</v>
      </c>
      <c r="X36" s="128" t="s">
        <v>808</v>
      </c>
      <c r="Y36" s="1791"/>
      <c r="Z36" s="2039" t="s">
        <v>3072</v>
      </c>
      <c r="AA36" s="1826">
        <f>Bau!R57</f>
        <v>0</v>
      </c>
      <c r="AB36" s="1974">
        <f>Bau!R58</f>
        <v>0</v>
      </c>
      <c r="AC36" s="1791"/>
      <c r="AD36" s="1791"/>
      <c r="AE36" s="1791"/>
    </row>
    <row r="37" spans="1:31" ht="15" customHeight="1">
      <c r="B37" s="404" t="s">
        <v>1481</v>
      </c>
      <c r="C37" s="175" t="str">
        <f>Uebersetzung!D116</f>
        <v>VII: lieux de rassemblement</v>
      </c>
      <c r="D37" s="64"/>
      <c r="E37" s="62"/>
      <c r="F37" s="343" t="s">
        <v>2105</v>
      </c>
      <c r="G37" s="171"/>
      <c r="H37" s="171"/>
      <c r="I37" s="171"/>
      <c r="J37" s="171"/>
      <c r="K37" s="171"/>
      <c r="L37" s="171"/>
      <c r="M37" s="405"/>
      <c r="N37" s="171"/>
      <c r="O37" s="171"/>
      <c r="P37" s="171"/>
      <c r="Q37" s="171"/>
      <c r="R37" s="171"/>
      <c r="S37" s="344"/>
      <c r="W37" s="1827" t="s">
        <v>2970</v>
      </c>
      <c r="X37" s="379"/>
      <c r="Y37" s="1791"/>
      <c r="Z37" s="2039" t="s">
        <v>3073</v>
      </c>
      <c r="AA37" s="1826">
        <f>Tiefe1</f>
        <v>0</v>
      </c>
      <c r="AB37" s="1974">
        <f>Tiefe2</f>
        <v>0</v>
      </c>
      <c r="AC37" s="1791"/>
      <c r="AD37" s="1791"/>
      <c r="AE37" s="1791"/>
    </row>
    <row r="38" spans="1:31" ht="15" customHeight="1">
      <c r="B38" s="404" t="s">
        <v>1152</v>
      </c>
      <c r="C38" s="175" t="str">
        <f>Uebersetzung!D117</f>
        <v>VIII: hôpitaux</v>
      </c>
      <c r="D38" s="64"/>
      <c r="E38" s="62"/>
      <c r="F38" s="343" t="s">
        <v>603</v>
      </c>
      <c r="G38" s="171"/>
      <c r="H38" s="171"/>
      <c r="I38" s="171"/>
      <c r="J38" s="171"/>
      <c r="K38" s="171"/>
      <c r="L38" s="171"/>
      <c r="M38" s="405"/>
      <c r="N38" s="171"/>
      <c r="O38" s="171"/>
      <c r="P38" s="171"/>
      <c r="Q38" s="171"/>
      <c r="R38" s="171"/>
      <c r="S38" s="344"/>
      <c r="V38" s="1795" t="s">
        <v>3090</v>
      </c>
      <c r="W38" s="1826">
        <f>UDecke1</f>
        <v>0</v>
      </c>
      <c r="X38" s="62"/>
      <c r="Y38" s="1791"/>
      <c r="Z38" s="2011"/>
      <c r="AA38" s="304">
        <f t="shared" ref="AA38:AA44" si="0">IF(UWand_1&lt;=0.2,$D52,IF(UWand_1&lt;=0.4,$D52-($D52-$E52)*(UWand_1-0.2)/0.2,IF(UWand_1&lt;=0.6,$E52-($E52-$F52)*(UWand_1-0.4)/0.2,IF(UWand_1&lt;=1,$F52-($F52-$G52)*(UWand_1-0.6)/0.4,$G52))))</f>
        <v>1</v>
      </c>
      <c r="AB38" s="399">
        <f t="shared" ref="AB38:AB44" si="1">IF(UWand_2&lt;=0.2,$D52,IF(UWand_2&lt;=0.4,$D52-($D52-$E52)*(UWand_2-0.2)/0.2,IF(UWand_2&lt;=0.6,$E52-($E52-$F52)*(UWand_2-0.4)/0.2,IF(UWand_2&lt;=1,$F52-($F52-$G52)*(UWand_2-0.6)/0.4,$G52))))</f>
        <v>1</v>
      </c>
      <c r="AC38" s="1791"/>
      <c r="AD38" s="1791"/>
      <c r="AE38" s="1791"/>
    </row>
    <row r="39" spans="1:31" ht="15" customHeight="1">
      <c r="B39" s="404" t="s">
        <v>1153</v>
      </c>
      <c r="C39" s="175" t="str">
        <f>Uebersetzung!D118</f>
        <v>IX: industrie</v>
      </c>
      <c r="D39" s="64"/>
      <c r="E39" s="62"/>
      <c r="F39" s="343" t="s">
        <v>1505</v>
      </c>
      <c r="G39" s="171"/>
      <c r="H39" s="171"/>
      <c r="I39" s="171"/>
      <c r="J39" s="171"/>
      <c r="K39" s="171"/>
      <c r="L39" s="171"/>
      <c r="M39" s="405"/>
      <c r="N39" s="171"/>
      <c r="O39" s="171"/>
      <c r="P39" s="171"/>
      <c r="Q39" s="171"/>
      <c r="R39" s="171"/>
      <c r="S39" s="344"/>
      <c r="V39" s="1795" t="s">
        <v>3073</v>
      </c>
      <c r="W39" s="1833">
        <f>Bau!R94</f>
        <v>0</v>
      </c>
      <c r="X39" s="62"/>
      <c r="Y39" s="1791"/>
      <c r="Z39" s="2011"/>
      <c r="AA39" s="327">
        <f t="shared" si="0"/>
        <v>0.92</v>
      </c>
      <c r="AB39" s="393">
        <f t="shared" si="1"/>
        <v>0.92</v>
      </c>
      <c r="AC39" s="1791"/>
      <c r="AD39" s="1791"/>
      <c r="AE39" s="1791"/>
    </row>
    <row r="40" spans="1:31" ht="15" customHeight="1">
      <c r="B40" s="404" t="s">
        <v>1154</v>
      </c>
      <c r="C40" s="175" t="str">
        <f>Uebersetzung!D119</f>
        <v>X: dépôts</v>
      </c>
      <c r="D40" s="64"/>
      <c r="E40" s="62"/>
      <c r="F40" s="343" t="s">
        <v>1506</v>
      </c>
      <c r="G40" s="171"/>
      <c r="H40" s="171"/>
      <c r="I40" s="171"/>
      <c r="J40" s="171"/>
      <c r="K40" s="171"/>
      <c r="L40" s="171"/>
      <c r="M40" s="405"/>
      <c r="N40" s="171"/>
      <c r="O40" s="171"/>
      <c r="P40" s="171"/>
      <c r="Q40" s="171"/>
      <c r="R40" s="171"/>
      <c r="S40" s="344"/>
      <c r="W40" s="304">
        <f t="shared" ref="W40:W46" si="2">IF(UDecke1&lt;=0.2,$D52,IF(UDecke1&lt;=0.4,$D52-($D52-$E52)*(UDecke1-0.2)/0.2,IF(UDecke1&lt;=0.6,$E52-($E52-$F52)*(UDecke1-0.4)/0.2,IF(UDecke1&lt;=1,$F52-($F52-$G52)*(UDecke1-0.6)/0.4,$G52))))</f>
        <v>1</v>
      </c>
      <c r="X40" s="379"/>
      <c r="Y40" s="1791"/>
      <c r="Z40" s="2011"/>
      <c r="AA40" s="327">
        <f t="shared" si="0"/>
        <v>0.88</v>
      </c>
      <c r="AB40" s="393">
        <f t="shared" si="1"/>
        <v>0.88</v>
      </c>
      <c r="AC40" s="1791"/>
      <c r="AD40" s="1791"/>
      <c r="AE40" s="1791"/>
    </row>
    <row r="41" spans="1:31" ht="15" customHeight="1">
      <c r="B41" s="404" t="s">
        <v>1155</v>
      </c>
      <c r="C41" s="175" t="str">
        <f>Uebersetzung!D120</f>
        <v>XI: installations sportives</v>
      </c>
      <c r="D41" s="64"/>
      <c r="E41" s="62"/>
      <c r="F41" s="343" t="s">
        <v>1507</v>
      </c>
      <c r="G41" s="171"/>
      <c r="H41" s="171"/>
      <c r="I41" s="171"/>
      <c r="J41" s="171"/>
      <c r="K41" s="171"/>
      <c r="L41" s="171"/>
      <c r="M41" s="171"/>
      <c r="N41" s="171"/>
      <c r="O41" s="171"/>
      <c r="P41" s="171"/>
      <c r="Q41" s="171"/>
      <c r="R41" s="171"/>
      <c r="S41" s="344"/>
      <c r="W41" s="1084">
        <f t="shared" si="2"/>
        <v>0.92</v>
      </c>
      <c r="X41" s="62"/>
      <c r="Y41" s="1791"/>
      <c r="Z41" s="2011"/>
      <c r="AA41" s="327">
        <f t="shared" si="0"/>
        <v>0.82</v>
      </c>
      <c r="AB41" s="393">
        <f t="shared" si="1"/>
        <v>0.82</v>
      </c>
      <c r="AC41" s="1791"/>
      <c r="AD41" s="1791"/>
      <c r="AE41" s="1791"/>
    </row>
    <row r="42" spans="1:31" ht="15" customHeight="1">
      <c r="B42" s="408" t="s">
        <v>1156</v>
      </c>
      <c r="C42" s="409" t="str">
        <f>Uebersetzung!D121</f>
        <v>XII: piscines couvertes</v>
      </c>
      <c r="D42" s="59"/>
      <c r="E42" s="320"/>
      <c r="F42" s="410" t="s">
        <v>1770</v>
      </c>
      <c r="G42" s="411"/>
      <c r="H42" s="411"/>
      <c r="I42" s="411"/>
      <c r="J42" s="411"/>
      <c r="K42" s="411"/>
      <c r="L42" s="411"/>
      <c r="M42" s="411"/>
      <c r="N42" s="411"/>
      <c r="O42" s="411"/>
      <c r="P42" s="411"/>
      <c r="Q42" s="411"/>
      <c r="R42" s="411"/>
      <c r="S42" s="412"/>
      <c r="W42" s="1084">
        <f t="shared" si="2"/>
        <v>0.88</v>
      </c>
      <c r="X42" s="62"/>
      <c r="Y42" s="1791"/>
      <c r="Z42" s="2011"/>
      <c r="AA42" s="327">
        <f t="shared" si="0"/>
        <v>0.77</v>
      </c>
      <c r="AB42" s="393">
        <f t="shared" si="1"/>
        <v>0.77</v>
      </c>
      <c r="AC42" s="1791"/>
      <c r="AD42" s="1791"/>
      <c r="AE42" s="1791"/>
    </row>
    <row r="43" spans="1:31" ht="12.6" customHeight="1">
      <c r="M43" s="28"/>
      <c r="W43" s="1084">
        <f t="shared" si="2"/>
        <v>0.82</v>
      </c>
      <c r="X43" s="62"/>
      <c r="Y43" s="1791"/>
      <c r="Z43" s="2011"/>
      <c r="AA43" s="327">
        <f t="shared" si="0"/>
        <v>0.69</v>
      </c>
      <c r="AB43" s="393">
        <f t="shared" si="1"/>
        <v>0.69</v>
      </c>
      <c r="AC43" s="1791"/>
      <c r="AD43" s="1791"/>
      <c r="AE43" s="1791"/>
    </row>
    <row r="44" spans="1:31" ht="15" customHeight="1">
      <c r="B44" s="141" t="s">
        <v>957</v>
      </c>
      <c r="M44" s="28"/>
      <c r="R44" s="1077"/>
      <c r="S44" s="1077"/>
      <c r="T44" s="1077"/>
      <c r="U44" s="1077"/>
      <c r="V44" s="1077"/>
      <c r="W44" s="1084">
        <f t="shared" si="2"/>
        <v>0.77</v>
      </c>
      <c r="X44" s="62"/>
      <c r="Y44" s="1791"/>
      <c r="Z44" s="2011"/>
      <c r="AA44" s="305">
        <f t="shared" si="0"/>
        <v>0.55000000000000004</v>
      </c>
      <c r="AB44" s="396">
        <f t="shared" si="1"/>
        <v>0.55000000000000004</v>
      </c>
      <c r="AC44" s="1791"/>
      <c r="AD44" s="1791"/>
      <c r="AE44" s="1791"/>
    </row>
    <row r="45" spans="1:31" ht="13.9" customHeight="1">
      <c r="C45" s="106"/>
      <c r="D45" s="27"/>
      <c r="E45" s="27"/>
      <c r="F45" s="27"/>
      <c r="G45" s="27"/>
      <c r="H45" s="27"/>
      <c r="I45" s="27"/>
      <c r="J45" s="27"/>
      <c r="K45" s="27"/>
      <c r="L45" s="27"/>
      <c r="M45" s="27"/>
      <c r="N45" s="27"/>
      <c r="W45" s="1084">
        <f t="shared" si="2"/>
        <v>0.69</v>
      </c>
      <c r="X45" s="62"/>
      <c r="Y45" s="1791"/>
      <c r="Z45" s="2039" t="s">
        <v>88</v>
      </c>
      <c r="AA45" s="1084">
        <f>IF(Tiefe_1=0,AA38,IF(Tiefe_1&lt;=0.5,AA38-(AA38-AA39)*(Tiefe_1-0)/0.5,IF(Tiefe_1&lt;=1,AA39-(AA39-AA40)*(Tiefe_1-0.5)/0.5,IF(Tiefe_1&lt;=2,AA40-(AA40-AA41)*(Tiefe_1-1)/1,IF(Tiefe_1&lt;=3,AA41-(AA41-AA42)*(Tiefe_1-2)/1,IF(Tiefe_1&lt;=5,AA42-(AA42-AA43)*(Tiefe_1-3)/2,IF(Tiefe_1&lt;=10,AA43-(AA43-AA44)*(Tiefe_1-5)/5,AA44)))))))</f>
        <v>1</v>
      </c>
      <c r="AB45" s="1976"/>
      <c r="AC45" s="1791"/>
      <c r="AD45" s="1791"/>
      <c r="AE45" s="1791"/>
    </row>
    <row r="46" spans="1:31" s="368" customFormat="1" ht="15" customHeight="1">
      <c r="B46" s="1078"/>
      <c r="D46" s="538" t="s">
        <v>88</v>
      </c>
      <c r="E46" s="1079">
        <f>AA45</f>
        <v>1</v>
      </c>
      <c r="G46" s="538" t="s">
        <v>174</v>
      </c>
      <c r="H46" s="1079">
        <f>AB46</f>
        <v>1</v>
      </c>
      <c r="K46" s="538" t="s">
        <v>173</v>
      </c>
      <c r="L46" s="1079">
        <f>IF(Tiefe3=0,AC52,IF(Tiefe3&lt;=0.5,AC52-(AC52-AC53)*(Tiefe3-0)/0.5,IF(Tiefe3&lt;=1,AC53-(AC53-AC54)*(Tiefe3-0.5)/0.5,IF(Tiefe3&lt;=2,AC54-(AC54-AC55)*(Tiefe3-1)/1,IF(Tiefe3&lt;=3,AC55-(AC55-AC56)*(Tiefe3-2)/1,IF(Tiefe3&lt;=5,AC56-(AC56-AC57)*(Tiefe3-3)/2,IF(Tiefe3&lt;=10,AC57-(AC57-AC58)*(Tiefe3-5)/5,AC58)))))))</f>
        <v>0.82</v>
      </c>
      <c r="P46" s="538" t="s">
        <v>175</v>
      </c>
      <c r="Q46" s="1079">
        <f>IF(Tiefe4=0,AD52,IF(Tiefe4&lt;=0.5,AD52-(AD52-AD53)*(Tiefe4-0)/0.5,IF(Tiefe4&lt;=1,AD53-(AD53-AD54)*(Tiefe4-0.5)/0.5,IF(Tiefe4&lt;=2,AD54-(AD54-AD55)*(Tiefe4-1)/1,IF(Tiefe4&lt;=3,AD55-(AD55-AD56)*(Tiefe4-2)/1,IF(Tiefe4&lt;=5,AD56-(AD56-AD57)*(Tiefe4-3)/2,IF(Tiefe4&lt;=10,AD57-(AD57-AD58)*(Tiefe4-5)/5,AD58)))))))</f>
        <v>0.82</v>
      </c>
      <c r="W46" s="1084">
        <f t="shared" si="2"/>
        <v>0.55000000000000004</v>
      </c>
      <c r="X46" s="320"/>
      <c r="Y46" s="1791"/>
      <c r="Z46" s="2039" t="s">
        <v>3071</v>
      </c>
      <c r="AA46" s="305"/>
      <c r="AB46" s="1081">
        <f>IF(Tiefe_2=0,AB38,IF(Tiefe_2&lt;=0.5,AB38-(AB38-AB39)*(Tiefe_2-0)/0.5,IF(Tiefe_2&lt;=1,AB39-(AB39-AB40)*(Tiefe_2-0.5)/0.5,IF(Tiefe_2&lt;=2,AB40-(AB40-AB41)*(Tiefe_2-1)/1,IF(Tiefe_2&lt;=3,AB41-(AB41-AB42)*(Tiefe_2-2)/1,IF(Tiefe_2&lt;=5,AB42-(AB42-AB43)*(Tiefe_2-3)/2,IF(Tiefe_2&lt;=10,AB43-(AB43-AB44)*(Tiefe_2-5)/5,AB44)))))))</f>
        <v>1</v>
      </c>
      <c r="AC46" s="1791"/>
      <c r="AD46" s="1791"/>
      <c r="AE46" s="1791"/>
    </row>
    <row r="47" spans="1:31" ht="15.6" customHeight="1">
      <c r="B47" s="159"/>
      <c r="C47" s="296"/>
      <c r="D47" s="159"/>
      <c r="E47" s="295" t="s">
        <v>977</v>
      </c>
      <c r="F47" s="295"/>
      <c r="G47" s="296"/>
      <c r="H47" s="159"/>
      <c r="I47" s="295"/>
      <c r="J47" s="295"/>
      <c r="K47" s="295"/>
      <c r="L47" s="295"/>
      <c r="M47" s="295" t="s">
        <v>978</v>
      </c>
      <c r="N47" s="295"/>
      <c r="O47" s="295"/>
      <c r="P47" s="295"/>
      <c r="Q47" s="295"/>
      <c r="R47" s="295"/>
      <c r="S47" s="296"/>
      <c r="W47" s="1083">
        <f>IF(Tiefe9=0,W40,IF(Tiefe9&lt;=0.5,W40-(W40-W41)*(Tiefe9-0)/0.5,IF(Tiefe9&lt;=1,W41-(W41-W42)*(Tiefe9-0.5)/0.5,IF(Tiefe9&lt;=2,W42-(W42-W43)*(Tiefe9-1)/1,IF(Tiefe9&lt;=3,W43-(W43-W44)*(Tiefe9-2)/1,IF(Tiefe9&lt;=5,W44-(W44-W45)*(Tiefe9-3)/2,IF(Tiefe9&lt;=10,W45-(W45-W46)*(Tiefe9-5)/5,W46)))))))</f>
        <v>1</v>
      </c>
      <c r="X47" s="379"/>
      <c r="Y47" s="304"/>
      <c r="Z47" s="379"/>
      <c r="AA47" s="304"/>
      <c r="AB47" s="379"/>
      <c r="AC47" s="213" t="s">
        <v>690</v>
      </c>
      <c r="AD47" s="379" t="s">
        <v>690</v>
      </c>
    </row>
    <row r="48" spans="1:31" ht="15.6" customHeight="1">
      <c r="B48" s="159" t="s">
        <v>690</v>
      </c>
      <c r="C48" s="296"/>
      <c r="D48" s="159"/>
      <c r="E48" s="295"/>
      <c r="F48" s="295"/>
      <c r="G48" s="296"/>
      <c r="H48" s="159"/>
      <c r="I48" s="1075">
        <v>2</v>
      </c>
      <c r="J48" s="295" t="s">
        <v>808</v>
      </c>
      <c r="K48" s="296"/>
      <c r="L48" s="159"/>
      <c r="M48" s="1075">
        <v>5</v>
      </c>
      <c r="N48" s="295" t="s">
        <v>808</v>
      </c>
      <c r="O48" s="296"/>
      <c r="P48" s="30"/>
      <c r="Q48" s="295">
        <v>10</v>
      </c>
      <c r="R48" s="30" t="s">
        <v>808</v>
      </c>
      <c r="S48" s="57"/>
      <c r="W48" s="964">
        <v>2</v>
      </c>
      <c r="X48" s="128" t="s">
        <v>808</v>
      </c>
      <c r="Y48" s="964">
        <v>5</v>
      </c>
      <c r="Z48" s="128" t="s">
        <v>808</v>
      </c>
      <c r="AA48" s="964">
        <v>10</v>
      </c>
      <c r="AB48" s="128" t="s">
        <v>808</v>
      </c>
      <c r="AC48" s="292">
        <f>IF(Bau!R67&gt;0,Bau!I67/Bau!R67,0)</f>
        <v>0</v>
      </c>
      <c r="AD48" s="328">
        <f>IF(Bau!R68&gt;0,Bau!I68/Bau!R68,0)</f>
        <v>0</v>
      </c>
    </row>
    <row r="49" spans="1:30" ht="15.6" customHeight="1">
      <c r="B49" s="159"/>
      <c r="C49" s="296"/>
      <c r="D49" s="159"/>
      <c r="E49" s="295"/>
      <c r="F49" s="295"/>
      <c r="G49" s="296"/>
      <c r="H49" s="159"/>
      <c r="I49" s="295"/>
      <c r="J49" s="295"/>
      <c r="K49" s="296"/>
      <c r="L49" s="159"/>
      <c r="M49" s="295"/>
      <c r="N49" s="295"/>
      <c r="O49" s="296"/>
      <c r="P49" s="159"/>
      <c r="Q49" s="295"/>
      <c r="R49" s="295"/>
      <c r="S49" s="296"/>
      <c r="W49" s="304" t="s">
        <v>86</v>
      </c>
      <c r="X49" s="379" t="s">
        <v>87</v>
      </c>
      <c r="Y49" s="304" t="s">
        <v>86</v>
      </c>
      <c r="Z49" s="379" t="s">
        <v>87</v>
      </c>
      <c r="AA49" s="304" t="s">
        <v>86</v>
      </c>
      <c r="AB49" s="379" t="s">
        <v>87</v>
      </c>
      <c r="AC49" s="213" t="s">
        <v>86</v>
      </c>
      <c r="AD49" s="379" t="s">
        <v>87</v>
      </c>
    </row>
    <row r="50" spans="1:30" ht="15.6" customHeight="1">
      <c r="B50" s="159" t="s">
        <v>1437</v>
      </c>
      <c r="C50" s="296"/>
      <c r="D50" s="413">
        <v>0.2</v>
      </c>
      <c r="E50" s="413">
        <v>0.4</v>
      </c>
      <c r="F50" s="413">
        <v>0.6</v>
      </c>
      <c r="G50" s="413">
        <v>1</v>
      </c>
      <c r="H50" s="413">
        <v>0.2</v>
      </c>
      <c r="I50" s="413">
        <v>0.4</v>
      </c>
      <c r="J50" s="413">
        <v>0.6</v>
      </c>
      <c r="K50" s="413">
        <v>1</v>
      </c>
      <c r="L50" s="413">
        <v>0.2</v>
      </c>
      <c r="M50" s="413">
        <v>0.4</v>
      </c>
      <c r="N50" s="413">
        <v>0.6</v>
      </c>
      <c r="O50" s="413">
        <v>1</v>
      </c>
      <c r="P50" s="413">
        <v>0.2</v>
      </c>
      <c r="Q50" s="413">
        <v>0.4</v>
      </c>
      <c r="R50" s="413">
        <v>0.6</v>
      </c>
      <c r="S50" s="413">
        <v>1</v>
      </c>
      <c r="W50" s="327">
        <f>UBoden3</f>
        <v>0</v>
      </c>
      <c r="X50" s="62">
        <f>UBoden4</f>
        <v>0</v>
      </c>
      <c r="Y50" s="327">
        <f>UBoden3</f>
        <v>0</v>
      </c>
      <c r="Z50" s="62">
        <f>UBoden4</f>
        <v>0</v>
      </c>
      <c r="AA50" s="327">
        <f>UBoden3</f>
        <v>0</v>
      </c>
      <c r="AB50" s="62">
        <f>UBoden4</f>
        <v>0</v>
      </c>
      <c r="AC50" s="63">
        <f>UBoden3</f>
        <v>0</v>
      </c>
      <c r="AD50" s="62">
        <f>UBoden4</f>
        <v>0</v>
      </c>
    </row>
    <row r="51" spans="1:30" ht="15.6" customHeight="1">
      <c r="B51" s="414" t="s">
        <v>851</v>
      </c>
      <c r="C51" s="414"/>
      <c r="D51" s="414"/>
      <c r="E51" s="414"/>
      <c r="F51" s="414"/>
      <c r="G51" s="414"/>
      <c r="H51" s="414"/>
      <c r="I51" s="414"/>
      <c r="J51" s="414"/>
      <c r="K51" s="414"/>
      <c r="L51" s="414"/>
      <c r="M51" s="414"/>
      <c r="N51" s="414"/>
      <c r="O51" s="414"/>
      <c r="P51" s="414"/>
      <c r="Q51" s="414"/>
      <c r="R51" s="414"/>
      <c r="S51" s="414"/>
      <c r="W51" s="327"/>
      <c r="X51" s="62"/>
      <c r="Y51" s="327"/>
      <c r="Z51" s="62"/>
      <c r="AA51" s="327"/>
      <c r="AB51" s="62"/>
      <c r="AC51" s="63"/>
      <c r="AD51" s="62"/>
    </row>
    <row r="52" spans="1:30" ht="15.6" customHeight="1">
      <c r="B52" s="414">
        <v>0</v>
      </c>
      <c r="C52" s="414" t="s">
        <v>808</v>
      </c>
      <c r="D52" s="415">
        <v>1</v>
      </c>
      <c r="E52" s="415">
        <v>1</v>
      </c>
      <c r="F52" s="415">
        <v>1</v>
      </c>
      <c r="G52" s="415">
        <v>1</v>
      </c>
      <c r="H52" s="415">
        <v>0.82</v>
      </c>
      <c r="I52" s="415">
        <v>0.69</v>
      </c>
      <c r="J52" s="415">
        <v>0.6</v>
      </c>
      <c r="K52" s="415">
        <v>0.49</v>
      </c>
      <c r="L52" s="415">
        <v>0.67</v>
      </c>
      <c r="M52" s="415">
        <v>0.52</v>
      </c>
      <c r="N52" s="415">
        <v>0.43</v>
      </c>
      <c r="O52" s="415">
        <v>0.31</v>
      </c>
      <c r="P52" s="415">
        <v>0.53</v>
      </c>
      <c r="Q52" s="415">
        <v>0.37</v>
      </c>
      <c r="R52" s="415">
        <v>0.28999999999999998</v>
      </c>
      <c r="S52" s="415">
        <v>0.2</v>
      </c>
      <c r="W52" s="304">
        <f>IF(UBoden3&lt;=0.2,H52,IF(UBoden3&lt;=0.4,H52-(H52-I52)*(UBoden3-0.2)/0.2,IF(UBoden3&lt;=0.6,I52-(I52-J52)*(UBoden3-0.4)/0.2,IF(UBoden3&lt;=1,J52-(J52-K52)*(UBoden3-0.6)/0.4,K52))))</f>
        <v>0.82</v>
      </c>
      <c r="X52" s="379">
        <f>IF(UBoden4&lt;=0.2,H52,IF(UBoden4&lt;=0.4,H52-(H52-I52)*(UBoden4-0.2)/0.2,IF(UBoden4&lt;=0.6,I52-(I52-J52)*(UBoden4-0.4)/0.2,IF(UBoden4&lt;=1,J52-(J52-K52)*(UBoden4-0.6)/0.4,K52))))</f>
        <v>0.82</v>
      </c>
      <c r="Y52" s="304">
        <f t="shared" ref="Y52:Y58" si="3">IF(UBoden3&lt;=0.2,L52,IF(UBoden3&lt;=0.4,L52-(L52-M52)*(UBoden3-0.2)/0.2,IF(UBoden3&lt;=0.6,M52-(M52-N52)*(UBoden3-0.4)/0.2,IF(UBoden3&lt;=1,N52-(N52-O52)*(UBoden3-0.6)/0.4,O52))))</f>
        <v>0.67</v>
      </c>
      <c r="Z52" s="379">
        <f t="shared" ref="Z52:Z58" si="4">IF(UBoden4&lt;=0.2,L52,IF(UBoden4&lt;=0.4,L52-(L52-M52)*(UBoden4-0.2)/0.2,IF(UBoden4&lt;=0.6,M52-(M52-N52)*(UBoden4-0.4)/0.2,IF(UBoden4&lt;=1,N52-(N52-O52)*(UBoden4-0.6)/0.4,O52))))</f>
        <v>0.67</v>
      </c>
      <c r="AA52" s="304">
        <f>IF(UBoden3&lt;=0.2,P52,IF(UBoden3&lt;=0.4,P52-(P52-Q52)*(UBoden3-0.2)/0.2,IF(UBoden3&lt;=0.6,Q52-(Q52-R52)*(UBoden3-0.4)/0.2,IF(UBoden3&lt;=1,R52-(R52-S52)*(UBoden3-0.6)/0.4,S52))))</f>
        <v>0.53</v>
      </c>
      <c r="AB52" s="213">
        <f>IF(UBoden4&lt;=0.2,P52,IF(UBoden4&lt;=0.4,P52-(P52-Q52)*(UBoden4-0.2)/0.2,IF(UBoden4&lt;=0.6,Q52-(Q52-R52)*(UBoden4-0.4)/0.2,IF(UBoden4&lt;=1,R52-(R52-S52)*(UBoden4-0.6)/0.4,S52))))</f>
        <v>0.53</v>
      </c>
      <c r="AC52" s="1083">
        <f>IF($AC$48&lt;=2,W52,IF($AC$48&lt;=5,W52-(W52-Y52)*($AC$48-2)/3,IF($AC$48&lt;=10,Y52-(Y52-AA52)*($AC$48-5)/5,AA52)))</f>
        <v>0.82</v>
      </c>
      <c r="AD52" s="1082">
        <f>IF($AD$48&lt;=2,X52,IF($AD$48&lt;=5,X52-(X52-Z52)*($AD$48-2)/3,IF($AD$48&lt;=10,Z52-(Z52-AB52)*($AD$48-5)/5,AB52)))</f>
        <v>0.82</v>
      </c>
    </row>
    <row r="53" spans="1:30" s="370" customFormat="1" ht="15.6" customHeight="1">
      <c r="A53" s="28"/>
      <c r="B53" s="414">
        <v>0.5</v>
      </c>
      <c r="C53" s="414" t="s">
        <v>808</v>
      </c>
      <c r="D53" s="415">
        <v>0.92</v>
      </c>
      <c r="E53" s="415">
        <v>0.88</v>
      </c>
      <c r="F53" s="415">
        <v>0.85</v>
      </c>
      <c r="G53" s="415">
        <v>0.8</v>
      </c>
      <c r="H53" s="415">
        <v>0.8</v>
      </c>
      <c r="I53" s="415">
        <v>0.67</v>
      </c>
      <c r="J53" s="415">
        <v>0.56999999999999995</v>
      </c>
      <c r="K53" s="415">
        <v>0.46</v>
      </c>
      <c r="L53" s="415">
        <v>0.66</v>
      </c>
      <c r="M53" s="415">
        <v>0.51</v>
      </c>
      <c r="N53" s="415">
        <v>0.41</v>
      </c>
      <c r="O53" s="415">
        <v>0.3</v>
      </c>
      <c r="P53" s="415">
        <v>0.53</v>
      </c>
      <c r="Q53" s="415">
        <v>0.36</v>
      </c>
      <c r="R53" s="415">
        <v>0.28000000000000003</v>
      </c>
      <c r="S53" s="415">
        <v>0.2</v>
      </c>
      <c r="W53" s="327">
        <f t="shared" ref="W53:W58" si="5">IF(UBoden3&lt;=0.2,H53,IF(UBoden3&lt;=0.4,H53-(H53-I53)*(UBoden3-0.2)/0.2,IF(UBoden3&lt;=0.6,I53-(I53-J53)*(UBoden3-0.4)/0.2,IF(UBoden3&lt;=1,J53-(J53-K53)*(UBoden3-0.6)/0.4,K53))))</f>
        <v>0.8</v>
      </c>
      <c r="X53" s="62">
        <f t="shared" ref="X53:X58" si="6">IF(UBoden4&lt;=0.2,H53,IF(UBoden4&lt;=0.4,H53-(H53-I53)*(UBoden4-0.2)/0.2,IF(UBoden4&lt;=0.6,I53-(I53-J53)*(UBoden4-0.4)/0.2,IF(UBoden4&lt;=1,J53-(J53-K53)*(UBoden4-0.6)/0.4,K53))))</f>
        <v>0.8</v>
      </c>
      <c r="Y53" s="327">
        <f t="shared" si="3"/>
        <v>0.66</v>
      </c>
      <c r="Z53" s="62">
        <f t="shared" si="4"/>
        <v>0.66</v>
      </c>
      <c r="AA53" s="327">
        <f t="shared" ref="AA53:AA58" si="7">IF(UBoden3&lt;=0.2,P53,IF(UBoden3&lt;=0.4,P53-(P53-Q53)*(UBoden3-0.2)/0.2,IF(UBoden3&lt;=0.6,Q53-(Q53-R53)*(UBoden3-0.4)/0.2,IF(UBoden3&lt;=1,R53-(R53-S53)*(UBoden3-0.6)/0.4,S53))))</f>
        <v>0.53</v>
      </c>
      <c r="AB53" s="63">
        <f t="shared" ref="AB53:AB58" si="8">IF(UBoden4&lt;=0.2,P53,IF(UBoden4&lt;=0.4,P53-(P53-Q53)*(UBoden4-0.2)/0.2,IF(UBoden4&lt;=0.6,Q53-(Q53-R53)*(UBoden4-0.4)/0.2,IF(UBoden4&lt;=1,R53-(R53-S53)*(UBoden4-0.6)/0.4,S53))))</f>
        <v>0.53</v>
      </c>
      <c r="AC53" s="1084">
        <f t="shared" ref="AC53:AC58" si="9">IF($AC$48&lt;=2,W53,IF($AC$48&lt;=5,W53-(W53-Y53)*($AC$48-2)/3,IF($AC$48&lt;=10,Y53-(Y53-AA53)*($AC$48-5)/5,AA53)))</f>
        <v>0.8</v>
      </c>
      <c r="AD53" s="1080">
        <f t="shared" ref="AD53:AD58" si="10">IF($AD$48&lt;=2,X53,IF($AD$48&lt;=5,X53-(X53-Z53)*($AD$48-2)/3,IF($AD$48&lt;=10,Z53-(Z53-AB53)*($AD$48-5)/5,AB53)))</f>
        <v>0.8</v>
      </c>
    </row>
    <row r="54" spans="1:30" ht="15.6" customHeight="1">
      <c r="B54" s="414">
        <v>1</v>
      </c>
      <c r="C54" s="414" t="s">
        <v>808</v>
      </c>
      <c r="D54" s="415">
        <v>0.88</v>
      </c>
      <c r="E54" s="415">
        <v>0.83</v>
      </c>
      <c r="F54" s="415">
        <v>0.78</v>
      </c>
      <c r="G54" s="415">
        <v>0.7</v>
      </c>
      <c r="H54" s="415">
        <v>0.79</v>
      </c>
      <c r="I54" s="415">
        <v>0.65</v>
      </c>
      <c r="J54" s="415">
        <v>0.55000000000000004</v>
      </c>
      <c r="K54" s="415">
        <v>0.43</v>
      </c>
      <c r="L54" s="415">
        <v>0.65</v>
      </c>
      <c r="M54" s="415">
        <v>0.49</v>
      </c>
      <c r="N54" s="415">
        <v>0.4</v>
      </c>
      <c r="O54" s="415">
        <v>0.28999999999999998</v>
      </c>
      <c r="P54" s="415">
        <v>0.52</v>
      </c>
      <c r="Q54" s="415">
        <v>0.36</v>
      </c>
      <c r="R54" s="415">
        <v>0.27</v>
      </c>
      <c r="S54" s="415">
        <v>0.19</v>
      </c>
      <c r="W54" s="327">
        <f t="shared" si="5"/>
        <v>0.79</v>
      </c>
      <c r="X54" s="62">
        <f t="shared" si="6"/>
        <v>0.79</v>
      </c>
      <c r="Y54" s="327">
        <f t="shared" si="3"/>
        <v>0.65</v>
      </c>
      <c r="Z54" s="62">
        <f t="shared" si="4"/>
        <v>0.65</v>
      </c>
      <c r="AA54" s="327">
        <f t="shared" si="7"/>
        <v>0.52</v>
      </c>
      <c r="AB54" s="63">
        <f t="shared" si="8"/>
        <v>0.52</v>
      </c>
      <c r="AC54" s="1084">
        <f t="shared" si="9"/>
        <v>0.79</v>
      </c>
      <c r="AD54" s="1080">
        <f t="shared" si="10"/>
        <v>0.79</v>
      </c>
    </row>
    <row r="55" spans="1:30" ht="15.6" customHeight="1">
      <c r="B55" s="414">
        <v>2</v>
      </c>
      <c r="C55" s="414" t="s">
        <v>808</v>
      </c>
      <c r="D55" s="415">
        <v>0.82</v>
      </c>
      <c r="E55" s="415">
        <v>0.73</v>
      </c>
      <c r="F55" s="415">
        <v>0.66</v>
      </c>
      <c r="G55" s="415">
        <v>0.56000000000000005</v>
      </c>
      <c r="H55" s="415">
        <v>0.76</v>
      </c>
      <c r="I55" s="415">
        <v>0.61</v>
      </c>
      <c r="J55" s="415">
        <v>0.51</v>
      </c>
      <c r="K55" s="415">
        <v>0.39</v>
      </c>
      <c r="L55" s="415">
        <v>0.63</v>
      </c>
      <c r="M55" s="415">
        <v>0.47</v>
      </c>
      <c r="N55" s="415">
        <v>0.37</v>
      </c>
      <c r="O55" s="415">
        <v>0.27</v>
      </c>
      <c r="P55" s="415">
        <v>0.5</v>
      </c>
      <c r="Q55" s="415">
        <v>0.34</v>
      </c>
      <c r="R55" s="415">
        <v>0.26</v>
      </c>
      <c r="S55" s="415">
        <v>0.18</v>
      </c>
      <c r="W55" s="327">
        <f t="shared" si="5"/>
        <v>0.76</v>
      </c>
      <c r="X55" s="62">
        <f t="shared" si="6"/>
        <v>0.76</v>
      </c>
      <c r="Y55" s="327">
        <f t="shared" si="3"/>
        <v>0.63</v>
      </c>
      <c r="Z55" s="62">
        <f t="shared" si="4"/>
        <v>0.63</v>
      </c>
      <c r="AA55" s="327">
        <f t="shared" si="7"/>
        <v>0.5</v>
      </c>
      <c r="AB55" s="63">
        <f t="shared" si="8"/>
        <v>0.5</v>
      </c>
      <c r="AC55" s="1084">
        <f t="shared" si="9"/>
        <v>0.76</v>
      </c>
      <c r="AD55" s="1080">
        <f t="shared" si="10"/>
        <v>0.76</v>
      </c>
    </row>
    <row r="56" spans="1:30" ht="15.6" customHeight="1">
      <c r="B56" s="414">
        <v>3</v>
      </c>
      <c r="C56" s="414" t="s">
        <v>808</v>
      </c>
      <c r="D56" s="415">
        <v>0.77</v>
      </c>
      <c r="E56" s="415">
        <v>0.66</v>
      </c>
      <c r="F56" s="415">
        <v>0.57999999999999996</v>
      </c>
      <c r="G56" s="415">
        <v>0.48</v>
      </c>
      <c r="H56" s="415">
        <v>0.73</v>
      </c>
      <c r="I56" s="415">
        <v>0.56999999999999995</v>
      </c>
      <c r="J56" s="415">
        <v>0.47</v>
      </c>
      <c r="K56" s="415">
        <v>0.35</v>
      </c>
      <c r="L56" s="415">
        <v>0.61</v>
      </c>
      <c r="M56" s="415">
        <v>0.45</v>
      </c>
      <c r="N56" s="415">
        <v>0.35</v>
      </c>
      <c r="O56" s="415">
        <v>0.25</v>
      </c>
      <c r="P56" s="415">
        <v>0.49</v>
      </c>
      <c r="Q56" s="415">
        <v>0.33</v>
      </c>
      <c r="R56" s="415">
        <v>0.25</v>
      </c>
      <c r="S56" s="415">
        <v>0.17</v>
      </c>
      <c r="W56" s="327">
        <f t="shared" si="5"/>
        <v>0.73</v>
      </c>
      <c r="X56" s="62">
        <f t="shared" si="6"/>
        <v>0.73</v>
      </c>
      <c r="Y56" s="327">
        <f t="shared" si="3"/>
        <v>0.61</v>
      </c>
      <c r="Z56" s="62">
        <f t="shared" si="4"/>
        <v>0.61</v>
      </c>
      <c r="AA56" s="327">
        <f t="shared" si="7"/>
        <v>0.49</v>
      </c>
      <c r="AB56" s="63">
        <f t="shared" si="8"/>
        <v>0.49</v>
      </c>
      <c r="AC56" s="1084">
        <f t="shared" si="9"/>
        <v>0.73</v>
      </c>
      <c r="AD56" s="1080">
        <f t="shared" si="10"/>
        <v>0.73</v>
      </c>
    </row>
    <row r="57" spans="1:30" ht="15" customHeight="1">
      <c r="B57" s="414">
        <v>5</v>
      </c>
      <c r="C57" s="414" t="s">
        <v>808</v>
      </c>
      <c r="D57" s="415">
        <v>0.69</v>
      </c>
      <c r="E57" s="415">
        <v>0.56000000000000005</v>
      </c>
      <c r="F57" s="415">
        <v>0.47</v>
      </c>
      <c r="G57" s="415">
        <v>0.37</v>
      </c>
      <c r="H57" s="415">
        <v>0.68</v>
      </c>
      <c r="I57" s="415">
        <v>0.51</v>
      </c>
      <c r="J57" s="415">
        <v>0.41</v>
      </c>
      <c r="K57" s="415">
        <v>0.3</v>
      </c>
      <c r="L57" s="415">
        <v>0.56999999999999995</v>
      </c>
      <c r="M57" s="415">
        <v>0.41</v>
      </c>
      <c r="N57" s="415">
        <v>0.32</v>
      </c>
      <c r="O57" s="415">
        <v>0.22</v>
      </c>
      <c r="P57" s="415">
        <v>0.47</v>
      </c>
      <c r="Q57" s="415">
        <v>0.31</v>
      </c>
      <c r="R57" s="415">
        <v>0.23</v>
      </c>
      <c r="S57" s="415">
        <v>0.16</v>
      </c>
      <c r="W57" s="327">
        <f t="shared" si="5"/>
        <v>0.68</v>
      </c>
      <c r="X57" s="62">
        <f t="shared" si="6"/>
        <v>0.68</v>
      </c>
      <c r="Y57" s="327">
        <f t="shared" si="3"/>
        <v>0.56999999999999995</v>
      </c>
      <c r="Z57" s="62">
        <f t="shared" si="4"/>
        <v>0.56999999999999995</v>
      </c>
      <c r="AA57" s="327">
        <f t="shared" si="7"/>
        <v>0.47</v>
      </c>
      <c r="AB57" s="63">
        <f t="shared" si="8"/>
        <v>0.47</v>
      </c>
      <c r="AC57" s="1084">
        <f t="shared" si="9"/>
        <v>0.68</v>
      </c>
      <c r="AD57" s="1080">
        <f t="shared" si="10"/>
        <v>0.68</v>
      </c>
    </row>
    <row r="58" spans="1:30" ht="15" customHeight="1">
      <c r="B58" s="414">
        <v>10</v>
      </c>
      <c r="C58" s="414" t="s">
        <v>808</v>
      </c>
      <c r="D58" s="415">
        <v>0.55000000000000004</v>
      </c>
      <c r="E58" s="415">
        <v>0.41</v>
      </c>
      <c r="F58" s="415">
        <v>0.33</v>
      </c>
      <c r="G58" s="415">
        <v>0.25</v>
      </c>
      <c r="H58" s="415">
        <v>0.57999999999999996</v>
      </c>
      <c r="I58" s="415">
        <v>0.41</v>
      </c>
      <c r="J58" s="415">
        <v>0.32</v>
      </c>
      <c r="K58" s="415">
        <v>0.22</v>
      </c>
      <c r="L58" s="415">
        <v>0.5</v>
      </c>
      <c r="M58" s="415">
        <v>0.33</v>
      </c>
      <c r="N58" s="415">
        <v>0.25</v>
      </c>
      <c r="O58" s="415">
        <v>0.17</v>
      </c>
      <c r="P58" s="415">
        <v>0.42</v>
      </c>
      <c r="Q58" s="415">
        <v>0.27</v>
      </c>
      <c r="R58" s="415">
        <v>0.2</v>
      </c>
      <c r="S58" s="415">
        <v>0.13</v>
      </c>
      <c r="W58" s="305">
        <f t="shared" si="5"/>
        <v>0.57999999999999996</v>
      </c>
      <c r="X58" s="320">
        <f t="shared" si="6"/>
        <v>0.57999999999999996</v>
      </c>
      <c r="Y58" s="305">
        <f t="shared" si="3"/>
        <v>0.5</v>
      </c>
      <c r="Z58" s="320">
        <f t="shared" si="4"/>
        <v>0.5</v>
      </c>
      <c r="AA58" s="305">
        <f t="shared" si="7"/>
        <v>0.42</v>
      </c>
      <c r="AB58" s="59">
        <f t="shared" si="8"/>
        <v>0.42</v>
      </c>
      <c r="AC58" s="1085">
        <f t="shared" si="9"/>
        <v>0.57999999999999996</v>
      </c>
      <c r="AD58" s="1081">
        <f t="shared" si="10"/>
        <v>0.57999999999999996</v>
      </c>
    </row>
    <row r="59" spans="1:30" ht="31.9" customHeight="1">
      <c r="B59" s="400" t="s">
        <v>1169</v>
      </c>
      <c r="C59" s="416"/>
      <c r="D59" s="28"/>
      <c r="M59" s="28"/>
      <c r="W59" s="1827" t="s">
        <v>1236</v>
      </c>
      <c r="X59" s="379"/>
      <c r="Y59" s="378" t="s">
        <v>1234</v>
      </c>
      <c r="AA59" s="1827" t="s">
        <v>1235</v>
      </c>
      <c r="AB59" s="379"/>
      <c r="AC59" s="1827" t="s">
        <v>1233</v>
      </c>
      <c r="AD59" s="379"/>
    </row>
    <row r="60" spans="1:30" ht="15" customHeight="1">
      <c r="C60" s="28"/>
      <c r="D60" s="28"/>
      <c r="L60" s="400" t="s">
        <v>1172</v>
      </c>
      <c r="M60" s="28"/>
      <c r="W60" s="327"/>
      <c r="X60" s="62" t="s">
        <v>690</v>
      </c>
      <c r="AA60" s="305"/>
      <c r="AB60" s="320"/>
      <c r="AC60" s="305"/>
      <c r="AD60" s="320"/>
    </row>
    <row r="61" spans="1:30" ht="15" customHeight="1">
      <c r="B61" s="417" t="str">
        <f>Uebersetzung!D103</f>
        <v xml:space="preserve">construction massive </v>
      </c>
      <c r="C61" s="418"/>
      <c r="D61" s="418"/>
      <c r="E61" s="418"/>
      <c r="F61" s="418"/>
      <c r="G61" s="418"/>
      <c r="H61" s="418"/>
      <c r="I61" s="304">
        <f>0.15*3.6</f>
        <v>0.54</v>
      </c>
      <c r="J61" s="1913">
        <v>0.5</v>
      </c>
      <c r="L61" s="400" t="s">
        <v>1174</v>
      </c>
      <c r="M61" s="28"/>
      <c r="W61" s="304" t="s">
        <v>85</v>
      </c>
      <c r="X61" s="379" t="s">
        <v>84</v>
      </c>
      <c r="Y61" s="1827" t="s">
        <v>3065</v>
      </c>
      <c r="Z61" s="1213" t="s">
        <v>3066</v>
      </c>
      <c r="AA61" s="1827" t="s">
        <v>3067</v>
      </c>
      <c r="AB61" s="1213" t="s">
        <v>3068</v>
      </c>
      <c r="AC61" s="1827" t="s">
        <v>3069</v>
      </c>
      <c r="AD61" s="1213" t="s">
        <v>3070</v>
      </c>
    </row>
    <row r="62" spans="1:30" ht="15" customHeight="1">
      <c r="B62" s="343" t="str">
        <f>Uebersetzung!D104</f>
        <v xml:space="preserve">construction moyenne </v>
      </c>
      <c r="C62" s="171"/>
      <c r="D62" s="171"/>
      <c r="E62" s="171"/>
      <c r="F62" s="171"/>
      <c r="G62" s="171"/>
      <c r="H62" s="171"/>
      <c r="I62" s="327">
        <f>0.08*3.6</f>
        <v>0.28800000000000003</v>
      </c>
      <c r="J62" s="393">
        <v>0.3</v>
      </c>
      <c r="L62" s="417" t="s">
        <v>694</v>
      </c>
      <c r="M62" s="418"/>
      <c r="N62" s="418"/>
      <c r="O62" s="418"/>
      <c r="P62" s="213"/>
      <c r="Q62" s="379"/>
      <c r="R62" s="153" t="s">
        <v>1162</v>
      </c>
      <c r="S62" s="1832"/>
      <c r="V62" s="1795" t="s">
        <v>3072</v>
      </c>
      <c r="W62" s="1826">
        <f>UWand1</f>
        <v>0</v>
      </c>
      <c r="X62" s="328">
        <f>UWand2</f>
        <v>0</v>
      </c>
      <c r="Y62" s="1826">
        <f>UWand3</f>
        <v>0</v>
      </c>
      <c r="Z62" s="328">
        <f>UWand4</f>
        <v>0</v>
      </c>
      <c r="AA62" s="1826">
        <f>UWand5</f>
        <v>0</v>
      </c>
      <c r="AB62" s="328">
        <f>UWand6</f>
        <v>0</v>
      </c>
      <c r="AC62" s="1826">
        <f>UWand7</f>
        <v>0</v>
      </c>
      <c r="AD62" s="328">
        <f>UWand8</f>
        <v>0</v>
      </c>
    </row>
    <row r="63" spans="1:30" ht="15" customHeight="1">
      <c r="B63" s="343" t="str">
        <f>Uebersetzung!D105</f>
        <v>construction légère</v>
      </c>
      <c r="C63" s="171"/>
      <c r="D63" s="171"/>
      <c r="E63" s="171"/>
      <c r="F63" s="171"/>
      <c r="G63" s="171"/>
      <c r="H63" s="171"/>
      <c r="I63" s="327">
        <f>0.03*3.6</f>
        <v>0.108</v>
      </c>
      <c r="J63" s="393">
        <v>0.1</v>
      </c>
      <c r="L63" s="304"/>
      <c r="M63" s="403"/>
      <c r="N63" s="213"/>
      <c r="O63" s="213"/>
      <c r="P63" s="213"/>
      <c r="Q63" s="379"/>
      <c r="R63" s="1243">
        <v>1</v>
      </c>
      <c r="S63" s="379"/>
      <c r="V63" s="1795" t="s">
        <v>3073</v>
      </c>
      <c r="W63" s="1826">
        <f>IF(Bau!C23=1,Tiefe1,Tiefe2)</f>
        <v>0</v>
      </c>
      <c r="X63" s="328">
        <f>IF(Bau!C24=1,Tiefe1,Tiefe2)</f>
        <v>0</v>
      </c>
      <c r="Y63" s="1826">
        <f>IF(Bau!P23=1,Tiefe1,Tiefe2)</f>
        <v>0</v>
      </c>
      <c r="Z63" s="328">
        <f>IF(Bau!P24=1,Tiefe1,Tiefe2)</f>
        <v>0</v>
      </c>
      <c r="AA63" s="1826">
        <f>IF(Bau!C42=1,Tiefe1,Tiefe2)</f>
        <v>0</v>
      </c>
      <c r="AB63" s="328">
        <f>IF(Bau!C43=1,Tiefe1,Tiefe2)</f>
        <v>0</v>
      </c>
      <c r="AC63" s="1826">
        <f>IF(Bau!P42=1,Tiefe1,Tiefe2)</f>
        <v>0</v>
      </c>
      <c r="AD63" s="328">
        <f>IF(Bau!P43=1,Tiefe1,Tiefe2)</f>
        <v>0</v>
      </c>
    </row>
    <row r="64" spans="1:30" ht="15" customHeight="1">
      <c r="B64" s="410" t="str">
        <f>Uebersetzung!D106</f>
        <v>construction très légère: ossature bois</v>
      </c>
      <c r="C64" s="411"/>
      <c r="D64" s="411"/>
      <c r="E64" s="411"/>
      <c r="F64" s="411"/>
      <c r="G64" s="411"/>
      <c r="H64" s="411"/>
      <c r="I64" s="305">
        <f>0.01*3.6</f>
        <v>3.6000000000000004E-2</v>
      </c>
      <c r="J64" s="396">
        <v>0.05</v>
      </c>
      <c r="L64" s="343" t="str">
        <f>Uebersetzung!D296</f>
        <v>combles, toit non isolé</v>
      </c>
      <c r="M64" s="171"/>
      <c r="N64" s="171"/>
      <c r="O64" s="171"/>
      <c r="P64" s="63"/>
      <c r="Q64" s="62"/>
      <c r="R64" s="964">
        <v>0.9</v>
      </c>
      <c r="S64" s="344"/>
      <c r="W64" s="304">
        <f t="shared" ref="W64:W70" si="11">IF(UWand1&lt;=0.2,$D52,IF(UWand1&lt;=0.4,$D52-($D52-$E52)*(UWand1-0.2)/0.2,IF(UWand1&lt;=0.6,$E52-($E52-$F52)*(UWand1-0.4)/0.2,IF(UWand1&lt;=1,$F52-($F52-$G52)*(UWand1-0.6)/0.4,$G52))))</f>
        <v>1</v>
      </c>
      <c r="X64" s="213">
        <f t="shared" ref="X64:X70" si="12">IF(UWand2&lt;=0.2,$D52,IF(UWand2&lt;=0.4,$D52-($D52-$E52)*(UWand2-0.2)/0.2,IF(UWand2&lt;=0.6,$E52-($E52-$F52)*(UWand2-0.4)/0.2,IF(UWand2&lt;=1,$F52-($F52-$G52)*(UWand2-0.6)/0.4,$G52))))</f>
        <v>1</v>
      </c>
      <c r="Y64" s="304">
        <f t="shared" ref="Y64:Y70" si="13">IF(UWand3&lt;=0.2,$D52,IF(UWand3&lt;=0.4,$D52-($D52-$E52)*(UWand3-0.2)/0.2,IF(UWand3&lt;=0.6,$E52-($E52-$F52)*(UWand3-0.4)/0.2,IF(UWand3&lt;=1,$F52-($F52-$G52)*(UWand3-0.6)/0.4,$G52))))</f>
        <v>1</v>
      </c>
      <c r="Z64" s="213">
        <f t="shared" ref="Z64:Z70" si="14">IF(UWand4&lt;=0.2,$D52,IF(UWand4&lt;=0.4,$D52-($D52-$E52)*(UWand4-0.2)/0.2,IF(UWand4&lt;=0.6,$E52-($E52-$F52)*(UWand4-0.4)/0.2,IF(UWand4&lt;=1,$F52-($F52-$G52)*(UWand4-0.6)/0.4,$G52))))</f>
        <v>1</v>
      </c>
      <c r="AA64" s="304">
        <f t="shared" ref="AA64:AA70" si="15">IF(UWand5&lt;=0.2,$D52,IF(UWand5&lt;=0.4,$D52-($D52-$E52)*(UWand5-0.2)/0.2,IF(UWand5&lt;=0.6,$E52-($E52-$F52)*(UWand5-0.4)/0.2,IF(UWand5&lt;=1,$F52-($F52-$G52)*(UWand5-0.6)/0.4,$G52))))</f>
        <v>1</v>
      </c>
      <c r="AB64" s="213">
        <f t="shared" ref="AB64:AB70" si="16">IF(UWand6&lt;=0.2,$D52,IF(UWand6&lt;=0.4,$D52-($D52-$E52)*(UWand6-0.2)/0.2,IF(UWand6&lt;=0.6,$E52-($E52-$F52)*(UWand6-0.4)/0.2,IF(UWand6&lt;=1,$F52-($F52-$G52)*(UWand6-0.6)/0.4,$G52))))</f>
        <v>1</v>
      </c>
      <c r="AC64" s="304">
        <f t="shared" ref="AC64:AC70" si="17">IF(UWand7&lt;=0.2,$D52,IF(UWand7&lt;=0.4,$D52-($D52-$E52)*(UWand7-0.2)/0.2,IF(UWand7&lt;=0.6,$E52-($E52-$F52)*(UWand7-0.4)/0.2,IF(UWand7&lt;=1,$F52-($F52-$G52)*(UWand7-0.6)/0.4,$G52))))</f>
        <v>1</v>
      </c>
      <c r="AD64" s="379">
        <f t="shared" ref="AD64:AD70" si="18">IF(UWand8&lt;=0.2,$D52,IF(UWand8&lt;=0.4,$D52-($D52-$E52)*(UWand8-0.2)/0.2,IF(UWand8&lt;=0.6,$E52-($E52-$F52)*(UWand8-0.4)/0.2,IF(UWand8&lt;=1,$F52-($F52-$G52)*(UWand8-0.6)/0.4,$G52))))</f>
        <v>1</v>
      </c>
    </row>
    <row r="65" spans="2:30" ht="15" customHeight="1">
      <c r="B65" s="342"/>
      <c r="C65" s="342"/>
      <c r="D65" s="342"/>
      <c r="E65" s="342"/>
      <c r="F65" s="342"/>
      <c r="G65" s="342"/>
      <c r="H65" s="342"/>
      <c r="I65" s="1912" t="s">
        <v>3916</v>
      </c>
      <c r="J65" s="395" t="s">
        <v>3915</v>
      </c>
      <c r="L65" s="343" t="str">
        <f>Uebersetzung!D297</f>
        <v>combles, toit isolé Uue&lt;0.4W/m2K</v>
      </c>
      <c r="M65" s="171"/>
      <c r="N65" s="171"/>
      <c r="O65" s="171"/>
      <c r="P65" s="63"/>
      <c r="Q65" s="62"/>
      <c r="R65" s="964">
        <v>0.7</v>
      </c>
      <c r="S65" s="344"/>
      <c r="W65" s="327">
        <f t="shared" si="11"/>
        <v>0.92</v>
      </c>
      <c r="X65" s="63">
        <f t="shared" si="12"/>
        <v>0.92</v>
      </c>
      <c r="Y65" s="327">
        <f t="shared" si="13"/>
        <v>0.92</v>
      </c>
      <c r="Z65" s="63">
        <f t="shared" si="14"/>
        <v>0.92</v>
      </c>
      <c r="AA65" s="327">
        <f t="shared" si="15"/>
        <v>0.92</v>
      </c>
      <c r="AB65" s="63">
        <f t="shared" si="16"/>
        <v>0.92</v>
      </c>
      <c r="AC65" s="327">
        <f t="shared" si="17"/>
        <v>0.92</v>
      </c>
      <c r="AD65" s="62">
        <f t="shared" si="18"/>
        <v>0.92</v>
      </c>
    </row>
    <row r="66" spans="2:30" ht="15" customHeight="1">
      <c r="B66" s="1070" t="s">
        <v>1217</v>
      </c>
      <c r="C66" s="416"/>
      <c r="D66" s="342"/>
      <c r="E66" s="342"/>
      <c r="F66" s="342"/>
      <c r="G66" s="342"/>
      <c r="H66" s="342"/>
      <c r="J66" s="342"/>
      <c r="L66" s="343" t="str">
        <f>Uebersetzung!D298</f>
        <v>sous-sol entièrement enterré</v>
      </c>
      <c r="M66" s="171"/>
      <c r="N66" s="171"/>
      <c r="O66" s="171"/>
      <c r="P66" s="63"/>
      <c r="Q66" s="62"/>
      <c r="R66" s="964">
        <v>0.7</v>
      </c>
      <c r="S66" s="344"/>
      <c r="W66" s="327">
        <f t="shared" si="11"/>
        <v>0.88</v>
      </c>
      <c r="X66" s="63">
        <f t="shared" si="12"/>
        <v>0.88</v>
      </c>
      <c r="Y66" s="327">
        <f t="shared" si="13"/>
        <v>0.88</v>
      </c>
      <c r="Z66" s="63">
        <f t="shared" si="14"/>
        <v>0.88</v>
      </c>
      <c r="AA66" s="327">
        <f t="shared" si="15"/>
        <v>0.88</v>
      </c>
      <c r="AB66" s="63">
        <f t="shared" si="16"/>
        <v>0.88</v>
      </c>
      <c r="AC66" s="327">
        <f t="shared" si="17"/>
        <v>0.88</v>
      </c>
      <c r="AD66" s="62">
        <f t="shared" si="18"/>
        <v>0.88</v>
      </c>
    </row>
    <row r="67" spans="2:30" ht="15" customHeight="1">
      <c r="B67" s="342"/>
      <c r="C67" s="342"/>
      <c r="D67" s="342"/>
      <c r="E67" s="342"/>
      <c r="F67" s="342"/>
      <c r="G67" s="342"/>
      <c r="H67" s="342"/>
      <c r="J67" s="1068">
        <v>2</v>
      </c>
      <c r="L67" s="343" t="str">
        <f>Uebersetzung!D299</f>
        <v>sous-sol entièrement enterré, isolé Uue&lt;0.4W/m2K</v>
      </c>
      <c r="M67" s="171"/>
      <c r="N67" s="171"/>
      <c r="O67" s="171"/>
      <c r="P67" s="63"/>
      <c r="Q67" s="62"/>
      <c r="R67" s="964">
        <v>0.5</v>
      </c>
      <c r="S67" s="344"/>
      <c r="W67" s="327">
        <f t="shared" si="11"/>
        <v>0.82</v>
      </c>
      <c r="X67" s="63">
        <f t="shared" si="12"/>
        <v>0.82</v>
      </c>
      <c r="Y67" s="327">
        <f t="shared" si="13"/>
        <v>0.82</v>
      </c>
      <c r="Z67" s="63">
        <f t="shared" si="14"/>
        <v>0.82</v>
      </c>
      <c r="AA67" s="327">
        <f t="shared" si="15"/>
        <v>0.82</v>
      </c>
      <c r="AB67" s="63">
        <f t="shared" si="16"/>
        <v>0.82</v>
      </c>
      <c r="AC67" s="327">
        <f t="shared" si="17"/>
        <v>0.82</v>
      </c>
      <c r="AD67" s="62">
        <f t="shared" si="18"/>
        <v>0.82</v>
      </c>
    </row>
    <row r="68" spans="2:30" ht="15" customHeight="1">
      <c r="B68" s="417" t="str">
        <f>Uebersetzung!D107</f>
        <v>régulation par pièce</v>
      </c>
      <c r="C68" s="418"/>
      <c r="D68" s="418"/>
      <c r="E68" s="418"/>
      <c r="F68" s="418"/>
      <c r="G68" s="418"/>
      <c r="H68" s="418"/>
      <c r="I68" s="213"/>
      <c r="J68" s="419">
        <v>0</v>
      </c>
      <c r="L68" s="343" t="str">
        <f>Uebersetzung!D300</f>
        <v>sous-sol partiellement enterré ou hors terre</v>
      </c>
      <c r="M68" s="171"/>
      <c r="N68" s="171"/>
      <c r="O68" s="171"/>
      <c r="P68" s="63"/>
      <c r="Q68" s="62"/>
      <c r="R68" s="964">
        <v>0.8</v>
      </c>
      <c r="S68" s="344"/>
      <c r="W68" s="327">
        <f t="shared" si="11"/>
        <v>0.77</v>
      </c>
      <c r="X68" s="63">
        <f t="shared" si="12"/>
        <v>0.77</v>
      </c>
      <c r="Y68" s="327">
        <f t="shared" si="13"/>
        <v>0.77</v>
      </c>
      <c r="Z68" s="63">
        <f t="shared" si="14"/>
        <v>0.77</v>
      </c>
      <c r="AA68" s="327">
        <f t="shared" si="15"/>
        <v>0.77</v>
      </c>
      <c r="AB68" s="63">
        <f t="shared" si="16"/>
        <v>0.77</v>
      </c>
      <c r="AC68" s="327">
        <f t="shared" si="17"/>
        <v>0.77</v>
      </c>
      <c r="AD68" s="62">
        <f t="shared" si="18"/>
        <v>0.77</v>
      </c>
    </row>
    <row r="69" spans="2:30" ht="15" customHeight="1">
      <c r="B69" s="343" t="str">
        <f>Uebersetzung!D108</f>
        <v>régulation à partir d' une pièce de référence</v>
      </c>
      <c r="C69" s="171"/>
      <c r="D69" s="171"/>
      <c r="E69" s="171"/>
      <c r="F69" s="171"/>
      <c r="G69" s="171"/>
      <c r="H69" s="171"/>
      <c r="I69" s="63"/>
      <c r="J69" s="1065">
        <v>1</v>
      </c>
      <c r="L69" s="343" t="str">
        <f>Uebersetzung!D301</f>
        <v>sous-sol partiellement enterré, isolé Uue&lt;0.4W/m2K</v>
      </c>
      <c r="M69" s="171"/>
      <c r="N69" s="171"/>
      <c r="O69" s="171"/>
      <c r="P69" s="63"/>
      <c r="Q69" s="62"/>
      <c r="R69" s="964">
        <v>0.7</v>
      </c>
      <c r="S69" s="344"/>
      <c r="W69" s="327">
        <f t="shared" si="11"/>
        <v>0.69</v>
      </c>
      <c r="X69" s="63">
        <f t="shared" si="12"/>
        <v>0.69</v>
      </c>
      <c r="Y69" s="327">
        <f t="shared" si="13"/>
        <v>0.69</v>
      </c>
      <c r="Z69" s="63">
        <f t="shared" si="14"/>
        <v>0.69</v>
      </c>
      <c r="AA69" s="327">
        <f t="shared" si="15"/>
        <v>0.69</v>
      </c>
      <c r="AB69" s="63">
        <f t="shared" si="16"/>
        <v>0.69</v>
      </c>
      <c r="AC69" s="327">
        <f t="shared" si="17"/>
        <v>0.69</v>
      </c>
      <c r="AD69" s="62">
        <f t="shared" si="18"/>
        <v>0.69</v>
      </c>
    </row>
    <row r="70" spans="2:30" ht="15" customHeight="1">
      <c r="B70" s="410" t="str">
        <f>Uebersetzung!D109</f>
        <v>commande par la température extérieure</v>
      </c>
      <c r="C70" s="411"/>
      <c r="D70" s="411"/>
      <c r="E70" s="411"/>
      <c r="F70" s="411"/>
      <c r="G70" s="411"/>
      <c r="H70" s="411"/>
      <c r="I70" s="59"/>
      <c r="J70" s="1066">
        <v>2</v>
      </c>
      <c r="L70" s="343" t="str">
        <f>Uebersetzung!D302</f>
        <v>pièce annexe</v>
      </c>
      <c r="M70" s="58"/>
      <c r="N70" s="63"/>
      <c r="O70" s="63"/>
      <c r="P70" s="63"/>
      <c r="Q70" s="62"/>
      <c r="R70" s="964">
        <v>0.8</v>
      </c>
      <c r="S70" s="62"/>
      <c r="W70" s="305">
        <f t="shared" si="11"/>
        <v>0.55000000000000004</v>
      </c>
      <c r="X70" s="59">
        <f t="shared" si="12"/>
        <v>0.55000000000000004</v>
      </c>
      <c r="Y70" s="305">
        <f t="shared" si="13"/>
        <v>0.55000000000000004</v>
      </c>
      <c r="Z70" s="59">
        <f t="shared" si="14"/>
        <v>0.55000000000000004</v>
      </c>
      <c r="AA70" s="305">
        <f t="shared" si="15"/>
        <v>0.55000000000000004</v>
      </c>
      <c r="AB70" s="59">
        <f t="shared" si="16"/>
        <v>0.55000000000000004</v>
      </c>
      <c r="AC70" s="305">
        <f t="shared" si="17"/>
        <v>0.55000000000000004</v>
      </c>
      <c r="AD70" s="320">
        <f t="shared" si="18"/>
        <v>0.55000000000000004</v>
      </c>
    </row>
    <row r="71" spans="2:30" ht="15" customHeight="1">
      <c r="B71" s="342"/>
      <c r="C71" s="342"/>
      <c r="D71" s="342"/>
      <c r="E71" s="342"/>
      <c r="F71" s="342"/>
      <c r="G71" s="342"/>
      <c r="H71" s="342"/>
      <c r="I71" s="342"/>
      <c r="J71" s="342"/>
      <c r="L71" s="343" t="str">
        <f>Uebersetzung!D303</f>
        <v>pièce annexe, isolé Uue&lt;0.4W/m2K</v>
      </c>
      <c r="M71" s="58"/>
      <c r="N71" s="63"/>
      <c r="O71" s="63"/>
      <c r="P71" s="63"/>
      <c r="Q71" s="62"/>
      <c r="R71" s="964">
        <v>0.7</v>
      </c>
      <c r="S71" s="62"/>
      <c r="V71" s="1795" t="s">
        <v>88</v>
      </c>
      <c r="W71" s="1083">
        <f>IF(Tiefe_1=0,W64,IF(Tiefe_1&lt;=0.5,W64-(W64-W65)*(Tiefe_1-0)/0.5,IF(Tiefe_1&lt;=1,W65-(W65-W66)*(Tiefe_1-0.5)/0.5,IF(Tiefe_1&lt;=2,W66-(W66-W67)*(Tiefe_1-1)/1,IF(Tiefe_1&lt;=3,W67-(W67-W68)*(Tiefe_1-2)/1,IF(Tiefe_1&lt;=5,W68-(W68-W69)*(Tiefe_1-3)/2,IF(Tiefe_1&lt;=10,W69-(W69-W70)*(Tiefe_1-5)/5,W70)))))))</f>
        <v>1</v>
      </c>
      <c r="X71" s="213"/>
      <c r="Y71" s="1083">
        <f>IF(Tiefe_3=0,Y64,IF(Tiefe_3&lt;=0.5,Y64-(Y64-Y65)*(Tiefe_3-0)/0.5,IF(Tiefe_3&lt;=1,Y65-(Y65-Y66)*(Tiefe_3-0.5)/0.5,IF(Tiefe_3&lt;=2,Y66-(Y66-Y67)*(Tiefe_3-1)/1,IF(Tiefe_3&lt;=3,Y67-(Y67-Y68)*(Tiefe_3-2)/1,IF(Tiefe_3&lt;=5,Y68-(Y68-Y69)*(Tiefe_3-3)/2,IF(Tiefe_3&lt;=10,Y69-(Y69-Y70)*(Tiefe_3-5)/5,Y70)))))))</f>
        <v>1</v>
      </c>
      <c r="Z71" s="379"/>
      <c r="AA71" s="1083">
        <f>IF(Tiefe_5=0,AA64,IF(Tiefe_5&lt;=0.5,AA64-(AA64-AA65)*(Tiefe_5-0)/0.5,IF(Tiefe_5&lt;=1,AA65-(AA65-AA66)*(Tiefe_5-0.5)/0.5,IF(Tiefe_5&lt;=2,AA66-(AA66-AA67)*(Tiefe_5-1)/1,IF(Tiefe_5&lt;=3,AA67-(AA67-AA68)*(Tiefe_5-2)/1,IF(Tiefe_5&lt;=5,AA68-(AA68-AA69)*(Tiefe_5-3)/2,IF(Tiefe_5&lt;=10,AA69-(AA69-AA70)*(Tiefe_5-5)/5,AA70)))))))</f>
        <v>1</v>
      </c>
      <c r="AB71" s="379"/>
      <c r="AC71" s="1828">
        <f>IF(Tiefe_7=0,AC64,IF(Tiefe_7&lt;=0.5,AC64-(AC64-AC65)*(Tiefe_7-0)/0.5,IF(Tiefe_7&lt;=1,AC65-(AC65-AC66)*(Tiefe_7-0.5)/0.5,IF(Tiefe_7&lt;=2,AC66-(AC66-AC67)*(Tiefe_7-1)/1,IF(Tiefe_7&lt;=3,AC67-(AC67-AC68)*(Tiefe_7-2)/1,IF(Tiefe_7&lt;=5,AC68-(AC68-AC69)*(Tiefe_7-3)/2,IF(Tiefe_7&lt;=10,AC69-(AC69-AC70)*(Tiefe_7-5)/5,AC70)))))))</f>
        <v>1</v>
      </c>
      <c r="AD71" s="379"/>
    </row>
    <row r="72" spans="2:30" ht="15" customHeight="1">
      <c r="B72" s="400" t="s">
        <v>756</v>
      </c>
      <c r="C72" s="416"/>
      <c r="D72" s="342"/>
      <c r="E72" s="342"/>
      <c r="F72" s="342"/>
      <c r="G72" s="342"/>
      <c r="H72" s="342"/>
      <c r="I72" s="342"/>
      <c r="J72" s="342" t="s">
        <v>1163</v>
      </c>
      <c r="L72" s="343" t="str">
        <f>Uebersetzung!D304</f>
        <v>jardin d' hiver, véranda</v>
      </c>
      <c r="M72" s="58"/>
      <c r="N72" s="63"/>
      <c r="O72" s="63"/>
      <c r="P72" s="63"/>
      <c r="Q72" s="62"/>
      <c r="R72" s="964">
        <v>0.9</v>
      </c>
      <c r="S72" s="62"/>
      <c r="V72" s="1795" t="s">
        <v>3071</v>
      </c>
      <c r="W72" s="305"/>
      <c r="X72" s="1829">
        <f>IF(Tiefe_2=0,X64,IF(Tiefe_2&lt;=0.5,X64-(X64-X65)*(Tiefe_2-0)/0.5,IF(Tiefe_2&lt;=1,X65-(X65-X66)*(Tiefe_2-0.5)/0.5,IF(Tiefe_2&lt;=2,X66-(X66-X67)*(Tiefe_2-1)/1,IF(Tiefe_2&lt;=3,X67-(X67-X68)*(Tiefe_2-2)/1,IF(Tiefe_2&lt;=5,X68-(X68-X69)*(Tiefe_2-3)/2,IF(Tiefe_2&lt;=10,X69-(X69-X70)*(Tiefe_2-5)/5,X70)))))))</f>
        <v>1</v>
      </c>
      <c r="Y72" s="305"/>
      <c r="Z72" s="1081">
        <f>IF(Tiefe_4=0,Z64,IF(Tiefe_4&lt;=0.5,Z64-(Z64-Z65)*(Tiefe_4-0)/0.5,IF(Tiefe_4&lt;=1,Z65-(Z65-Z66)*(Tiefe_4-0.5)/0.5,IF(Tiefe_4&lt;=2,Z66-(Z66-Z67)*(Tiefe_4-1)/1,IF(Tiefe_4&lt;=3,Z67-(Z67-Z68)*(Tiefe_4-2)/1,IF(Tiefe_4&lt;=5,Z68-(Z68-Z69)*(Tiefe_4-3)/2,IF(Tiefe_4&lt;=10,Z69-(Z69-Z70)*(Tiefe_4-5)/5,Z70)))))))</f>
        <v>1</v>
      </c>
      <c r="AA72" s="305"/>
      <c r="AB72" s="1081">
        <f>IF(Tiefe_6=0,AB64,IF(Tiefe_6&lt;=0.5,AB64-(AB64-AB65)*(Tiefe_6-0)/0.5,IF(Tiefe_6&lt;=1,AB65-(AB65-AB66)*(Tiefe_6-0.5)/0.5,IF(Tiefe_6&lt;=2,AB66-(AB66-AB67)*(Tiefe_6-1)/1,IF(Tiefe_6&lt;=3,AB67-(AB67-AB68)*(Tiefe_6-2)/1,IF(Tiefe_6&lt;=5,AB68-(AB68-AB69)*(Tiefe_6-3)/2,IF(Tiefe_6&lt;=10,AB69-(AB69-AB70)*(Tiefe_6-5)/5,AB70)))))))</f>
        <v>1</v>
      </c>
      <c r="AC72" s="59"/>
      <c r="AD72" s="1081">
        <f>IF(Tiefe_8=0,AD64,IF(Tiefe_8&lt;=0.5,AD64-(AD64-AD65)*(Tiefe_8-0)/0.5,IF(Tiefe_8&lt;=1,AD65-(AD65-AD66)*(Tiefe_8-0.5)/0.5,IF(Tiefe_8&lt;=2,AD66-(AD66-AD67)*(Tiefe_8-1)/1,IF(Tiefe_8&lt;=3,AD67-(AD67-AD68)*(Tiefe_8-2)/1,IF(Tiefe_8&lt;=5,AD68-(AD68-AD69)*(Tiefe_8-3)/2,IF(Tiefe_8&lt;=10,AD69-(AD69-AD70)*(Tiefe_8-5)/5,AD70)))))))</f>
        <v>1</v>
      </c>
    </row>
    <row r="73" spans="2:30" ht="15" customHeight="1">
      <c r="B73" s="342"/>
      <c r="C73" s="342"/>
      <c r="D73" s="342"/>
      <c r="E73" s="342"/>
      <c r="F73" s="342"/>
      <c r="G73" s="342"/>
      <c r="H73" s="342"/>
      <c r="I73" s="342"/>
      <c r="J73" s="342"/>
      <c r="K73" s="342"/>
      <c r="L73" s="343"/>
      <c r="M73" s="58"/>
      <c r="N73" s="63"/>
      <c r="O73" s="63"/>
      <c r="P73" s="63"/>
      <c r="Q73" s="62"/>
      <c r="R73" s="964"/>
      <c r="S73" s="62"/>
    </row>
    <row r="74" spans="2:30" ht="15" customHeight="1">
      <c r="B74" s="384" t="s">
        <v>1877</v>
      </c>
      <c r="C74" s="398"/>
      <c r="D74" s="398"/>
      <c r="E74" s="398"/>
      <c r="F74" s="418"/>
      <c r="G74" s="403"/>
      <c r="H74" s="213"/>
      <c r="I74" s="213"/>
      <c r="J74" s="379"/>
      <c r="L74" s="343"/>
      <c r="M74" s="58"/>
      <c r="N74" s="63"/>
      <c r="O74" s="63"/>
      <c r="P74" s="63"/>
      <c r="Q74" s="62"/>
      <c r="R74" s="964"/>
      <c r="S74" s="62"/>
    </row>
    <row r="75" spans="2:30" ht="15" customHeight="1">
      <c r="B75" s="305"/>
      <c r="C75" s="59"/>
      <c r="D75" s="59"/>
      <c r="E75" s="59"/>
      <c r="F75" s="411"/>
      <c r="G75" s="95"/>
      <c r="H75" s="59"/>
      <c r="I75" s="59"/>
      <c r="J75" s="320"/>
      <c r="L75" s="304"/>
      <c r="M75" s="213"/>
      <c r="N75" s="213"/>
      <c r="O75" s="213"/>
      <c r="P75" s="213"/>
      <c r="Q75" s="213"/>
      <c r="R75" s="1243">
        <f>R63</f>
        <v>1</v>
      </c>
      <c r="S75" s="379"/>
    </row>
    <row r="76" spans="2:30" ht="15" customHeight="1">
      <c r="B76" s="1103" t="s">
        <v>1712</v>
      </c>
      <c r="C76" s="1103" t="s">
        <v>1233</v>
      </c>
      <c r="D76" s="393" t="str">
        <f>IF(Drehung&gt;1,Bau!V29,"Süd-West")</f>
        <v>Süd-West</v>
      </c>
      <c r="E76" s="1104" t="s">
        <v>1234</v>
      </c>
      <c r="F76" s="393" t="str">
        <f>IF(Drehung&gt;1,Bau!V10,"Süd-Ost")</f>
        <v>Süd-Ost</v>
      </c>
      <c r="G76" s="1104" t="s">
        <v>1235</v>
      </c>
      <c r="H76" s="393" t="str">
        <f>IF(Drehung&gt;1,Bau!I29,"Nord-West")</f>
        <v>Nord-West</v>
      </c>
      <c r="I76" s="1104" t="s">
        <v>1236</v>
      </c>
      <c r="J76" s="396" t="str">
        <f>IF(Drehung&gt;1,Bau!I10,"Nord-Ost")</f>
        <v>Nord-Ost</v>
      </c>
      <c r="L76" s="154" t="str">
        <f>L66</f>
        <v>sous-sol entièrement enterré</v>
      </c>
      <c r="M76" s="63"/>
      <c r="N76" s="63"/>
      <c r="O76" s="63"/>
      <c r="P76" s="63"/>
      <c r="Q76" s="63"/>
      <c r="R76" s="964">
        <f>R66</f>
        <v>0.7</v>
      </c>
      <c r="S76" s="62"/>
    </row>
    <row r="77" spans="2:30" ht="15" customHeight="1">
      <c r="B77" s="304">
        <v>0</v>
      </c>
      <c r="C77" s="1973">
        <v>1</v>
      </c>
      <c r="D77" s="1979">
        <f t="shared" ref="D77:D84" si="19">IF(Drehung=2,(C77+(C77+E77)/2)/2,IF(Drehung=3,(C77+(C77+G77)/2)/2,(C77+G77)/2))</f>
        <v>1</v>
      </c>
      <c r="E77" s="1921">
        <v>1</v>
      </c>
      <c r="F77" s="1979">
        <f t="shared" ref="F77:F84" si="20">IF(Drehung=2,(E77+(I77+E77)/2)/2,IF(Drehung=3,(E77+(C77+E77)/2)/2,(C77+E77)/2))</f>
        <v>1</v>
      </c>
      <c r="G77" s="1921">
        <v>1</v>
      </c>
      <c r="H77" s="1979">
        <f t="shared" ref="H77:H84" si="21">IF(Drehung=2,(G77+(C77+G77)/2)/2,IF(Drehung=3,(G77+(I77+G77)/2)/2,(I77+G77)/2))</f>
        <v>1</v>
      </c>
      <c r="I77" s="326">
        <v>1</v>
      </c>
      <c r="J77" s="1978">
        <f t="shared" ref="J77:J84" si="22">IF(Drehung=2,(I77+(I77+G77)/2)/2,IF(Drehung=3,(I77+(I77+E77)/2)/2,(I77+E77)/2))</f>
        <v>1</v>
      </c>
      <c r="L77" s="154" t="str">
        <f>L67</f>
        <v>sous-sol entièrement enterré, isolé Uue&lt;0.4W/m2K</v>
      </c>
      <c r="M77" s="63"/>
      <c r="N77" s="63"/>
      <c r="O77" s="63"/>
      <c r="P77" s="63"/>
      <c r="Q77" s="63"/>
      <c r="R77" s="964">
        <f>R67</f>
        <v>0.5</v>
      </c>
      <c r="S77" s="62"/>
    </row>
    <row r="78" spans="2:30" ht="15" customHeight="1">
      <c r="B78" s="327">
        <v>10</v>
      </c>
      <c r="C78" s="1826">
        <v>0.96</v>
      </c>
      <c r="D78" s="1978">
        <f t="shared" si="19"/>
        <v>0.95</v>
      </c>
      <c r="E78" s="292">
        <v>0.94</v>
      </c>
      <c r="F78" s="1978">
        <f t="shared" si="20"/>
        <v>0.95</v>
      </c>
      <c r="G78" s="292">
        <v>0.94</v>
      </c>
      <c r="H78" s="1978">
        <f t="shared" si="21"/>
        <v>0.97</v>
      </c>
      <c r="I78" s="1974">
        <v>1</v>
      </c>
      <c r="J78" s="1978">
        <f t="shared" si="22"/>
        <v>0.97</v>
      </c>
      <c r="L78" s="154" t="str">
        <f>L68</f>
        <v>sous-sol partiellement enterré ou hors terre</v>
      </c>
      <c r="M78" s="58"/>
      <c r="N78" s="63"/>
      <c r="O78" s="63"/>
      <c r="P78" s="63"/>
      <c r="Q78" s="63"/>
      <c r="R78" s="964">
        <f>R68</f>
        <v>0.8</v>
      </c>
      <c r="S78" s="62"/>
    </row>
    <row r="79" spans="2:30" ht="15" customHeight="1">
      <c r="B79" s="327">
        <v>20</v>
      </c>
      <c r="C79" s="1826">
        <v>0.82</v>
      </c>
      <c r="D79" s="1978">
        <f t="shared" si="19"/>
        <v>0.81499999999999995</v>
      </c>
      <c r="E79" s="292">
        <v>0.81</v>
      </c>
      <c r="F79" s="1978">
        <f t="shared" si="20"/>
        <v>0.81499999999999995</v>
      </c>
      <c r="G79" s="292">
        <v>0.81</v>
      </c>
      <c r="H79" s="1978">
        <f t="shared" si="21"/>
        <v>0.89</v>
      </c>
      <c r="I79" s="1974">
        <v>0.97</v>
      </c>
      <c r="J79" s="1978">
        <f t="shared" si="22"/>
        <v>0.89</v>
      </c>
      <c r="L79" s="154" t="str">
        <f>L69</f>
        <v>sous-sol partiellement enterré, isolé Uue&lt;0.4W/m2K</v>
      </c>
      <c r="M79" s="58"/>
      <c r="N79" s="63"/>
      <c r="O79" s="63"/>
      <c r="P79" s="63"/>
      <c r="Q79" s="63"/>
      <c r="R79" s="964">
        <f>R69</f>
        <v>0.7</v>
      </c>
      <c r="S79" s="62"/>
    </row>
    <row r="80" spans="2:30" ht="15" customHeight="1">
      <c r="B80" s="327">
        <v>30</v>
      </c>
      <c r="C80" s="1826">
        <v>0.59</v>
      </c>
      <c r="D80" s="1978">
        <f t="shared" si="19"/>
        <v>0.63500000000000001</v>
      </c>
      <c r="E80" s="292">
        <v>0.68</v>
      </c>
      <c r="F80" s="1978">
        <f t="shared" si="20"/>
        <v>0.63500000000000001</v>
      </c>
      <c r="G80" s="292">
        <v>0.68</v>
      </c>
      <c r="H80" s="1978">
        <f t="shared" si="21"/>
        <v>0.81</v>
      </c>
      <c r="I80" s="1974">
        <v>0.94</v>
      </c>
      <c r="J80" s="1978">
        <f t="shared" si="22"/>
        <v>0.81</v>
      </c>
      <c r="L80" s="327"/>
      <c r="M80" s="58"/>
      <c r="N80" s="63"/>
      <c r="O80" s="63"/>
      <c r="P80" s="63"/>
      <c r="Q80" s="63"/>
      <c r="R80" s="327"/>
      <c r="S80" s="62"/>
    </row>
    <row r="81" spans="2:19" ht="15" customHeight="1">
      <c r="B81" s="327">
        <v>40</v>
      </c>
      <c r="C81" s="1826">
        <v>0.45</v>
      </c>
      <c r="D81" s="1978">
        <f t="shared" si="19"/>
        <v>0.52500000000000002</v>
      </c>
      <c r="E81" s="292">
        <v>0.6</v>
      </c>
      <c r="F81" s="1978">
        <f t="shared" si="20"/>
        <v>0.52500000000000002</v>
      </c>
      <c r="G81" s="292">
        <v>0.6</v>
      </c>
      <c r="H81" s="1978">
        <f t="shared" si="21"/>
        <v>0.75</v>
      </c>
      <c r="I81" s="1974">
        <v>0.9</v>
      </c>
      <c r="J81" s="1978">
        <f t="shared" si="22"/>
        <v>0.75</v>
      </c>
      <c r="L81" s="327"/>
      <c r="M81" s="58"/>
      <c r="N81" s="63"/>
      <c r="O81" s="63"/>
      <c r="P81" s="63"/>
      <c r="Q81" s="63"/>
      <c r="R81" s="327"/>
      <c r="S81" s="62"/>
    </row>
    <row r="82" spans="2:19" ht="15" customHeight="1">
      <c r="B82" s="327">
        <v>50</v>
      </c>
      <c r="C82" s="1826">
        <v>0.36</v>
      </c>
      <c r="D82" s="1978">
        <f t="shared" si="19"/>
        <v>0.43</v>
      </c>
      <c r="E82" s="292">
        <v>0.5</v>
      </c>
      <c r="F82" s="1978">
        <f t="shared" si="20"/>
        <v>0.43</v>
      </c>
      <c r="G82" s="292">
        <v>0.5</v>
      </c>
      <c r="H82" s="1978">
        <f t="shared" si="21"/>
        <v>0.67999999999999994</v>
      </c>
      <c r="I82" s="1974">
        <v>0.86</v>
      </c>
      <c r="J82" s="1978">
        <f t="shared" si="22"/>
        <v>0.67999999999999994</v>
      </c>
      <c r="L82" s="304"/>
      <c r="M82" s="213"/>
      <c r="N82" s="418"/>
      <c r="O82" s="418"/>
      <c r="P82" s="418"/>
      <c r="Q82" s="1832"/>
      <c r="R82" s="1243">
        <f>R63</f>
        <v>1</v>
      </c>
      <c r="S82" s="379"/>
    </row>
    <row r="83" spans="2:19" ht="15" customHeight="1">
      <c r="B83" s="327">
        <v>60</v>
      </c>
      <c r="C83" s="327">
        <v>0.27</v>
      </c>
      <c r="D83" s="1978">
        <f t="shared" si="19"/>
        <v>0.33500000000000002</v>
      </c>
      <c r="E83" s="292">
        <v>0.4</v>
      </c>
      <c r="F83" s="1978">
        <f t="shared" si="20"/>
        <v>0.33500000000000002</v>
      </c>
      <c r="G83" s="292">
        <v>0.4</v>
      </c>
      <c r="H83" s="1978">
        <f t="shared" si="21"/>
        <v>0.61</v>
      </c>
      <c r="I83" s="1976">
        <v>0.82</v>
      </c>
      <c r="J83" s="1978">
        <f t="shared" si="22"/>
        <v>0.61</v>
      </c>
      <c r="L83" s="154" t="str">
        <f>L64</f>
        <v>combles, toit non isolé</v>
      </c>
      <c r="M83" s="63"/>
      <c r="N83" s="63"/>
      <c r="O83" s="63"/>
      <c r="P83" s="63"/>
      <c r="Q83" s="62"/>
      <c r="R83" s="964">
        <f>R64</f>
        <v>0.9</v>
      </c>
      <c r="S83" s="62"/>
    </row>
    <row r="84" spans="2:19" ht="15" customHeight="1">
      <c r="B84" s="327">
        <v>70</v>
      </c>
      <c r="C84" s="1912">
        <v>0.19</v>
      </c>
      <c r="D84" s="1980">
        <f t="shared" si="19"/>
        <v>0.245</v>
      </c>
      <c r="E84" s="1975">
        <v>0.3</v>
      </c>
      <c r="F84" s="1980">
        <f t="shared" si="20"/>
        <v>0.245</v>
      </c>
      <c r="G84" s="1975">
        <v>0.3</v>
      </c>
      <c r="H84" s="1980">
        <f t="shared" si="21"/>
        <v>0.54</v>
      </c>
      <c r="I84" s="320">
        <v>0.78</v>
      </c>
      <c r="J84" s="1978">
        <f t="shared" si="22"/>
        <v>0.54</v>
      </c>
      <c r="L84" s="154" t="str">
        <f t="shared" ref="L84" si="23">L65</f>
        <v>combles, toit isolé Uue&lt;0.4W/m2K</v>
      </c>
      <c r="M84" s="63"/>
      <c r="N84" s="63"/>
      <c r="O84" s="63"/>
      <c r="P84" s="63"/>
      <c r="Q84" s="62"/>
      <c r="R84" s="964">
        <f>R65</f>
        <v>0.7</v>
      </c>
      <c r="S84" s="62"/>
    </row>
    <row r="85" spans="2:19" ht="15" customHeight="1">
      <c r="B85" s="1535" t="s">
        <v>6</v>
      </c>
      <c r="C85" s="1860"/>
      <c r="D85" s="59"/>
      <c r="E85" s="1860"/>
      <c r="F85" s="411"/>
      <c r="G85" s="129"/>
      <c r="H85" s="59"/>
      <c r="I85" s="1860"/>
      <c r="J85" s="1861"/>
      <c r="L85" s="154" t="str">
        <f>L70</f>
        <v>pièce annexe</v>
      </c>
      <c r="M85" s="63"/>
      <c r="N85" s="63"/>
      <c r="O85" s="63"/>
      <c r="P85" s="63"/>
      <c r="Q85" s="62"/>
      <c r="R85" s="964">
        <f>R70</f>
        <v>0.8</v>
      </c>
      <c r="S85" s="62"/>
    </row>
    <row r="86" spans="2:19" ht="15" customHeight="1">
      <c r="B86" s="1103" t="s">
        <v>1712</v>
      </c>
      <c r="C86" s="1103" t="s">
        <v>1233</v>
      </c>
      <c r="D86" s="393" t="str">
        <f>D76</f>
        <v>Süd-West</v>
      </c>
      <c r="E86" s="1104" t="s">
        <v>1234</v>
      </c>
      <c r="F86" s="393" t="str">
        <f>F76</f>
        <v>Süd-Ost</v>
      </c>
      <c r="G86" s="1104" t="s">
        <v>1235</v>
      </c>
      <c r="H86" s="393" t="str">
        <f>H76</f>
        <v>Nord-West</v>
      </c>
      <c r="I86" s="1104" t="s">
        <v>1236</v>
      </c>
      <c r="J86" s="396" t="str">
        <f>J76</f>
        <v>Nord-Ost</v>
      </c>
      <c r="L86" s="154" t="str">
        <f>L71</f>
        <v>pièce annexe, isolé Uue&lt;0.4W/m2K</v>
      </c>
      <c r="M86" s="63"/>
      <c r="N86" s="63"/>
      <c r="O86" s="63"/>
      <c r="P86" s="63"/>
      <c r="Q86" s="62"/>
      <c r="R86" s="964">
        <f t="shared" ref="R86:R87" si="24">R71</f>
        <v>0.7</v>
      </c>
      <c r="S86" s="62"/>
    </row>
    <row r="87" spans="2:19" ht="15" customHeight="1">
      <c r="B87" s="399">
        <v>0</v>
      </c>
      <c r="C87" s="1973">
        <v>1</v>
      </c>
      <c r="D87" s="1979">
        <f t="shared" ref="D87:D92" si="25">IF(Drehung=2,(C87+(C87+E87)/2)/2,IF(Drehung=3,(C87+(C87+G87)/2)/2,(C87+G87)/2))</f>
        <v>1</v>
      </c>
      <c r="E87" s="292">
        <v>1</v>
      </c>
      <c r="F87" s="1979">
        <f t="shared" ref="F87:F92" si="26">IF(Drehung=2,(E87+(I87+E87)/2)/2,IF(Drehung=3,(E87+(C87+E87)/2)/2,(C87+E87)/2))</f>
        <v>1</v>
      </c>
      <c r="G87" s="292">
        <v>1</v>
      </c>
      <c r="H87" s="1979">
        <f t="shared" ref="H87:H92" si="27">IF(Drehung=2,(G87+(C87+G87)/2)/2,IF(Drehung=3,(G87+(I87+G87)/2)/2,(I87+G87)/2))</f>
        <v>1</v>
      </c>
      <c r="I87" s="1974">
        <v>1</v>
      </c>
      <c r="J87" s="1979">
        <f t="shared" ref="J87:J92" si="28">IF(Drehung=2,(I87+(I87+G87)/2)/2,IF(Drehung=3,(I87+(I87+E87)/2)/2,(I87+E87)/2))</f>
        <v>1</v>
      </c>
      <c r="L87" s="154" t="str">
        <f>L72</f>
        <v>jardin d' hiver, véranda</v>
      </c>
      <c r="M87" s="58"/>
      <c r="N87" s="63"/>
      <c r="O87" s="63"/>
      <c r="P87" s="63"/>
      <c r="Q87" s="62"/>
      <c r="R87" s="964">
        <f t="shared" si="24"/>
        <v>0.9</v>
      </c>
      <c r="S87" s="62"/>
    </row>
    <row r="88" spans="2:19" ht="15" customHeight="1">
      <c r="B88" s="393">
        <v>15</v>
      </c>
      <c r="C88" s="1826">
        <v>0.95</v>
      </c>
      <c r="D88" s="1978">
        <f t="shared" si="25"/>
        <v>0.95</v>
      </c>
      <c r="E88" s="292">
        <v>0.95</v>
      </c>
      <c r="F88" s="1978">
        <f t="shared" si="26"/>
        <v>0.95</v>
      </c>
      <c r="G88" s="292">
        <v>0.95</v>
      </c>
      <c r="H88" s="1978">
        <f t="shared" si="27"/>
        <v>0.95499999999999996</v>
      </c>
      <c r="I88" s="1974">
        <v>0.96</v>
      </c>
      <c r="J88" s="1978">
        <f t="shared" si="28"/>
        <v>0.95499999999999996</v>
      </c>
      <c r="L88" s="154"/>
      <c r="M88" s="58"/>
      <c r="N88" s="63"/>
      <c r="O88" s="63"/>
      <c r="P88" s="63"/>
      <c r="Q88" s="62"/>
      <c r="R88" s="964"/>
      <c r="S88" s="62"/>
    </row>
    <row r="89" spans="2:19" ht="15" customHeight="1">
      <c r="B89" s="393">
        <v>30</v>
      </c>
      <c r="C89" s="1826">
        <v>0.91</v>
      </c>
      <c r="D89" s="1978">
        <f t="shared" si="25"/>
        <v>0.9</v>
      </c>
      <c r="E89" s="292">
        <v>0.89</v>
      </c>
      <c r="F89" s="1978">
        <f t="shared" si="26"/>
        <v>0.9</v>
      </c>
      <c r="G89" s="292">
        <v>0.89</v>
      </c>
      <c r="H89" s="1978">
        <f t="shared" si="27"/>
        <v>0.9</v>
      </c>
      <c r="I89" s="1974">
        <v>0.91</v>
      </c>
      <c r="J89" s="1978">
        <f t="shared" si="28"/>
        <v>0.9</v>
      </c>
      <c r="L89" s="327"/>
      <c r="M89" s="58"/>
      <c r="N89" s="63"/>
      <c r="O89" s="63"/>
      <c r="P89" s="63"/>
      <c r="Q89" s="62"/>
      <c r="R89" s="964"/>
      <c r="S89" s="62"/>
    </row>
    <row r="90" spans="2:19" ht="15" customHeight="1">
      <c r="B90" s="393">
        <v>45</v>
      </c>
      <c r="C90" s="1826">
        <v>0.75</v>
      </c>
      <c r="D90" s="1978">
        <f t="shared" si="25"/>
        <v>0.76</v>
      </c>
      <c r="E90" s="292">
        <v>0.77</v>
      </c>
      <c r="F90" s="1978">
        <f t="shared" si="26"/>
        <v>0.76</v>
      </c>
      <c r="G90" s="292">
        <v>0.77</v>
      </c>
      <c r="H90" s="1978">
        <f t="shared" si="27"/>
        <v>0.78500000000000003</v>
      </c>
      <c r="I90" s="1974">
        <v>0.8</v>
      </c>
      <c r="J90" s="1978">
        <f t="shared" si="28"/>
        <v>0.78500000000000003</v>
      </c>
      <c r="L90" s="327"/>
      <c r="M90" s="58"/>
      <c r="N90" s="63"/>
      <c r="O90" s="63"/>
      <c r="P90" s="63"/>
      <c r="Q90" s="62"/>
      <c r="R90" s="964"/>
      <c r="S90" s="62"/>
    </row>
    <row r="91" spans="2:19" ht="15" customHeight="1">
      <c r="B91" s="393">
        <v>60</v>
      </c>
      <c r="C91" s="1826">
        <v>0.52</v>
      </c>
      <c r="D91" s="1978">
        <f t="shared" si="25"/>
        <v>0.55499999999999994</v>
      </c>
      <c r="E91" s="292">
        <v>0.59</v>
      </c>
      <c r="F91" s="1978">
        <f t="shared" si="26"/>
        <v>0.55499999999999994</v>
      </c>
      <c r="G91" s="292">
        <v>0.59</v>
      </c>
      <c r="H91" s="1978">
        <f t="shared" si="27"/>
        <v>0.625</v>
      </c>
      <c r="I91" s="1974">
        <v>0.66</v>
      </c>
      <c r="J91" s="1978">
        <f t="shared" si="28"/>
        <v>0.625</v>
      </c>
      <c r="L91" s="327"/>
      <c r="M91" s="58"/>
      <c r="N91" s="63"/>
      <c r="O91" s="63"/>
      <c r="P91" s="63"/>
      <c r="Q91" s="62"/>
      <c r="R91" s="964"/>
      <c r="S91" s="62"/>
    </row>
    <row r="92" spans="2:19" ht="15" customHeight="1">
      <c r="B92" s="396">
        <v>75</v>
      </c>
      <c r="C92" s="1977">
        <v>0.26</v>
      </c>
      <c r="D92" s="1980">
        <f t="shared" si="25"/>
        <v>0.30000000000000004</v>
      </c>
      <c r="E92" s="450">
        <v>0.34</v>
      </c>
      <c r="F92" s="1980">
        <f t="shared" si="26"/>
        <v>0.30000000000000004</v>
      </c>
      <c r="G92" s="450">
        <v>0.34</v>
      </c>
      <c r="H92" s="1980">
        <f t="shared" si="27"/>
        <v>0.41000000000000003</v>
      </c>
      <c r="I92" s="329">
        <v>0.48</v>
      </c>
      <c r="J92" s="1980">
        <f t="shared" si="28"/>
        <v>0.41000000000000003</v>
      </c>
      <c r="L92" s="305"/>
      <c r="M92" s="59"/>
      <c r="N92" s="59"/>
      <c r="O92" s="59"/>
      <c r="P92" s="59"/>
      <c r="Q92" s="320"/>
      <c r="R92" s="305"/>
      <c r="S92" s="320"/>
    </row>
    <row r="93" spans="2:19" ht="15" customHeight="1">
      <c r="B93" s="34"/>
      <c r="C93" s="34"/>
      <c r="D93" s="34"/>
      <c r="E93" s="34"/>
      <c r="G93" s="34"/>
      <c r="R93" s="342"/>
    </row>
    <row r="94" spans="2:19" ht="15" customHeight="1">
      <c r="B94" s="384" t="s">
        <v>1874</v>
      </c>
      <c r="C94" s="398"/>
      <c r="D94" s="398"/>
      <c r="E94" s="398"/>
      <c r="F94" s="418"/>
      <c r="G94" s="403"/>
      <c r="H94" s="213"/>
      <c r="I94" s="213"/>
      <c r="J94" s="379"/>
      <c r="L94" s="350" t="s">
        <v>976</v>
      </c>
      <c r="M94" s="174"/>
      <c r="N94" s="174"/>
    </row>
    <row r="95" spans="2:19" ht="15" customHeight="1">
      <c r="B95" s="305"/>
      <c r="C95" s="59"/>
      <c r="D95" s="59"/>
      <c r="E95" s="59"/>
      <c r="F95" s="411"/>
      <c r="G95" s="95"/>
      <c r="H95" s="59"/>
      <c r="I95" s="59"/>
      <c r="J95" s="320"/>
      <c r="L95" s="513"/>
      <c r="M95" s="197"/>
      <c r="N95" s="197"/>
      <c r="O95" s="213"/>
      <c r="P95" s="213"/>
      <c r="Q95" s="379"/>
      <c r="R95" s="1245"/>
      <c r="S95" s="379"/>
    </row>
    <row r="96" spans="2:19" ht="15" customHeight="1">
      <c r="B96" s="1103" t="s">
        <v>1712</v>
      </c>
      <c r="C96" s="1103" t="s">
        <v>1233</v>
      </c>
      <c r="D96" s="393" t="str">
        <f>D86</f>
        <v>Süd-West</v>
      </c>
      <c r="E96" s="1104" t="s">
        <v>1234</v>
      </c>
      <c r="F96" s="393" t="str">
        <f>F86</f>
        <v>Süd-Ost</v>
      </c>
      <c r="G96" s="1104" t="s">
        <v>1235</v>
      </c>
      <c r="H96" s="393" t="str">
        <f>H86</f>
        <v>Nord-West</v>
      </c>
      <c r="I96" s="1104" t="s">
        <v>1236</v>
      </c>
      <c r="J96" s="393" t="str">
        <f>J86</f>
        <v>Nord-Ost</v>
      </c>
      <c r="L96" s="661" t="str">
        <f>Uebersetzung!D224</f>
        <v>Argile ou Silt</v>
      </c>
      <c r="M96" s="199"/>
      <c r="N96" s="199"/>
      <c r="O96" s="63"/>
      <c r="P96" s="63"/>
      <c r="Q96" s="62"/>
      <c r="R96" s="253">
        <v>1.5</v>
      </c>
      <c r="S96" s="62" t="s">
        <v>1190</v>
      </c>
    </row>
    <row r="97" spans="2:22" ht="15" customHeight="1">
      <c r="B97" s="399">
        <v>0</v>
      </c>
      <c r="C97" s="1973">
        <v>1</v>
      </c>
      <c r="D97" s="1979">
        <f t="shared" ref="D97:D102" si="29">IF(Drehung=2,(C97+(C97+E97)/2)/2,IF(Drehung=3,(C97+(C97+G97)/2)/2,(C97+G97)/2))</f>
        <v>1</v>
      </c>
      <c r="E97" s="292">
        <v>1</v>
      </c>
      <c r="F97" s="1979">
        <f t="shared" ref="F97:F102" si="30">IF(Drehung=2,(E97+(I97+E97)/2)/2,IF(Drehung=3,(E97+(C97+E97)/2)/2,(C97+E97)/2))</f>
        <v>1</v>
      </c>
      <c r="G97" s="292">
        <v>1</v>
      </c>
      <c r="H97" s="1979">
        <f t="shared" ref="H97:H102" si="31">IF(Drehung=2,(G97+(C97+G97)/2)/2,IF(Drehung=3,(G97+(I97+G97)/2)/2,(I97+G97)/2))</f>
        <v>1</v>
      </c>
      <c r="I97" s="1921">
        <v>1</v>
      </c>
      <c r="J97" s="1979">
        <f t="shared" ref="J97:J102" si="32">IF(Drehung=2,(I97+(I97+G97)/2)/2,IF(Drehung=3,(I97+(I97+E97)/2)/2,(I97+E97)/2))</f>
        <v>1</v>
      </c>
      <c r="L97" s="661" t="str">
        <f>Uebersetzung!D225</f>
        <v>Sable ou gravier (humide)</v>
      </c>
      <c r="M97" s="199"/>
      <c r="N97" s="199"/>
      <c r="O97" s="63"/>
      <c r="P97" s="63"/>
      <c r="Q97" s="62"/>
      <c r="R97" s="253">
        <v>2</v>
      </c>
      <c r="S97" s="62" t="s">
        <v>1190</v>
      </c>
    </row>
    <row r="98" spans="2:22" ht="15" customHeight="1">
      <c r="B98" s="393">
        <v>15</v>
      </c>
      <c r="C98" s="1826">
        <v>0.97</v>
      </c>
      <c r="D98" s="1978">
        <f t="shared" si="29"/>
        <v>0.96499999999999997</v>
      </c>
      <c r="E98" s="292">
        <v>0.96</v>
      </c>
      <c r="F98" s="1978">
        <f t="shared" si="30"/>
        <v>0.96499999999999997</v>
      </c>
      <c r="G98" s="292">
        <v>0.96</v>
      </c>
      <c r="H98" s="1978">
        <f t="shared" si="31"/>
        <v>0.98</v>
      </c>
      <c r="I98" s="292">
        <v>1</v>
      </c>
      <c r="J98" s="1978">
        <f t="shared" si="32"/>
        <v>0.98</v>
      </c>
      <c r="L98" s="1801" t="str">
        <f>Uebersetzung!D226</f>
        <v>Roc homogène</v>
      </c>
      <c r="M98" s="196"/>
      <c r="N98" s="196"/>
      <c r="O98" s="59"/>
      <c r="P98" s="59"/>
      <c r="Q98" s="320"/>
      <c r="R98" s="515">
        <v>3.5</v>
      </c>
      <c r="S98" s="320" t="s">
        <v>1190</v>
      </c>
    </row>
    <row r="99" spans="2:22" ht="15" customHeight="1">
      <c r="B99" s="393">
        <v>30</v>
      </c>
      <c r="C99" s="1826">
        <v>0.94</v>
      </c>
      <c r="D99" s="1978">
        <f t="shared" si="29"/>
        <v>0.92999999999999994</v>
      </c>
      <c r="E99" s="292">
        <v>0.92</v>
      </c>
      <c r="F99" s="1978">
        <f t="shared" si="30"/>
        <v>0.92999999999999994</v>
      </c>
      <c r="G99" s="292">
        <v>0.92</v>
      </c>
      <c r="H99" s="1978">
        <f t="shared" si="31"/>
        <v>0.96</v>
      </c>
      <c r="I99" s="292">
        <v>1</v>
      </c>
      <c r="J99" s="1978">
        <f t="shared" si="32"/>
        <v>0.96</v>
      </c>
      <c r="R99" s="342"/>
    </row>
    <row r="100" spans="2:22" ht="15" customHeight="1">
      <c r="B100" s="393">
        <v>45</v>
      </c>
      <c r="C100" s="1826">
        <v>0.84</v>
      </c>
      <c r="D100" s="1978">
        <f t="shared" si="29"/>
        <v>0.84</v>
      </c>
      <c r="E100" s="292">
        <v>0.84</v>
      </c>
      <c r="F100" s="1978">
        <f t="shared" si="30"/>
        <v>0.84</v>
      </c>
      <c r="G100" s="292">
        <v>0.84</v>
      </c>
      <c r="H100" s="1978">
        <f t="shared" si="31"/>
        <v>0.91999999999999993</v>
      </c>
      <c r="I100" s="292">
        <v>1</v>
      </c>
      <c r="J100" s="1978">
        <f t="shared" si="32"/>
        <v>0.91999999999999993</v>
      </c>
      <c r="R100" s="342"/>
    </row>
    <row r="101" spans="2:22" ht="15" customHeight="1">
      <c r="B101" s="393">
        <v>60</v>
      </c>
      <c r="C101" s="1826">
        <v>0.72</v>
      </c>
      <c r="D101" s="1978">
        <f t="shared" si="29"/>
        <v>0.73499999999999999</v>
      </c>
      <c r="E101" s="292">
        <v>0.75</v>
      </c>
      <c r="F101" s="1978">
        <f t="shared" si="30"/>
        <v>0.73499999999999999</v>
      </c>
      <c r="G101" s="292">
        <v>0.75</v>
      </c>
      <c r="H101" s="1978">
        <f t="shared" si="31"/>
        <v>0.875</v>
      </c>
      <c r="I101" s="292">
        <v>1</v>
      </c>
      <c r="J101" s="1978">
        <f t="shared" si="32"/>
        <v>0.875</v>
      </c>
      <c r="Q101" s="342"/>
      <c r="R101" s="342"/>
    </row>
    <row r="102" spans="2:22" ht="15" customHeight="1">
      <c r="B102" s="396">
        <v>75</v>
      </c>
      <c r="C102" s="1977">
        <v>0.56999999999999995</v>
      </c>
      <c r="D102" s="1980">
        <f t="shared" si="29"/>
        <v>0.61</v>
      </c>
      <c r="E102" s="450">
        <v>0.65</v>
      </c>
      <c r="F102" s="1980">
        <f t="shared" si="30"/>
        <v>0.61</v>
      </c>
      <c r="G102" s="450">
        <v>0.65</v>
      </c>
      <c r="H102" s="1980">
        <f t="shared" si="31"/>
        <v>0.82499999999999996</v>
      </c>
      <c r="I102" s="450">
        <v>1</v>
      </c>
      <c r="J102" s="1980">
        <f t="shared" si="32"/>
        <v>0.82499999999999996</v>
      </c>
      <c r="Q102" s="342"/>
      <c r="R102" s="342"/>
    </row>
    <row r="103" spans="2:22" ht="15" customHeight="1">
      <c r="B103" s="64"/>
      <c r="C103" s="64"/>
      <c r="D103" s="64"/>
      <c r="E103" s="64"/>
      <c r="F103" s="64"/>
      <c r="G103" s="64"/>
      <c r="H103" s="64"/>
      <c r="I103" s="64"/>
      <c r="J103" s="64"/>
      <c r="K103" s="64"/>
      <c r="L103" s="64"/>
      <c r="M103" s="64"/>
      <c r="N103" s="171"/>
      <c r="O103" s="171"/>
      <c r="P103" s="171"/>
      <c r="Q103" s="342"/>
      <c r="R103" s="342"/>
    </row>
    <row r="104" spans="2:22" ht="21.6" customHeight="1">
      <c r="B104" s="359" t="s">
        <v>1183</v>
      </c>
      <c r="C104" s="27"/>
      <c r="D104" s="28"/>
      <c r="L104" s="27"/>
      <c r="M104" s="28"/>
      <c r="O104" s="34"/>
      <c r="Q104" s="53" t="s">
        <v>2139</v>
      </c>
      <c r="R104" s="45"/>
      <c r="S104" s="342"/>
      <c r="T104" s="342"/>
    </row>
    <row r="105" spans="2:22">
      <c r="B105" s="52" t="s">
        <v>1179</v>
      </c>
      <c r="C105" s="27"/>
      <c r="D105" s="28"/>
      <c r="I105" s="27"/>
      <c r="L105" s="27"/>
      <c r="M105" s="28"/>
      <c r="N105" s="34"/>
      <c r="O105" s="34"/>
      <c r="P105" s="34"/>
      <c r="Q105" s="54" t="s">
        <v>2279</v>
      </c>
      <c r="R105" s="27"/>
    </row>
    <row r="106" spans="2:22">
      <c r="C106" s="105" t="s">
        <v>2281</v>
      </c>
      <c r="D106" s="27"/>
      <c r="E106" s="58" t="s">
        <v>2282</v>
      </c>
      <c r="F106" s="34" t="s">
        <v>2283</v>
      </c>
      <c r="G106" s="368" t="s">
        <v>1405</v>
      </c>
      <c r="H106" s="368" t="s">
        <v>1394</v>
      </c>
      <c r="I106" s="34" t="s">
        <v>2284</v>
      </c>
      <c r="J106" s="63"/>
      <c r="K106" s="63"/>
      <c r="L106" s="63"/>
      <c r="M106" s="62"/>
      <c r="N106" s="52" t="s">
        <v>2278</v>
      </c>
      <c r="O106" s="52"/>
      <c r="R106" s="34"/>
      <c r="S106" s="34" t="s">
        <v>2280</v>
      </c>
      <c r="T106" s="146">
        <v>0</v>
      </c>
      <c r="U106" s="146">
        <v>0.3</v>
      </c>
      <c r="V106" s="146">
        <v>0.5</v>
      </c>
    </row>
    <row r="107" spans="2:22" ht="14.25">
      <c r="B107" s="27"/>
      <c r="E107" s="58" t="s">
        <v>366</v>
      </c>
      <c r="F107" s="58" t="s">
        <v>367</v>
      </c>
      <c r="G107" s="368" t="s">
        <v>1392</v>
      </c>
      <c r="H107" s="368" t="s">
        <v>1395</v>
      </c>
      <c r="I107" s="58" t="s">
        <v>368</v>
      </c>
      <c r="J107" s="58" t="s">
        <v>369</v>
      </c>
      <c r="K107" s="305"/>
      <c r="L107" s="95" t="s">
        <v>2071</v>
      </c>
      <c r="M107" s="126"/>
      <c r="N107" s="34" t="s">
        <v>2285</v>
      </c>
      <c r="O107" s="52" t="s">
        <v>1177</v>
      </c>
      <c r="R107" s="34" t="s">
        <v>2286</v>
      </c>
      <c r="S107" s="58" t="s">
        <v>2366</v>
      </c>
      <c r="T107" s="147">
        <v>0.3</v>
      </c>
      <c r="U107" s="147">
        <v>0.5</v>
      </c>
      <c r="V107" s="147">
        <v>1</v>
      </c>
    </row>
    <row r="108" spans="2:22" ht="15">
      <c r="B108" s="31"/>
      <c r="C108" s="120"/>
      <c r="D108" s="35"/>
      <c r="E108" s="59"/>
      <c r="F108" s="59"/>
      <c r="G108" s="561" t="s">
        <v>1393</v>
      </c>
      <c r="H108" s="561" t="s">
        <v>1393</v>
      </c>
      <c r="I108" s="59"/>
      <c r="J108" s="320"/>
      <c r="K108" s="95" t="s">
        <v>2072</v>
      </c>
      <c r="L108" s="462" t="s">
        <v>2073</v>
      </c>
      <c r="M108" s="126" t="s">
        <v>2074</v>
      </c>
      <c r="N108" s="95" t="s">
        <v>2367</v>
      </c>
      <c r="O108" s="120"/>
      <c r="P108" s="59"/>
      <c r="Q108" s="59"/>
      <c r="R108" s="95"/>
      <c r="S108" s="31"/>
      <c r="T108" s="31"/>
      <c r="U108" s="31"/>
      <c r="V108" s="31"/>
    </row>
    <row r="109" spans="2:22">
      <c r="C109" s="29" t="s">
        <v>350</v>
      </c>
      <c r="K109" s="399"/>
      <c r="L109" s="399"/>
      <c r="M109" s="562"/>
      <c r="N109" s="28">
        <v>500</v>
      </c>
      <c r="O109" s="27" t="s">
        <v>371</v>
      </c>
      <c r="R109" s="28">
        <v>2</v>
      </c>
      <c r="S109" s="28">
        <v>20</v>
      </c>
      <c r="T109" s="28">
        <v>8</v>
      </c>
      <c r="U109" s="28">
        <v>6</v>
      </c>
      <c r="V109" s="28">
        <v>4</v>
      </c>
    </row>
    <row r="110" spans="2:22">
      <c r="B110" s="27">
        <v>1</v>
      </c>
      <c r="C110" s="27" t="s">
        <v>370</v>
      </c>
      <c r="E110" s="28">
        <v>382</v>
      </c>
      <c r="G110" s="28">
        <v>0.59699999999999998</v>
      </c>
      <c r="H110" s="28">
        <v>0.71899999999999997</v>
      </c>
      <c r="I110" s="28">
        <v>-8</v>
      </c>
      <c r="J110" s="63">
        <v>2</v>
      </c>
      <c r="K110" s="327">
        <v>1121</v>
      </c>
      <c r="L110" s="393">
        <v>461</v>
      </c>
      <c r="M110" s="62">
        <v>0.12</v>
      </c>
      <c r="N110" s="28">
        <v>500</v>
      </c>
      <c r="O110" s="27" t="s">
        <v>373</v>
      </c>
      <c r="R110" s="28">
        <v>5</v>
      </c>
      <c r="S110" s="28">
        <v>50</v>
      </c>
      <c r="T110" s="28">
        <v>20</v>
      </c>
      <c r="U110" s="28">
        <v>15</v>
      </c>
      <c r="V110" s="28">
        <v>10</v>
      </c>
    </row>
    <row r="111" spans="2:22">
      <c r="B111" s="27">
        <v>2</v>
      </c>
      <c r="C111" s="27" t="s">
        <v>372</v>
      </c>
      <c r="E111" s="28">
        <v>1353</v>
      </c>
      <c r="G111" s="28">
        <v>0.61099999999999999</v>
      </c>
      <c r="H111" s="28">
        <v>0.70399999999999996</v>
      </c>
      <c r="I111" s="28">
        <v>-11</v>
      </c>
      <c r="J111" s="63">
        <v>2</v>
      </c>
      <c r="K111" s="327">
        <v>1656</v>
      </c>
      <c r="L111" s="393">
        <v>640</v>
      </c>
      <c r="M111" s="62">
        <v>1.29</v>
      </c>
      <c r="N111" s="28">
        <v>1000</v>
      </c>
      <c r="O111" s="27" t="s">
        <v>374</v>
      </c>
      <c r="R111" s="28">
        <v>5</v>
      </c>
      <c r="S111" s="28">
        <v>100</v>
      </c>
      <c r="T111" s="28">
        <v>40</v>
      </c>
      <c r="U111" s="28">
        <v>30</v>
      </c>
      <c r="V111" s="28">
        <v>20</v>
      </c>
    </row>
    <row r="112" spans="2:22">
      <c r="B112" s="27">
        <v>3</v>
      </c>
      <c r="C112" s="27" t="s">
        <v>99</v>
      </c>
      <c r="E112" s="28">
        <v>1149</v>
      </c>
      <c r="F112" s="28" t="s">
        <v>1443</v>
      </c>
      <c r="G112" s="28">
        <v>0.59699999999999998</v>
      </c>
      <c r="H112" s="28">
        <v>0.70699999999999996</v>
      </c>
      <c r="I112" s="28">
        <v>-8</v>
      </c>
      <c r="J112" s="63">
        <v>2</v>
      </c>
      <c r="K112" s="327">
        <v>1583</v>
      </c>
      <c r="L112" s="393">
        <v>744</v>
      </c>
      <c r="M112" s="62">
        <v>0.71</v>
      </c>
      <c r="N112" s="28">
        <v>1000</v>
      </c>
      <c r="O112" s="27" t="s">
        <v>2252</v>
      </c>
      <c r="R112" s="28">
        <v>10</v>
      </c>
      <c r="S112" s="28">
        <v>200</v>
      </c>
      <c r="T112" s="28">
        <v>80</v>
      </c>
      <c r="U112" s="28">
        <v>60</v>
      </c>
      <c r="V112" s="28">
        <v>40</v>
      </c>
    </row>
    <row r="113" spans="2:22">
      <c r="B113" s="27">
        <v>4</v>
      </c>
      <c r="C113" s="27" t="s">
        <v>2253</v>
      </c>
      <c r="E113" s="28">
        <v>451</v>
      </c>
      <c r="F113" s="28" t="s">
        <v>1585</v>
      </c>
      <c r="G113" s="28">
        <v>0.59</v>
      </c>
      <c r="H113" s="28">
        <v>0.71699999999999997</v>
      </c>
      <c r="I113" s="28">
        <v>-6</v>
      </c>
      <c r="J113" s="63">
        <v>1</v>
      </c>
      <c r="K113" s="327">
        <v>1018</v>
      </c>
      <c r="L113" s="393">
        <v>486</v>
      </c>
      <c r="M113" s="62">
        <v>0.21</v>
      </c>
      <c r="N113" s="28">
        <v>1000</v>
      </c>
      <c r="O113" s="27" t="s">
        <v>2254</v>
      </c>
      <c r="R113" s="28">
        <v>15</v>
      </c>
      <c r="S113" s="28">
        <v>300</v>
      </c>
      <c r="T113" s="28">
        <v>120</v>
      </c>
      <c r="U113" s="28">
        <v>90</v>
      </c>
      <c r="V113" s="28">
        <v>60</v>
      </c>
    </row>
    <row r="114" spans="2:22">
      <c r="B114" s="27">
        <v>5</v>
      </c>
      <c r="C114" s="27" t="s">
        <v>2255</v>
      </c>
      <c r="E114" s="28">
        <v>462</v>
      </c>
      <c r="G114" s="28">
        <v>0.60799999999999998</v>
      </c>
      <c r="H114" s="28">
        <v>0.71699999999999997</v>
      </c>
      <c r="I114" s="28">
        <v>-10</v>
      </c>
      <c r="J114" s="63">
        <v>1</v>
      </c>
      <c r="K114" s="327">
        <v>1182</v>
      </c>
      <c r="L114" s="393">
        <v>360</v>
      </c>
      <c r="M114" s="62">
        <v>0.33</v>
      </c>
      <c r="N114" s="28">
        <v>1100</v>
      </c>
      <c r="O114" s="27" t="s">
        <v>2256</v>
      </c>
      <c r="R114" s="28">
        <v>6</v>
      </c>
      <c r="S114" s="28">
        <v>110</v>
      </c>
      <c r="T114" s="28">
        <v>50</v>
      </c>
      <c r="U114" s="28">
        <v>40</v>
      </c>
      <c r="V114" s="28">
        <v>30</v>
      </c>
    </row>
    <row r="115" spans="2:22">
      <c r="B115" s="27">
        <v>6</v>
      </c>
      <c r="C115" s="27" t="s">
        <v>2257</v>
      </c>
      <c r="E115" s="28">
        <v>1447</v>
      </c>
      <c r="G115" s="28">
        <v>0.61799999999999999</v>
      </c>
      <c r="H115" s="28">
        <v>0.70599999999999996</v>
      </c>
      <c r="I115" s="28">
        <v>-13</v>
      </c>
      <c r="J115" s="63">
        <v>2</v>
      </c>
      <c r="K115" s="327">
        <v>2086</v>
      </c>
      <c r="L115" s="393">
        <v>710</v>
      </c>
      <c r="M115" s="62">
        <v>1.95</v>
      </c>
      <c r="N115" s="28">
        <v>1100</v>
      </c>
      <c r="O115" s="27" t="s">
        <v>2258</v>
      </c>
      <c r="R115" s="28">
        <v>8</v>
      </c>
      <c r="S115" s="28">
        <v>170</v>
      </c>
      <c r="T115" s="28">
        <v>70</v>
      </c>
      <c r="U115" s="28">
        <v>50</v>
      </c>
      <c r="V115" s="28">
        <v>30</v>
      </c>
    </row>
    <row r="116" spans="2:22">
      <c r="B116" s="27">
        <v>7</v>
      </c>
      <c r="C116" s="27" t="s">
        <v>2260</v>
      </c>
      <c r="E116" s="28">
        <v>1847</v>
      </c>
      <c r="F116" s="28" t="s">
        <v>1583</v>
      </c>
      <c r="G116" s="28">
        <v>0.623</v>
      </c>
      <c r="H116" s="28">
        <v>0.70799999999999996</v>
      </c>
      <c r="I116" s="28">
        <v>-12</v>
      </c>
      <c r="J116" s="63">
        <v>1</v>
      </c>
      <c r="K116" s="327">
        <v>2316</v>
      </c>
      <c r="L116" s="393">
        <v>826</v>
      </c>
      <c r="M116" s="62">
        <v>2.5299999999999998</v>
      </c>
      <c r="N116" s="28">
        <v>1100</v>
      </c>
      <c r="O116" s="27" t="s">
        <v>2259</v>
      </c>
      <c r="R116" s="28">
        <v>10</v>
      </c>
      <c r="S116" s="28">
        <v>220</v>
      </c>
      <c r="T116" s="28">
        <v>90</v>
      </c>
      <c r="U116" s="28">
        <v>70</v>
      </c>
      <c r="V116" s="28">
        <v>40</v>
      </c>
    </row>
    <row r="117" spans="2:22">
      <c r="B117" s="27">
        <v>8</v>
      </c>
      <c r="C117" s="27" t="s">
        <v>92</v>
      </c>
      <c r="E117" s="28">
        <v>510</v>
      </c>
      <c r="F117" s="28" t="s">
        <v>1585</v>
      </c>
      <c r="G117" s="28">
        <v>0.60299999999999998</v>
      </c>
      <c r="H117" s="28">
        <v>0.71699999999999997</v>
      </c>
      <c r="I117" s="28">
        <v>-9</v>
      </c>
      <c r="J117" s="63">
        <v>1</v>
      </c>
      <c r="K117" s="327">
        <v>1101</v>
      </c>
      <c r="L117" s="393">
        <v>556</v>
      </c>
      <c r="M117" s="62">
        <v>0.04</v>
      </c>
      <c r="N117" s="28">
        <v>1200</v>
      </c>
      <c r="O117" s="27" t="s">
        <v>2261</v>
      </c>
      <c r="R117" s="28">
        <v>10</v>
      </c>
      <c r="S117" s="28">
        <v>240</v>
      </c>
      <c r="T117" s="28">
        <v>100</v>
      </c>
      <c r="U117" s="28">
        <v>70</v>
      </c>
      <c r="V117" s="28">
        <v>50</v>
      </c>
    </row>
    <row r="118" spans="2:22">
      <c r="B118" s="27">
        <v>9</v>
      </c>
      <c r="C118" s="27" t="s">
        <v>1091</v>
      </c>
      <c r="E118" s="28">
        <v>317</v>
      </c>
      <c r="F118" s="28" t="s">
        <v>1439</v>
      </c>
      <c r="G118" s="28">
        <v>0.59699999999999998</v>
      </c>
      <c r="H118" s="28">
        <v>0.71599999999999997</v>
      </c>
      <c r="I118" s="28">
        <v>-8</v>
      </c>
      <c r="J118" s="63">
        <v>1</v>
      </c>
      <c r="K118" s="327">
        <v>1012</v>
      </c>
      <c r="L118" s="393">
        <v>410</v>
      </c>
      <c r="M118" s="62">
        <v>0.13</v>
      </c>
      <c r="N118" s="28">
        <v>1200</v>
      </c>
      <c r="O118" s="27" t="s">
        <v>2262</v>
      </c>
      <c r="R118" s="28">
        <v>12</v>
      </c>
      <c r="S118" s="28">
        <v>290</v>
      </c>
      <c r="T118" s="28">
        <v>120</v>
      </c>
      <c r="U118" s="28">
        <v>90</v>
      </c>
      <c r="V118" s="28">
        <v>60</v>
      </c>
    </row>
    <row r="119" spans="2:22">
      <c r="B119" s="27">
        <v>10</v>
      </c>
      <c r="C119" s="27" t="s">
        <v>1587</v>
      </c>
      <c r="E119" s="28">
        <v>1170</v>
      </c>
      <c r="F119" s="28" t="s">
        <v>356</v>
      </c>
      <c r="G119" s="28">
        <v>0.6</v>
      </c>
      <c r="H119" s="28">
        <v>0.70499999999999996</v>
      </c>
      <c r="I119" s="28">
        <v>-8</v>
      </c>
      <c r="J119" s="63">
        <v>1</v>
      </c>
      <c r="K119" s="327">
        <v>1427</v>
      </c>
      <c r="L119" s="393">
        <v>717</v>
      </c>
      <c r="M119" s="62">
        <v>0.9</v>
      </c>
      <c r="N119" s="28">
        <v>1200</v>
      </c>
      <c r="O119" s="27" t="s">
        <v>1090</v>
      </c>
      <c r="R119" s="28">
        <v>15</v>
      </c>
      <c r="S119" s="28">
        <v>360</v>
      </c>
      <c r="T119" s="28">
        <v>140</v>
      </c>
      <c r="U119" s="28">
        <v>110</v>
      </c>
      <c r="V119" s="28">
        <v>70</v>
      </c>
    </row>
    <row r="120" spans="2:22">
      <c r="B120" s="27">
        <v>11</v>
      </c>
      <c r="C120" s="27" t="s">
        <v>1095</v>
      </c>
      <c r="E120" s="28">
        <v>229</v>
      </c>
      <c r="G120" s="28">
        <v>0.47699999999999998</v>
      </c>
      <c r="H120" s="28">
        <v>0.72299999999999998</v>
      </c>
      <c r="I120" s="28">
        <v>-3</v>
      </c>
      <c r="J120" s="63">
        <v>1</v>
      </c>
      <c r="K120" s="327">
        <v>709</v>
      </c>
      <c r="L120" s="393">
        <v>572</v>
      </c>
      <c r="M120" s="62" t="s">
        <v>2325</v>
      </c>
      <c r="N120" s="28">
        <v>1400</v>
      </c>
      <c r="O120" s="27" t="s">
        <v>1092</v>
      </c>
      <c r="R120" s="28">
        <v>2</v>
      </c>
      <c r="S120" s="28">
        <v>60</v>
      </c>
      <c r="T120" s="28">
        <v>20</v>
      </c>
      <c r="U120" s="28">
        <v>20</v>
      </c>
      <c r="V120" s="28">
        <v>10</v>
      </c>
    </row>
    <row r="121" spans="2:22">
      <c r="B121" s="27">
        <v>12</v>
      </c>
      <c r="C121" s="27" t="s">
        <v>1586</v>
      </c>
      <c r="E121" s="28">
        <v>572</v>
      </c>
      <c r="F121" s="28" t="s">
        <v>1439</v>
      </c>
      <c r="G121" s="28">
        <v>0.59699999999999998</v>
      </c>
      <c r="H121" s="28">
        <v>0.70299999999999996</v>
      </c>
      <c r="I121" s="28">
        <v>-8</v>
      </c>
      <c r="J121" s="63">
        <v>2</v>
      </c>
      <c r="K121" s="327">
        <v>1179</v>
      </c>
      <c r="L121" s="393">
        <v>388</v>
      </c>
      <c r="M121" s="62">
        <v>0.32</v>
      </c>
      <c r="N121" s="28">
        <v>2000</v>
      </c>
      <c r="O121" s="27" t="s">
        <v>1093</v>
      </c>
      <c r="R121" s="28">
        <v>12</v>
      </c>
      <c r="S121" s="28">
        <v>480</v>
      </c>
      <c r="T121" s="28">
        <v>190</v>
      </c>
      <c r="U121" s="28">
        <v>140</v>
      </c>
      <c r="V121" s="28">
        <v>100</v>
      </c>
    </row>
    <row r="122" spans="2:22">
      <c r="B122" s="27">
        <v>13</v>
      </c>
      <c r="C122" s="27" t="s">
        <v>1098</v>
      </c>
      <c r="E122" s="28">
        <v>2304</v>
      </c>
      <c r="G122" s="28">
        <v>0.623</v>
      </c>
      <c r="H122" s="28">
        <v>0.70899999999999996</v>
      </c>
      <c r="I122" s="28">
        <v>-15</v>
      </c>
      <c r="J122" s="63">
        <v>4</v>
      </c>
      <c r="K122" s="327">
        <v>2901</v>
      </c>
      <c r="L122" s="393">
        <v>995</v>
      </c>
      <c r="M122" s="62">
        <v>3.86</v>
      </c>
      <c r="N122" s="28">
        <v>2000</v>
      </c>
      <c r="O122" s="27" t="s">
        <v>1094</v>
      </c>
      <c r="R122" s="28">
        <v>15</v>
      </c>
      <c r="S122" s="28">
        <v>600</v>
      </c>
      <c r="T122" s="28">
        <v>240</v>
      </c>
      <c r="U122" s="28">
        <v>180</v>
      </c>
      <c r="V122" s="28">
        <v>120</v>
      </c>
    </row>
    <row r="123" spans="2:22">
      <c r="B123" s="27">
        <v>14</v>
      </c>
      <c r="C123" s="27" t="s">
        <v>1100</v>
      </c>
      <c r="E123" s="28">
        <v>1712</v>
      </c>
      <c r="F123" s="28" t="s">
        <v>1585</v>
      </c>
      <c r="G123" s="28">
        <v>0.63100000000000001</v>
      </c>
      <c r="H123" s="28">
        <v>0.70299999999999996</v>
      </c>
      <c r="I123" s="28">
        <v>-16</v>
      </c>
      <c r="J123" s="63">
        <v>1</v>
      </c>
      <c r="K123" s="327">
        <v>2510</v>
      </c>
      <c r="L123" s="393">
        <v>645</v>
      </c>
      <c r="M123" s="62">
        <v>3.14</v>
      </c>
      <c r="N123" s="28">
        <v>2000</v>
      </c>
      <c r="O123" s="27" t="s">
        <v>1096</v>
      </c>
      <c r="R123" s="28">
        <v>18</v>
      </c>
      <c r="S123" s="28">
        <v>720</v>
      </c>
      <c r="T123" s="28">
        <v>290</v>
      </c>
      <c r="U123" s="28">
        <v>220</v>
      </c>
      <c r="V123" s="28">
        <v>140</v>
      </c>
    </row>
    <row r="124" spans="2:22">
      <c r="B124" s="27">
        <v>15</v>
      </c>
      <c r="C124" s="27" t="s">
        <v>1102</v>
      </c>
      <c r="E124" s="28">
        <v>434</v>
      </c>
      <c r="F124" s="28" t="s">
        <v>1585</v>
      </c>
      <c r="G124" s="28">
        <v>0.6</v>
      </c>
      <c r="H124" s="28">
        <v>0.71299999999999997</v>
      </c>
      <c r="I124" s="28">
        <v>-8</v>
      </c>
      <c r="J124" s="63">
        <v>2</v>
      </c>
      <c r="K124" s="327">
        <v>1181</v>
      </c>
      <c r="L124" s="393">
        <v>483</v>
      </c>
      <c r="M124" s="62">
        <v>0.11</v>
      </c>
      <c r="N124" s="28">
        <v>2200</v>
      </c>
      <c r="O124" s="27" t="s">
        <v>1097</v>
      </c>
      <c r="R124" s="28">
        <v>3</v>
      </c>
      <c r="S124" s="28">
        <v>130</v>
      </c>
      <c r="T124" s="28">
        <v>50</v>
      </c>
      <c r="U124" s="28">
        <v>40</v>
      </c>
      <c r="V124" s="28">
        <v>30</v>
      </c>
    </row>
    <row r="125" spans="2:22">
      <c r="B125" s="27">
        <v>16</v>
      </c>
      <c r="C125" s="27" t="s">
        <v>1106</v>
      </c>
      <c r="E125" s="28">
        <v>985</v>
      </c>
      <c r="F125" s="28" t="s">
        <v>356</v>
      </c>
      <c r="G125" s="28">
        <v>0.60799999999999998</v>
      </c>
      <c r="H125" s="28">
        <v>0.70899999999999996</v>
      </c>
      <c r="I125" s="28">
        <v>-11</v>
      </c>
      <c r="J125" s="63">
        <v>1</v>
      </c>
      <c r="K125" s="327">
        <v>1560</v>
      </c>
      <c r="L125" s="393">
        <v>528</v>
      </c>
      <c r="M125" s="62">
        <v>0.99</v>
      </c>
      <c r="N125" s="28">
        <v>2200</v>
      </c>
      <c r="O125" s="27" t="s">
        <v>1099</v>
      </c>
      <c r="R125" s="28">
        <v>6</v>
      </c>
      <c r="S125" s="28">
        <v>260</v>
      </c>
      <c r="T125" s="28">
        <v>100</v>
      </c>
      <c r="U125" s="28">
        <v>80</v>
      </c>
      <c r="V125" s="28">
        <v>50</v>
      </c>
    </row>
    <row r="126" spans="2:22">
      <c r="B126" s="27">
        <v>17</v>
      </c>
      <c r="C126" s="27" t="s">
        <v>1107</v>
      </c>
      <c r="E126" s="28">
        <v>1087</v>
      </c>
      <c r="G126" s="28">
        <v>0.61099999999999999</v>
      </c>
      <c r="H126" s="28">
        <v>0.70499999999999996</v>
      </c>
      <c r="I126" s="28">
        <v>-11</v>
      </c>
      <c r="J126" s="63">
        <v>3</v>
      </c>
      <c r="K126" s="327">
        <v>1622</v>
      </c>
      <c r="L126" s="393">
        <v>495</v>
      </c>
      <c r="M126" s="62">
        <v>1.39</v>
      </c>
      <c r="N126" s="28">
        <v>2400</v>
      </c>
      <c r="O126" s="27" t="s">
        <v>1101</v>
      </c>
      <c r="R126" s="28">
        <v>12</v>
      </c>
      <c r="S126" s="28">
        <v>580</v>
      </c>
      <c r="T126" s="28">
        <v>230</v>
      </c>
      <c r="U126" s="28">
        <v>170</v>
      </c>
      <c r="V126" s="28">
        <v>110</v>
      </c>
    </row>
    <row r="127" spans="2:22">
      <c r="B127" s="27">
        <v>18</v>
      </c>
      <c r="C127" s="27" t="s">
        <v>100</v>
      </c>
      <c r="E127" s="28">
        <v>552</v>
      </c>
      <c r="F127" s="28" t="s">
        <v>1443</v>
      </c>
      <c r="G127" s="28">
        <v>0.56999999999999995</v>
      </c>
      <c r="H127" s="28">
        <v>0.71399999999999997</v>
      </c>
      <c r="I127" s="28">
        <v>-4</v>
      </c>
      <c r="J127" s="63">
        <v>1</v>
      </c>
      <c r="K127" s="327">
        <v>1000</v>
      </c>
      <c r="L127" s="393">
        <v>695</v>
      </c>
      <c r="M127" s="62">
        <v>0.09</v>
      </c>
      <c r="N127" s="28">
        <v>2400</v>
      </c>
      <c r="O127" s="27" t="s">
        <v>1103</v>
      </c>
      <c r="R127" s="28">
        <v>16</v>
      </c>
      <c r="S127" s="28">
        <v>770</v>
      </c>
      <c r="T127" s="28">
        <v>310</v>
      </c>
      <c r="U127" s="28">
        <v>230</v>
      </c>
      <c r="V127" s="28">
        <v>150</v>
      </c>
    </row>
    <row r="128" spans="2:22">
      <c r="B128" s="27">
        <v>19</v>
      </c>
      <c r="C128" s="27" t="s">
        <v>1440</v>
      </c>
      <c r="E128" s="28">
        <v>1592</v>
      </c>
      <c r="F128" s="28" t="s">
        <v>1439</v>
      </c>
      <c r="G128" s="28">
        <v>0.621</v>
      </c>
      <c r="H128" s="28">
        <v>0.70699999999999996</v>
      </c>
      <c r="I128" s="28">
        <v>-14</v>
      </c>
      <c r="J128" s="63">
        <v>1</v>
      </c>
      <c r="K128" s="327">
        <v>2124</v>
      </c>
      <c r="L128" s="393">
        <v>698</v>
      </c>
      <c r="M128" s="62">
        <v>1.88</v>
      </c>
      <c r="N128" s="28">
        <v>2400</v>
      </c>
      <c r="O128" s="27" t="s">
        <v>1104</v>
      </c>
      <c r="R128" s="28">
        <v>20</v>
      </c>
      <c r="S128" s="28">
        <v>960</v>
      </c>
      <c r="T128" s="28">
        <v>380</v>
      </c>
      <c r="U128" s="28">
        <v>290</v>
      </c>
      <c r="V128" s="28">
        <v>190</v>
      </c>
    </row>
    <row r="129" spans="2:21">
      <c r="B129" s="27">
        <v>20</v>
      </c>
      <c r="C129" s="27" t="s">
        <v>884</v>
      </c>
      <c r="E129" s="28">
        <v>416</v>
      </c>
      <c r="F129" s="28" t="s">
        <v>1585</v>
      </c>
      <c r="G129" s="28">
        <v>0.59699999999999998</v>
      </c>
      <c r="H129" s="28">
        <v>0.71599999999999997</v>
      </c>
      <c r="I129" s="28">
        <v>-7</v>
      </c>
      <c r="J129" s="63">
        <v>1</v>
      </c>
      <c r="K129" s="327">
        <v>1177</v>
      </c>
      <c r="L129" s="393">
        <v>415</v>
      </c>
      <c r="M129" s="62">
        <v>0.33</v>
      </c>
      <c r="O129" s="27"/>
    </row>
    <row r="130" spans="2:21">
      <c r="B130" s="27">
        <v>21</v>
      </c>
      <c r="C130" s="27" t="s">
        <v>93</v>
      </c>
      <c r="E130" s="28">
        <v>1180</v>
      </c>
      <c r="F130" s="28" t="s">
        <v>356</v>
      </c>
      <c r="G130" s="28">
        <v>0.60599999999999998</v>
      </c>
      <c r="H130" s="28">
        <v>0.80200000000000005</v>
      </c>
      <c r="I130" s="28">
        <v>-9</v>
      </c>
      <c r="J130" s="63">
        <v>2</v>
      </c>
      <c r="K130" s="327">
        <v>1462</v>
      </c>
      <c r="L130" s="393">
        <v>650</v>
      </c>
      <c r="M130" s="62">
        <v>0.56999999999999995</v>
      </c>
      <c r="O130" s="27"/>
    </row>
    <row r="131" spans="2:21">
      <c r="B131" s="27">
        <v>22</v>
      </c>
      <c r="C131" s="27" t="s">
        <v>885</v>
      </c>
      <c r="E131" s="28">
        <v>637</v>
      </c>
      <c r="G131" s="28">
        <v>0.61099999999999999</v>
      </c>
      <c r="H131" s="28">
        <v>0.70799999999999996</v>
      </c>
      <c r="I131" s="28">
        <v>-11</v>
      </c>
      <c r="J131" s="63">
        <v>1</v>
      </c>
      <c r="K131" s="327">
        <v>1432</v>
      </c>
      <c r="L131" s="393">
        <v>424</v>
      </c>
      <c r="M131" s="62">
        <v>0.46</v>
      </c>
      <c r="O131" s="27"/>
    </row>
    <row r="132" spans="2:21">
      <c r="B132" s="27">
        <v>23</v>
      </c>
      <c r="C132" s="27" t="s">
        <v>1572</v>
      </c>
      <c r="E132" s="28">
        <v>910</v>
      </c>
      <c r="F132" s="28" t="s">
        <v>1585</v>
      </c>
      <c r="G132" s="28">
        <v>0.60599999999999998</v>
      </c>
      <c r="H132" s="28">
        <v>0.71</v>
      </c>
      <c r="I132" s="28">
        <v>-10</v>
      </c>
      <c r="J132" s="63">
        <v>1</v>
      </c>
      <c r="K132" s="327">
        <v>1498</v>
      </c>
      <c r="L132" s="393">
        <v>488</v>
      </c>
      <c r="M132" s="62">
        <v>1.33</v>
      </c>
      <c r="N132" s="52" t="s">
        <v>1105</v>
      </c>
      <c r="O132" s="27"/>
    </row>
    <row r="133" spans="2:21">
      <c r="B133" s="27">
        <v>24</v>
      </c>
      <c r="C133" s="27" t="s">
        <v>886</v>
      </c>
      <c r="E133" s="28">
        <v>977</v>
      </c>
      <c r="G133" s="28">
        <v>0.61099999999999999</v>
      </c>
      <c r="H133" s="28">
        <v>0.70499999999999996</v>
      </c>
      <c r="I133" s="28">
        <v>-11</v>
      </c>
      <c r="J133" s="63">
        <v>2</v>
      </c>
      <c r="K133" s="327">
        <v>1572</v>
      </c>
      <c r="L133" s="393">
        <v>537</v>
      </c>
      <c r="M133" s="62">
        <v>0.94</v>
      </c>
      <c r="N133" s="27"/>
      <c r="O133" s="27"/>
    </row>
    <row r="134" spans="2:21">
      <c r="B134" s="27">
        <v>25</v>
      </c>
      <c r="C134" s="27" t="s">
        <v>887</v>
      </c>
      <c r="E134" s="28">
        <v>1018</v>
      </c>
      <c r="F134" s="28" t="s">
        <v>1443</v>
      </c>
      <c r="G134" s="28">
        <v>0.60799999999999998</v>
      </c>
      <c r="H134" s="28">
        <v>0.70499999999999996</v>
      </c>
      <c r="I134" s="28">
        <v>-10</v>
      </c>
      <c r="J134" s="63">
        <v>1</v>
      </c>
      <c r="K134" s="327">
        <v>1587</v>
      </c>
      <c r="L134" s="393">
        <v>621</v>
      </c>
      <c r="M134" s="62">
        <v>0.99</v>
      </c>
      <c r="N134" s="34" t="s">
        <v>1108</v>
      </c>
      <c r="O134" s="52"/>
      <c r="R134" s="34"/>
      <c r="S134" s="53" t="s">
        <v>880</v>
      </c>
      <c r="T134" s="53"/>
      <c r="U134" s="53"/>
    </row>
    <row r="135" spans="2:21">
      <c r="B135" s="27">
        <v>26</v>
      </c>
      <c r="C135" s="27" t="s">
        <v>888</v>
      </c>
      <c r="E135" s="28">
        <v>410</v>
      </c>
      <c r="G135" s="28">
        <v>0.6</v>
      </c>
      <c r="H135" s="28">
        <v>0.72</v>
      </c>
      <c r="I135" s="28">
        <v>-8</v>
      </c>
      <c r="J135" s="63">
        <v>2</v>
      </c>
      <c r="K135" s="327">
        <v>1197</v>
      </c>
      <c r="L135" s="393">
        <v>399</v>
      </c>
      <c r="M135" s="62">
        <v>0.25</v>
      </c>
      <c r="N135" s="95" t="s">
        <v>881</v>
      </c>
      <c r="O135" s="357" t="s">
        <v>1178</v>
      </c>
      <c r="P135" s="59"/>
      <c r="Q135" s="59"/>
      <c r="R135" s="95" t="s">
        <v>2282</v>
      </c>
      <c r="S135" s="95">
        <v>0.2</v>
      </c>
      <c r="T135" s="95">
        <v>0.3</v>
      </c>
      <c r="U135" s="95">
        <v>0.6</v>
      </c>
    </row>
    <row r="136" spans="2:21">
      <c r="B136" s="27">
        <v>27</v>
      </c>
      <c r="C136" s="27" t="s">
        <v>1573</v>
      </c>
      <c r="E136" s="28">
        <v>633</v>
      </c>
      <c r="F136" s="28" t="s">
        <v>1439</v>
      </c>
      <c r="G136" s="28">
        <v>0.6</v>
      </c>
      <c r="H136" s="28">
        <v>0.71199999999999997</v>
      </c>
      <c r="I136" s="28">
        <v>-9</v>
      </c>
      <c r="J136" s="63">
        <v>2</v>
      </c>
      <c r="K136" s="327">
        <v>1244</v>
      </c>
      <c r="L136" s="393">
        <v>384</v>
      </c>
      <c r="M136" s="62">
        <v>0.54</v>
      </c>
      <c r="N136" s="28">
        <v>4</v>
      </c>
      <c r="O136" s="27" t="s">
        <v>883</v>
      </c>
      <c r="R136" s="28">
        <v>60</v>
      </c>
      <c r="S136" s="28">
        <v>15</v>
      </c>
      <c r="T136" s="28">
        <v>22</v>
      </c>
      <c r="U136" s="28">
        <v>44</v>
      </c>
    </row>
    <row r="137" spans="2:21">
      <c r="B137" s="27">
        <v>28</v>
      </c>
      <c r="C137" s="27" t="s">
        <v>94</v>
      </c>
      <c r="E137" s="28">
        <v>470</v>
      </c>
      <c r="F137" s="28" t="s">
        <v>1443</v>
      </c>
      <c r="G137" s="28">
        <v>0.60599999999999998</v>
      </c>
      <c r="H137" s="28">
        <v>0.71699999999999997</v>
      </c>
      <c r="I137" s="28">
        <v>-9</v>
      </c>
      <c r="J137" s="63">
        <v>1</v>
      </c>
      <c r="K137" s="327">
        <v>1256</v>
      </c>
      <c r="L137" s="393">
        <v>379</v>
      </c>
      <c r="M137" s="62">
        <v>0.55000000000000004</v>
      </c>
      <c r="N137" s="28">
        <v>4</v>
      </c>
      <c r="O137" s="27" t="s">
        <v>883</v>
      </c>
      <c r="R137" s="28">
        <v>50</v>
      </c>
      <c r="S137" s="28">
        <v>14</v>
      </c>
      <c r="T137" s="28">
        <v>20</v>
      </c>
      <c r="U137" s="28">
        <v>41</v>
      </c>
    </row>
    <row r="138" spans="2:21">
      <c r="B138" s="27">
        <v>29</v>
      </c>
      <c r="C138" s="27" t="s">
        <v>889</v>
      </c>
      <c r="E138" s="28">
        <v>1111</v>
      </c>
      <c r="F138" s="28" t="s">
        <v>1443</v>
      </c>
      <c r="G138" s="28">
        <v>0.60599999999999998</v>
      </c>
      <c r="H138" s="28">
        <v>0.70399999999999996</v>
      </c>
      <c r="I138" s="28">
        <v>-9</v>
      </c>
      <c r="J138" s="63">
        <v>1</v>
      </c>
      <c r="K138" s="327">
        <v>1590</v>
      </c>
      <c r="L138" s="393">
        <v>779</v>
      </c>
      <c r="M138" s="62">
        <v>1.03</v>
      </c>
      <c r="N138" s="28">
        <v>4</v>
      </c>
      <c r="O138" s="27" t="s">
        <v>883</v>
      </c>
      <c r="R138" s="28">
        <v>40</v>
      </c>
      <c r="S138" s="28">
        <v>12</v>
      </c>
      <c r="T138" s="28">
        <v>18</v>
      </c>
      <c r="U138" s="28">
        <v>37</v>
      </c>
    </row>
    <row r="139" spans="2:21">
      <c r="B139" s="27">
        <v>30</v>
      </c>
      <c r="C139" s="27" t="s">
        <v>891</v>
      </c>
      <c r="E139" s="28">
        <v>1980</v>
      </c>
      <c r="G139" s="28">
        <v>0.621</v>
      </c>
      <c r="H139" s="28">
        <v>0.70899999999999996</v>
      </c>
      <c r="I139" s="28">
        <v>-13</v>
      </c>
      <c r="J139" s="63">
        <v>4</v>
      </c>
      <c r="K139" s="327">
        <v>2482</v>
      </c>
      <c r="L139" s="393">
        <v>966</v>
      </c>
      <c r="M139" s="62">
        <v>2.48</v>
      </c>
      <c r="N139" s="28">
        <v>4</v>
      </c>
      <c r="O139" s="27" t="s">
        <v>883</v>
      </c>
      <c r="R139" s="28">
        <v>30</v>
      </c>
      <c r="S139" s="28">
        <v>11</v>
      </c>
      <c r="T139" s="28">
        <v>16</v>
      </c>
      <c r="U139" s="28">
        <v>33</v>
      </c>
    </row>
    <row r="140" spans="2:21">
      <c r="B140" s="27">
        <v>31</v>
      </c>
      <c r="C140" s="27" t="s">
        <v>892</v>
      </c>
      <c r="E140" s="28">
        <v>1034</v>
      </c>
      <c r="G140" s="28">
        <v>0.61099999999999999</v>
      </c>
      <c r="H140" s="28">
        <v>0.70599999999999996</v>
      </c>
      <c r="I140" s="28">
        <v>-11</v>
      </c>
      <c r="J140" s="63">
        <v>2</v>
      </c>
      <c r="K140" s="327">
        <v>1590</v>
      </c>
      <c r="L140" s="393">
        <v>564</v>
      </c>
      <c r="M140" s="62">
        <v>1.03</v>
      </c>
      <c r="N140" s="28">
        <v>4</v>
      </c>
      <c r="O140" s="27" t="s">
        <v>883</v>
      </c>
      <c r="R140" s="28">
        <v>20</v>
      </c>
      <c r="S140" s="28">
        <v>9</v>
      </c>
      <c r="T140" s="28">
        <v>14</v>
      </c>
      <c r="U140" s="28">
        <v>27</v>
      </c>
    </row>
    <row r="141" spans="2:21">
      <c r="B141" s="27">
        <v>32</v>
      </c>
      <c r="C141" s="27" t="s">
        <v>893</v>
      </c>
      <c r="E141" s="28">
        <v>741</v>
      </c>
      <c r="G141" s="28">
        <v>0.6</v>
      </c>
      <c r="H141" s="28">
        <v>0.70599999999999996</v>
      </c>
      <c r="I141" s="28">
        <v>-8</v>
      </c>
      <c r="J141" s="63">
        <v>2</v>
      </c>
      <c r="K141" s="327">
        <v>1143</v>
      </c>
      <c r="L141" s="393">
        <v>528</v>
      </c>
      <c r="M141" s="62">
        <v>0.22</v>
      </c>
      <c r="N141" s="28">
        <v>4</v>
      </c>
      <c r="O141" s="27" t="s">
        <v>883</v>
      </c>
      <c r="R141" s="28">
        <v>10</v>
      </c>
      <c r="S141" s="28">
        <v>6.6</v>
      </c>
      <c r="T141" s="28">
        <v>10</v>
      </c>
      <c r="U141" s="28">
        <v>20</v>
      </c>
    </row>
    <row r="142" spans="2:21">
      <c r="B142" s="27">
        <v>33</v>
      </c>
      <c r="C142" s="27" t="s">
        <v>894</v>
      </c>
      <c r="E142" s="28">
        <v>1057</v>
      </c>
      <c r="G142" s="28">
        <v>0.6</v>
      </c>
      <c r="H142" s="28">
        <v>0.70699999999999996</v>
      </c>
      <c r="I142" s="28">
        <v>-8</v>
      </c>
      <c r="J142" s="63">
        <v>2</v>
      </c>
      <c r="K142" s="327">
        <v>1480</v>
      </c>
      <c r="L142" s="393">
        <v>519</v>
      </c>
      <c r="M142" s="62">
        <v>0.8</v>
      </c>
      <c r="N142" s="28">
        <v>3</v>
      </c>
      <c r="O142" s="27" t="s">
        <v>883</v>
      </c>
      <c r="R142" s="28">
        <v>60</v>
      </c>
      <c r="S142" s="28">
        <v>10</v>
      </c>
      <c r="T142" s="28">
        <v>15</v>
      </c>
      <c r="U142" s="28">
        <v>30</v>
      </c>
    </row>
    <row r="143" spans="2:21">
      <c r="B143" s="27">
        <v>34</v>
      </c>
      <c r="C143" s="27" t="s">
        <v>896</v>
      </c>
      <c r="E143" s="28">
        <v>421</v>
      </c>
      <c r="G143" s="28">
        <v>0.59699999999999998</v>
      </c>
      <c r="H143" s="28">
        <v>0.71199999999999997</v>
      </c>
      <c r="I143" s="28">
        <v>-7</v>
      </c>
      <c r="J143" s="63">
        <v>2</v>
      </c>
      <c r="K143" s="327">
        <v>1100</v>
      </c>
      <c r="L143" s="393">
        <v>448</v>
      </c>
      <c r="M143" s="62">
        <v>0.13</v>
      </c>
      <c r="N143" s="28">
        <v>3</v>
      </c>
      <c r="O143" s="27" t="s">
        <v>883</v>
      </c>
      <c r="R143" s="28">
        <v>50</v>
      </c>
      <c r="S143" s="28">
        <v>9.3000000000000007</v>
      </c>
      <c r="T143" s="28">
        <v>14</v>
      </c>
      <c r="U143" s="28">
        <v>28</v>
      </c>
    </row>
    <row r="144" spans="2:21">
      <c r="B144" s="27">
        <v>35</v>
      </c>
      <c r="C144" s="27" t="s">
        <v>91</v>
      </c>
      <c r="E144" s="28">
        <v>814</v>
      </c>
      <c r="F144" s="28" t="s">
        <v>1443</v>
      </c>
      <c r="G144" s="28">
        <v>0.60799999999999998</v>
      </c>
      <c r="H144" s="28">
        <v>0.71199999999999997</v>
      </c>
      <c r="I144" s="28">
        <v>-10</v>
      </c>
      <c r="J144" s="63">
        <v>1</v>
      </c>
      <c r="K144" s="327">
        <v>1358</v>
      </c>
      <c r="L144" s="393">
        <v>466</v>
      </c>
      <c r="M144" s="62">
        <v>0.87</v>
      </c>
      <c r="N144" s="28">
        <v>3</v>
      </c>
      <c r="O144" s="27" t="s">
        <v>883</v>
      </c>
      <c r="R144" s="28">
        <v>40</v>
      </c>
      <c r="S144" s="28">
        <v>8.4</v>
      </c>
      <c r="T144" s="28">
        <v>13</v>
      </c>
      <c r="U144" s="28">
        <v>25</v>
      </c>
    </row>
    <row r="145" spans="2:21">
      <c r="B145" s="27">
        <v>36</v>
      </c>
      <c r="C145" s="27" t="s">
        <v>897</v>
      </c>
      <c r="E145" s="28">
        <v>568</v>
      </c>
      <c r="F145" s="28" t="s">
        <v>1585</v>
      </c>
      <c r="G145" s="28">
        <v>0.59399999999999997</v>
      </c>
      <c r="H145" s="28">
        <v>0.71</v>
      </c>
      <c r="I145" s="28">
        <v>-7</v>
      </c>
      <c r="J145" s="63">
        <v>1</v>
      </c>
      <c r="K145" s="327">
        <v>1241</v>
      </c>
      <c r="L145" s="393">
        <v>391</v>
      </c>
      <c r="M145" s="62">
        <v>0.59</v>
      </c>
      <c r="N145" s="28">
        <v>3</v>
      </c>
      <c r="O145" s="27" t="s">
        <v>883</v>
      </c>
      <c r="R145" s="28">
        <v>30</v>
      </c>
      <c r="S145" s="28">
        <v>7.4</v>
      </c>
      <c r="T145" s="28">
        <v>11</v>
      </c>
      <c r="U145" s="28">
        <v>22</v>
      </c>
    </row>
    <row r="146" spans="2:21">
      <c r="B146" s="27">
        <v>37</v>
      </c>
      <c r="C146" s="27" t="s">
        <v>898</v>
      </c>
      <c r="E146" s="28">
        <v>3576</v>
      </c>
      <c r="F146" s="28" t="s">
        <v>899</v>
      </c>
      <c r="G146" s="28">
        <v>0.65100000000000002</v>
      </c>
      <c r="H146" s="28">
        <v>0.70299999999999996</v>
      </c>
      <c r="I146" s="28">
        <v>-21</v>
      </c>
      <c r="J146" s="63">
        <v>4</v>
      </c>
      <c r="K146" s="327">
        <v>4594</v>
      </c>
      <c r="L146" s="393">
        <v>530</v>
      </c>
      <c r="M146" s="62">
        <v>11.79</v>
      </c>
      <c r="N146" s="28">
        <v>3</v>
      </c>
      <c r="O146" s="27" t="s">
        <v>883</v>
      </c>
      <c r="R146" s="28">
        <v>20</v>
      </c>
      <c r="S146" s="28">
        <v>6.2</v>
      </c>
      <c r="T146" s="28">
        <v>9.1999999999999993</v>
      </c>
      <c r="U146" s="28">
        <v>19</v>
      </c>
    </row>
    <row r="147" spans="2:21">
      <c r="B147" s="27">
        <v>38</v>
      </c>
      <c r="C147" s="27" t="s">
        <v>1581</v>
      </c>
      <c r="E147" s="28">
        <v>446</v>
      </c>
      <c r="F147" s="28" t="s">
        <v>1439</v>
      </c>
      <c r="G147" s="28">
        <v>0.6</v>
      </c>
      <c r="H147" s="28">
        <v>0.71499999999999997</v>
      </c>
      <c r="I147" s="28">
        <v>-8</v>
      </c>
      <c r="J147" s="63">
        <v>2</v>
      </c>
      <c r="K147" s="327">
        <v>1167</v>
      </c>
      <c r="L147" s="393">
        <v>393</v>
      </c>
      <c r="M147" s="62">
        <v>0.35</v>
      </c>
      <c r="N147" s="28">
        <v>3</v>
      </c>
      <c r="O147" s="27" t="s">
        <v>883</v>
      </c>
      <c r="R147" s="28">
        <v>10</v>
      </c>
      <c r="S147" s="28">
        <v>4.5</v>
      </c>
      <c r="T147" s="28">
        <v>6.8</v>
      </c>
      <c r="U147" s="28">
        <v>14</v>
      </c>
    </row>
    <row r="148" spans="2:21">
      <c r="B148" s="27">
        <v>39</v>
      </c>
      <c r="C148" s="27" t="s">
        <v>900</v>
      </c>
      <c r="E148" s="28">
        <v>990</v>
      </c>
      <c r="F148" s="28" t="s">
        <v>901</v>
      </c>
      <c r="G148" s="28">
        <v>0.60599999999999998</v>
      </c>
      <c r="H148" s="28">
        <v>0.70499999999999996</v>
      </c>
      <c r="I148" s="28">
        <v>-10</v>
      </c>
      <c r="J148" s="63">
        <v>2</v>
      </c>
      <c r="K148" s="327">
        <v>1327</v>
      </c>
      <c r="L148" s="393">
        <v>506</v>
      </c>
      <c r="M148" s="62">
        <v>0.51</v>
      </c>
      <c r="N148" s="28">
        <v>2</v>
      </c>
      <c r="O148" s="27" t="s">
        <v>883</v>
      </c>
      <c r="R148" s="28">
        <v>60</v>
      </c>
      <c r="S148" s="28">
        <v>5.8</v>
      </c>
      <c r="T148" s="28">
        <v>8.8000000000000007</v>
      </c>
      <c r="U148" s="28">
        <v>18</v>
      </c>
    </row>
    <row r="149" spans="2:21">
      <c r="B149" s="27">
        <v>40</v>
      </c>
      <c r="C149" s="27" t="s">
        <v>1571</v>
      </c>
      <c r="E149" s="28">
        <v>738</v>
      </c>
      <c r="F149" s="28" t="s">
        <v>1443</v>
      </c>
      <c r="G149" s="28">
        <v>0.60599999999999998</v>
      </c>
      <c r="H149" s="28">
        <v>0.71399999999999997</v>
      </c>
      <c r="I149" s="28">
        <v>-9</v>
      </c>
      <c r="J149" s="63">
        <v>2</v>
      </c>
      <c r="K149" s="327">
        <v>1354</v>
      </c>
      <c r="L149" s="393">
        <v>362</v>
      </c>
      <c r="M149" s="62">
        <v>0.75</v>
      </c>
      <c r="N149" s="28">
        <v>2</v>
      </c>
      <c r="O149" s="27" t="s">
        <v>883</v>
      </c>
      <c r="R149" s="28">
        <v>50</v>
      </c>
      <c r="S149" s="28">
        <v>5.4</v>
      </c>
      <c r="T149" s="28">
        <v>8.1</v>
      </c>
      <c r="U149" s="28">
        <v>16</v>
      </c>
    </row>
    <row r="150" spans="2:21">
      <c r="B150" s="27">
        <v>41</v>
      </c>
      <c r="C150" s="27" t="s">
        <v>902</v>
      </c>
      <c r="E150" s="28">
        <v>706</v>
      </c>
      <c r="F150" s="28" t="s">
        <v>1443</v>
      </c>
      <c r="G150" s="28">
        <v>0.61499999999999999</v>
      </c>
      <c r="H150" s="28">
        <v>0.71199999999999997</v>
      </c>
      <c r="I150" s="28">
        <v>-9</v>
      </c>
      <c r="J150" s="63">
        <v>1</v>
      </c>
      <c r="K150" s="327">
        <v>1285</v>
      </c>
      <c r="L150" s="393">
        <v>375</v>
      </c>
      <c r="M150" s="62">
        <v>0.52</v>
      </c>
      <c r="N150" s="28">
        <v>2</v>
      </c>
      <c r="O150" s="27" t="s">
        <v>883</v>
      </c>
      <c r="R150" s="28">
        <v>40</v>
      </c>
      <c r="S150" s="28">
        <v>4.9000000000000004</v>
      </c>
      <c r="T150" s="28">
        <v>7.3</v>
      </c>
      <c r="U150" s="28">
        <v>15</v>
      </c>
    </row>
    <row r="151" spans="2:21">
      <c r="B151" s="27">
        <v>42</v>
      </c>
      <c r="C151" s="27" t="s">
        <v>105</v>
      </c>
      <c r="E151" s="28">
        <v>618</v>
      </c>
      <c r="F151" s="28" t="s">
        <v>356</v>
      </c>
      <c r="G151" s="28">
        <v>0.59</v>
      </c>
      <c r="H151" s="28">
        <v>0.71199999999999997</v>
      </c>
      <c r="I151" s="28">
        <v>-6</v>
      </c>
      <c r="J151" s="63">
        <v>3</v>
      </c>
      <c r="K151" s="327">
        <v>1037</v>
      </c>
      <c r="L151" s="393">
        <v>517</v>
      </c>
      <c r="M151" s="62">
        <v>0.06</v>
      </c>
      <c r="N151" s="28">
        <v>2</v>
      </c>
      <c r="O151" s="27" t="s">
        <v>883</v>
      </c>
      <c r="R151" s="28">
        <v>30</v>
      </c>
      <c r="S151" s="28">
        <v>4.3</v>
      </c>
      <c r="T151" s="28">
        <v>6.4</v>
      </c>
      <c r="U151" s="28">
        <v>13</v>
      </c>
    </row>
    <row r="152" spans="2:21">
      <c r="B152" s="27">
        <v>43</v>
      </c>
      <c r="C152" s="27" t="s">
        <v>905</v>
      </c>
      <c r="E152" s="28">
        <v>1401</v>
      </c>
      <c r="G152" s="28">
        <v>0.60799999999999998</v>
      </c>
      <c r="H152" s="28">
        <v>0.70099999999999996</v>
      </c>
      <c r="I152" s="28">
        <v>-10</v>
      </c>
      <c r="J152" s="63">
        <v>2</v>
      </c>
      <c r="K152" s="327">
        <v>1625</v>
      </c>
      <c r="L152" s="393">
        <v>1073</v>
      </c>
      <c r="M152" s="62">
        <v>0.78</v>
      </c>
      <c r="N152" s="28">
        <v>2</v>
      </c>
      <c r="O152" s="27" t="s">
        <v>883</v>
      </c>
      <c r="R152" s="28">
        <v>20</v>
      </c>
      <c r="S152" s="28">
        <v>3.6</v>
      </c>
      <c r="T152" s="28">
        <v>5.4</v>
      </c>
      <c r="U152" s="28">
        <v>11</v>
      </c>
    </row>
    <row r="153" spans="2:21">
      <c r="B153" s="27">
        <v>44</v>
      </c>
      <c r="C153" s="27" t="s">
        <v>906</v>
      </c>
      <c r="E153" s="28">
        <v>1322</v>
      </c>
      <c r="F153" s="28" t="s">
        <v>356</v>
      </c>
      <c r="G153" s="28">
        <v>0.60599999999999998</v>
      </c>
      <c r="H153" s="28">
        <v>0.70299999999999996</v>
      </c>
      <c r="I153" s="28">
        <v>-9</v>
      </c>
      <c r="J153" s="63">
        <v>1</v>
      </c>
      <c r="K153" s="327">
        <v>1512</v>
      </c>
      <c r="L153" s="393">
        <v>913</v>
      </c>
      <c r="M153" s="62">
        <v>0.95</v>
      </c>
      <c r="N153" s="28">
        <v>2</v>
      </c>
      <c r="O153" s="27" t="s">
        <v>883</v>
      </c>
      <c r="R153" s="28">
        <v>10</v>
      </c>
      <c r="S153" s="28">
        <v>2.6</v>
      </c>
      <c r="T153" s="28">
        <v>4</v>
      </c>
      <c r="U153" s="28">
        <v>7.9</v>
      </c>
    </row>
    <row r="154" spans="2:21">
      <c r="B154" s="27">
        <v>45</v>
      </c>
      <c r="C154" s="27" t="s">
        <v>90</v>
      </c>
      <c r="E154" s="28">
        <v>437</v>
      </c>
      <c r="F154" s="28" t="s">
        <v>1585</v>
      </c>
      <c r="G154" s="28">
        <v>0.59699999999999998</v>
      </c>
      <c r="H154" s="28">
        <v>0.71599999999999997</v>
      </c>
      <c r="I154" s="28">
        <v>-8</v>
      </c>
      <c r="J154" s="63">
        <v>2</v>
      </c>
      <c r="K154" s="327">
        <v>1157</v>
      </c>
      <c r="L154" s="393">
        <v>376</v>
      </c>
      <c r="M154" s="62">
        <v>0.6</v>
      </c>
      <c r="N154" s="28">
        <v>1</v>
      </c>
      <c r="O154" s="27" t="s">
        <v>883</v>
      </c>
      <c r="R154" s="28">
        <v>60</v>
      </c>
      <c r="S154" s="28">
        <v>2.2999999999999998</v>
      </c>
      <c r="T154" s="28">
        <v>3.5</v>
      </c>
      <c r="U154" s="28">
        <v>7</v>
      </c>
    </row>
    <row r="155" spans="2:21">
      <c r="B155" s="27">
        <v>46</v>
      </c>
      <c r="C155" s="27" t="s">
        <v>907</v>
      </c>
      <c r="E155" s="28">
        <v>467</v>
      </c>
      <c r="G155" s="28">
        <v>0.59699999999999998</v>
      </c>
      <c r="H155" s="28">
        <v>0.71399999999999997</v>
      </c>
      <c r="I155" s="28">
        <v>-7</v>
      </c>
      <c r="J155" s="63">
        <v>2</v>
      </c>
      <c r="K155" s="327">
        <v>1018</v>
      </c>
      <c r="L155" s="393">
        <v>599</v>
      </c>
      <c r="M155" s="62">
        <v>0.04</v>
      </c>
      <c r="N155" s="28">
        <v>1</v>
      </c>
      <c r="O155" s="27" t="s">
        <v>883</v>
      </c>
      <c r="R155" s="28">
        <v>50</v>
      </c>
      <c r="S155" s="28">
        <v>2.1</v>
      </c>
      <c r="T155" s="28">
        <v>3.2</v>
      </c>
      <c r="U155" s="28">
        <v>6.4</v>
      </c>
    </row>
    <row r="156" spans="2:21">
      <c r="B156" s="27">
        <v>47</v>
      </c>
      <c r="C156" s="27" t="s">
        <v>909</v>
      </c>
      <c r="E156" s="28">
        <v>631</v>
      </c>
      <c r="F156" s="28" t="s">
        <v>1585</v>
      </c>
      <c r="G156" s="28">
        <v>0.59699999999999998</v>
      </c>
      <c r="H156" s="28">
        <v>0.71299999999999997</v>
      </c>
      <c r="I156" s="28">
        <v>-7</v>
      </c>
      <c r="J156" s="63">
        <v>1</v>
      </c>
      <c r="K156" s="327">
        <v>1195</v>
      </c>
      <c r="L156" s="393">
        <v>484</v>
      </c>
      <c r="M156" s="62">
        <v>0.43</v>
      </c>
      <c r="N156" s="28">
        <v>1</v>
      </c>
      <c r="O156" s="27" t="s">
        <v>883</v>
      </c>
      <c r="R156" s="28">
        <v>40</v>
      </c>
      <c r="S156" s="28">
        <v>1.9</v>
      </c>
      <c r="T156" s="28">
        <v>2.9</v>
      </c>
      <c r="U156" s="28">
        <v>5.8</v>
      </c>
    </row>
    <row r="157" spans="2:21">
      <c r="B157" s="27">
        <v>48</v>
      </c>
      <c r="C157" s="27" t="s">
        <v>1577</v>
      </c>
      <c r="E157" s="28">
        <v>1510</v>
      </c>
      <c r="F157" s="28" t="s">
        <v>356</v>
      </c>
      <c r="G157" s="28">
        <v>0.60599999999999998</v>
      </c>
      <c r="H157" s="28">
        <v>0.70599999999999996</v>
      </c>
      <c r="I157" s="28">
        <v>-9</v>
      </c>
      <c r="J157" s="63">
        <v>1</v>
      </c>
      <c r="K157" s="327">
        <v>1576</v>
      </c>
      <c r="L157" s="393">
        <v>827</v>
      </c>
      <c r="M157" s="62">
        <v>0.8</v>
      </c>
      <c r="N157" s="28">
        <v>1</v>
      </c>
      <c r="O157" s="27" t="s">
        <v>883</v>
      </c>
      <c r="R157" s="28">
        <v>30</v>
      </c>
      <c r="S157" s="28">
        <v>1.7</v>
      </c>
      <c r="T157" s="28">
        <v>2.6</v>
      </c>
      <c r="U157" s="28">
        <v>5.0999999999999996</v>
      </c>
    </row>
    <row r="158" spans="2:21">
      <c r="B158" s="27">
        <v>49</v>
      </c>
      <c r="C158" s="27" t="s">
        <v>1555</v>
      </c>
      <c r="E158" s="28">
        <v>1184</v>
      </c>
      <c r="F158" s="28" t="s">
        <v>356</v>
      </c>
      <c r="G158" s="28">
        <v>0.60799999999999998</v>
      </c>
      <c r="H158" s="28">
        <v>0.70399999999999996</v>
      </c>
      <c r="I158" s="28">
        <v>-10</v>
      </c>
      <c r="J158" s="63">
        <v>3</v>
      </c>
      <c r="K158" s="327">
        <v>1611</v>
      </c>
      <c r="L158" s="393">
        <v>539</v>
      </c>
      <c r="M158" s="62">
        <v>1.23</v>
      </c>
      <c r="N158" s="28">
        <v>1</v>
      </c>
      <c r="O158" s="27" t="s">
        <v>883</v>
      </c>
      <c r="R158" s="28">
        <v>20</v>
      </c>
      <c r="S158" s="28">
        <v>1.4</v>
      </c>
      <c r="T158" s="28">
        <v>2.1</v>
      </c>
      <c r="U158" s="28">
        <v>4.3</v>
      </c>
    </row>
    <row r="159" spans="2:21">
      <c r="B159" s="27">
        <v>50</v>
      </c>
      <c r="C159" s="27" t="s">
        <v>1538</v>
      </c>
      <c r="E159" s="28">
        <v>458</v>
      </c>
      <c r="G159" s="28">
        <v>0.6</v>
      </c>
      <c r="H159" s="28">
        <v>0.71699999999999997</v>
      </c>
      <c r="I159" s="28">
        <v>-8</v>
      </c>
      <c r="J159" s="63">
        <v>2</v>
      </c>
      <c r="K159" s="327">
        <v>1254</v>
      </c>
      <c r="L159" s="393">
        <v>373</v>
      </c>
      <c r="M159" s="62">
        <v>0.92</v>
      </c>
      <c r="N159" s="28">
        <v>1</v>
      </c>
      <c r="O159" s="27" t="s">
        <v>883</v>
      </c>
      <c r="R159" s="28">
        <v>10</v>
      </c>
      <c r="S159" s="28">
        <v>1</v>
      </c>
      <c r="T159" s="28">
        <v>1.6</v>
      </c>
      <c r="U159" s="28">
        <v>3.1</v>
      </c>
    </row>
    <row r="160" spans="2:21">
      <c r="B160" s="27">
        <v>51</v>
      </c>
      <c r="C160" s="27" t="s">
        <v>1539</v>
      </c>
      <c r="E160" s="28">
        <v>1645</v>
      </c>
      <c r="G160" s="28">
        <v>0.623</v>
      </c>
      <c r="H160" s="28">
        <v>0.70499999999999996</v>
      </c>
      <c r="I160" s="28">
        <v>-14</v>
      </c>
      <c r="J160" s="63">
        <v>2</v>
      </c>
      <c r="K160" s="327">
        <v>2008</v>
      </c>
      <c r="L160" s="393">
        <v>910</v>
      </c>
      <c r="M160" s="62">
        <v>1.56</v>
      </c>
      <c r="N160" s="28">
        <v>4</v>
      </c>
      <c r="O160" s="27" t="s">
        <v>895</v>
      </c>
      <c r="R160" s="28">
        <v>60</v>
      </c>
      <c r="S160" s="28">
        <v>21</v>
      </c>
      <c r="T160" s="28">
        <v>31</v>
      </c>
      <c r="U160" s="28">
        <v>62</v>
      </c>
    </row>
    <row r="161" spans="2:21">
      <c r="B161" s="27">
        <v>52</v>
      </c>
      <c r="C161" s="27" t="s">
        <v>1580</v>
      </c>
      <c r="E161" s="28">
        <v>487</v>
      </c>
      <c r="F161" s="28" t="s">
        <v>1439</v>
      </c>
      <c r="G161" s="28">
        <v>0.59399999999999997</v>
      </c>
      <c r="H161" s="28">
        <v>0.71399999999999997</v>
      </c>
      <c r="I161" s="28">
        <v>-7</v>
      </c>
      <c r="J161" s="63">
        <v>3</v>
      </c>
      <c r="K161" s="327">
        <v>1072</v>
      </c>
      <c r="L161" s="393">
        <v>410</v>
      </c>
      <c r="M161" s="62">
        <v>0.04</v>
      </c>
      <c r="N161" s="28">
        <v>4</v>
      </c>
      <c r="O161" s="27" t="s">
        <v>895</v>
      </c>
      <c r="R161" s="28">
        <v>50</v>
      </c>
      <c r="S161" s="28">
        <v>19</v>
      </c>
      <c r="T161" s="28">
        <v>29</v>
      </c>
      <c r="U161" s="28">
        <v>58</v>
      </c>
    </row>
    <row r="162" spans="2:21">
      <c r="B162" s="27">
        <v>53</v>
      </c>
      <c r="C162" s="27" t="s">
        <v>1542</v>
      </c>
      <c r="E162" s="28">
        <v>1123</v>
      </c>
      <c r="G162" s="28">
        <v>0.61099999999999999</v>
      </c>
      <c r="H162" s="28">
        <v>0.70399999999999996</v>
      </c>
      <c r="I162" s="28">
        <v>-11</v>
      </c>
      <c r="J162" s="63">
        <v>2</v>
      </c>
      <c r="K162" s="327">
        <v>1680</v>
      </c>
      <c r="L162" s="393">
        <v>552</v>
      </c>
      <c r="M162" s="62">
        <v>1.1200000000000001</v>
      </c>
      <c r="N162" s="28">
        <v>4</v>
      </c>
      <c r="O162" s="27" t="s">
        <v>895</v>
      </c>
      <c r="R162" s="28">
        <v>40</v>
      </c>
      <c r="S162" s="28">
        <v>17</v>
      </c>
      <c r="T162" s="28">
        <v>26</v>
      </c>
      <c r="U162" s="28">
        <v>52</v>
      </c>
    </row>
    <row r="163" spans="2:21">
      <c r="B163" s="27">
        <v>54</v>
      </c>
      <c r="C163" s="27" t="s">
        <v>95</v>
      </c>
      <c r="E163" s="28">
        <v>417</v>
      </c>
      <c r="F163" s="28" t="s">
        <v>1585</v>
      </c>
      <c r="G163" s="28">
        <v>0.6</v>
      </c>
      <c r="H163" s="28">
        <v>0.71299999999999997</v>
      </c>
      <c r="I163" s="28">
        <v>-8</v>
      </c>
      <c r="J163" s="63">
        <v>1</v>
      </c>
      <c r="K163" s="327">
        <v>1131</v>
      </c>
      <c r="L163" s="393">
        <v>417</v>
      </c>
      <c r="M163" s="62">
        <v>0.32</v>
      </c>
      <c r="N163" s="28">
        <v>4</v>
      </c>
      <c r="O163" s="27" t="s">
        <v>895</v>
      </c>
      <c r="R163" s="28">
        <v>30</v>
      </c>
      <c r="S163" s="28">
        <v>15</v>
      </c>
      <c r="T163" s="28">
        <v>23</v>
      </c>
      <c r="U163" s="28">
        <v>46</v>
      </c>
    </row>
    <row r="164" spans="2:21">
      <c r="B164" s="27">
        <v>55</v>
      </c>
      <c r="C164" s="27" t="s">
        <v>1543</v>
      </c>
      <c r="E164" s="28">
        <v>482</v>
      </c>
      <c r="F164" s="28" t="s">
        <v>1585</v>
      </c>
      <c r="G164" s="28">
        <v>0.6</v>
      </c>
      <c r="H164" s="28">
        <v>0.71399999999999997</v>
      </c>
      <c r="I164" s="28">
        <v>-8</v>
      </c>
      <c r="J164" s="63">
        <v>2</v>
      </c>
      <c r="K164" s="327">
        <v>1300</v>
      </c>
      <c r="L164" s="393">
        <v>327</v>
      </c>
      <c r="M164" s="62">
        <v>0.63</v>
      </c>
      <c r="N164" s="28">
        <v>4</v>
      </c>
      <c r="O164" s="27" t="s">
        <v>895</v>
      </c>
      <c r="R164" s="28">
        <v>20</v>
      </c>
      <c r="S164" s="28">
        <v>13</v>
      </c>
      <c r="T164" s="28">
        <v>19</v>
      </c>
      <c r="U164" s="28">
        <v>38</v>
      </c>
    </row>
    <row r="165" spans="2:21">
      <c r="B165" s="27">
        <v>56</v>
      </c>
      <c r="C165" s="27" t="s">
        <v>1547</v>
      </c>
      <c r="E165" s="28">
        <v>410</v>
      </c>
      <c r="G165" s="28">
        <v>0.6</v>
      </c>
      <c r="H165" s="28">
        <v>0.71899999999999997</v>
      </c>
      <c r="I165" s="28">
        <v>-8</v>
      </c>
      <c r="J165" s="63">
        <v>2</v>
      </c>
      <c r="K165" s="327">
        <v>1069</v>
      </c>
      <c r="L165" s="393">
        <v>395</v>
      </c>
      <c r="M165" s="62">
        <v>0.18</v>
      </c>
      <c r="N165" s="28">
        <v>4</v>
      </c>
      <c r="O165" s="27" t="s">
        <v>895</v>
      </c>
      <c r="R165" s="28">
        <v>10</v>
      </c>
      <c r="S165" s="28">
        <v>9.4</v>
      </c>
      <c r="T165" s="28">
        <v>14</v>
      </c>
      <c r="U165" s="28">
        <v>28</v>
      </c>
    </row>
    <row r="166" spans="2:21">
      <c r="B166" s="27">
        <v>57</v>
      </c>
      <c r="C166" s="27" t="s">
        <v>1549</v>
      </c>
      <c r="E166" s="28">
        <v>280</v>
      </c>
      <c r="G166" s="28">
        <v>0.6</v>
      </c>
      <c r="H166" s="28">
        <v>0.71699999999999997</v>
      </c>
      <c r="I166" s="28">
        <v>-8</v>
      </c>
      <c r="J166" s="63">
        <v>1</v>
      </c>
      <c r="K166" s="327">
        <v>1109</v>
      </c>
      <c r="L166" s="393">
        <v>412</v>
      </c>
      <c r="M166" s="62">
        <v>0.28000000000000003</v>
      </c>
      <c r="N166" s="28">
        <v>3</v>
      </c>
      <c r="O166" s="27" t="s">
        <v>895</v>
      </c>
      <c r="R166" s="28">
        <v>60</v>
      </c>
      <c r="S166" s="28">
        <v>14</v>
      </c>
      <c r="T166" s="28">
        <v>21</v>
      </c>
      <c r="U166" s="28">
        <v>43</v>
      </c>
    </row>
    <row r="167" spans="2:21">
      <c r="B167" s="27">
        <v>58</v>
      </c>
      <c r="C167" s="27" t="s">
        <v>1551</v>
      </c>
      <c r="E167" s="28">
        <v>1775</v>
      </c>
      <c r="F167" s="28" t="s">
        <v>1552</v>
      </c>
      <c r="G167" s="28">
        <v>0.61099999999999999</v>
      </c>
      <c r="H167" s="28">
        <v>0.70799999999999996</v>
      </c>
      <c r="I167" s="28">
        <v>-11</v>
      </c>
      <c r="J167" s="63">
        <v>4</v>
      </c>
      <c r="K167" s="327">
        <v>2190</v>
      </c>
      <c r="L167" s="393">
        <v>856</v>
      </c>
      <c r="M167" s="62">
        <v>2.79</v>
      </c>
      <c r="N167" s="28">
        <v>3</v>
      </c>
      <c r="O167" s="27" t="s">
        <v>895</v>
      </c>
      <c r="R167" s="28">
        <v>50</v>
      </c>
      <c r="S167" s="28">
        <v>13</v>
      </c>
      <c r="T167" s="28">
        <v>20</v>
      </c>
      <c r="U167" s="28">
        <v>39</v>
      </c>
    </row>
    <row r="168" spans="2:21">
      <c r="B168" s="27">
        <v>59</v>
      </c>
      <c r="C168" s="27" t="s">
        <v>203</v>
      </c>
      <c r="E168" s="28">
        <v>1078</v>
      </c>
      <c r="F168" s="28" t="s">
        <v>1443</v>
      </c>
      <c r="G168" s="28">
        <v>0.59399999999999997</v>
      </c>
      <c r="H168" s="28">
        <v>0.70699999999999996</v>
      </c>
      <c r="I168" s="28">
        <v>-7</v>
      </c>
      <c r="J168" s="63">
        <v>1</v>
      </c>
      <c r="K168" s="327">
        <v>1475</v>
      </c>
      <c r="L168" s="393">
        <v>780</v>
      </c>
      <c r="M168" s="62">
        <v>0.69</v>
      </c>
      <c r="N168" s="28">
        <v>3</v>
      </c>
      <c r="O168" s="27" t="s">
        <v>895</v>
      </c>
      <c r="R168" s="28">
        <v>40</v>
      </c>
      <c r="S168" s="28">
        <v>12</v>
      </c>
      <c r="T168" s="28">
        <v>18</v>
      </c>
      <c r="U168" s="28">
        <v>35</v>
      </c>
    </row>
    <row r="169" spans="2:21">
      <c r="B169" s="27">
        <v>60</v>
      </c>
      <c r="C169" s="27" t="s">
        <v>1408</v>
      </c>
      <c r="E169" s="28">
        <v>398</v>
      </c>
      <c r="G169" s="28">
        <v>0.60899999999999999</v>
      </c>
      <c r="H169" s="28">
        <v>0.71299999999999997</v>
      </c>
      <c r="I169" s="28">
        <v>-7</v>
      </c>
      <c r="J169" s="63">
        <v>2</v>
      </c>
      <c r="K169" s="327">
        <v>1061</v>
      </c>
      <c r="L169" s="393">
        <v>453</v>
      </c>
      <c r="M169" s="62">
        <v>0.16</v>
      </c>
      <c r="N169" s="28">
        <v>3</v>
      </c>
      <c r="O169" s="27" t="s">
        <v>895</v>
      </c>
      <c r="R169" s="28">
        <v>30</v>
      </c>
      <c r="S169" s="28">
        <v>10</v>
      </c>
      <c r="T169" s="28">
        <v>16</v>
      </c>
      <c r="U169" s="28">
        <v>31</v>
      </c>
    </row>
    <row r="170" spans="2:21">
      <c r="B170" s="27">
        <v>61</v>
      </c>
      <c r="C170" s="27" t="s">
        <v>197</v>
      </c>
      <c r="E170" s="28">
        <v>1011</v>
      </c>
      <c r="G170" s="28">
        <v>0.60599999999999998</v>
      </c>
      <c r="H170" s="28">
        <v>0.70799999999999996</v>
      </c>
      <c r="I170" s="28">
        <v>-9</v>
      </c>
      <c r="J170" s="63">
        <v>2</v>
      </c>
      <c r="K170" s="327">
        <v>1754</v>
      </c>
      <c r="L170" s="393">
        <v>461</v>
      </c>
      <c r="M170" s="62">
        <v>1.59</v>
      </c>
      <c r="N170" s="28">
        <v>3</v>
      </c>
      <c r="O170" s="27" t="s">
        <v>895</v>
      </c>
      <c r="R170" s="28">
        <v>20</v>
      </c>
      <c r="S170" s="28">
        <v>8.6999999999999993</v>
      </c>
      <c r="T170" s="28">
        <v>13</v>
      </c>
      <c r="U170" s="28">
        <v>26</v>
      </c>
    </row>
    <row r="171" spans="2:21">
      <c r="B171" s="27">
        <v>62</v>
      </c>
      <c r="C171" s="27" t="s">
        <v>1396</v>
      </c>
      <c r="E171" s="28">
        <v>1790</v>
      </c>
      <c r="G171" s="28">
        <v>0.59699999999999998</v>
      </c>
      <c r="H171" s="28">
        <v>0.70399999999999996</v>
      </c>
      <c r="I171" s="28">
        <v>-13</v>
      </c>
      <c r="J171" s="63">
        <v>2</v>
      </c>
      <c r="K171" s="327">
        <v>2137</v>
      </c>
      <c r="L171" s="393">
        <v>876</v>
      </c>
      <c r="M171" s="62">
        <v>1.8</v>
      </c>
      <c r="N171" s="28">
        <v>3</v>
      </c>
      <c r="O171" s="27" t="s">
        <v>895</v>
      </c>
      <c r="R171" s="28">
        <v>10</v>
      </c>
      <c r="S171" s="28">
        <v>6.4</v>
      </c>
      <c r="T171" s="28">
        <v>9.6</v>
      </c>
      <c r="U171" s="28">
        <v>19</v>
      </c>
    </row>
    <row r="172" spans="2:21">
      <c r="B172" s="27">
        <v>63</v>
      </c>
      <c r="C172" s="27" t="s">
        <v>1397</v>
      </c>
      <c r="E172" s="28">
        <v>2065</v>
      </c>
      <c r="G172" s="28">
        <v>0.61799999999999999</v>
      </c>
      <c r="H172" s="28">
        <v>0.70299999999999996</v>
      </c>
      <c r="I172" s="28">
        <v>-14</v>
      </c>
      <c r="J172" s="63">
        <v>4</v>
      </c>
      <c r="K172" s="327">
        <v>2144</v>
      </c>
      <c r="L172" s="393">
        <v>1935</v>
      </c>
      <c r="M172" s="62">
        <v>1.86</v>
      </c>
      <c r="N172" s="28">
        <v>2</v>
      </c>
      <c r="O172" s="27" t="s">
        <v>895</v>
      </c>
      <c r="R172" s="28">
        <v>60</v>
      </c>
      <c r="S172" s="28">
        <v>8.3000000000000007</v>
      </c>
      <c r="T172" s="28">
        <v>12</v>
      </c>
      <c r="U172" s="28">
        <v>25</v>
      </c>
    </row>
    <row r="173" spans="2:21">
      <c r="B173" s="27">
        <v>64</v>
      </c>
      <c r="C173" s="27" t="s">
        <v>1442</v>
      </c>
      <c r="E173" s="28">
        <v>664</v>
      </c>
      <c r="F173" s="28" t="s">
        <v>1443</v>
      </c>
      <c r="G173" s="28">
        <v>0.60799999999999998</v>
      </c>
      <c r="H173" s="28">
        <v>0.71099999999999997</v>
      </c>
      <c r="I173" s="28">
        <v>-10</v>
      </c>
      <c r="J173" s="63">
        <v>2</v>
      </c>
      <c r="K173" s="327">
        <v>1274</v>
      </c>
      <c r="L173" s="393">
        <v>415</v>
      </c>
      <c r="M173" s="62">
        <v>0.6</v>
      </c>
      <c r="N173" s="28">
        <v>2</v>
      </c>
      <c r="O173" s="27" t="s">
        <v>895</v>
      </c>
      <c r="R173" s="28">
        <v>50</v>
      </c>
      <c r="S173" s="28">
        <v>7.6</v>
      </c>
      <c r="T173" s="28">
        <v>11</v>
      </c>
      <c r="U173" s="28">
        <v>23</v>
      </c>
    </row>
    <row r="174" spans="2:21">
      <c r="B174" s="27">
        <v>65</v>
      </c>
      <c r="C174" s="27" t="s">
        <v>1402</v>
      </c>
      <c r="E174" s="28">
        <v>1375</v>
      </c>
      <c r="G174" s="28">
        <v>0.61099999999999999</v>
      </c>
      <c r="H174" s="28">
        <v>0.70299999999999996</v>
      </c>
      <c r="I174" s="28">
        <v>-12</v>
      </c>
      <c r="J174" s="63">
        <v>2</v>
      </c>
      <c r="K174" s="327">
        <v>1776</v>
      </c>
      <c r="L174" s="393">
        <v>757</v>
      </c>
      <c r="M174" s="62">
        <v>0.75</v>
      </c>
      <c r="N174" s="28">
        <v>2</v>
      </c>
      <c r="O174" s="27" t="s">
        <v>895</v>
      </c>
      <c r="R174" s="28">
        <v>40</v>
      </c>
      <c r="S174" s="28">
        <v>6.9</v>
      </c>
      <c r="T174" s="28">
        <v>10</v>
      </c>
      <c r="U174" s="28">
        <v>21</v>
      </c>
    </row>
    <row r="175" spans="2:21">
      <c r="B175" s="27">
        <v>66</v>
      </c>
      <c r="C175" s="27" t="s">
        <v>1404</v>
      </c>
      <c r="E175" s="28">
        <v>483</v>
      </c>
      <c r="G175" s="28">
        <v>0.60599999999999998</v>
      </c>
      <c r="H175" s="28">
        <v>0.71899999999999997</v>
      </c>
      <c r="I175" s="28">
        <v>-9</v>
      </c>
      <c r="J175" s="63">
        <v>1</v>
      </c>
      <c r="K175" s="327">
        <v>1038</v>
      </c>
      <c r="L175" s="393">
        <v>615</v>
      </c>
      <c r="M175" s="62">
        <v>0.01</v>
      </c>
      <c r="N175" s="28">
        <v>2</v>
      </c>
      <c r="O175" s="27" t="s">
        <v>895</v>
      </c>
      <c r="R175" s="28">
        <v>30</v>
      </c>
      <c r="S175" s="28">
        <v>6.1</v>
      </c>
      <c r="T175" s="28">
        <v>9.1</v>
      </c>
      <c r="U175" s="28">
        <v>18</v>
      </c>
    </row>
    <row r="176" spans="2:21">
      <c r="B176" s="27">
        <v>67</v>
      </c>
      <c r="C176" s="27" t="s">
        <v>169</v>
      </c>
      <c r="E176" s="28">
        <v>471</v>
      </c>
      <c r="G176" s="28">
        <v>0.59699999999999998</v>
      </c>
      <c r="H176" s="28">
        <v>0.71799999999999997</v>
      </c>
      <c r="I176" s="28">
        <v>-7</v>
      </c>
      <c r="J176" s="63">
        <v>1</v>
      </c>
      <c r="K176" s="327">
        <v>1213</v>
      </c>
      <c r="L176" s="393">
        <v>380</v>
      </c>
      <c r="M176" s="62">
        <v>0.59</v>
      </c>
      <c r="N176" s="28">
        <v>2</v>
      </c>
      <c r="O176" s="27" t="s">
        <v>895</v>
      </c>
      <c r="R176" s="28">
        <v>20</v>
      </c>
      <c r="S176" s="28">
        <v>5.0999999999999996</v>
      </c>
      <c r="T176" s="28">
        <v>7.6</v>
      </c>
      <c r="U176" s="28">
        <v>15</v>
      </c>
    </row>
    <row r="177" spans="2:21">
      <c r="B177" s="27">
        <v>68</v>
      </c>
      <c r="C177" s="27" t="s">
        <v>170</v>
      </c>
      <c r="E177" s="28">
        <v>2500</v>
      </c>
      <c r="F177" s="28" t="s">
        <v>1552</v>
      </c>
      <c r="G177" s="28">
        <v>0.63100000000000001</v>
      </c>
      <c r="H177" s="28">
        <v>0.70699999999999996</v>
      </c>
      <c r="I177" s="28">
        <v>-16</v>
      </c>
      <c r="J177" s="63">
        <v>4</v>
      </c>
      <c r="K177" s="327">
        <v>3365</v>
      </c>
      <c r="L177" s="393">
        <v>645</v>
      </c>
      <c r="M177" s="62">
        <v>6.63</v>
      </c>
      <c r="N177" s="28">
        <v>2</v>
      </c>
      <c r="O177" s="27" t="s">
        <v>895</v>
      </c>
      <c r="R177" s="28">
        <v>10</v>
      </c>
      <c r="S177" s="28">
        <v>3.7</v>
      </c>
      <c r="T177" s="28">
        <v>5.6</v>
      </c>
      <c r="U177" s="28">
        <v>11</v>
      </c>
    </row>
    <row r="178" spans="2:21">
      <c r="B178" s="27">
        <v>69</v>
      </c>
      <c r="C178" s="27" t="s">
        <v>1582</v>
      </c>
      <c r="E178" s="28">
        <v>457</v>
      </c>
      <c r="F178" s="28" t="s">
        <v>1583</v>
      </c>
      <c r="G178" s="28">
        <v>0.59699999999999998</v>
      </c>
      <c r="H178" s="28">
        <v>0.71199999999999997</v>
      </c>
      <c r="I178" s="28">
        <v>-8</v>
      </c>
      <c r="J178" s="63">
        <v>2</v>
      </c>
      <c r="K178" s="327">
        <v>1198</v>
      </c>
      <c r="L178" s="393">
        <v>393</v>
      </c>
      <c r="M178" s="62">
        <v>0.24</v>
      </c>
      <c r="N178" s="28">
        <v>1</v>
      </c>
      <c r="O178" s="27" t="s">
        <v>895</v>
      </c>
      <c r="R178" s="28">
        <v>60</v>
      </c>
      <c r="S178" s="28">
        <v>3.3</v>
      </c>
      <c r="T178" s="28">
        <v>4.9000000000000004</v>
      </c>
      <c r="U178" s="28">
        <v>9.8000000000000007</v>
      </c>
    </row>
    <row r="179" spans="2:21">
      <c r="B179" s="27">
        <v>70</v>
      </c>
      <c r="C179" s="27" t="s">
        <v>739</v>
      </c>
      <c r="E179" s="28">
        <v>660</v>
      </c>
      <c r="G179" s="28">
        <v>0.61099999999999999</v>
      </c>
      <c r="H179" s="28">
        <v>0.71099999999999997</v>
      </c>
      <c r="I179" s="28">
        <v>-11</v>
      </c>
      <c r="J179" s="63">
        <v>1</v>
      </c>
      <c r="K179" s="327">
        <v>1466</v>
      </c>
      <c r="L179" s="393">
        <v>314</v>
      </c>
      <c r="M179" s="62">
        <v>0.98</v>
      </c>
      <c r="N179" s="28">
        <v>1</v>
      </c>
      <c r="O179" s="27" t="s">
        <v>895</v>
      </c>
      <c r="R179" s="28">
        <v>50</v>
      </c>
      <c r="S179" s="28">
        <v>3</v>
      </c>
      <c r="T179" s="28">
        <v>4.5</v>
      </c>
      <c r="U179" s="28">
        <v>9.1</v>
      </c>
    </row>
    <row r="180" spans="2:21">
      <c r="B180" s="27">
        <v>71</v>
      </c>
      <c r="C180" s="27" t="s">
        <v>741</v>
      </c>
      <c r="E180" s="28">
        <v>1295</v>
      </c>
      <c r="F180" s="28" t="s">
        <v>356</v>
      </c>
      <c r="G180" s="28">
        <v>0.61599999999999999</v>
      </c>
      <c r="H180" s="28">
        <v>0.70499999999999996</v>
      </c>
      <c r="I180" s="28">
        <v>-12</v>
      </c>
      <c r="J180" s="63">
        <v>1</v>
      </c>
      <c r="K180" s="327">
        <v>1847</v>
      </c>
      <c r="L180" s="393">
        <v>681</v>
      </c>
      <c r="M180" s="62">
        <v>0.89</v>
      </c>
      <c r="N180" s="28">
        <v>1</v>
      </c>
      <c r="O180" s="27" t="s">
        <v>895</v>
      </c>
      <c r="R180" s="28">
        <v>40</v>
      </c>
      <c r="S180" s="28">
        <v>2.7</v>
      </c>
      <c r="T180" s="28">
        <v>4.0999999999999996</v>
      </c>
      <c r="U180" s="28">
        <v>8.1999999999999993</v>
      </c>
    </row>
    <row r="181" spans="2:21">
      <c r="B181" s="27">
        <v>72</v>
      </c>
      <c r="C181" s="27" t="s">
        <v>744</v>
      </c>
      <c r="E181" s="28">
        <v>516</v>
      </c>
      <c r="G181" s="28">
        <v>0.6</v>
      </c>
      <c r="H181" s="28">
        <v>0.71399999999999997</v>
      </c>
      <c r="I181" s="28">
        <v>-8</v>
      </c>
      <c r="J181" s="63">
        <v>1</v>
      </c>
      <c r="K181" s="327">
        <v>1142</v>
      </c>
      <c r="L181" s="393">
        <v>450</v>
      </c>
      <c r="M181" s="62">
        <v>0.27</v>
      </c>
      <c r="N181" s="28">
        <v>1</v>
      </c>
      <c r="O181" s="27" t="s">
        <v>895</v>
      </c>
      <c r="R181" s="28">
        <v>30</v>
      </c>
      <c r="S181" s="28">
        <v>2.4</v>
      </c>
      <c r="T181" s="28">
        <v>3.6</v>
      </c>
      <c r="U181" s="28">
        <v>7.2</v>
      </c>
    </row>
    <row r="182" spans="2:21">
      <c r="B182" s="27">
        <v>73</v>
      </c>
      <c r="C182" s="27" t="s">
        <v>746</v>
      </c>
      <c r="E182" s="28">
        <v>1809</v>
      </c>
      <c r="G182" s="28">
        <v>0.623</v>
      </c>
      <c r="H182" s="28">
        <v>0.70499999999999996</v>
      </c>
      <c r="I182" s="28">
        <v>-14</v>
      </c>
      <c r="J182" s="63">
        <v>1</v>
      </c>
      <c r="K182" s="327">
        <v>2396</v>
      </c>
      <c r="L182" s="393">
        <v>738</v>
      </c>
      <c r="M182" s="62">
        <v>2.2200000000000002</v>
      </c>
      <c r="N182" s="28">
        <v>1</v>
      </c>
      <c r="O182" s="27" t="s">
        <v>895</v>
      </c>
      <c r="R182" s="28">
        <v>20</v>
      </c>
      <c r="S182" s="28">
        <v>2</v>
      </c>
      <c r="T182" s="28">
        <v>3</v>
      </c>
      <c r="U182" s="28">
        <v>6</v>
      </c>
    </row>
    <row r="183" spans="2:21">
      <c r="B183" s="27">
        <v>74</v>
      </c>
      <c r="C183" s="27" t="s">
        <v>1051</v>
      </c>
      <c r="E183" s="28">
        <v>432</v>
      </c>
      <c r="G183" s="28">
        <v>0.6</v>
      </c>
      <c r="H183" s="28">
        <v>0.71299999999999997</v>
      </c>
      <c r="I183" s="28">
        <v>-8</v>
      </c>
      <c r="J183" s="63">
        <v>2</v>
      </c>
      <c r="K183" s="327">
        <v>1150</v>
      </c>
      <c r="L183" s="393">
        <v>405</v>
      </c>
      <c r="M183" s="62">
        <v>0.13</v>
      </c>
      <c r="N183" s="28">
        <v>1</v>
      </c>
      <c r="O183" s="27" t="s">
        <v>895</v>
      </c>
      <c r="R183" s="28">
        <v>10</v>
      </c>
      <c r="S183" s="28">
        <v>1.5</v>
      </c>
      <c r="T183" s="28">
        <v>2.2000000000000002</v>
      </c>
      <c r="U183" s="28">
        <v>4.4000000000000004</v>
      </c>
    </row>
    <row r="184" spans="2:21">
      <c r="B184" s="27">
        <v>75</v>
      </c>
      <c r="C184" s="27" t="s">
        <v>1053</v>
      </c>
      <c r="E184" s="28">
        <v>563</v>
      </c>
      <c r="G184" s="28">
        <v>0.6</v>
      </c>
      <c r="H184" s="28">
        <v>0.71099999999999997</v>
      </c>
      <c r="I184" s="28">
        <v>-8</v>
      </c>
      <c r="J184" s="63">
        <v>1</v>
      </c>
      <c r="K184" s="327">
        <v>1142</v>
      </c>
      <c r="L184" s="393">
        <v>491</v>
      </c>
      <c r="M184" s="62">
        <v>0.14000000000000001</v>
      </c>
      <c r="O184" s="27"/>
    </row>
    <row r="185" spans="2:21">
      <c r="B185" s="27">
        <v>76</v>
      </c>
      <c r="C185" s="27" t="s">
        <v>1054</v>
      </c>
      <c r="E185" s="28">
        <v>943</v>
      </c>
      <c r="G185" s="28">
        <v>0.61599999999999999</v>
      </c>
      <c r="H185" s="28">
        <v>0.71099999999999997</v>
      </c>
      <c r="I185" s="28">
        <v>-12</v>
      </c>
      <c r="J185" s="63">
        <v>2</v>
      </c>
      <c r="K185" s="327">
        <v>1517</v>
      </c>
      <c r="L185" s="393">
        <v>646</v>
      </c>
      <c r="M185" s="62">
        <v>0.69</v>
      </c>
      <c r="O185" s="27"/>
    </row>
    <row r="186" spans="2:21">
      <c r="B186" s="27">
        <v>77</v>
      </c>
      <c r="C186" s="27" t="s">
        <v>1055</v>
      </c>
      <c r="E186" s="28">
        <v>1067</v>
      </c>
      <c r="G186" s="28">
        <v>0.59399999999999997</v>
      </c>
      <c r="H186" s="28">
        <v>0.73599999999999999</v>
      </c>
      <c r="I186" s="28">
        <v>-7</v>
      </c>
      <c r="J186" s="63">
        <v>1</v>
      </c>
      <c r="K186" s="327">
        <v>1340</v>
      </c>
      <c r="L186" s="393">
        <v>808</v>
      </c>
      <c r="M186" s="62">
        <v>0.28999999999999998</v>
      </c>
      <c r="O186" s="27"/>
    </row>
    <row r="187" spans="2:21">
      <c r="B187" s="27">
        <v>78</v>
      </c>
      <c r="C187" s="27" t="s">
        <v>1056</v>
      </c>
      <c r="E187" s="28">
        <v>445</v>
      </c>
      <c r="G187" s="28">
        <v>0.59699999999999998</v>
      </c>
      <c r="H187" s="28">
        <v>0.71499999999999997</v>
      </c>
      <c r="I187" s="28">
        <v>-7</v>
      </c>
      <c r="J187" s="63">
        <v>1</v>
      </c>
      <c r="K187" s="327">
        <v>1078</v>
      </c>
      <c r="L187" s="393">
        <v>403</v>
      </c>
      <c r="M187" s="62">
        <v>0.2</v>
      </c>
      <c r="N187" s="27"/>
      <c r="O187" s="54" t="s">
        <v>908</v>
      </c>
    </row>
    <row r="188" spans="2:21">
      <c r="B188" s="27">
        <v>79</v>
      </c>
      <c r="C188" s="27" t="s">
        <v>2001</v>
      </c>
      <c r="E188" s="28">
        <v>436</v>
      </c>
      <c r="G188" s="28">
        <v>0.59399999999999997</v>
      </c>
      <c r="H188" s="28">
        <v>0.71499999999999997</v>
      </c>
      <c r="I188" s="28">
        <v>-6</v>
      </c>
      <c r="J188" s="63">
        <v>1</v>
      </c>
      <c r="K188" s="327">
        <v>1014</v>
      </c>
      <c r="L188" s="393">
        <v>467</v>
      </c>
      <c r="M188" s="62">
        <v>0.28000000000000003</v>
      </c>
      <c r="O188" s="27"/>
    </row>
    <row r="189" spans="2:21">
      <c r="B189" s="27">
        <v>80</v>
      </c>
      <c r="C189" s="27" t="s">
        <v>2002</v>
      </c>
      <c r="E189" s="28">
        <v>2667</v>
      </c>
      <c r="F189" s="28" t="s">
        <v>1552</v>
      </c>
      <c r="G189" s="28">
        <v>0.63500000000000001</v>
      </c>
      <c r="H189" s="28">
        <v>0.70599999999999996</v>
      </c>
      <c r="I189" s="28">
        <v>-17</v>
      </c>
      <c r="J189" s="63">
        <v>4</v>
      </c>
      <c r="K189" s="327">
        <v>3477</v>
      </c>
      <c r="L189" s="393">
        <v>810</v>
      </c>
      <c r="M189" s="62">
        <v>4.99</v>
      </c>
      <c r="N189" s="63"/>
      <c r="O189" s="120" t="s">
        <v>910</v>
      </c>
      <c r="P189" s="59"/>
      <c r="Q189" s="59"/>
      <c r="R189" s="95" t="s">
        <v>911</v>
      </c>
    </row>
    <row r="190" spans="2:21">
      <c r="B190" s="27">
        <v>81</v>
      </c>
      <c r="C190" s="27" t="s">
        <v>2003</v>
      </c>
      <c r="E190" s="28">
        <v>439</v>
      </c>
      <c r="G190" s="28">
        <v>0.6</v>
      </c>
      <c r="H190" s="28">
        <v>0.71399999999999997</v>
      </c>
      <c r="I190" s="28">
        <v>-8</v>
      </c>
      <c r="J190" s="63">
        <v>2</v>
      </c>
      <c r="K190" s="327">
        <v>1218</v>
      </c>
      <c r="L190" s="393">
        <v>422</v>
      </c>
      <c r="M190" s="62">
        <v>0.56999999999999995</v>
      </c>
      <c r="O190" s="27"/>
    </row>
    <row r="191" spans="2:21">
      <c r="B191" s="27">
        <v>82</v>
      </c>
      <c r="C191" s="27" t="s">
        <v>2004</v>
      </c>
      <c r="E191" s="28">
        <v>1632</v>
      </c>
      <c r="F191" s="28" t="s">
        <v>1443</v>
      </c>
      <c r="G191" s="28">
        <v>0.61599999999999999</v>
      </c>
      <c r="H191" s="28">
        <v>0.70799999999999996</v>
      </c>
      <c r="I191" s="28">
        <v>-12</v>
      </c>
      <c r="J191" s="63">
        <v>2</v>
      </c>
      <c r="K191" s="327">
        <v>2063</v>
      </c>
      <c r="L191" s="393">
        <v>948</v>
      </c>
      <c r="M191" s="62">
        <v>1.46</v>
      </c>
      <c r="O191" s="27" t="s">
        <v>1554</v>
      </c>
      <c r="R191" s="28">
        <v>0.6</v>
      </c>
    </row>
    <row r="192" spans="2:21">
      <c r="B192" s="27">
        <v>83</v>
      </c>
      <c r="C192" s="27" t="s">
        <v>2006</v>
      </c>
      <c r="E192" s="28">
        <v>569</v>
      </c>
      <c r="F192" s="28" t="s">
        <v>356</v>
      </c>
      <c r="G192" s="28">
        <v>0.6</v>
      </c>
      <c r="H192" s="28">
        <v>0.71699999999999997</v>
      </c>
      <c r="I192" s="28">
        <v>-8</v>
      </c>
      <c r="J192" s="63">
        <v>2</v>
      </c>
      <c r="K192" s="327">
        <v>1176</v>
      </c>
      <c r="L192" s="393">
        <v>471</v>
      </c>
      <c r="M192" s="62">
        <v>0.32</v>
      </c>
      <c r="O192" s="27" t="s">
        <v>1536</v>
      </c>
      <c r="R192" s="28">
        <v>0.3</v>
      </c>
    </row>
    <row r="193" spans="2:19">
      <c r="B193" s="27"/>
      <c r="C193" s="27"/>
      <c r="M193" s="28"/>
      <c r="O193" s="27" t="s">
        <v>1537</v>
      </c>
      <c r="R193" s="28">
        <v>0.2</v>
      </c>
    </row>
    <row r="194" spans="2:19">
      <c r="B194" s="28"/>
      <c r="E194" s="29"/>
      <c r="M194" s="28"/>
      <c r="O194" s="27"/>
    </row>
    <row r="195" spans="2:19">
      <c r="B195" s="28"/>
      <c r="E195" s="29"/>
      <c r="M195" s="28"/>
      <c r="O195" s="27"/>
      <c r="R195" s="27"/>
      <c r="S195" s="27"/>
    </row>
    <row r="196" spans="2:19">
      <c r="B196" s="28"/>
      <c r="E196" s="29"/>
      <c r="M196" s="28"/>
      <c r="O196" s="27"/>
      <c r="R196" s="27"/>
      <c r="S196" s="27"/>
    </row>
    <row r="197" spans="2:19">
      <c r="B197" s="28"/>
      <c r="E197" s="29"/>
      <c r="M197" s="28"/>
      <c r="O197" s="120" t="s">
        <v>1540</v>
      </c>
      <c r="P197" s="59"/>
      <c r="Q197" s="59"/>
      <c r="R197" s="31"/>
    </row>
    <row r="198" spans="2:19">
      <c r="B198" s="28"/>
      <c r="E198" s="29"/>
      <c r="M198" s="28"/>
      <c r="O198" s="27"/>
    </row>
    <row r="199" spans="2:19">
      <c r="M199" s="28"/>
      <c r="O199" s="27" t="s">
        <v>1541</v>
      </c>
    </row>
    <row r="200" spans="2:19">
      <c r="M200" s="28"/>
      <c r="O200" s="27" t="s">
        <v>883</v>
      </c>
    </row>
    <row r="201" spans="2:19">
      <c r="M201" s="28"/>
      <c r="O201" s="27" t="s">
        <v>895</v>
      </c>
    </row>
    <row r="202" spans="2:19">
      <c r="M202" s="28"/>
      <c r="O202" s="27"/>
    </row>
    <row r="203" spans="2:19">
      <c r="M203" s="28"/>
      <c r="O203" s="27"/>
    </row>
    <row r="204" spans="2:19" ht="14.25">
      <c r="M204" s="28"/>
      <c r="O204" s="120" t="s">
        <v>1544</v>
      </c>
      <c r="P204" s="59"/>
      <c r="Q204" s="59"/>
      <c r="R204" s="95" t="s">
        <v>2368</v>
      </c>
    </row>
    <row r="205" spans="2:19">
      <c r="M205" s="28"/>
      <c r="O205" s="27"/>
    </row>
    <row r="206" spans="2:19">
      <c r="M206" s="28"/>
      <c r="O206" s="27" t="s">
        <v>1546</v>
      </c>
      <c r="R206" s="28">
        <v>0.5</v>
      </c>
    </row>
    <row r="207" spans="2:19">
      <c r="M207" s="28"/>
      <c r="O207" s="27" t="s">
        <v>1548</v>
      </c>
      <c r="R207" s="28">
        <v>0.3</v>
      </c>
    </row>
    <row r="208" spans="2:19">
      <c r="M208" s="28"/>
      <c r="O208" s="27" t="s">
        <v>1550</v>
      </c>
      <c r="R208" s="28">
        <v>0.2</v>
      </c>
    </row>
    <row r="209" spans="13:21">
      <c r="M209" s="28"/>
      <c r="O209" s="27"/>
    </row>
    <row r="210" spans="13:21">
      <c r="M210" s="28"/>
      <c r="O210" s="27"/>
    </row>
    <row r="211" spans="13:21" ht="15.75">
      <c r="M211" s="28"/>
      <c r="O211" s="52" t="s">
        <v>1407</v>
      </c>
      <c r="S211" s="29" t="s">
        <v>2369</v>
      </c>
    </row>
    <row r="212" spans="13:21">
      <c r="M212" s="28"/>
      <c r="O212" s="27"/>
      <c r="S212" s="28">
        <v>0.2</v>
      </c>
      <c r="T212" s="28">
        <v>0.3</v>
      </c>
      <c r="U212" s="28">
        <v>0.6</v>
      </c>
    </row>
    <row r="213" spans="13:21" ht="15.75">
      <c r="M213" s="28"/>
      <c r="O213" s="27"/>
      <c r="R213" s="28" t="s">
        <v>2370</v>
      </c>
    </row>
    <row r="214" spans="13:21">
      <c r="M214" s="28"/>
      <c r="O214" s="27"/>
      <c r="R214" s="28">
        <v>0.5</v>
      </c>
      <c r="S214" s="28">
        <v>1.22</v>
      </c>
      <c r="T214" s="28">
        <v>1.1499999999999999</v>
      </c>
      <c r="U214" s="28">
        <v>1.07</v>
      </c>
    </row>
    <row r="215" spans="13:21">
      <c r="M215" s="28"/>
      <c r="O215" s="27"/>
      <c r="R215" s="28">
        <v>0.3</v>
      </c>
      <c r="S215" s="28">
        <v>1.1299999999999999</v>
      </c>
      <c r="T215" s="28">
        <v>1.0900000000000001</v>
      </c>
      <c r="U215" s="28">
        <v>1.04</v>
      </c>
    </row>
    <row r="216" spans="13:21">
      <c r="M216" s="28"/>
      <c r="O216" s="27"/>
      <c r="R216" s="28">
        <v>0.2</v>
      </c>
      <c r="S216" s="28">
        <v>1.0900000000000001</v>
      </c>
      <c r="T216" s="28">
        <v>1.06</v>
      </c>
      <c r="U216" s="28">
        <v>1.03</v>
      </c>
    </row>
    <row r="217" spans="13:21">
      <c r="M217" s="28"/>
      <c r="O217" s="27"/>
    </row>
    <row r="218" spans="13:21">
      <c r="M218" s="28"/>
      <c r="O218" s="27"/>
    </row>
    <row r="219" spans="13:21" ht="14.25">
      <c r="M219" s="28"/>
      <c r="O219" s="120" t="s">
        <v>1398</v>
      </c>
      <c r="P219" s="59"/>
      <c r="Q219" s="59"/>
      <c r="R219" s="95" t="s">
        <v>2372</v>
      </c>
    </row>
    <row r="220" spans="13:21">
      <c r="M220" s="28"/>
      <c r="O220" s="27"/>
      <c r="R220" s="28">
        <v>1</v>
      </c>
    </row>
    <row r="221" spans="13:21">
      <c r="M221" s="28"/>
      <c r="O221" s="27" t="s">
        <v>1399</v>
      </c>
      <c r="R221" s="28">
        <v>1.4</v>
      </c>
    </row>
    <row r="222" spans="13:21">
      <c r="M222" s="28"/>
      <c r="O222" s="27" t="s">
        <v>1401</v>
      </c>
      <c r="R222" s="28">
        <v>1.3</v>
      </c>
    </row>
    <row r="223" spans="13:21">
      <c r="M223" s="28"/>
      <c r="O223" s="27" t="s">
        <v>1403</v>
      </c>
      <c r="R223" s="28">
        <v>1.1000000000000001</v>
      </c>
    </row>
    <row r="224" spans="13:21">
      <c r="M224" s="28"/>
      <c r="O224" s="27"/>
    </row>
    <row r="225" spans="13:21">
      <c r="M225" s="28"/>
      <c r="O225" s="27"/>
    </row>
    <row r="226" spans="13:21">
      <c r="M226" s="28"/>
      <c r="O226" s="120" t="s">
        <v>1919</v>
      </c>
      <c r="P226" s="59"/>
      <c r="Q226" s="59"/>
      <c r="R226" s="35" t="s">
        <v>1920</v>
      </c>
      <c r="S226" s="59"/>
      <c r="T226" s="59"/>
      <c r="U226" s="59"/>
    </row>
    <row r="227" spans="13:21">
      <c r="M227" s="28"/>
      <c r="O227" s="27"/>
      <c r="R227" s="28" t="s">
        <v>971</v>
      </c>
      <c r="S227" s="28" t="s">
        <v>972</v>
      </c>
      <c r="T227" s="28" t="s">
        <v>973</v>
      </c>
      <c r="U227" s="28" t="s">
        <v>974</v>
      </c>
    </row>
    <row r="228" spans="13:21">
      <c r="M228" s="28"/>
      <c r="O228" s="27" t="s">
        <v>740</v>
      </c>
      <c r="R228" s="28">
        <v>2</v>
      </c>
      <c r="S228" s="28">
        <v>3</v>
      </c>
      <c r="T228" s="28">
        <v>4</v>
      </c>
      <c r="U228" s="28">
        <v>4</v>
      </c>
    </row>
    <row r="229" spans="13:21">
      <c r="M229" s="28"/>
      <c r="O229" s="27" t="s">
        <v>742</v>
      </c>
      <c r="R229" s="28">
        <v>1</v>
      </c>
      <c r="S229" s="28">
        <v>2</v>
      </c>
      <c r="T229" s="28">
        <v>3</v>
      </c>
      <c r="U229" s="28">
        <v>4</v>
      </c>
    </row>
    <row r="230" spans="13:21">
      <c r="M230" s="28"/>
      <c r="O230" s="27" t="s">
        <v>743</v>
      </c>
      <c r="R230" s="28">
        <v>1</v>
      </c>
      <c r="S230" s="28">
        <v>1</v>
      </c>
      <c r="T230" s="28">
        <v>2</v>
      </c>
      <c r="U230" s="28">
        <v>3</v>
      </c>
    </row>
    <row r="231" spans="13:21">
      <c r="M231" s="28"/>
      <c r="O231" s="27"/>
    </row>
    <row r="232" spans="13:21">
      <c r="M232" s="28"/>
      <c r="O232" s="27"/>
    </row>
    <row r="233" spans="13:21">
      <c r="M233" s="28"/>
      <c r="O233" s="134" t="s">
        <v>745</v>
      </c>
    </row>
    <row r="234" spans="13:21">
      <c r="M234" s="28"/>
      <c r="O234" s="27"/>
    </row>
    <row r="235" spans="13:21">
      <c r="M235" s="28"/>
      <c r="O235" s="27" t="s">
        <v>1050</v>
      </c>
      <c r="R235" s="28">
        <v>-1</v>
      </c>
    </row>
    <row r="236" spans="13:21">
      <c r="M236" s="28"/>
      <c r="O236" s="27" t="s">
        <v>351</v>
      </c>
      <c r="R236" s="28">
        <v>0</v>
      </c>
    </row>
    <row r="237" spans="13:21">
      <c r="M237" s="28"/>
      <c r="O237" s="27" t="s">
        <v>1052</v>
      </c>
      <c r="R237" s="28">
        <v>1</v>
      </c>
    </row>
    <row r="238" spans="13:21">
      <c r="M238" s="28"/>
      <c r="O238" s="27" t="s">
        <v>1438</v>
      </c>
      <c r="R238" s="28">
        <v>2</v>
      </c>
    </row>
    <row r="239" spans="13:21">
      <c r="M239" s="28"/>
      <c r="O239" s="27" t="s">
        <v>1440</v>
      </c>
      <c r="R239" s="28">
        <v>3</v>
      </c>
    </row>
    <row r="240" spans="13:21">
      <c r="M240" s="28"/>
      <c r="O240" s="27" t="s">
        <v>1441</v>
      </c>
      <c r="R240" s="28">
        <v>4</v>
      </c>
    </row>
    <row r="241" spans="13:18">
      <c r="M241" s="28"/>
      <c r="O241" s="27" t="s">
        <v>1442</v>
      </c>
      <c r="R241" s="28">
        <v>5</v>
      </c>
    </row>
    <row r="242" spans="13:18">
      <c r="M242" s="28"/>
      <c r="O242" s="27" t="s">
        <v>1581</v>
      </c>
      <c r="R242" s="28">
        <v>6</v>
      </c>
    </row>
    <row r="243" spans="13:18">
      <c r="M243" s="28"/>
      <c r="O243" s="27" t="s">
        <v>1582</v>
      </c>
      <c r="R243" s="28">
        <v>7</v>
      </c>
    </row>
    <row r="244" spans="13:18">
      <c r="M244" s="28"/>
      <c r="O244" s="27" t="s">
        <v>1584</v>
      </c>
      <c r="R244" s="28">
        <v>8</v>
      </c>
    </row>
    <row r="245" spans="13:18">
      <c r="M245" s="28"/>
      <c r="O245" s="27" t="s">
        <v>1586</v>
      </c>
      <c r="R245" s="28">
        <v>9</v>
      </c>
    </row>
    <row r="246" spans="13:18">
      <c r="M246" s="28"/>
      <c r="O246" s="27" t="s">
        <v>1587</v>
      </c>
      <c r="R246" s="28">
        <v>10</v>
      </c>
    </row>
    <row r="247" spans="13:18">
      <c r="M247" s="28"/>
      <c r="O247" s="27" t="s">
        <v>90</v>
      </c>
      <c r="R247" s="28">
        <v>11</v>
      </c>
    </row>
    <row r="248" spans="13:18">
      <c r="M248" s="28"/>
      <c r="O248" s="27" t="s">
        <v>91</v>
      </c>
      <c r="R248" s="28">
        <v>12</v>
      </c>
    </row>
    <row r="249" spans="13:18">
      <c r="M249" s="28"/>
      <c r="O249" s="27" t="s">
        <v>92</v>
      </c>
      <c r="R249" s="28">
        <v>13</v>
      </c>
    </row>
    <row r="250" spans="13:18">
      <c r="M250" s="28"/>
      <c r="O250" s="27" t="s">
        <v>93</v>
      </c>
      <c r="R250" s="28">
        <v>14</v>
      </c>
    </row>
    <row r="251" spans="13:18">
      <c r="M251" s="28"/>
      <c r="O251" s="27" t="s">
        <v>94</v>
      </c>
      <c r="R251" s="28">
        <v>15</v>
      </c>
    </row>
    <row r="252" spans="13:18">
      <c r="M252" s="28"/>
      <c r="O252" s="27" t="s">
        <v>95</v>
      </c>
      <c r="R252" s="28">
        <v>16</v>
      </c>
    </row>
    <row r="253" spans="13:18">
      <c r="M253" s="28"/>
      <c r="O253" s="27" t="s">
        <v>98</v>
      </c>
      <c r="R253" s="28">
        <v>17</v>
      </c>
    </row>
    <row r="254" spans="13:18">
      <c r="M254" s="28"/>
      <c r="O254" s="27" t="s">
        <v>99</v>
      </c>
      <c r="R254" s="28">
        <v>18</v>
      </c>
    </row>
    <row r="255" spans="13:18">
      <c r="M255" s="28"/>
      <c r="O255" s="27" t="s">
        <v>100</v>
      </c>
      <c r="R255" s="28">
        <v>19</v>
      </c>
    </row>
    <row r="256" spans="13:18">
      <c r="M256" s="28"/>
      <c r="O256" s="27" t="s">
        <v>104</v>
      </c>
      <c r="R256" s="28">
        <v>20</v>
      </c>
    </row>
    <row r="257" spans="1:21">
      <c r="M257" s="28"/>
      <c r="O257" s="27" t="s">
        <v>105</v>
      </c>
      <c r="R257" s="28">
        <v>21</v>
      </c>
    </row>
    <row r="258" spans="1:21">
      <c r="M258" s="28"/>
      <c r="O258" s="27" t="s">
        <v>1571</v>
      </c>
      <c r="R258" s="28">
        <v>22</v>
      </c>
    </row>
    <row r="259" spans="1:21">
      <c r="M259" s="28"/>
      <c r="O259" s="27" t="s">
        <v>1572</v>
      </c>
      <c r="R259" s="28">
        <v>23</v>
      </c>
    </row>
    <row r="260" spans="1:21">
      <c r="M260" s="28"/>
      <c r="O260" s="27" t="s">
        <v>1573</v>
      </c>
      <c r="R260" s="28">
        <v>24</v>
      </c>
    </row>
    <row r="261" spans="1:21">
      <c r="M261" s="28"/>
      <c r="O261" s="27" t="s">
        <v>1574</v>
      </c>
      <c r="R261" s="28">
        <v>25</v>
      </c>
    </row>
    <row r="262" spans="1:21">
      <c r="M262" s="28"/>
      <c r="O262" s="27" t="s">
        <v>1575</v>
      </c>
      <c r="R262" s="28">
        <v>26</v>
      </c>
    </row>
    <row r="263" spans="1:21">
      <c r="M263" s="28"/>
      <c r="O263" s="27" t="s">
        <v>1577</v>
      </c>
      <c r="R263" s="28">
        <v>27</v>
      </c>
    </row>
    <row r="264" spans="1:21">
      <c r="M264" s="28"/>
      <c r="O264" s="27" t="s">
        <v>884</v>
      </c>
      <c r="R264" s="28">
        <v>28</v>
      </c>
    </row>
    <row r="265" spans="1:21">
      <c r="M265" s="28"/>
      <c r="O265" s="27" t="s">
        <v>900</v>
      </c>
      <c r="R265" s="28">
        <v>29</v>
      </c>
    </row>
    <row r="266" spans="1:21">
      <c r="M266" s="28"/>
      <c r="O266" s="27" t="s">
        <v>1580</v>
      </c>
      <c r="R266" s="28">
        <v>30</v>
      </c>
    </row>
    <row r="267" spans="1:21">
      <c r="M267" s="28"/>
      <c r="O267" s="27"/>
    </row>
    <row r="268" spans="1:21">
      <c r="M268" s="28"/>
      <c r="O268" s="27"/>
    </row>
    <row r="269" spans="1:21" ht="26.25">
      <c r="A269" s="359" t="s">
        <v>2248</v>
      </c>
      <c r="G269" s="37" t="s">
        <v>2249</v>
      </c>
      <c r="H269" s="940">
        <f ca="1">IF(OR(Klimastation="",Klimastation=147,Klimastation=0),40,VLOOKUP(Klimastation,D274:V313,19,FALSE))</f>
        <v>40</v>
      </c>
      <c r="M269" s="28"/>
      <c r="O269" s="27"/>
    </row>
    <row r="270" spans="1:21" ht="10.9" customHeight="1">
      <c r="A270" s="359"/>
      <c r="M270" s="28"/>
      <c r="O270" s="27"/>
    </row>
    <row r="271" spans="1:21">
      <c r="A271" s="161" t="s">
        <v>656</v>
      </c>
      <c r="B271" s="213"/>
      <c r="C271" s="213"/>
      <c r="D271" s="213"/>
      <c r="E271" s="2617" t="s">
        <v>2206</v>
      </c>
      <c r="F271" s="2618"/>
      <c r="G271" s="2618"/>
      <c r="H271" s="2618"/>
      <c r="I271" s="2618"/>
      <c r="J271" s="2618"/>
      <c r="K271" s="2618"/>
      <c r="L271" s="2619"/>
      <c r="M271" s="2617" t="s">
        <v>2207</v>
      </c>
      <c r="N271" s="2618"/>
      <c r="O271" s="2618"/>
      <c r="P271" s="2618"/>
      <c r="Q271" s="2618"/>
      <c r="R271" s="2618"/>
      <c r="S271" s="2618"/>
      <c r="T271" s="2618"/>
      <c r="U271" s="413" t="s">
        <v>2208</v>
      </c>
    </row>
    <row r="272" spans="1:21">
      <c r="A272" s="154"/>
      <c r="B272" s="63"/>
      <c r="C272" s="63"/>
      <c r="D272" s="63"/>
      <c r="E272" s="161" t="s">
        <v>2209</v>
      </c>
      <c r="F272" s="153" t="s">
        <v>2210</v>
      </c>
      <c r="G272" s="153"/>
      <c r="H272" s="213"/>
      <c r="I272" s="213"/>
      <c r="J272" s="213"/>
      <c r="K272" s="213" t="s">
        <v>1108</v>
      </c>
      <c r="L272" s="379" t="s">
        <v>2211</v>
      </c>
      <c r="M272" s="63" t="s">
        <v>2209</v>
      </c>
      <c r="N272" s="63" t="s">
        <v>2210</v>
      </c>
      <c r="O272" s="63"/>
      <c r="P272" s="63"/>
      <c r="Q272" s="63"/>
      <c r="R272" s="63"/>
      <c r="S272" s="63" t="s">
        <v>1108</v>
      </c>
      <c r="T272" s="63" t="s">
        <v>2211</v>
      </c>
      <c r="U272" s="1722" t="s">
        <v>2342</v>
      </c>
    </row>
    <row r="273" spans="1:22">
      <c r="A273" s="155" t="s">
        <v>2212</v>
      </c>
      <c r="B273" s="59"/>
      <c r="C273" s="59"/>
      <c r="D273" s="59"/>
      <c r="E273" s="155" t="s">
        <v>2213</v>
      </c>
      <c r="F273" s="35" t="s">
        <v>2214</v>
      </c>
      <c r="G273" s="35" t="s">
        <v>1583</v>
      </c>
      <c r="H273" s="59" t="s">
        <v>356</v>
      </c>
      <c r="I273" s="59" t="s">
        <v>1181</v>
      </c>
      <c r="J273" s="59" t="s">
        <v>1576</v>
      </c>
      <c r="K273" s="59" t="s">
        <v>2215</v>
      </c>
      <c r="L273" s="320" t="s">
        <v>2216</v>
      </c>
      <c r="M273" s="59" t="s">
        <v>2213</v>
      </c>
      <c r="N273" s="59" t="s">
        <v>2214</v>
      </c>
      <c r="O273" s="59" t="s">
        <v>1583</v>
      </c>
      <c r="P273" s="59" t="s">
        <v>356</v>
      </c>
      <c r="Q273" s="59" t="s">
        <v>1181</v>
      </c>
      <c r="R273" s="59" t="s">
        <v>1576</v>
      </c>
      <c r="S273" s="59" t="s">
        <v>2215</v>
      </c>
      <c r="T273" s="59" t="s">
        <v>2216</v>
      </c>
      <c r="U273" s="1723" t="s">
        <v>2213</v>
      </c>
      <c r="V273" s="29">
        <v>0</v>
      </c>
    </row>
    <row r="274" spans="1:22">
      <c r="A274" s="154" t="s">
        <v>372</v>
      </c>
      <c r="B274" s="63"/>
      <c r="C274" s="63"/>
      <c r="D274" s="63">
        <v>57</v>
      </c>
      <c r="E274" s="154">
        <v>-10</v>
      </c>
      <c r="F274" s="64">
        <v>73</v>
      </c>
      <c r="G274" s="64">
        <v>48</v>
      </c>
      <c r="H274" s="63">
        <v>140</v>
      </c>
      <c r="I274" s="63">
        <v>61</v>
      </c>
      <c r="J274" s="63">
        <v>35</v>
      </c>
      <c r="K274" s="63">
        <v>0.9</v>
      </c>
      <c r="L274" s="62" t="s">
        <v>2217</v>
      </c>
      <c r="M274" s="63">
        <v>-5</v>
      </c>
      <c r="N274" s="63">
        <v>28</v>
      </c>
      <c r="O274" s="63">
        <v>17</v>
      </c>
      <c r="P274" s="63">
        <v>36</v>
      </c>
      <c r="Q274" s="63">
        <v>20</v>
      </c>
      <c r="R274" s="63">
        <v>15</v>
      </c>
      <c r="S274" s="63">
        <v>1.6</v>
      </c>
      <c r="T274" s="63" t="s">
        <v>2218</v>
      </c>
      <c r="U274" s="1722">
        <v>-16</v>
      </c>
      <c r="V274" s="29">
        <v>1</v>
      </c>
    </row>
    <row r="275" spans="1:22">
      <c r="A275" s="154" t="s">
        <v>2219</v>
      </c>
      <c r="B275" s="63"/>
      <c r="C275" s="63"/>
      <c r="D275" s="63">
        <v>59</v>
      </c>
      <c r="E275" s="154">
        <v>-6</v>
      </c>
      <c r="F275" s="64">
        <v>73</v>
      </c>
      <c r="G275" s="64">
        <v>56</v>
      </c>
      <c r="H275" s="63">
        <v>136</v>
      </c>
      <c r="I275" s="63">
        <v>45</v>
      </c>
      <c r="J275" s="63">
        <v>27</v>
      </c>
      <c r="K275" s="63" t="s">
        <v>2220</v>
      </c>
      <c r="L275" s="62" t="s">
        <v>2221</v>
      </c>
      <c r="M275" s="63">
        <v>-1</v>
      </c>
      <c r="N275" s="63">
        <v>29</v>
      </c>
      <c r="O275" s="63">
        <v>17</v>
      </c>
      <c r="P275" s="63">
        <v>35</v>
      </c>
      <c r="Q275" s="63">
        <v>16</v>
      </c>
      <c r="R275" s="63">
        <v>13</v>
      </c>
      <c r="S275" s="63">
        <v>1.8</v>
      </c>
      <c r="T275" s="63" t="s">
        <v>2222</v>
      </c>
      <c r="U275" s="1722">
        <v>-13</v>
      </c>
      <c r="V275" s="29">
        <v>2</v>
      </c>
    </row>
    <row r="276" spans="1:22">
      <c r="A276" s="154" t="s">
        <v>2253</v>
      </c>
      <c r="B276" s="63"/>
      <c r="C276" s="63"/>
      <c r="D276" s="63">
        <v>82</v>
      </c>
      <c r="E276" s="154">
        <v>-6</v>
      </c>
      <c r="F276" s="64">
        <v>56</v>
      </c>
      <c r="G276" s="64">
        <v>40</v>
      </c>
      <c r="H276" s="63">
        <v>89</v>
      </c>
      <c r="I276" s="63">
        <v>38</v>
      </c>
      <c r="J276" s="63">
        <v>29</v>
      </c>
      <c r="K276" s="63">
        <v>2</v>
      </c>
      <c r="L276" s="62" t="s">
        <v>2223</v>
      </c>
      <c r="M276" s="63">
        <v>-2</v>
      </c>
      <c r="N276" s="63">
        <v>19</v>
      </c>
      <c r="O276" s="63">
        <v>10</v>
      </c>
      <c r="P276" s="63">
        <v>14</v>
      </c>
      <c r="Q276" s="63">
        <v>9</v>
      </c>
      <c r="R276" s="63">
        <v>9</v>
      </c>
      <c r="S276" s="63">
        <v>2</v>
      </c>
      <c r="T276" s="63" t="s">
        <v>2223</v>
      </c>
      <c r="U276" s="1722">
        <v>-11</v>
      </c>
      <c r="V276" s="29">
        <v>3</v>
      </c>
    </row>
    <row r="277" spans="1:22">
      <c r="A277" s="154" t="s">
        <v>104</v>
      </c>
      <c r="B277" s="63"/>
      <c r="C277" s="63"/>
      <c r="D277" s="63">
        <v>71</v>
      </c>
      <c r="E277" s="154">
        <v>-7</v>
      </c>
      <c r="F277" s="64">
        <v>55</v>
      </c>
      <c r="G277" s="64">
        <v>42</v>
      </c>
      <c r="H277" s="63">
        <v>109</v>
      </c>
      <c r="I277" s="63">
        <v>49</v>
      </c>
      <c r="J277" s="63">
        <v>26</v>
      </c>
      <c r="K277" s="63">
        <v>2.1</v>
      </c>
      <c r="L277" s="62" t="s">
        <v>2224</v>
      </c>
      <c r="M277" s="63">
        <v>-2</v>
      </c>
      <c r="N277" s="63">
        <v>18</v>
      </c>
      <c r="O277" s="63">
        <v>12</v>
      </c>
      <c r="P277" s="63">
        <v>19</v>
      </c>
      <c r="Q277" s="63">
        <v>13</v>
      </c>
      <c r="R277" s="58">
        <v>11</v>
      </c>
      <c r="S277" s="63">
        <v>2.1</v>
      </c>
      <c r="T277" s="63" t="s">
        <v>2225</v>
      </c>
      <c r="U277" s="393">
        <v>-13</v>
      </c>
      <c r="V277" s="29">
        <v>4</v>
      </c>
    </row>
    <row r="278" spans="1:22">
      <c r="A278" s="154" t="s">
        <v>2226</v>
      </c>
      <c r="B278" s="63"/>
      <c r="C278" s="63"/>
      <c r="D278" s="63">
        <v>60</v>
      </c>
      <c r="E278" s="154">
        <v>-7</v>
      </c>
      <c r="F278" s="64">
        <v>60</v>
      </c>
      <c r="G278" s="64">
        <v>42</v>
      </c>
      <c r="H278" s="63">
        <v>116</v>
      </c>
      <c r="I278" s="63">
        <v>50</v>
      </c>
      <c r="J278" s="63">
        <v>25</v>
      </c>
      <c r="K278" s="63">
        <v>1.6</v>
      </c>
      <c r="L278" s="62" t="s">
        <v>2227</v>
      </c>
      <c r="M278" s="63">
        <v>-2</v>
      </c>
      <c r="N278" s="63">
        <v>19</v>
      </c>
      <c r="O278" s="63">
        <v>11</v>
      </c>
      <c r="P278" s="63">
        <v>16</v>
      </c>
      <c r="Q278" s="63">
        <v>12</v>
      </c>
      <c r="R278" s="58">
        <v>10</v>
      </c>
      <c r="S278" s="63">
        <v>1.7</v>
      </c>
      <c r="T278" s="63" t="s">
        <v>2227</v>
      </c>
      <c r="U278" s="393">
        <v>-14</v>
      </c>
      <c r="V278" s="29">
        <v>5</v>
      </c>
    </row>
    <row r="279" spans="1:22">
      <c r="A279" s="154" t="s">
        <v>2228</v>
      </c>
      <c r="B279" s="63"/>
      <c r="C279" s="63"/>
      <c r="D279" s="63">
        <v>61</v>
      </c>
      <c r="E279" s="154">
        <v>-7</v>
      </c>
      <c r="F279" s="64">
        <v>47</v>
      </c>
      <c r="G279" s="64">
        <v>31</v>
      </c>
      <c r="H279" s="63">
        <v>78</v>
      </c>
      <c r="I279" s="63">
        <v>38</v>
      </c>
      <c r="J279" s="63">
        <v>23</v>
      </c>
      <c r="K279" s="63">
        <v>1.5</v>
      </c>
      <c r="L279" s="62" t="s">
        <v>2227</v>
      </c>
      <c r="M279" s="63">
        <v>-3</v>
      </c>
      <c r="N279" s="63">
        <v>18</v>
      </c>
      <c r="O279" s="63">
        <v>10</v>
      </c>
      <c r="P279" s="58">
        <v>13</v>
      </c>
      <c r="Q279" s="63">
        <v>11</v>
      </c>
      <c r="R279" s="63">
        <v>10</v>
      </c>
      <c r="S279" s="63">
        <v>1.5</v>
      </c>
      <c r="T279" s="63" t="s">
        <v>2227</v>
      </c>
      <c r="U279" s="393">
        <v>-14</v>
      </c>
      <c r="V279" s="29">
        <v>6</v>
      </c>
    </row>
    <row r="280" spans="1:22">
      <c r="A280" s="154" t="s">
        <v>882</v>
      </c>
      <c r="B280" s="63"/>
      <c r="C280" s="63"/>
      <c r="D280" s="63">
        <v>85</v>
      </c>
      <c r="E280" s="154">
        <v>-7</v>
      </c>
      <c r="F280" s="64">
        <v>73</v>
      </c>
      <c r="G280" s="64">
        <v>48</v>
      </c>
      <c r="H280" s="63">
        <v>143</v>
      </c>
      <c r="I280" s="63">
        <v>63</v>
      </c>
      <c r="J280" s="63">
        <v>32</v>
      </c>
      <c r="K280" s="63">
        <v>2.1</v>
      </c>
      <c r="L280" s="62" t="s">
        <v>2227</v>
      </c>
      <c r="M280" s="63">
        <v>-3</v>
      </c>
      <c r="N280" s="63">
        <v>26</v>
      </c>
      <c r="O280" s="63">
        <v>15</v>
      </c>
      <c r="P280" s="58">
        <v>31</v>
      </c>
      <c r="Q280" s="63">
        <v>17</v>
      </c>
      <c r="R280" s="63">
        <v>13</v>
      </c>
      <c r="S280" s="63">
        <v>2.4</v>
      </c>
      <c r="T280" s="63" t="s">
        <v>2227</v>
      </c>
      <c r="U280" s="393">
        <v>-14</v>
      </c>
      <c r="V280" s="29">
        <v>7</v>
      </c>
    </row>
    <row r="281" spans="1:22">
      <c r="A281" s="154" t="s">
        <v>1440</v>
      </c>
      <c r="B281" s="63"/>
      <c r="C281" s="63"/>
      <c r="D281" s="63">
        <v>54</v>
      </c>
      <c r="E281" s="154">
        <v>-13</v>
      </c>
      <c r="F281" s="64">
        <v>89</v>
      </c>
      <c r="G281" s="64">
        <v>80</v>
      </c>
      <c r="H281" s="63">
        <v>199</v>
      </c>
      <c r="I281" s="63">
        <v>91</v>
      </c>
      <c r="J281" s="63">
        <v>52</v>
      </c>
      <c r="K281" s="63">
        <v>1.7</v>
      </c>
      <c r="L281" s="1721">
        <v>10959</v>
      </c>
      <c r="M281" s="63">
        <v>-8</v>
      </c>
      <c r="N281" s="63">
        <v>38</v>
      </c>
      <c r="O281" s="63">
        <v>31</v>
      </c>
      <c r="P281" s="58">
        <v>68</v>
      </c>
      <c r="Q281" s="63">
        <v>35</v>
      </c>
      <c r="R281" s="63">
        <v>25</v>
      </c>
      <c r="S281" s="63">
        <v>2.5</v>
      </c>
      <c r="T281" s="1720">
        <v>10959</v>
      </c>
      <c r="U281" s="393">
        <v>-20</v>
      </c>
      <c r="V281" s="29">
        <v>8</v>
      </c>
    </row>
    <row r="282" spans="1:22">
      <c r="A282" s="154" t="s">
        <v>93</v>
      </c>
      <c r="B282" s="63"/>
      <c r="C282" s="63"/>
      <c r="D282" s="63">
        <v>65</v>
      </c>
      <c r="E282" s="154">
        <v>-10</v>
      </c>
      <c r="F282" s="64">
        <v>81</v>
      </c>
      <c r="G282" s="64">
        <v>67</v>
      </c>
      <c r="H282" s="63">
        <v>178</v>
      </c>
      <c r="I282" s="63">
        <v>83</v>
      </c>
      <c r="J282" s="63">
        <v>53</v>
      </c>
      <c r="K282" s="63">
        <v>0.8</v>
      </c>
      <c r="L282" s="62" t="s">
        <v>2217</v>
      </c>
      <c r="M282" s="63">
        <v>-3</v>
      </c>
      <c r="N282" s="63">
        <v>26</v>
      </c>
      <c r="O282" s="63">
        <v>18</v>
      </c>
      <c r="P282" s="58">
        <v>33</v>
      </c>
      <c r="Q282" s="63">
        <v>21</v>
      </c>
      <c r="R282" s="63">
        <v>17</v>
      </c>
      <c r="S282" s="63">
        <v>0.8</v>
      </c>
      <c r="T282" s="63" t="s">
        <v>2217</v>
      </c>
      <c r="U282" s="393">
        <v>-16</v>
      </c>
      <c r="V282" s="29">
        <v>9</v>
      </c>
    </row>
    <row r="283" spans="1:22">
      <c r="A283" s="154" t="s">
        <v>887</v>
      </c>
      <c r="B283" s="63"/>
      <c r="C283" s="63"/>
      <c r="D283" s="63">
        <v>93</v>
      </c>
      <c r="E283" s="154">
        <v>-11</v>
      </c>
      <c r="F283" s="64">
        <v>58</v>
      </c>
      <c r="G283" s="64">
        <v>38</v>
      </c>
      <c r="H283" s="63">
        <v>97</v>
      </c>
      <c r="I283" s="63">
        <v>41</v>
      </c>
      <c r="J283" s="63">
        <v>28</v>
      </c>
      <c r="K283" s="63">
        <v>0.9</v>
      </c>
      <c r="L283" s="62" t="s">
        <v>2217</v>
      </c>
      <c r="M283" s="63">
        <v>-8</v>
      </c>
      <c r="N283" s="63">
        <v>28</v>
      </c>
      <c r="O283" s="63">
        <v>15</v>
      </c>
      <c r="P283" s="58">
        <v>37</v>
      </c>
      <c r="Q283" s="63">
        <v>18</v>
      </c>
      <c r="R283" s="63">
        <v>14</v>
      </c>
      <c r="S283" s="63">
        <v>0.9</v>
      </c>
      <c r="T283" s="63" t="s">
        <v>2217</v>
      </c>
      <c r="U283" s="393">
        <v>-17</v>
      </c>
      <c r="V283" s="29">
        <v>10</v>
      </c>
    </row>
    <row r="284" spans="1:22">
      <c r="A284" s="154" t="s">
        <v>2229</v>
      </c>
      <c r="B284" s="63"/>
      <c r="C284" s="63"/>
      <c r="D284" s="63">
        <v>53</v>
      </c>
      <c r="E284" s="154">
        <v>-4</v>
      </c>
      <c r="F284" s="64">
        <v>50</v>
      </c>
      <c r="G284" s="64">
        <v>29</v>
      </c>
      <c r="H284" s="63">
        <v>85</v>
      </c>
      <c r="I284" s="63">
        <v>43</v>
      </c>
      <c r="J284" s="63">
        <v>20</v>
      </c>
      <c r="K284" s="63">
        <v>3</v>
      </c>
      <c r="L284" s="62" t="s">
        <v>2227</v>
      </c>
      <c r="M284" s="63">
        <v>-1</v>
      </c>
      <c r="N284" s="63">
        <v>20</v>
      </c>
      <c r="O284" s="63">
        <v>10</v>
      </c>
      <c r="P284" s="58">
        <v>16</v>
      </c>
      <c r="Q284" s="63">
        <v>12</v>
      </c>
      <c r="R284" s="63">
        <v>10</v>
      </c>
      <c r="S284" s="63">
        <v>2.5</v>
      </c>
      <c r="T284" s="63" t="s">
        <v>2227</v>
      </c>
      <c r="U284" s="393">
        <v>-10</v>
      </c>
      <c r="V284" s="29">
        <v>11</v>
      </c>
    </row>
    <row r="285" spans="1:22">
      <c r="A285" s="154" t="s">
        <v>94</v>
      </c>
      <c r="B285" s="63"/>
      <c r="C285" s="63"/>
      <c r="D285" s="63">
        <v>66</v>
      </c>
      <c r="E285" s="154">
        <v>-8</v>
      </c>
      <c r="F285" s="64">
        <v>65</v>
      </c>
      <c r="G285" s="64">
        <v>46</v>
      </c>
      <c r="H285" s="63">
        <v>111</v>
      </c>
      <c r="I285" s="63">
        <v>33</v>
      </c>
      <c r="J285" s="63">
        <v>25</v>
      </c>
      <c r="K285" s="63">
        <v>1.1000000000000001</v>
      </c>
      <c r="L285" s="62" t="s">
        <v>2230</v>
      </c>
      <c r="M285" s="63">
        <v>-4</v>
      </c>
      <c r="N285" s="63">
        <v>24</v>
      </c>
      <c r="O285" s="63">
        <v>13</v>
      </c>
      <c r="P285" s="58">
        <v>25</v>
      </c>
      <c r="Q285" s="63">
        <v>11</v>
      </c>
      <c r="R285" s="63">
        <v>11</v>
      </c>
      <c r="S285" s="63">
        <v>2</v>
      </c>
      <c r="T285" s="63" t="s">
        <v>2230</v>
      </c>
      <c r="U285" s="393">
        <v>-14</v>
      </c>
      <c r="V285" s="29">
        <v>12</v>
      </c>
    </row>
    <row r="286" spans="1:22">
      <c r="A286" s="154" t="s">
        <v>2231</v>
      </c>
      <c r="B286" s="63"/>
      <c r="C286" s="63"/>
      <c r="D286" s="63">
        <v>87</v>
      </c>
      <c r="E286" s="154">
        <v>-15</v>
      </c>
      <c r="F286" s="64">
        <v>89</v>
      </c>
      <c r="G286" s="64">
        <v>72</v>
      </c>
      <c r="H286" s="63">
        <v>150</v>
      </c>
      <c r="I286" s="63">
        <v>94</v>
      </c>
      <c r="J286" s="63">
        <v>56</v>
      </c>
      <c r="K286" s="63">
        <v>6.6</v>
      </c>
      <c r="L286" s="62" t="s">
        <v>2217</v>
      </c>
      <c r="M286" s="63">
        <v>-12</v>
      </c>
      <c r="N286" s="63">
        <v>37</v>
      </c>
      <c r="O286" s="63">
        <v>27</v>
      </c>
      <c r="P286" s="58">
        <v>44</v>
      </c>
      <c r="Q286" s="63">
        <v>34</v>
      </c>
      <c r="R286" s="63">
        <v>26</v>
      </c>
      <c r="S286" s="63">
        <v>7</v>
      </c>
      <c r="T286" s="63" t="s">
        <v>2217</v>
      </c>
      <c r="U286" s="393">
        <v>-19</v>
      </c>
      <c r="V286" s="29">
        <v>13</v>
      </c>
    </row>
    <row r="287" spans="1:22">
      <c r="A287" s="154" t="s">
        <v>2232</v>
      </c>
      <c r="B287" s="63"/>
      <c r="C287" s="63"/>
      <c r="D287" s="63">
        <v>63</v>
      </c>
      <c r="E287" s="154">
        <v>-7</v>
      </c>
      <c r="F287" s="64">
        <v>44</v>
      </c>
      <c r="G287" s="64">
        <v>28</v>
      </c>
      <c r="H287" s="63">
        <v>66</v>
      </c>
      <c r="I287" s="63">
        <v>34</v>
      </c>
      <c r="J287" s="63">
        <v>20</v>
      </c>
      <c r="K287" s="63">
        <v>2.4</v>
      </c>
      <c r="L287" s="62" t="s">
        <v>2227</v>
      </c>
      <c r="M287" s="63">
        <v>-4</v>
      </c>
      <c r="N287" s="63">
        <v>18</v>
      </c>
      <c r="O287" s="63">
        <v>10</v>
      </c>
      <c r="P287" s="58">
        <v>15</v>
      </c>
      <c r="Q287" s="63">
        <v>11</v>
      </c>
      <c r="R287" s="63">
        <v>9</v>
      </c>
      <c r="S287" s="63">
        <v>2.1</v>
      </c>
      <c r="T287" s="63" t="s">
        <v>2227</v>
      </c>
      <c r="U287" s="393">
        <v>-13</v>
      </c>
      <c r="V287" s="29">
        <v>14</v>
      </c>
    </row>
    <row r="288" spans="1:22">
      <c r="A288" s="154" t="s">
        <v>897</v>
      </c>
      <c r="B288" s="63"/>
      <c r="C288" s="63"/>
      <c r="D288" s="63">
        <v>64</v>
      </c>
      <c r="E288" s="154">
        <v>-7</v>
      </c>
      <c r="F288" s="64">
        <v>63</v>
      </c>
      <c r="G288" s="64">
        <v>41</v>
      </c>
      <c r="H288" s="63">
        <v>115</v>
      </c>
      <c r="I288" s="63">
        <v>50</v>
      </c>
      <c r="J288" s="63">
        <v>30</v>
      </c>
      <c r="K288" s="63">
        <v>2</v>
      </c>
      <c r="L288" s="62" t="s">
        <v>2218</v>
      </c>
      <c r="M288" s="63">
        <v>-2</v>
      </c>
      <c r="N288" s="63">
        <v>19</v>
      </c>
      <c r="O288" s="63">
        <v>11</v>
      </c>
      <c r="P288" s="58">
        <v>16</v>
      </c>
      <c r="Q288" s="63">
        <v>12</v>
      </c>
      <c r="R288" s="63">
        <v>10</v>
      </c>
      <c r="S288" s="63">
        <v>2.1</v>
      </c>
      <c r="T288" s="63" t="s">
        <v>2218</v>
      </c>
      <c r="U288" s="393">
        <v>-12</v>
      </c>
      <c r="V288" s="29">
        <v>15</v>
      </c>
    </row>
    <row r="289" spans="1:22">
      <c r="A289" s="154" t="s">
        <v>900</v>
      </c>
      <c r="B289" s="63"/>
      <c r="C289" s="63"/>
      <c r="D289" s="63">
        <v>80</v>
      </c>
      <c r="E289" s="154">
        <v>-10</v>
      </c>
      <c r="F289" s="64">
        <v>79</v>
      </c>
      <c r="G289" s="64">
        <v>78</v>
      </c>
      <c r="H289" s="63">
        <v>182</v>
      </c>
      <c r="I289" s="63">
        <v>77</v>
      </c>
      <c r="J289" s="63">
        <v>43</v>
      </c>
      <c r="K289" s="63">
        <v>2.7</v>
      </c>
      <c r="L289" s="62" t="s">
        <v>2227</v>
      </c>
      <c r="M289" s="63">
        <v>-4</v>
      </c>
      <c r="N289" s="63">
        <v>28</v>
      </c>
      <c r="O289" s="63">
        <v>22</v>
      </c>
      <c r="P289" s="58">
        <v>37</v>
      </c>
      <c r="Q289" s="63">
        <v>22</v>
      </c>
      <c r="R289" s="63">
        <v>18</v>
      </c>
      <c r="S289" s="63">
        <v>3</v>
      </c>
      <c r="T289" s="63" t="s">
        <v>2233</v>
      </c>
      <c r="U289" s="393">
        <v>-18</v>
      </c>
      <c r="V289" s="29">
        <v>16</v>
      </c>
    </row>
    <row r="290" spans="1:22">
      <c r="A290" s="154" t="s">
        <v>2234</v>
      </c>
      <c r="B290" s="63"/>
      <c r="C290" s="63"/>
      <c r="D290" s="63">
        <v>67</v>
      </c>
      <c r="E290" s="154">
        <v>-10</v>
      </c>
      <c r="F290" s="64">
        <v>72</v>
      </c>
      <c r="G290" s="64">
        <v>51</v>
      </c>
      <c r="H290" s="63">
        <v>128</v>
      </c>
      <c r="I290" s="63">
        <v>43</v>
      </c>
      <c r="J290" s="63">
        <v>19</v>
      </c>
      <c r="K290" s="63">
        <v>2.5</v>
      </c>
      <c r="L290" s="1721">
        <v>10959</v>
      </c>
      <c r="M290" s="63">
        <v>-5</v>
      </c>
      <c r="N290" s="63">
        <v>25</v>
      </c>
      <c r="O290" s="63">
        <v>13</v>
      </c>
      <c r="P290" s="58">
        <v>22</v>
      </c>
      <c r="Q290" s="63">
        <v>12</v>
      </c>
      <c r="R290" s="63">
        <v>10</v>
      </c>
      <c r="S290" s="63">
        <v>2.2000000000000002</v>
      </c>
      <c r="T290" s="63" t="s">
        <v>2233</v>
      </c>
      <c r="U290" s="393">
        <v>-16</v>
      </c>
      <c r="V290" s="29">
        <v>17</v>
      </c>
    </row>
    <row r="291" spans="1:22">
      <c r="A291" s="154" t="s">
        <v>1441</v>
      </c>
      <c r="B291" s="63"/>
      <c r="C291" s="63"/>
      <c r="D291" s="63">
        <v>55</v>
      </c>
      <c r="E291" s="154">
        <v>-1</v>
      </c>
      <c r="F291" s="64">
        <v>63</v>
      </c>
      <c r="G291" s="64">
        <v>41</v>
      </c>
      <c r="H291" s="63">
        <v>122</v>
      </c>
      <c r="I291" s="63">
        <v>45</v>
      </c>
      <c r="J291" s="63">
        <v>21</v>
      </c>
      <c r="K291" s="63">
        <v>1.2</v>
      </c>
      <c r="L291" s="1721">
        <v>10959</v>
      </c>
      <c r="M291" s="63">
        <v>2</v>
      </c>
      <c r="N291" s="63">
        <v>16</v>
      </c>
      <c r="O291" s="63">
        <v>8</v>
      </c>
      <c r="P291" s="58">
        <v>10</v>
      </c>
      <c r="Q291" s="63">
        <v>9</v>
      </c>
      <c r="R291" s="63">
        <v>7</v>
      </c>
      <c r="S291" s="63">
        <v>0.9</v>
      </c>
      <c r="T291" s="63" t="s">
        <v>2227</v>
      </c>
      <c r="U291" s="393">
        <v>-4</v>
      </c>
      <c r="V291" s="29">
        <v>18</v>
      </c>
    </row>
    <row r="292" spans="1:22">
      <c r="A292" s="154" t="s">
        <v>98</v>
      </c>
      <c r="B292" s="63"/>
      <c r="C292" s="63"/>
      <c r="D292" s="63">
        <v>68</v>
      </c>
      <c r="E292" s="154">
        <v>-1</v>
      </c>
      <c r="F292" s="64">
        <v>64</v>
      </c>
      <c r="G292" s="64">
        <v>38</v>
      </c>
      <c r="H292" s="63">
        <v>121</v>
      </c>
      <c r="I292" s="63">
        <v>47</v>
      </c>
      <c r="J292" s="63">
        <v>20</v>
      </c>
      <c r="K292" s="63">
        <v>1.9</v>
      </c>
      <c r="L292" s="62" t="s">
        <v>2222</v>
      </c>
      <c r="M292" s="63">
        <v>3</v>
      </c>
      <c r="N292" s="63">
        <v>15</v>
      </c>
      <c r="O292" s="63">
        <v>7</v>
      </c>
      <c r="P292" s="58">
        <v>11</v>
      </c>
      <c r="Q292" s="63">
        <v>8</v>
      </c>
      <c r="R292" s="63">
        <v>7</v>
      </c>
      <c r="S292" s="63">
        <v>1.1000000000000001</v>
      </c>
      <c r="T292" s="63" t="s">
        <v>2222</v>
      </c>
      <c r="U292" s="393">
        <v>-4</v>
      </c>
      <c r="V292" s="29">
        <v>19</v>
      </c>
    </row>
    <row r="293" spans="1:22">
      <c r="A293" s="154" t="s">
        <v>90</v>
      </c>
      <c r="B293" s="63"/>
      <c r="C293" s="63"/>
      <c r="D293" s="63">
        <v>62</v>
      </c>
      <c r="E293" s="154">
        <v>-6</v>
      </c>
      <c r="F293" s="64">
        <v>43</v>
      </c>
      <c r="G293" s="64">
        <v>31</v>
      </c>
      <c r="H293" s="63">
        <v>65</v>
      </c>
      <c r="I293" s="63">
        <v>33</v>
      </c>
      <c r="J293" s="63">
        <v>23</v>
      </c>
      <c r="K293" s="63">
        <v>1.4</v>
      </c>
      <c r="L293" s="62" t="s">
        <v>2222</v>
      </c>
      <c r="M293" s="63">
        <v>-3</v>
      </c>
      <c r="N293" s="63">
        <v>17</v>
      </c>
      <c r="O293" s="63">
        <v>10</v>
      </c>
      <c r="P293" s="58">
        <v>13</v>
      </c>
      <c r="Q293" s="63">
        <v>10</v>
      </c>
      <c r="R293" s="63">
        <v>10</v>
      </c>
      <c r="S293" s="63">
        <v>1.5</v>
      </c>
      <c r="T293" s="63" t="s">
        <v>2222</v>
      </c>
      <c r="U293" s="393">
        <v>-12</v>
      </c>
      <c r="V293" s="29">
        <v>20</v>
      </c>
    </row>
    <row r="294" spans="1:22">
      <c r="A294" s="154" t="s">
        <v>2235</v>
      </c>
      <c r="B294" s="63"/>
      <c r="C294" s="63"/>
      <c r="D294" s="63">
        <v>69</v>
      </c>
      <c r="E294" s="154">
        <v>-3</v>
      </c>
      <c r="F294" s="64">
        <v>59</v>
      </c>
      <c r="G294" s="64">
        <v>42</v>
      </c>
      <c r="H294" s="63">
        <v>117</v>
      </c>
      <c r="I294" s="63">
        <v>44</v>
      </c>
      <c r="J294" s="63">
        <v>20</v>
      </c>
      <c r="K294" s="63">
        <v>1.6</v>
      </c>
      <c r="L294" s="62" t="s">
        <v>2217</v>
      </c>
      <c r="M294" s="63">
        <v>1</v>
      </c>
      <c r="N294" s="63">
        <v>18</v>
      </c>
      <c r="O294" s="63">
        <v>10</v>
      </c>
      <c r="P294" s="58">
        <v>14</v>
      </c>
      <c r="Q294" s="63">
        <v>10</v>
      </c>
      <c r="R294" s="63">
        <v>8</v>
      </c>
      <c r="S294" s="63">
        <v>1.5</v>
      </c>
      <c r="T294" s="63" t="s">
        <v>2217</v>
      </c>
      <c r="U294" s="393">
        <v>-8</v>
      </c>
      <c r="V294" s="29">
        <v>21</v>
      </c>
    </row>
    <row r="295" spans="1:22">
      <c r="A295" s="154" t="s">
        <v>1577</v>
      </c>
      <c r="B295" s="63"/>
      <c r="C295" s="63"/>
      <c r="D295" s="63">
        <v>78</v>
      </c>
      <c r="E295" s="154">
        <v>-10</v>
      </c>
      <c r="F295" s="64">
        <v>90</v>
      </c>
      <c r="G295" s="64">
        <v>83</v>
      </c>
      <c r="H295" s="63">
        <v>194</v>
      </c>
      <c r="I295" s="63">
        <v>87</v>
      </c>
      <c r="J295" s="63">
        <v>46</v>
      </c>
      <c r="K295" s="63">
        <v>1.5</v>
      </c>
      <c r="L295" s="1721">
        <v>10959</v>
      </c>
      <c r="M295" s="63">
        <v>-4</v>
      </c>
      <c r="N295" s="63">
        <v>29</v>
      </c>
      <c r="O295" s="63">
        <v>23</v>
      </c>
      <c r="P295" s="58">
        <v>44</v>
      </c>
      <c r="Q295" s="63">
        <v>23</v>
      </c>
      <c r="R295" s="63">
        <v>16</v>
      </c>
      <c r="S295" s="63">
        <v>2.9</v>
      </c>
      <c r="T295" s="63" t="s">
        <v>2236</v>
      </c>
      <c r="U295" s="393">
        <v>-16</v>
      </c>
      <c r="V295" s="29">
        <v>22</v>
      </c>
    </row>
    <row r="296" spans="1:22">
      <c r="A296" s="154" t="s">
        <v>1580</v>
      </c>
      <c r="B296" s="63"/>
      <c r="C296" s="63"/>
      <c r="D296" s="63">
        <v>81</v>
      </c>
      <c r="E296" s="154">
        <v>-5</v>
      </c>
      <c r="F296" s="64">
        <v>51</v>
      </c>
      <c r="G296" s="64">
        <v>33</v>
      </c>
      <c r="H296" s="63">
        <v>86</v>
      </c>
      <c r="I296" s="63">
        <v>37</v>
      </c>
      <c r="J296" s="63">
        <v>20</v>
      </c>
      <c r="K296" s="63">
        <v>3.2</v>
      </c>
      <c r="L296" s="62" t="s">
        <v>2217</v>
      </c>
      <c r="M296" s="63">
        <v>-2</v>
      </c>
      <c r="N296" s="63">
        <v>18</v>
      </c>
      <c r="O296" s="63">
        <v>10</v>
      </c>
      <c r="P296" s="58">
        <v>14</v>
      </c>
      <c r="Q296" s="63">
        <v>10</v>
      </c>
      <c r="R296" s="63">
        <v>9</v>
      </c>
      <c r="S296" s="63">
        <v>2.5</v>
      </c>
      <c r="T296" s="63" t="s">
        <v>2217</v>
      </c>
      <c r="U296" s="393">
        <v>-11</v>
      </c>
      <c r="V296" s="29">
        <v>23</v>
      </c>
    </row>
    <row r="297" spans="1:22">
      <c r="A297" s="154" t="s">
        <v>2237</v>
      </c>
      <c r="B297" s="63"/>
      <c r="C297" s="63"/>
      <c r="D297" s="63">
        <v>70</v>
      </c>
      <c r="E297" s="154">
        <v>-7</v>
      </c>
      <c r="F297" s="64">
        <v>57</v>
      </c>
      <c r="G297" s="64">
        <v>40</v>
      </c>
      <c r="H297" s="63">
        <v>103</v>
      </c>
      <c r="I297" s="63">
        <v>47</v>
      </c>
      <c r="J297" s="63">
        <v>24</v>
      </c>
      <c r="K297" s="63">
        <v>2.2000000000000002</v>
      </c>
      <c r="L297" s="62" t="s">
        <v>2227</v>
      </c>
      <c r="M297" s="63">
        <v>-3</v>
      </c>
      <c r="N297" s="63">
        <v>20</v>
      </c>
      <c r="O297" s="63">
        <v>11</v>
      </c>
      <c r="P297" s="58">
        <v>14</v>
      </c>
      <c r="Q297" s="63">
        <v>11</v>
      </c>
      <c r="R297" s="63">
        <v>10</v>
      </c>
      <c r="S297" s="63">
        <v>2</v>
      </c>
      <c r="T297" s="63" t="s">
        <v>2227</v>
      </c>
      <c r="U297" s="393">
        <v>-13</v>
      </c>
      <c r="V297" s="29">
        <v>24</v>
      </c>
    </row>
    <row r="298" spans="1:22">
      <c r="A298" s="154" t="s">
        <v>2238</v>
      </c>
      <c r="B298" s="63"/>
      <c r="C298" s="63"/>
      <c r="D298" s="63">
        <v>72</v>
      </c>
      <c r="E298" s="154">
        <v>-7</v>
      </c>
      <c r="F298" s="64">
        <v>45</v>
      </c>
      <c r="G298" s="64">
        <v>41</v>
      </c>
      <c r="H298" s="63">
        <v>63</v>
      </c>
      <c r="I298" s="63">
        <v>32</v>
      </c>
      <c r="J298" s="63">
        <v>29</v>
      </c>
      <c r="K298" s="63">
        <v>2.2999999999999998</v>
      </c>
      <c r="L298" s="62" t="s">
        <v>2230</v>
      </c>
      <c r="M298" s="63">
        <v>-6</v>
      </c>
      <c r="N298" s="63">
        <v>20</v>
      </c>
      <c r="O298" s="63">
        <v>12</v>
      </c>
      <c r="P298" s="58">
        <v>13</v>
      </c>
      <c r="Q298" s="63">
        <v>11</v>
      </c>
      <c r="R298" s="63">
        <v>11</v>
      </c>
      <c r="S298" s="63">
        <v>2.1</v>
      </c>
      <c r="T298" s="63" t="s">
        <v>2230</v>
      </c>
      <c r="U298" s="393">
        <v>-12</v>
      </c>
      <c r="V298" s="29">
        <v>25</v>
      </c>
    </row>
    <row r="299" spans="1:22">
      <c r="A299" s="154" t="s">
        <v>2239</v>
      </c>
      <c r="B299" s="63"/>
      <c r="C299" s="63"/>
      <c r="D299" s="63">
        <v>73</v>
      </c>
      <c r="E299" s="154">
        <v>-4</v>
      </c>
      <c r="F299" s="64">
        <v>59</v>
      </c>
      <c r="G299" s="64">
        <v>39</v>
      </c>
      <c r="H299" s="63">
        <v>108</v>
      </c>
      <c r="I299" s="63">
        <v>44</v>
      </c>
      <c r="J299" s="63">
        <v>19</v>
      </c>
      <c r="K299" s="63">
        <v>2.7</v>
      </c>
      <c r="L299" s="62" t="s">
        <v>2227</v>
      </c>
      <c r="M299" s="63">
        <v>-1</v>
      </c>
      <c r="N299" s="63">
        <v>22</v>
      </c>
      <c r="O299" s="63">
        <v>11</v>
      </c>
      <c r="P299" s="58">
        <v>17</v>
      </c>
      <c r="Q299" s="63">
        <v>12</v>
      </c>
      <c r="R299" s="63">
        <v>10</v>
      </c>
      <c r="S299" s="63">
        <v>1.8</v>
      </c>
      <c r="T299" s="63" t="s">
        <v>2227</v>
      </c>
      <c r="U299" s="393">
        <v>-10</v>
      </c>
      <c r="V299" s="29">
        <v>26</v>
      </c>
    </row>
    <row r="300" spans="1:22">
      <c r="A300" s="154" t="s">
        <v>203</v>
      </c>
      <c r="B300" s="63"/>
      <c r="C300" s="63"/>
      <c r="D300" s="63">
        <v>91</v>
      </c>
      <c r="E300" s="154">
        <v>-8</v>
      </c>
      <c r="F300" s="64">
        <v>72</v>
      </c>
      <c r="G300" s="64">
        <v>53</v>
      </c>
      <c r="H300" s="63">
        <v>139</v>
      </c>
      <c r="I300" s="63">
        <v>58</v>
      </c>
      <c r="J300" s="63">
        <v>39</v>
      </c>
      <c r="K300" s="63">
        <v>1.4</v>
      </c>
      <c r="L300" s="62" t="s">
        <v>2227</v>
      </c>
      <c r="M300" s="63">
        <v>-1</v>
      </c>
      <c r="N300" s="63">
        <v>22</v>
      </c>
      <c r="O300" s="63">
        <v>14</v>
      </c>
      <c r="P300" s="58">
        <v>24</v>
      </c>
      <c r="Q300" s="63">
        <v>15</v>
      </c>
      <c r="R300" s="63">
        <v>13</v>
      </c>
      <c r="S300" s="63">
        <v>1.1000000000000001</v>
      </c>
      <c r="T300" s="63" t="s">
        <v>2227</v>
      </c>
      <c r="U300" s="393">
        <v>-13</v>
      </c>
      <c r="V300" s="29">
        <v>27</v>
      </c>
    </row>
    <row r="301" spans="1:22">
      <c r="A301" s="154" t="s">
        <v>2240</v>
      </c>
      <c r="B301" s="63"/>
      <c r="C301" s="63"/>
      <c r="D301" s="63">
        <v>74</v>
      </c>
      <c r="E301" s="154">
        <v>-8</v>
      </c>
      <c r="F301" s="64">
        <v>59</v>
      </c>
      <c r="G301" s="64">
        <v>39</v>
      </c>
      <c r="H301" s="63">
        <v>107</v>
      </c>
      <c r="I301" s="63">
        <v>35</v>
      </c>
      <c r="J301" s="63">
        <v>18</v>
      </c>
      <c r="K301" s="63">
        <v>2.6</v>
      </c>
      <c r="L301" s="62" t="s">
        <v>2217</v>
      </c>
      <c r="M301" s="63">
        <v>-4</v>
      </c>
      <c r="N301" s="63">
        <v>20</v>
      </c>
      <c r="O301" s="63">
        <v>9</v>
      </c>
      <c r="P301" s="58">
        <v>14</v>
      </c>
      <c r="Q301" s="63">
        <v>10</v>
      </c>
      <c r="R301" s="63">
        <v>9</v>
      </c>
      <c r="S301" s="63">
        <v>2.7</v>
      </c>
      <c r="T301" s="63" t="s">
        <v>2217</v>
      </c>
      <c r="U301" s="393">
        <v>-14</v>
      </c>
      <c r="V301" s="29">
        <v>28</v>
      </c>
    </row>
    <row r="302" spans="1:22">
      <c r="A302" s="154" t="s">
        <v>2241</v>
      </c>
      <c r="B302" s="63"/>
      <c r="C302" s="63"/>
      <c r="D302" s="63">
        <v>90</v>
      </c>
      <c r="E302" s="154">
        <v>-18</v>
      </c>
      <c r="F302" s="64">
        <v>92</v>
      </c>
      <c r="G302" s="64">
        <v>85</v>
      </c>
      <c r="H302" s="63">
        <v>218</v>
      </c>
      <c r="I302" s="63">
        <v>100</v>
      </c>
      <c r="J302" s="63">
        <v>57</v>
      </c>
      <c r="K302" s="63">
        <v>1.2</v>
      </c>
      <c r="L302" s="62" t="s">
        <v>2218</v>
      </c>
      <c r="M302" s="63">
        <v>-11</v>
      </c>
      <c r="N302" s="63">
        <v>46</v>
      </c>
      <c r="O302" s="63">
        <v>40</v>
      </c>
      <c r="P302" s="58">
        <v>97</v>
      </c>
      <c r="Q302" s="63">
        <v>45</v>
      </c>
      <c r="R302" s="63">
        <v>29</v>
      </c>
      <c r="S302" s="63">
        <v>1.5</v>
      </c>
      <c r="T302" s="63" t="s">
        <v>2218</v>
      </c>
      <c r="U302" s="393">
        <v>-26</v>
      </c>
      <c r="V302" s="29">
        <v>29</v>
      </c>
    </row>
    <row r="303" spans="1:22">
      <c r="A303" s="154" t="s">
        <v>1397</v>
      </c>
      <c r="B303" s="63"/>
      <c r="C303" s="63"/>
      <c r="D303" s="63">
        <v>77</v>
      </c>
      <c r="E303" s="154">
        <v>-11</v>
      </c>
      <c r="F303" s="64">
        <v>80</v>
      </c>
      <c r="G303" s="64">
        <v>77</v>
      </c>
      <c r="H303" s="63">
        <v>157</v>
      </c>
      <c r="I303" s="63">
        <v>61</v>
      </c>
      <c r="J303" s="63">
        <v>44</v>
      </c>
      <c r="K303" s="63">
        <v>4.3</v>
      </c>
      <c r="L303" s="62" t="s">
        <v>2225</v>
      </c>
      <c r="M303" s="63">
        <v>-4</v>
      </c>
      <c r="N303" s="63">
        <v>23</v>
      </c>
      <c r="O303" s="63">
        <v>19</v>
      </c>
      <c r="P303" s="58">
        <v>28</v>
      </c>
      <c r="Q303" s="63">
        <v>17</v>
      </c>
      <c r="R303" s="63">
        <v>15</v>
      </c>
      <c r="S303" s="63">
        <v>1.8</v>
      </c>
      <c r="T303" s="63" t="s">
        <v>2223</v>
      </c>
      <c r="U303" s="393">
        <v>-17</v>
      </c>
      <c r="V303" s="29">
        <v>30</v>
      </c>
    </row>
    <row r="304" spans="1:22">
      <c r="A304" s="154" t="s">
        <v>1442</v>
      </c>
      <c r="B304" s="63"/>
      <c r="C304" s="63"/>
      <c r="D304" s="63">
        <v>56</v>
      </c>
      <c r="E304" s="154">
        <v>-9</v>
      </c>
      <c r="F304" s="64">
        <v>49</v>
      </c>
      <c r="G304" s="64">
        <v>36</v>
      </c>
      <c r="H304" s="63">
        <v>81</v>
      </c>
      <c r="I304" s="63">
        <v>40</v>
      </c>
      <c r="J304" s="63">
        <v>25</v>
      </c>
      <c r="K304" s="63">
        <v>1.3</v>
      </c>
      <c r="L304" s="62" t="s">
        <v>2227</v>
      </c>
      <c r="M304" s="63">
        <v>-6</v>
      </c>
      <c r="N304" s="63">
        <v>21</v>
      </c>
      <c r="O304" s="63">
        <v>13</v>
      </c>
      <c r="P304" s="58">
        <v>19</v>
      </c>
      <c r="Q304" s="63">
        <v>14</v>
      </c>
      <c r="R304" s="63">
        <v>12</v>
      </c>
      <c r="S304" s="63">
        <v>1.6</v>
      </c>
      <c r="T304" s="63" t="s">
        <v>2227</v>
      </c>
      <c r="U304" s="393">
        <v>-15</v>
      </c>
      <c r="V304" s="29">
        <v>31</v>
      </c>
    </row>
    <row r="305" spans="1:22">
      <c r="A305" s="154" t="s">
        <v>1582</v>
      </c>
      <c r="B305" s="63"/>
      <c r="C305" s="63"/>
      <c r="D305" s="63">
        <v>58</v>
      </c>
      <c r="E305" s="154">
        <v>-8</v>
      </c>
      <c r="F305" s="64">
        <v>53</v>
      </c>
      <c r="G305" s="64">
        <v>37</v>
      </c>
      <c r="H305" s="63">
        <v>96</v>
      </c>
      <c r="I305" s="63">
        <v>40</v>
      </c>
      <c r="J305" s="63">
        <v>22</v>
      </c>
      <c r="K305" s="63">
        <v>2.9</v>
      </c>
      <c r="L305" s="62" t="s">
        <v>2227</v>
      </c>
      <c r="M305" s="63">
        <v>-4</v>
      </c>
      <c r="N305" s="63">
        <v>21</v>
      </c>
      <c r="O305" s="63">
        <v>13</v>
      </c>
      <c r="P305" s="58">
        <v>23</v>
      </c>
      <c r="Q305" s="63">
        <v>14</v>
      </c>
      <c r="R305" s="63">
        <v>11</v>
      </c>
      <c r="S305" s="63">
        <v>2.8</v>
      </c>
      <c r="T305" s="63" t="s">
        <v>2227</v>
      </c>
      <c r="U305" s="393">
        <v>-14</v>
      </c>
      <c r="V305" s="29">
        <v>32</v>
      </c>
    </row>
    <row r="306" spans="1:22">
      <c r="A306" s="154" t="s">
        <v>2242</v>
      </c>
      <c r="B306" s="63"/>
      <c r="C306" s="63"/>
      <c r="D306" s="63">
        <v>89</v>
      </c>
      <c r="E306" s="154">
        <v>-12</v>
      </c>
      <c r="F306" s="64">
        <v>83</v>
      </c>
      <c r="G306" s="64">
        <v>64</v>
      </c>
      <c r="H306" s="63">
        <v>178</v>
      </c>
      <c r="I306" s="63">
        <v>78</v>
      </c>
      <c r="J306" s="63">
        <v>45</v>
      </c>
      <c r="K306" s="63">
        <v>1.5</v>
      </c>
      <c r="L306" s="62" t="s">
        <v>2236</v>
      </c>
      <c r="M306" s="63">
        <v>-6</v>
      </c>
      <c r="N306" s="63">
        <v>32</v>
      </c>
      <c r="O306" s="63">
        <v>24</v>
      </c>
      <c r="P306" s="58">
        <v>52</v>
      </c>
      <c r="Q306" s="63">
        <v>26</v>
      </c>
      <c r="R306" s="63">
        <v>20</v>
      </c>
      <c r="S306" s="63">
        <v>1.1000000000000001</v>
      </c>
      <c r="T306" s="63" t="s">
        <v>2236</v>
      </c>
      <c r="U306" s="393">
        <v>-18</v>
      </c>
      <c r="V306" s="29">
        <v>33</v>
      </c>
    </row>
    <row r="307" spans="1:22">
      <c r="A307" s="154" t="s">
        <v>1574</v>
      </c>
      <c r="B307" s="63"/>
      <c r="C307" s="63"/>
      <c r="D307" s="63">
        <v>76</v>
      </c>
      <c r="E307" s="154">
        <v>-6</v>
      </c>
      <c r="F307" s="64">
        <v>60</v>
      </c>
      <c r="G307" s="64">
        <v>27</v>
      </c>
      <c r="H307" s="63">
        <v>110</v>
      </c>
      <c r="I307" s="63">
        <v>46</v>
      </c>
      <c r="J307" s="63">
        <v>20</v>
      </c>
      <c r="K307" s="63">
        <v>1.6</v>
      </c>
      <c r="L307" s="62" t="s">
        <v>2217</v>
      </c>
      <c r="M307" s="63">
        <v>-2</v>
      </c>
      <c r="N307" s="63">
        <v>32</v>
      </c>
      <c r="O307" s="63">
        <v>15</v>
      </c>
      <c r="P307" s="58">
        <v>41</v>
      </c>
      <c r="Q307" s="63">
        <v>21</v>
      </c>
      <c r="R307" s="63">
        <v>13</v>
      </c>
      <c r="S307" s="63">
        <v>1.7</v>
      </c>
      <c r="T307" s="63" t="s">
        <v>2217</v>
      </c>
      <c r="U307" s="393">
        <v>-11</v>
      </c>
      <c r="V307" s="29">
        <v>34</v>
      </c>
    </row>
    <row r="308" spans="1:22">
      <c r="A308" s="154" t="s">
        <v>2243</v>
      </c>
      <c r="B308" s="63"/>
      <c r="C308" s="63"/>
      <c r="D308" s="63">
        <v>79</v>
      </c>
      <c r="E308" s="154">
        <v>-16</v>
      </c>
      <c r="F308" s="64">
        <v>77</v>
      </c>
      <c r="G308" s="64">
        <v>51</v>
      </c>
      <c r="H308" s="63">
        <v>168</v>
      </c>
      <c r="I308" s="63">
        <v>90</v>
      </c>
      <c r="J308" s="63">
        <v>42</v>
      </c>
      <c r="K308" s="63">
        <v>0.6</v>
      </c>
      <c r="L308" s="62" t="s">
        <v>2217</v>
      </c>
      <c r="M308" s="63">
        <v>-11</v>
      </c>
      <c r="N308" s="63">
        <v>34</v>
      </c>
      <c r="O308" s="63">
        <v>22</v>
      </c>
      <c r="P308" s="58">
        <v>65</v>
      </c>
      <c r="Q308" s="63">
        <v>39</v>
      </c>
      <c r="R308" s="63">
        <v>21</v>
      </c>
      <c r="S308" s="63">
        <v>1.3</v>
      </c>
      <c r="T308" s="63" t="s">
        <v>2217</v>
      </c>
      <c r="U308" s="393">
        <v>-24</v>
      </c>
      <c r="V308" s="29">
        <v>35</v>
      </c>
    </row>
    <row r="309" spans="1:22">
      <c r="A309" s="154" t="s">
        <v>2244</v>
      </c>
      <c r="B309" s="63"/>
      <c r="C309" s="63"/>
      <c r="D309" s="63">
        <v>83</v>
      </c>
      <c r="E309" s="154">
        <v>-8</v>
      </c>
      <c r="F309" s="64">
        <v>64</v>
      </c>
      <c r="G309" s="64">
        <v>43</v>
      </c>
      <c r="H309" s="63">
        <v>124</v>
      </c>
      <c r="I309" s="63">
        <v>55</v>
      </c>
      <c r="J309" s="63">
        <v>30</v>
      </c>
      <c r="K309" s="63">
        <v>1.5</v>
      </c>
      <c r="L309" s="62" t="s">
        <v>2222</v>
      </c>
      <c r="M309" s="63">
        <v>-4</v>
      </c>
      <c r="N309" s="63">
        <v>24</v>
      </c>
      <c r="O309" s="63">
        <v>12</v>
      </c>
      <c r="P309" s="58">
        <v>24</v>
      </c>
      <c r="Q309" s="63">
        <v>15</v>
      </c>
      <c r="R309" s="63">
        <v>12</v>
      </c>
      <c r="S309" s="63">
        <v>1.7</v>
      </c>
      <c r="T309" s="63" t="s">
        <v>2222</v>
      </c>
      <c r="U309" s="393">
        <v>-14</v>
      </c>
      <c r="V309" s="29">
        <v>36</v>
      </c>
    </row>
    <row r="310" spans="1:22">
      <c r="A310" s="154" t="s">
        <v>2245</v>
      </c>
      <c r="B310" s="63"/>
      <c r="C310" s="63"/>
      <c r="D310" s="63">
        <v>84</v>
      </c>
      <c r="E310" s="154">
        <v>-7</v>
      </c>
      <c r="F310" s="64">
        <v>53</v>
      </c>
      <c r="G310" s="64">
        <v>34</v>
      </c>
      <c r="H310" s="63">
        <v>88</v>
      </c>
      <c r="I310" s="63">
        <v>46</v>
      </c>
      <c r="J310" s="63">
        <v>24</v>
      </c>
      <c r="K310" s="63">
        <v>2.4</v>
      </c>
      <c r="L310" s="62" t="s">
        <v>2217</v>
      </c>
      <c r="M310" s="63">
        <v>-3</v>
      </c>
      <c r="N310" s="63">
        <v>18</v>
      </c>
      <c r="O310" s="63">
        <v>11</v>
      </c>
      <c r="P310" s="58">
        <v>14</v>
      </c>
      <c r="Q310" s="63">
        <v>12</v>
      </c>
      <c r="R310" s="63">
        <v>10</v>
      </c>
      <c r="S310" s="63">
        <v>2.5</v>
      </c>
      <c r="T310" s="63" t="s">
        <v>2227</v>
      </c>
      <c r="U310" s="393">
        <v>-14</v>
      </c>
      <c r="V310" s="29">
        <v>37</v>
      </c>
    </row>
    <row r="311" spans="1:22">
      <c r="A311" s="154" t="s">
        <v>2004</v>
      </c>
      <c r="B311" s="63"/>
      <c r="C311" s="63"/>
      <c r="D311" s="63">
        <v>88</v>
      </c>
      <c r="E311" s="154">
        <v>-11</v>
      </c>
      <c r="F311" s="64">
        <v>89</v>
      </c>
      <c r="G311" s="64">
        <v>77</v>
      </c>
      <c r="H311" s="63">
        <v>182</v>
      </c>
      <c r="I311" s="63">
        <v>89</v>
      </c>
      <c r="J311" s="63">
        <v>59</v>
      </c>
      <c r="K311" s="63">
        <v>1.3</v>
      </c>
      <c r="L311" s="62" t="s">
        <v>2233</v>
      </c>
      <c r="M311" s="63">
        <v>-5</v>
      </c>
      <c r="N311" s="63">
        <v>30</v>
      </c>
      <c r="O311" s="63">
        <v>23</v>
      </c>
      <c r="P311" s="58">
        <v>42</v>
      </c>
      <c r="Q311" s="63">
        <v>25</v>
      </c>
      <c r="R311" s="63">
        <v>21</v>
      </c>
      <c r="S311" s="63">
        <v>1.3</v>
      </c>
      <c r="T311" s="63" t="s">
        <v>2233</v>
      </c>
      <c r="U311" s="393">
        <v>-17</v>
      </c>
      <c r="V311" s="29">
        <v>38</v>
      </c>
    </row>
    <row r="312" spans="1:22">
      <c r="A312" s="154" t="s">
        <v>2246</v>
      </c>
      <c r="B312" s="63"/>
      <c r="C312" s="63"/>
      <c r="D312" s="63">
        <v>52</v>
      </c>
      <c r="E312" s="154">
        <v>-8</v>
      </c>
      <c r="F312" s="64">
        <v>53</v>
      </c>
      <c r="G312" s="64">
        <v>40</v>
      </c>
      <c r="H312" s="63">
        <v>101</v>
      </c>
      <c r="I312" s="63">
        <v>50</v>
      </c>
      <c r="J312" s="63">
        <v>27</v>
      </c>
      <c r="K312" s="63">
        <v>2.2000000000000002</v>
      </c>
      <c r="L312" s="62" t="s">
        <v>2227</v>
      </c>
      <c r="M312" s="63">
        <v>-3</v>
      </c>
      <c r="N312" s="63">
        <v>21</v>
      </c>
      <c r="O312" s="63">
        <v>13</v>
      </c>
      <c r="P312" s="58">
        <v>21</v>
      </c>
      <c r="Q312" s="63">
        <v>14</v>
      </c>
      <c r="R312" s="63">
        <v>11</v>
      </c>
      <c r="S312" s="63">
        <v>2.2999999999999998</v>
      </c>
      <c r="T312" s="63" t="s">
        <v>2227</v>
      </c>
      <c r="U312" s="393">
        <v>-15</v>
      </c>
      <c r="V312" s="29">
        <v>39</v>
      </c>
    </row>
    <row r="313" spans="1:22">
      <c r="A313" s="155" t="s">
        <v>2247</v>
      </c>
      <c r="B313" s="59"/>
      <c r="C313" s="59"/>
      <c r="D313" s="59">
        <v>51</v>
      </c>
      <c r="E313" s="155">
        <v>-8</v>
      </c>
      <c r="F313" s="35">
        <v>53</v>
      </c>
      <c r="G313" s="35">
        <v>41</v>
      </c>
      <c r="H313" s="59">
        <v>102</v>
      </c>
      <c r="I313" s="59">
        <v>48</v>
      </c>
      <c r="J313" s="59">
        <v>28</v>
      </c>
      <c r="K313" s="59">
        <v>2</v>
      </c>
      <c r="L313" s="320" t="s">
        <v>2227</v>
      </c>
      <c r="M313" s="59">
        <v>-4</v>
      </c>
      <c r="N313" s="59">
        <v>19</v>
      </c>
      <c r="O313" s="59">
        <v>13</v>
      </c>
      <c r="P313" s="95">
        <v>21</v>
      </c>
      <c r="Q313" s="59">
        <v>14</v>
      </c>
      <c r="R313" s="59">
        <v>12</v>
      </c>
      <c r="S313" s="59">
        <v>1.9</v>
      </c>
      <c r="T313" s="59" t="s">
        <v>2227</v>
      </c>
      <c r="U313" s="396">
        <v>-13</v>
      </c>
      <c r="V313" s="29">
        <v>40</v>
      </c>
    </row>
    <row r="50887" spans="17:17">
      <c r="Q50887" s="342"/>
    </row>
  </sheetData>
  <sheetProtection password="C9AE" sheet="1" objects="1" scenarios="1"/>
  <mergeCells count="3">
    <mergeCell ref="R1:S1"/>
    <mergeCell ref="E271:L271"/>
    <mergeCell ref="M271:T271"/>
  </mergeCells>
  <phoneticPr fontId="0" type="noConversion"/>
  <pageMargins left="0.7" right="0.28000000000000003" top="0.92" bottom="0.52" header="0.46" footer="0.32"/>
  <pageSetup paperSize="9" scale="59" orientation="portrait" r:id="rId1"/>
  <headerFooter alignWithMargins="0">
    <oddFooter>&amp;L&amp;"Times New Roman,Kursiv"&amp;6Huber Energietechnik, AG Zürich  &amp;C&amp;6&amp;F  &amp;R&amp;"Times New Roman,Kursiv"&amp;6ENTECH 380/1, Ver. 5.4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D1029"/>
  <sheetViews>
    <sheetView showZeros="0" workbookViewId="0">
      <selection activeCell="A18" sqref="A18"/>
    </sheetView>
  </sheetViews>
  <sheetFormatPr baseColWidth="10" defaultRowHeight="12.75"/>
  <cols>
    <col min="1" max="1" width="49.5703125" style="557" customWidth="1"/>
    <col min="2" max="2" width="32.42578125" customWidth="1"/>
  </cols>
  <sheetData>
    <row r="1" spans="1:1">
      <c r="A1" s="799" t="s">
        <v>1280</v>
      </c>
    </row>
    <row r="2" spans="1:1">
      <c r="A2" s="557" t="s">
        <v>579</v>
      </c>
    </row>
    <row r="16" spans="1:1">
      <c r="A16" s="799" t="s">
        <v>2152</v>
      </c>
    </row>
    <row r="17" spans="1:2">
      <c r="A17" s="557">
        <f>Firma</f>
        <v>0</v>
      </c>
      <c r="B17" t="s">
        <v>582</v>
      </c>
    </row>
    <row r="18" spans="1:2">
      <c r="A18" s="800">
        <f>Info!D18</f>
        <v>0</v>
      </c>
      <c r="B18" t="s">
        <v>581</v>
      </c>
    </row>
    <row r="19" spans="1:2">
      <c r="A19" s="801">
        <f>Info!D20</f>
        <v>0</v>
      </c>
      <c r="B19" t="s">
        <v>580</v>
      </c>
    </row>
    <row r="20" spans="1:2">
      <c r="A20" s="801" t="e">
        <f>Info!#REF!</f>
        <v>#REF!</v>
      </c>
      <c r="B20" t="s">
        <v>583</v>
      </c>
    </row>
    <row r="21" spans="1:2">
      <c r="A21" s="557">
        <f>Info!D21</f>
        <v>0</v>
      </c>
      <c r="B21" t="s">
        <v>584</v>
      </c>
    </row>
    <row r="22" spans="1:2">
      <c r="A22" s="800">
        <f>Projekt!E27</f>
        <v>0</v>
      </c>
      <c r="B22" t="s">
        <v>2151</v>
      </c>
    </row>
    <row r="23" spans="1:2">
      <c r="A23" s="800"/>
    </row>
    <row r="24" spans="1:2">
      <c r="A24" s="800"/>
    </row>
    <row r="25" spans="1:2">
      <c r="A25" s="800"/>
    </row>
    <row r="26" spans="1:2">
      <c r="A26" s="800"/>
    </row>
    <row r="28" spans="1:2">
      <c r="A28" s="799" t="s">
        <v>2179</v>
      </c>
    </row>
    <row r="29" spans="1:2">
      <c r="A29" s="800">
        <f>Projekt!E5</f>
        <v>0</v>
      </c>
      <c r="B29" t="s">
        <v>2180</v>
      </c>
    </row>
    <row r="30" spans="1:2">
      <c r="A30" s="801">
        <f>Projekt!N7</f>
        <v>0</v>
      </c>
      <c r="B30" t="s">
        <v>2181</v>
      </c>
    </row>
    <row r="31" spans="1:2">
      <c r="A31" s="800">
        <f>Projekt!E7</f>
        <v>0</v>
      </c>
      <c r="B31" t="s">
        <v>2182</v>
      </c>
    </row>
    <row r="32" spans="1:2">
      <c r="A32" s="557">
        <f>Projekt!N5</f>
        <v>0</v>
      </c>
      <c r="B32" t="s">
        <v>1789</v>
      </c>
    </row>
    <row r="33" spans="1:2">
      <c r="A33" s="800">
        <f>Projekt!E11</f>
        <v>0</v>
      </c>
      <c r="B33" t="s">
        <v>1790</v>
      </c>
    </row>
    <row r="34" spans="1:2">
      <c r="A34" s="801">
        <f>Projekt!N11</f>
        <v>0</v>
      </c>
      <c r="B34" t="s">
        <v>428</v>
      </c>
    </row>
    <row r="35" spans="1:2">
      <c r="A35" s="801" t="e">
        <f>Projekt!#REF!</f>
        <v>#REF!</v>
      </c>
      <c r="B35" t="s">
        <v>429</v>
      </c>
    </row>
    <row r="36" spans="1:2">
      <c r="A36" s="801">
        <f>Projekt!N13</f>
        <v>0</v>
      </c>
      <c r="B36" t="s">
        <v>430</v>
      </c>
    </row>
    <row r="37" spans="1:2">
      <c r="A37" s="800">
        <f>Projekt!E13</f>
        <v>0</v>
      </c>
      <c r="B37" t="s">
        <v>431</v>
      </c>
    </row>
    <row r="38" spans="1:2">
      <c r="A38" s="800">
        <f>Projekt!E15</f>
        <v>0</v>
      </c>
      <c r="B38" t="s">
        <v>432</v>
      </c>
    </row>
    <row r="39" spans="1:2">
      <c r="A39" s="800">
        <f>Projekt!E18</f>
        <v>0</v>
      </c>
      <c r="B39" t="s">
        <v>433</v>
      </c>
    </row>
    <row r="40" spans="1:2">
      <c r="A40" s="800">
        <f>Projekt!E20</f>
        <v>0</v>
      </c>
      <c r="B40" t="s">
        <v>434</v>
      </c>
    </row>
    <row r="41" spans="1:2">
      <c r="A41" s="800">
        <f>Projekt!E22</f>
        <v>0</v>
      </c>
      <c r="B41" t="s">
        <v>2147</v>
      </c>
    </row>
    <row r="42" spans="1:2">
      <c r="A42" s="801">
        <f>Projekt!N18</f>
        <v>0</v>
      </c>
      <c r="B42" t="s">
        <v>2148</v>
      </c>
    </row>
    <row r="43" spans="1:2">
      <c r="A43" s="801" t="e">
        <f>Projekt!#REF!</f>
        <v>#REF!</v>
      </c>
      <c r="B43" t="s">
        <v>2149</v>
      </c>
    </row>
    <row r="44" spans="1:2">
      <c r="A44" s="801">
        <f>Projekt!N20</f>
        <v>0</v>
      </c>
      <c r="B44" t="s">
        <v>2150</v>
      </c>
    </row>
    <row r="45" spans="1:2">
      <c r="A45" s="801"/>
    </row>
    <row r="46" spans="1:2">
      <c r="A46" s="801"/>
    </row>
    <row r="47" spans="1:2">
      <c r="A47" s="801"/>
    </row>
    <row r="48" spans="1:2">
      <c r="A48" s="801"/>
    </row>
    <row r="50" spans="1:2">
      <c r="A50" s="799" t="s">
        <v>1255</v>
      </c>
    </row>
    <row r="51" spans="1:2">
      <c r="A51" s="557">
        <f>Projekt!$AV$31</f>
        <v>1</v>
      </c>
      <c r="B51" t="s">
        <v>2153</v>
      </c>
    </row>
    <row r="52" spans="1:2">
      <c r="A52" s="557">
        <f>Projekt!$AV$29</f>
        <v>1</v>
      </c>
      <c r="B52" t="s">
        <v>2112</v>
      </c>
    </row>
    <row r="53" spans="1:2">
      <c r="A53" s="557">
        <f>Projekt!$BC$33</f>
        <v>1</v>
      </c>
      <c r="B53" t="s">
        <v>1736</v>
      </c>
    </row>
    <row r="54" spans="1:2">
      <c r="A54" s="557">
        <f ca="1">Klimastation</f>
        <v>147</v>
      </c>
      <c r="B54" t="s">
        <v>1737</v>
      </c>
    </row>
    <row r="55" spans="1:2">
      <c r="A55" s="557">
        <f>Projekt!BC35</f>
        <v>0</v>
      </c>
      <c r="B55" t="s">
        <v>1738</v>
      </c>
    </row>
    <row r="56" spans="1:2">
      <c r="A56" s="557">
        <f>Leistung!$L$4</f>
        <v>1</v>
      </c>
      <c r="B56" t="s">
        <v>1739</v>
      </c>
    </row>
    <row r="57" spans="1:2">
      <c r="A57" s="557" t="str">
        <f>INDEX(Tab!C109:D197,A56,1)</f>
        <v xml:space="preserve"> </v>
      </c>
      <c r="B57" t="s">
        <v>1740</v>
      </c>
    </row>
    <row r="58" spans="1:2">
      <c r="A58" s="557">
        <f>INDEX(Tab!I109:I197,A56,1)</f>
        <v>0</v>
      </c>
      <c r="B58" t="s">
        <v>1136</v>
      </c>
    </row>
    <row r="59" spans="1:2">
      <c r="A59" s="557">
        <f>INDEX(Tab!J109:J197,A56,1)</f>
        <v>0</v>
      </c>
      <c r="B59" t="s">
        <v>1137</v>
      </c>
    </row>
    <row r="60" spans="1:2">
      <c r="A60" s="557">
        <f>Projekt!$AV$33</f>
        <v>2</v>
      </c>
      <c r="B60" t="s">
        <v>754</v>
      </c>
    </row>
    <row r="61" spans="1:2">
      <c r="A61" s="557">
        <f>h</f>
        <v>0</v>
      </c>
      <c r="B61" t="s">
        <v>755</v>
      </c>
    </row>
    <row r="62" spans="1:2">
      <c r="A62" s="557">
        <f>Thetai</f>
        <v>21</v>
      </c>
      <c r="B62" t="s">
        <v>1384</v>
      </c>
    </row>
    <row r="63" spans="1:2">
      <c r="A63" s="557">
        <f>AP</f>
        <v>0</v>
      </c>
      <c r="B63" t="s">
        <v>1385</v>
      </c>
    </row>
    <row r="64" spans="1:2">
      <c r="A64" s="557">
        <f>QP</f>
        <v>0</v>
      </c>
      <c r="B64" t="s">
        <v>1386</v>
      </c>
    </row>
    <row r="65" spans="1:2">
      <c r="A65" s="557">
        <f>tP</f>
        <v>0</v>
      </c>
      <c r="B65" t="s">
        <v>1387</v>
      </c>
    </row>
    <row r="66" spans="1:2">
      <c r="A66" s="557">
        <f>QE</f>
        <v>0</v>
      </c>
      <c r="B66" t="s">
        <v>1388</v>
      </c>
    </row>
    <row r="67" spans="1:2">
      <c r="A67" s="557">
        <f>fE</f>
        <v>0</v>
      </c>
      <c r="B67" t="s">
        <v>1122</v>
      </c>
    </row>
    <row r="68" spans="1:2">
      <c r="A68" s="557">
        <f>VEBF0</f>
        <v>0</v>
      </c>
      <c r="B68" t="s">
        <v>2035</v>
      </c>
    </row>
    <row r="69" spans="1:2">
      <c r="A69" s="557">
        <f>QWW</f>
        <v>0</v>
      </c>
      <c r="B69" t="s">
        <v>2036</v>
      </c>
    </row>
    <row r="70" spans="1:2">
      <c r="A70" s="557">
        <f>CEBF0</f>
        <v>0.54</v>
      </c>
      <c r="B70" t="s">
        <v>2037</v>
      </c>
    </row>
    <row r="71" spans="1:2">
      <c r="A71" s="557">
        <f>Projekt!Q49</f>
        <v>1</v>
      </c>
      <c r="B71" t="s">
        <v>1409</v>
      </c>
    </row>
    <row r="72" spans="1:2">
      <c r="A72" s="557">
        <f>Projekt!$AV$49</f>
        <v>1</v>
      </c>
      <c r="B72" t="s">
        <v>2038</v>
      </c>
    </row>
    <row r="73" spans="1:2">
      <c r="A73" s="557">
        <f>Thetah</f>
        <v>50</v>
      </c>
      <c r="B73" t="s">
        <v>2039</v>
      </c>
    </row>
    <row r="74" spans="1:2">
      <c r="A74" s="557">
        <f>deltaTheta</f>
        <v>7.5</v>
      </c>
      <c r="B74" t="s">
        <v>2040</v>
      </c>
    </row>
    <row r="75" spans="1:2">
      <c r="A75" s="557">
        <f>Projekt!$AV$50</f>
        <v>2</v>
      </c>
      <c r="B75" t="s">
        <v>2041</v>
      </c>
    </row>
    <row r="76" spans="1:2">
      <c r="A76" s="557" t="str">
        <f>ThetahH</f>
        <v/>
      </c>
      <c r="B76" t="s">
        <v>2042</v>
      </c>
    </row>
    <row r="77" spans="1:2">
      <c r="A77" s="557">
        <f>deltaThetaH</f>
        <v>0</v>
      </c>
      <c r="B77" t="s">
        <v>2043</v>
      </c>
    </row>
    <row r="78" spans="1:2">
      <c r="A78" s="557">
        <f>EBF0</f>
        <v>0</v>
      </c>
      <c r="B78" t="s">
        <v>1256</v>
      </c>
    </row>
    <row r="79" spans="1:2">
      <c r="A79" s="557">
        <f>EBF</f>
        <v>0</v>
      </c>
      <c r="B79" t="s">
        <v>1189</v>
      </c>
    </row>
    <row r="80" spans="1:2">
      <c r="A80" s="557">
        <f>Vbrutto</f>
        <v>0</v>
      </c>
      <c r="B80" t="s">
        <v>1257</v>
      </c>
    </row>
    <row r="81" spans="1:2">
      <c r="A81" s="557">
        <f>Vnetto</f>
        <v>0</v>
      </c>
      <c r="B81" t="s">
        <v>1258</v>
      </c>
    </row>
    <row r="91" spans="1:2">
      <c r="A91" s="799" t="s">
        <v>47</v>
      </c>
    </row>
    <row r="92" spans="1:2">
      <c r="A92" s="557" t="str">
        <f>Projekt!C75</f>
        <v>Toiture / façade:</v>
      </c>
      <c r="B92" t="s">
        <v>1259</v>
      </c>
    </row>
    <row r="93" spans="1:2">
      <c r="A93" s="557">
        <f>lRW</f>
        <v>0</v>
      </c>
      <c r="B93" t="s">
        <v>1265</v>
      </c>
    </row>
    <row r="94" spans="1:2">
      <c r="A94" s="557">
        <f>PsiRW</f>
        <v>0</v>
      </c>
      <c r="B94" t="s">
        <v>1266</v>
      </c>
    </row>
    <row r="95" spans="1:2">
      <c r="A95" s="557" t="str">
        <f>Projekt!C77</f>
        <v>Pied de façade:</v>
      </c>
      <c r="B95" t="s">
        <v>1260</v>
      </c>
    </row>
    <row r="96" spans="1:2">
      <c r="A96" s="557">
        <f>lWF</f>
        <v>0</v>
      </c>
      <c r="B96" t="s">
        <v>1267</v>
      </c>
    </row>
    <row r="97" spans="1:2">
      <c r="A97" s="557">
        <f>PsiWF</f>
        <v>0</v>
      </c>
      <c r="B97" t="s">
        <v>58</v>
      </c>
    </row>
    <row r="98" spans="1:2">
      <c r="A98" s="557" t="str">
        <f>Projekt!C79</f>
        <v>Dalle de balcon:</v>
      </c>
      <c r="B98" t="s">
        <v>1261</v>
      </c>
    </row>
    <row r="99" spans="1:2">
      <c r="A99" s="557">
        <f>lB</f>
        <v>0</v>
      </c>
      <c r="B99" t="s">
        <v>59</v>
      </c>
    </row>
    <row r="100" spans="1:2">
      <c r="A100" s="557">
        <f>PsiB</f>
        <v>0</v>
      </c>
      <c r="B100" t="s">
        <v>60</v>
      </c>
    </row>
    <row r="101" spans="1:2">
      <c r="A101" s="557" t="str">
        <f>Projekt!C81</f>
        <v>Appui fenêtre / mur:</v>
      </c>
      <c r="B101" t="s">
        <v>1262</v>
      </c>
    </row>
    <row r="102" spans="1:2">
      <c r="A102" s="557">
        <f>lW</f>
        <v>0</v>
      </c>
      <c r="B102" t="s">
        <v>61</v>
      </c>
    </row>
    <row r="103" spans="1:2">
      <c r="A103" s="557">
        <f>PsiW</f>
        <v>0</v>
      </c>
      <c r="B103" t="s">
        <v>62</v>
      </c>
    </row>
    <row r="104" spans="1:2">
      <c r="A104" s="557" t="str">
        <f>Projekt!C83</f>
        <v>Sol / mur de cave:</v>
      </c>
      <c r="B104" t="s">
        <v>1263</v>
      </c>
    </row>
    <row r="105" spans="1:2">
      <c r="A105" s="557">
        <f>lF</f>
        <v>0</v>
      </c>
      <c r="B105" t="s">
        <v>146</v>
      </c>
    </row>
    <row r="106" spans="1:2">
      <c r="A106" s="557">
        <f>PsiF</f>
        <v>0</v>
      </c>
      <c r="B106" t="s">
        <v>147</v>
      </c>
    </row>
    <row r="107" spans="1:2">
      <c r="A107" s="557" t="str">
        <f>Projekt!C87</f>
        <v>Piliers, supports:</v>
      </c>
      <c r="B107" t="s">
        <v>1264</v>
      </c>
    </row>
    <row r="108" spans="1:2">
      <c r="A108" s="557">
        <f>z.</f>
        <v>0</v>
      </c>
      <c r="B108" t="s">
        <v>148</v>
      </c>
    </row>
    <row r="109" spans="1:2">
      <c r="A109" s="557">
        <f>Chi</f>
        <v>0</v>
      </c>
      <c r="B109" t="s">
        <v>149</v>
      </c>
    </row>
    <row r="115" spans="1:2">
      <c r="A115" s="799" t="s">
        <v>2077</v>
      </c>
    </row>
    <row r="116" spans="1:2">
      <c r="A116" s="955">
        <f>UWert!BN7</f>
        <v>1</v>
      </c>
      <c r="B116" t="s">
        <v>2079</v>
      </c>
    </row>
    <row r="117" spans="1:2">
      <c r="A117" s="955">
        <f>UWert!BN8</f>
        <v>1</v>
      </c>
      <c r="B117" t="s">
        <v>2080</v>
      </c>
    </row>
    <row r="118" spans="1:2">
      <c r="A118" s="955">
        <f>UWert!BN9</f>
        <v>1</v>
      </c>
      <c r="B118" t="s">
        <v>2081</v>
      </c>
    </row>
    <row r="119" spans="1:2">
      <c r="A119" s="955">
        <f>UWert!BN10</f>
        <v>1</v>
      </c>
      <c r="B119" t="s">
        <v>2082</v>
      </c>
    </row>
    <row r="120" spans="1:2">
      <c r="A120" s="955">
        <f>UWert!BN11</f>
        <v>1</v>
      </c>
      <c r="B120" t="s">
        <v>2083</v>
      </c>
    </row>
    <row r="121" spans="1:2">
      <c r="A121" s="955">
        <f>UWert!BN12</f>
        <v>1</v>
      </c>
      <c r="B121" t="s">
        <v>2084</v>
      </c>
    </row>
    <row r="122" spans="1:2">
      <c r="A122" s="955">
        <f>UWert!BN13</f>
        <v>1</v>
      </c>
      <c r="B122" t="s">
        <v>2085</v>
      </c>
    </row>
    <row r="123" spans="1:2">
      <c r="A123" s="955">
        <f>UWert!BN14</f>
        <v>1</v>
      </c>
      <c r="B123" t="s">
        <v>2086</v>
      </c>
    </row>
    <row r="124" spans="1:2">
      <c r="A124" s="955">
        <f>UWert!BN15</f>
        <v>1</v>
      </c>
      <c r="B124" t="s">
        <v>2087</v>
      </c>
    </row>
    <row r="125" spans="1:2">
      <c r="A125" s="955">
        <f>UWert!BN16</f>
        <v>1</v>
      </c>
      <c r="B125" t="s">
        <v>2088</v>
      </c>
    </row>
    <row r="126" spans="1:2">
      <c r="A126" s="955">
        <f>UWert!BN17</f>
        <v>1</v>
      </c>
      <c r="B126" t="s">
        <v>2089</v>
      </c>
    </row>
    <row r="127" spans="1:2">
      <c r="A127" s="955">
        <f>UWert!BN18</f>
        <v>1</v>
      </c>
      <c r="B127" t="s">
        <v>2090</v>
      </c>
    </row>
    <row r="128" spans="1:2">
      <c r="A128" s="955">
        <f>UWert!BN19</f>
        <v>1</v>
      </c>
      <c r="B128" t="s">
        <v>2091</v>
      </c>
    </row>
    <row r="129" spans="1:2">
      <c r="A129" s="955">
        <f>UWert!BN20</f>
        <v>1</v>
      </c>
      <c r="B129" t="s">
        <v>2092</v>
      </c>
    </row>
    <row r="130" spans="1:2">
      <c r="A130" s="955">
        <f>UWert!BN21</f>
        <v>1</v>
      </c>
      <c r="B130" t="s">
        <v>2093</v>
      </c>
    </row>
    <row r="131" spans="1:2">
      <c r="A131" s="955">
        <f>UWert!BN22</f>
        <v>1</v>
      </c>
      <c r="B131" t="s">
        <v>2094</v>
      </c>
    </row>
    <row r="132" spans="1:2">
      <c r="A132" s="955">
        <f>UWert!BN23</f>
        <v>1</v>
      </c>
      <c r="B132" t="s">
        <v>2095</v>
      </c>
    </row>
    <row r="133" spans="1:2">
      <c r="A133" s="955">
        <f>UWert!BN24</f>
        <v>1</v>
      </c>
      <c r="B133" t="s">
        <v>2096</v>
      </c>
    </row>
    <row r="134" spans="1:2">
      <c r="A134" s="955">
        <f>UWert!BN25</f>
        <v>1</v>
      </c>
      <c r="B134" t="s">
        <v>2097</v>
      </c>
    </row>
    <row r="135" spans="1:2">
      <c r="A135" s="955">
        <f>UWert!BN26</f>
        <v>1</v>
      </c>
      <c r="B135" t="s">
        <v>2098</v>
      </c>
    </row>
    <row r="136" spans="1:2">
      <c r="A136" s="955">
        <f>UWert!BN27</f>
        <v>1</v>
      </c>
      <c r="B136" t="s">
        <v>2099</v>
      </c>
    </row>
    <row r="137" spans="1:2">
      <c r="A137" s="955">
        <f>UWert!BN28</f>
        <v>1</v>
      </c>
      <c r="B137" t="s">
        <v>2100</v>
      </c>
    </row>
    <row r="138" spans="1:2">
      <c r="A138" s="955">
        <f>UWert!BN29</f>
        <v>1</v>
      </c>
      <c r="B138" t="s">
        <v>2101</v>
      </c>
    </row>
    <row r="139" spans="1:2">
      <c r="A139" s="955">
        <f>UWert!BN30</f>
        <v>1</v>
      </c>
      <c r="B139" t="s">
        <v>2102</v>
      </c>
    </row>
    <row r="140" spans="1:2">
      <c r="A140" s="955">
        <f>UWert!BN31</f>
        <v>1</v>
      </c>
      <c r="B140" t="s">
        <v>2103</v>
      </c>
    </row>
    <row r="141" spans="1:2">
      <c r="A141" s="955">
        <f>UWert!BN32</f>
        <v>1</v>
      </c>
      <c r="B141" t="s">
        <v>679</v>
      </c>
    </row>
    <row r="142" spans="1:2">
      <c r="A142" s="955">
        <f>UWert!BN33</f>
        <v>1</v>
      </c>
      <c r="B142" t="s">
        <v>680</v>
      </c>
    </row>
    <row r="143" spans="1:2">
      <c r="A143" s="955">
        <f>UWert!BN34</f>
        <v>1</v>
      </c>
      <c r="B143" t="s">
        <v>681</v>
      </c>
    </row>
    <row r="144" spans="1:2">
      <c r="A144" s="955">
        <f>UWert!BN35</f>
        <v>1</v>
      </c>
      <c r="B144" t="s">
        <v>682</v>
      </c>
    </row>
    <row r="145" spans="1:2">
      <c r="A145" s="955">
        <f>UWert!BN36</f>
        <v>1</v>
      </c>
      <c r="B145" t="s">
        <v>683</v>
      </c>
    </row>
    <row r="146" spans="1:2">
      <c r="A146" s="955">
        <f>UWert!BN37</f>
        <v>1</v>
      </c>
      <c r="B146" t="s">
        <v>684</v>
      </c>
    </row>
    <row r="147" spans="1:2">
      <c r="A147" s="955">
        <f>UWert!BN38</f>
        <v>1</v>
      </c>
      <c r="B147" t="s">
        <v>685</v>
      </c>
    </row>
    <row r="148" spans="1:2">
      <c r="A148" s="955">
        <f>UWert!BN39</f>
        <v>1</v>
      </c>
      <c r="B148" t="s">
        <v>686</v>
      </c>
    </row>
    <row r="149" spans="1:2">
      <c r="A149" s="955">
        <f>UWert!BN40</f>
        <v>1</v>
      </c>
      <c r="B149" t="s">
        <v>687</v>
      </c>
    </row>
    <row r="150" spans="1:2">
      <c r="A150" s="955">
        <f>UWert!BN41</f>
        <v>1</v>
      </c>
      <c r="B150" t="s">
        <v>688</v>
      </c>
    </row>
    <row r="151" spans="1:2">
      <c r="A151" s="955">
        <f>UWert!BN42</f>
        <v>1</v>
      </c>
      <c r="B151" t="s">
        <v>689</v>
      </c>
    </row>
    <row r="152" spans="1:2">
      <c r="A152" s="955">
        <f>UWert!BN43</f>
        <v>1</v>
      </c>
      <c r="B152" t="s">
        <v>775</v>
      </c>
    </row>
    <row r="153" spans="1:2">
      <c r="A153" s="955">
        <f>UWert!BN44</f>
        <v>1</v>
      </c>
      <c r="B153" t="s">
        <v>776</v>
      </c>
    </row>
    <row r="154" spans="1:2">
      <c r="A154" s="955">
        <f>UWert!BN45</f>
        <v>1</v>
      </c>
      <c r="B154" t="s">
        <v>777</v>
      </c>
    </row>
    <row r="155" spans="1:2">
      <c r="A155" s="955">
        <f>UWert!BN46</f>
        <v>1</v>
      </c>
      <c r="B155" t="s">
        <v>778</v>
      </c>
    </row>
    <row r="161" spans="1:2">
      <c r="A161" s="799" t="s">
        <v>1133</v>
      </c>
    </row>
    <row r="162" spans="1:2">
      <c r="A162" s="557">
        <f>UWert!C7</f>
        <v>0</v>
      </c>
      <c r="B162" t="s">
        <v>150</v>
      </c>
    </row>
    <row r="163" spans="1:2">
      <c r="A163" s="557">
        <f>INDEX(Bauteile!$M$280:$M$282,UWert!BA9,1)</f>
        <v>0</v>
      </c>
      <c r="B163" t="s">
        <v>1134</v>
      </c>
    </row>
    <row r="164" spans="1:2">
      <c r="A164" s="557">
        <f>INDEX(Bauteile!$B$57:$B$1152,UWert!BA10,1)</f>
        <v>0</v>
      </c>
      <c r="B164" t="s">
        <v>1591</v>
      </c>
    </row>
    <row r="165" spans="1:2">
      <c r="A165" s="557">
        <f>INDEX(Bauteile!$B$57:$B$1152,UWert!BA11,1)</f>
        <v>0</v>
      </c>
      <c r="B165" t="s">
        <v>1592</v>
      </c>
    </row>
    <row r="166" spans="1:2">
      <c r="A166" s="557">
        <f>INDEX(Bauteile!$B$57:$B$1152,UWert!BA12,1)</f>
        <v>0</v>
      </c>
      <c r="B166" t="s">
        <v>1593</v>
      </c>
    </row>
    <row r="167" spans="1:2">
      <c r="A167" s="557">
        <f>INDEX(Bauteile!$B$57:$B$1152,UWert!BA13,1)</f>
        <v>0</v>
      </c>
      <c r="B167" t="s">
        <v>1594</v>
      </c>
    </row>
    <row r="168" spans="1:2">
      <c r="A168" s="557">
        <f>INDEX(Bauteile!$B$57:$B$1152,UWert!BA14,1)</f>
        <v>0</v>
      </c>
      <c r="B168" t="s">
        <v>1595</v>
      </c>
    </row>
    <row r="169" spans="1:2">
      <c r="A169" s="557">
        <f>INDEX(Bauteile!$B$57:$B$1152,UWert!BA15,1)</f>
        <v>0</v>
      </c>
      <c r="B169" t="s">
        <v>1131</v>
      </c>
    </row>
    <row r="170" spans="1:2">
      <c r="A170" s="557">
        <f>INDEX(Bauteile!$B$57:$B$1152,UWert!BA16,1)</f>
        <v>0</v>
      </c>
      <c r="B170" t="s">
        <v>1132</v>
      </c>
    </row>
    <row r="171" spans="1:2">
      <c r="A171" s="557">
        <f>INDEX(Bauteile!$L$284:$L$296,UWert!BA17,1)</f>
        <v>0</v>
      </c>
      <c r="B171" t="s">
        <v>1138</v>
      </c>
    </row>
    <row r="172" spans="1:2">
      <c r="A172" s="557">
        <f>INDEX(Bauteile!$M$280:$M$282,UWert!BA18,1)</f>
        <v>0</v>
      </c>
      <c r="B172" t="s">
        <v>1135</v>
      </c>
    </row>
    <row r="173" spans="1:2">
      <c r="A173" s="557">
        <f>UWert!G9</f>
        <v>0</v>
      </c>
      <c r="B173" t="s">
        <v>151</v>
      </c>
    </row>
    <row r="174" spans="1:2">
      <c r="A174" s="557">
        <f>UWert!G10</f>
        <v>0</v>
      </c>
      <c r="B174" t="s">
        <v>1139</v>
      </c>
    </row>
    <row r="175" spans="1:2">
      <c r="A175" s="557">
        <f>UWert!G11</f>
        <v>0</v>
      </c>
      <c r="B175" t="s">
        <v>2349</v>
      </c>
    </row>
    <row r="176" spans="1:2">
      <c r="A176" s="557">
        <f>UWert!G12</f>
        <v>0</v>
      </c>
      <c r="B176" t="s">
        <v>2350</v>
      </c>
    </row>
    <row r="177" spans="1:2">
      <c r="A177" s="557">
        <f>UWert!G13</f>
        <v>0</v>
      </c>
      <c r="B177" t="s">
        <v>2351</v>
      </c>
    </row>
    <row r="178" spans="1:2">
      <c r="A178" s="557">
        <f>UWert!G14</f>
        <v>0</v>
      </c>
      <c r="B178" t="s">
        <v>2352</v>
      </c>
    </row>
    <row r="179" spans="1:2">
      <c r="A179" s="557">
        <f>UWert!G15</f>
        <v>0</v>
      </c>
      <c r="B179" t="s">
        <v>2353</v>
      </c>
    </row>
    <row r="180" spans="1:2">
      <c r="A180" s="557">
        <f>UWert!G16</f>
        <v>0</v>
      </c>
      <c r="B180" t="s">
        <v>2354</v>
      </c>
    </row>
    <row r="181" spans="1:2">
      <c r="A181" s="557">
        <f>UWert!G17</f>
        <v>0</v>
      </c>
      <c r="B181" t="s">
        <v>285</v>
      </c>
    </row>
    <row r="182" spans="1:2">
      <c r="A182" s="557">
        <f>UWert!G18</f>
        <v>0</v>
      </c>
      <c r="B182" t="s">
        <v>286</v>
      </c>
    </row>
    <row r="183" spans="1:2">
      <c r="A183" s="557">
        <f>UWert!F10/100</f>
        <v>0</v>
      </c>
      <c r="B183" t="s">
        <v>278</v>
      </c>
    </row>
    <row r="184" spans="1:2">
      <c r="A184" s="557">
        <f>UWert!F11/100</f>
        <v>0</v>
      </c>
      <c r="B184" t="s">
        <v>279</v>
      </c>
    </row>
    <row r="185" spans="1:2">
      <c r="A185" s="557">
        <f>UWert!F12/100</f>
        <v>0</v>
      </c>
      <c r="B185" t="s">
        <v>280</v>
      </c>
    </row>
    <row r="186" spans="1:2">
      <c r="A186" s="557">
        <f>UWert!F13/100</f>
        <v>0</v>
      </c>
      <c r="B186" t="s">
        <v>281</v>
      </c>
    </row>
    <row r="187" spans="1:2">
      <c r="A187" s="557">
        <f>UWert!F14/100</f>
        <v>0</v>
      </c>
      <c r="B187" t="s">
        <v>282</v>
      </c>
    </row>
    <row r="188" spans="1:2">
      <c r="A188" s="557">
        <f>UWert!F15/100</f>
        <v>0</v>
      </c>
      <c r="B188" t="s">
        <v>283</v>
      </c>
    </row>
    <row r="189" spans="1:2">
      <c r="A189" s="557">
        <f>UWert!F16/100</f>
        <v>0</v>
      </c>
      <c r="B189" t="s">
        <v>284</v>
      </c>
    </row>
    <row r="190" spans="1:2">
      <c r="A190" s="557">
        <f>INDEX(Bauteile!$G$57:$G$1152,UWert!BA10,1)</f>
        <v>0</v>
      </c>
      <c r="B190" t="s">
        <v>949</v>
      </c>
    </row>
    <row r="191" spans="1:2">
      <c r="A191" s="557">
        <f>INDEX(Bauteile!$G$57:$G$1152,UWert!BA11,1)</f>
        <v>0</v>
      </c>
      <c r="B191" t="s">
        <v>405</v>
      </c>
    </row>
    <row r="192" spans="1:2">
      <c r="A192" s="557">
        <f>INDEX(Bauteile!$G$57:$G$1152,UWert!BA12,1)</f>
        <v>0</v>
      </c>
      <c r="B192" t="s">
        <v>406</v>
      </c>
    </row>
    <row r="193" spans="1:2">
      <c r="A193" s="557">
        <f>INDEX(Bauteile!$G$57:$G$1152,UWert!BA13,1)</f>
        <v>0</v>
      </c>
      <c r="B193" t="s">
        <v>407</v>
      </c>
    </row>
    <row r="194" spans="1:2">
      <c r="A194" s="557">
        <f>INDEX(Bauteile!$G$57:$G$1152,UWert!BA14,1)</f>
        <v>0</v>
      </c>
      <c r="B194" t="s">
        <v>408</v>
      </c>
    </row>
    <row r="195" spans="1:2">
      <c r="A195" s="557">
        <f>INDEX(Bauteile!$G$57:$G$1152,UWert!BA15,1)</f>
        <v>0</v>
      </c>
      <c r="B195" t="s">
        <v>409</v>
      </c>
    </row>
    <row r="196" spans="1:2">
      <c r="A196" s="557">
        <f>INDEX(Bauteile!$G$57:$G$1152,UWert!BA16,1)</f>
        <v>0</v>
      </c>
      <c r="B196" t="s">
        <v>410</v>
      </c>
    </row>
    <row r="197" spans="1:2">
      <c r="A197" s="800" t="str">
        <f>UWert!F7</f>
        <v/>
      </c>
      <c r="B197" t="s">
        <v>1888</v>
      </c>
    </row>
    <row r="198" spans="1:2">
      <c r="A198" s="804">
        <f>UWert!BK7</f>
        <v>1</v>
      </c>
      <c r="B198" t="s">
        <v>22</v>
      </c>
    </row>
    <row r="199" spans="1:2">
      <c r="A199" s="799" t="s">
        <v>2355</v>
      </c>
    </row>
    <row r="200" spans="1:2">
      <c r="A200" s="557">
        <f>UWert!K7</f>
        <v>0</v>
      </c>
      <c r="B200" t="s">
        <v>152</v>
      </c>
    </row>
    <row r="201" spans="1:2">
      <c r="A201" s="557">
        <f>INDEX(Bauteile!$M$280:$M$282,UWert!BB9,1)</f>
        <v>0</v>
      </c>
      <c r="B201" t="s">
        <v>1134</v>
      </c>
    </row>
    <row r="202" spans="1:2">
      <c r="A202" s="557">
        <f>INDEX(Bauteile!$B$57:$B$1152,UWert!BB10,1)</f>
        <v>0</v>
      </c>
      <c r="B202" t="s">
        <v>1591</v>
      </c>
    </row>
    <row r="203" spans="1:2">
      <c r="A203" s="557">
        <f>INDEX(Bauteile!$B$57:$B$1152,UWert!BB11,1)</f>
        <v>0</v>
      </c>
      <c r="B203" t="s">
        <v>1592</v>
      </c>
    </row>
    <row r="204" spans="1:2">
      <c r="A204" s="557">
        <f>INDEX(Bauteile!$B$57:$B$1152,UWert!BB12,1)</f>
        <v>0</v>
      </c>
      <c r="B204" t="s">
        <v>1593</v>
      </c>
    </row>
    <row r="205" spans="1:2">
      <c r="A205" s="557">
        <f>INDEX(Bauteile!$B$57:$B$1152,UWert!BB13,1)</f>
        <v>0</v>
      </c>
      <c r="B205" t="s">
        <v>1594</v>
      </c>
    </row>
    <row r="206" spans="1:2">
      <c r="A206" s="557">
        <f>INDEX(Bauteile!$B$57:$B$1152,UWert!BB14,1)</f>
        <v>0</v>
      </c>
      <c r="B206" t="s">
        <v>1595</v>
      </c>
    </row>
    <row r="207" spans="1:2">
      <c r="A207" s="557">
        <f>INDEX(Bauteile!$B$57:$B$1152,UWert!BB15,1)</f>
        <v>0</v>
      </c>
      <c r="B207" t="s">
        <v>1131</v>
      </c>
    </row>
    <row r="208" spans="1:2">
      <c r="A208" s="557">
        <f>INDEX(Bauteile!$B$57:$B$1152,UWert!BB16,1)</f>
        <v>0</v>
      </c>
      <c r="B208" t="s">
        <v>1132</v>
      </c>
    </row>
    <row r="209" spans="1:2">
      <c r="A209" s="557">
        <f>INDEX(Bauteile!$L$284:$L$296,UWert!BB17,1)</f>
        <v>0</v>
      </c>
      <c r="B209" t="s">
        <v>1138</v>
      </c>
    </row>
    <row r="210" spans="1:2">
      <c r="A210" s="557">
        <f>INDEX(Bauteile!$M$280:$M$282,UWert!BB18,1)</f>
        <v>0</v>
      </c>
      <c r="B210" t="s">
        <v>1135</v>
      </c>
    </row>
    <row r="211" spans="1:2">
      <c r="A211" s="557">
        <f>UWert!$O9</f>
        <v>0</v>
      </c>
      <c r="B211" t="s">
        <v>151</v>
      </c>
    </row>
    <row r="212" spans="1:2">
      <c r="A212" s="557">
        <f>UWert!$O10</f>
        <v>0</v>
      </c>
      <c r="B212" t="s">
        <v>1139</v>
      </c>
    </row>
    <row r="213" spans="1:2">
      <c r="A213" s="557">
        <f>UWert!$O11</f>
        <v>0</v>
      </c>
      <c r="B213" t="s">
        <v>2349</v>
      </c>
    </row>
    <row r="214" spans="1:2">
      <c r="A214" s="557">
        <f>UWert!$O12</f>
        <v>0</v>
      </c>
      <c r="B214" t="s">
        <v>2350</v>
      </c>
    </row>
    <row r="215" spans="1:2">
      <c r="A215" s="557">
        <f>UWert!$O13</f>
        <v>0</v>
      </c>
      <c r="B215" t="s">
        <v>2351</v>
      </c>
    </row>
    <row r="216" spans="1:2">
      <c r="A216" s="557">
        <f>UWert!$O14</f>
        <v>0</v>
      </c>
      <c r="B216" t="s">
        <v>2352</v>
      </c>
    </row>
    <row r="217" spans="1:2">
      <c r="A217" s="557">
        <f>UWert!$O15</f>
        <v>0</v>
      </c>
      <c r="B217" t="s">
        <v>2353</v>
      </c>
    </row>
    <row r="218" spans="1:2">
      <c r="A218" s="557">
        <f>UWert!$O16</f>
        <v>0</v>
      </c>
      <c r="B218" t="s">
        <v>2354</v>
      </c>
    </row>
    <row r="219" spans="1:2">
      <c r="A219" s="557">
        <f>UWert!O17</f>
        <v>0</v>
      </c>
      <c r="B219" t="s">
        <v>285</v>
      </c>
    </row>
    <row r="220" spans="1:2">
      <c r="A220" s="557">
        <f>UWert!O18</f>
        <v>0</v>
      </c>
      <c r="B220" t="s">
        <v>286</v>
      </c>
    </row>
    <row r="221" spans="1:2">
      <c r="A221" s="557">
        <f>UWert!N10/100</f>
        <v>0</v>
      </c>
      <c r="B221" t="s">
        <v>278</v>
      </c>
    </row>
    <row r="222" spans="1:2">
      <c r="A222" s="557">
        <f>UWert!N11/100</f>
        <v>0</v>
      </c>
      <c r="B222" t="s">
        <v>279</v>
      </c>
    </row>
    <row r="223" spans="1:2">
      <c r="A223" s="557">
        <f>UWert!N12/100</f>
        <v>0</v>
      </c>
      <c r="B223" t="s">
        <v>280</v>
      </c>
    </row>
    <row r="224" spans="1:2">
      <c r="A224" s="557">
        <f>UWert!N13/100</f>
        <v>0</v>
      </c>
      <c r="B224" t="s">
        <v>281</v>
      </c>
    </row>
    <row r="225" spans="1:2">
      <c r="A225" s="557">
        <f>UWert!N14/100</f>
        <v>0</v>
      </c>
      <c r="B225" t="s">
        <v>282</v>
      </c>
    </row>
    <row r="226" spans="1:2">
      <c r="A226" s="557">
        <f>UWert!N15/100</f>
        <v>0</v>
      </c>
      <c r="B226" t="s">
        <v>283</v>
      </c>
    </row>
    <row r="227" spans="1:2">
      <c r="A227" s="557">
        <f>UWert!N16/100</f>
        <v>0</v>
      </c>
      <c r="B227" t="s">
        <v>284</v>
      </c>
    </row>
    <row r="228" spans="1:2">
      <c r="A228" s="557">
        <f>INDEX(Bauteile!$G$57:$G$1152,UWert!BB10,1)</f>
        <v>0</v>
      </c>
      <c r="B228" t="s">
        <v>949</v>
      </c>
    </row>
    <row r="229" spans="1:2">
      <c r="A229" s="557">
        <f>INDEX(Bauteile!$G$57:$G$1152,UWert!BB11,1)</f>
        <v>0</v>
      </c>
      <c r="B229" t="s">
        <v>405</v>
      </c>
    </row>
    <row r="230" spans="1:2">
      <c r="A230" s="557">
        <f>INDEX(Bauteile!$G$57:$G$1152,UWert!BB12,1)</f>
        <v>0</v>
      </c>
      <c r="B230" t="s">
        <v>406</v>
      </c>
    </row>
    <row r="231" spans="1:2">
      <c r="A231" s="557">
        <f>INDEX(Bauteile!$G$57:$G$1152,UWert!BB13,1)</f>
        <v>0</v>
      </c>
      <c r="B231" t="s">
        <v>407</v>
      </c>
    </row>
    <row r="232" spans="1:2">
      <c r="A232" s="557">
        <f>INDEX(Bauteile!$G$57:$G$1152,UWert!BB14,1)</f>
        <v>0</v>
      </c>
      <c r="B232" t="s">
        <v>408</v>
      </c>
    </row>
    <row r="233" spans="1:2">
      <c r="A233" s="557">
        <f>INDEX(Bauteile!$G$57:$G$1152,UWert!BB15,1)</f>
        <v>0</v>
      </c>
      <c r="B233" t="s">
        <v>409</v>
      </c>
    </row>
    <row r="234" spans="1:2">
      <c r="A234" s="557">
        <f>INDEX(Bauteile!$G$57:$G$1152,UWert!BB16,1)</f>
        <v>0</v>
      </c>
      <c r="B234" t="s">
        <v>410</v>
      </c>
    </row>
    <row r="235" spans="1:2">
      <c r="A235" s="800" t="str">
        <f>UWert!N7</f>
        <v/>
      </c>
      <c r="B235" t="s">
        <v>153</v>
      </c>
    </row>
    <row r="236" spans="1:2">
      <c r="A236" s="804">
        <f>UWert!BK8</f>
        <v>1</v>
      </c>
      <c r="B236" t="s">
        <v>23</v>
      </c>
    </row>
    <row r="237" spans="1:2">
      <c r="A237" s="799" t="s">
        <v>154</v>
      </c>
    </row>
    <row r="238" spans="1:2">
      <c r="A238" s="557">
        <f>UWert!C21</f>
        <v>0</v>
      </c>
      <c r="B238" t="s">
        <v>155</v>
      </c>
    </row>
    <row r="239" spans="1:2">
      <c r="A239" s="557">
        <f>INDEX(Bauteile!$M$280:$M$282,UWert!BA23,1)</f>
        <v>0</v>
      </c>
      <c r="B239" t="s">
        <v>1134</v>
      </c>
    </row>
    <row r="240" spans="1:2">
      <c r="A240" s="557">
        <f>INDEX(Bauteile!$B$57:$B$1152,UWert!BA24,1)</f>
        <v>0</v>
      </c>
      <c r="B240" t="s">
        <v>1591</v>
      </c>
    </row>
    <row r="241" spans="1:2">
      <c r="A241" s="557">
        <f>INDEX(Bauteile!$B$57:$B$1152,UWert!BA25,1)</f>
        <v>0</v>
      </c>
      <c r="B241" t="s">
        <v>1592</v>
      </c>
    </row>
    <row r="242" spans="1:2">
      <c r="A242" s="557">
        <f>INDEX(Bauteile!$B$57:$B$1152,UWert!BA26,1)</f>
        <v>0</v>
      </c>
      <c r="B242" t="s">
        <v>1593</v>
      </c>
    </row>
    <row r="243" spans="1:2">
      <c r="A243" s="557">
        <f>INDEX(Bauteile!$B$57:$B$1152,UWert!BA27,1)</f>
        <v>0</v>
      </c>
      <c r="B243" t="s">
        <v>1594</v>
      </c>
    </row>
    <row r="244" spans="1:2">
      <c r="A244" s="557">
        <f>INDEX(Bauteile!$B$57:$B$1152,UWert!BA28,1)</f>
        <v>0</v>
      </c>
      <c r="B244" t="s">
        <v>1595</v>
      </c>
    </row>
    <row r="245" spans="1:2">
      <c r="A245" s="557">
        <f>INDEX(Bauteile!$B$57:$B$1152,UWert!BA29,1)</f>
        <v>0</v>
      </c>
      <c r="B245" t="s">
        <v>1131</v>
      </c>
    </row>
    <row r="246" spans="1:2">
      <c r="A246" s="557">
        <f>INDEX(Bauteile!$B$57:$B$1152,UWert!BA30,1)</f>
        <v>0</v>
      </c>
      <c r="B246" t="s">
        <v>1132</v>
      </c>
    </row>
    <row r="247" spans="1:2">
      <c r="A247" s="557">
        <f>INDEX(Bauteile!$L$284:$L$296,UWert!BA31,1)</f>
        <v>0</v>
      </c>
      <c r="B247" t="s">
        <v>1138</v>
      </c>
    </row>
    <row r="248" spans="1:2">
      <c r="A248" s="557">
        <f>INDEX(Bauteile!$M$280:$M$282,UWert!BA32,1)</f>
        <v>0</v>
      </c>
      <c r="B248" t="s">
        <v>1135</v>
      </c>
    </row>
    <row r="249" spans="1:2">
      <c r="A249" s="557">
        <f>UWert!$G23</f>
        <v>0</v>
      </c>
      <c r="B249" t="s">
        <v>151</v>
      </c>
    </row>
    <row r="250" spans="1:2">
      <c r="A250" s="557">
        <f>UWert!$G24</f>
        <v>0</v>
      </c>
      <c r="B250" t="s">
        <v>1139</v>
      </c>
    </row>
    <row r="251" spans="1:2">
      <c r="A251" s="557">
        <f>UWert!$G25</f>
        <v>0</v>
      </c>
      <c r="B251" t="s">
        <v>2349</v>
      </c>
    </row>
    <row r="252" spans="1:2">
      <c r="A252" s="557">
        <f>UWert!$G26</f>
        <v>0</v>
      </c>
      <c r="B252" t="s">
        <v>2350</v>
      </c>
    </row>
    <row r="253" spans="1:2">
      <c r="A253" s="557">
        <f>UWert!$G27</f>
        <v>0</v>
      </c>
      <c r="B253" t="s">
        <v>2351</v>
      </c>
    </row>
    <row r="254" spans="1:2">
      <c r="A254" s="557">
        <f>UWert!$G28</f>
        <v>0</v>
      </c>
      <c r="B254" t="s">
        <v>2352</v>
      </c>
    </row>
    <row r="255" spans="1:2">
      <c r="A255" s="557">
        <f>UWert!$G29</f>
        <v>0</v>
      </c>
      <c r="B255" t="s">
        <v>2353</v>
      </c>
    </row>
    <row r="256" spans="1:2">
      <c r="A256" s="557">
        <f>UWert!$G30</f>
        <v>0</v>
      </c>
      <c r="B256" t="s">
        <v>2354</v>
      </c>
    </row>
    <row r="257" spans="1:2">
      <c r="A257" s="557">
        <f>UWert!$G31</f>
        <v>0</v>
      </c>
      <c r="B257" t="s">
        <v>285</v>
      </c>
    </row>
    <row r="258" spans="1:2">
      <c r="A258" s="557">
        <f>UWert!$G32</f>
        <v>0</v>
      </c>
      <c r="B258" t="s">
        <v>286</v>
      </c>
    </row>
    <row r="259" spans="1:2">
      <c r="A259" s="557">
        <f>UWert!$F24/100</f>
        <v>0</v>
      </c>
      <c r="B259" t="s">
        <v>278</v>
      </c>
    </row>
    <row r="260" spans="1:2">
      <c r="A260" s="557">
        <f>UWert!$F25/100</f>
        <v>0</v>
      </c>
      <c r="B260" t="s">
        <v>279</v>
      </c>
    </row>
    <row r="261" spans="1:2">
      <c r="A261" s="557">
        <f>UWert!$F26/100</f>
        <v>0</v>
      </c>
      <c r="B261" t="s">
        <v>280</v>
      </c>
    </row>
    <row r="262" spans="1:2">
      <c r="A262" s="557">
        <f>UWert!$F27/100</f>
        <v>0</v>
      </c>
      <c r="B262" t="s">
        <v>281</v>
      </c>
    </row>
    <row r="263" spans="1:2">
      <c r="A263" s="557">
        <f>UWert!$F28/100</f>
        <v>0</v>
      </c>
      <c r="B263" t="s">
        <v>282</v>
      </c>
    </row>
    <row r="264" spans="1:2">
      <c r="A264" s="557">
        <f>UWert!$F29/100</f>
        <v>0</v>
      </c>
      <c r="B264" t="s">
        <v>283</v>
      </c>
    </row>
    <row r="265" spans="1:2">
      <c r="A265" s="557">
        <f>UWert!$F30/100</f>
        <v>0</v>
      </c>
      <c r="B265" t="s">
        <v>284</v>
      </c>
    </row>
    <row r="266" spans="1:2">
      <c r="A266" s="557">
        <f>INDEX(Bauteile!$G$57:$G$1152,UWert!BA24,1)</f>
        <v>0</v>
      </c>
      <c r="B266" t="s">
        <v>949</v>
      </c>
    </row>
    <row r="267" spans="1:2">
      <c r="A267" s="557">
        <f>INDEX(Bauteile!$G$57:$G$1152,UWert!BA25,1)</f>
        <v>0</v>
      </c>
      <c r="B267" t="s">
        <v>405</v>
      </c>
    </row>
    <row r="268" spans="1:2">
      <c r="A268" s="557">
        <f>INDEX(Bauteile!$G$57:$G$1152,UWert!BA26,1)</f>
        <v>0</v>
      </c>
      <c r="B268" t="s">
        <v>406</v>
      </c>
    </row>
    <row r="269" spans="1:2">
      <c r="A269" s="557">
        <f>INDEX(Bauteile!$G$57:$G$1152,UWert!BA27,1)</f>
        <v>0</v>
      </c>
      <c r="B269" t="s">
        <v>407</v>
      </c>
    </row>
    <row r="270" spans="1:2">
      <c r="A270" s="557">
        <f>INDEX(Bauteile!$G$57:$G$1152,UWert!BA28,1)</f>
        <v>0</v>
      </c>
      <c r="B270" t="s">
        <v>408</v>
      </c>
    </row>
    <row r="271" spans="1:2">
      <c r="A271" s="557">
        <f>INDEX(Bauteile!$G$57:$G$1152,UWert!BA29,1)</f>
        <v>0</v>
      </c>
      <c r="B271" t="s">
        <v>409</v>
      </c>
    </row>
    <row r="272" spans="1:2">
      <c r="A272" s="557">
        <f>INDEX(Bauteile!$G$57:$G$1152,UWert!BA30,1)</f>
        <v>0</v>
      </c>
      <c r="B272" t="s">
        <v>410</v>
      </c>
    </row>
    <row r="273" spans="1:2">
      <c r="A273" s="800" t="str">
        <f>UWert!F21</f>
        <v/>
      </c>
      <c r="B273" t="s">
        <v>156</v>
      </c>
    </row>
    <row r="274" spans="1:2">
      <c r="A274" s="804">
        <f>UWert!BK9</f>
        <v>1</v>
      </c>
      <c r="B274" t="s">
        <v>24</v>
      </c>
    </row>
    <row r="275" spans="1:2">
      <c r="A275" s="799" t="s">
        <v>157</v>
      </c>
    </row>
    <row r="276" spans="1:2">
      <c r="A276" s="557">
        <f>UWert!$K$21</f>
        <v>0</v>
      </c>
      <c r="B276" t="s">
        <v>158</v>
      </c>
    </row>
    <row r="277" spans="1:2">
      <c r="A277" s="557">
        <f>INDEX(Bauteile!$M$280:$M$282,UWert!BB23,1)</f>
        <v>0</v>
      </c>
      <c r="B277" t="s">
        <v>1134</v>
      </c>
    </row>
    <row r="278" spans="1:2">
      <c r="A278" s="557">
        <f>INDEX(Bauteile!$B$57:$B$1152,UWert!BB24,1)</f>
        <v>0</v>
      </c>
      <c r="B278" t="s">
        <v>1591</v>
      </c>
    </row>
    <row r="279" spans="1:2">
      <c r="A279" s="557">
        <f>INDEX(Bauteile!$B$57:$B$1152,UWert!BB25,1)</f>
        <v>0</v>
      </c>
      <c r="B279" t="s">
        <v>1592</v>
      </c>
    </row>
    <row r="280" spans="1:2">
      <c r="A280" s="557">
        <f>INDEX(Bauteile!$B$57:$B$1152,UWert!BB26,1)</f>
        <v>0</v>
      </c>
      <c r="B280" t="s">
        <v>1593</v>
      </c>
    </row>
    <row r="281" spans="1:2">
      <c r="A281" s="557">
        <f>INDEX(Bauteile!$B$57:$B$1152,UWert!BB27,1)</f>
        <v>0</v>
      </c>
      <c r="B281" t="s">
        <v>1594</v>
      </c>
    </row>
    <row r="282" spans="1:2">
      <c r="A282" s="557">
        <f>INDEX(Bauteile!$B$57:$B$1152,UWert!BB28,1)</f>
        <v>0</v>
      </c>
      <c r="B282" t="s">
        <v>1595</v>
      </c>
    </row>
    <row r="283" spans="1:2">
      <c r="A283" s="557">
        <f>INDEX(Bauteile!$B$57:$B$1152,UWert!BB29,1)</f>
        <v>0</v>
      </c>
      <c r="B283" t="s">
        <v>1131</v>
      </c>
    </row>
    <row r="284" spans="1:2">
      <c r="A284" s="557">
        <f>INDEX(Bauteile!$B$57:$B$1152,UWert!BB30,1)</f>
        <v>0</v>
      </c>
      <c r="B284" t="s">
        <v>1132</v>
      </c>
    </row>
    <row r="285" spans="1:2">
      <c r="A285" s="557">
        <f>INDEX(Bauteile!$L$284:$L$296,UWert!BB31,1)</f>
        <v>0</v>
      </c>
      <c r="B285" t="s">
        <v>1138</v>
      </c>
    </row>
    <row r="286" spans="1:2">
      <c r="A286" s="557">
        <f>INDEX(Bauteile!$M$280:$M$282,UWert!BB32,1)</f>
        <v>0</v>
      </c>
      <c r="B286" t="s">
        <v>1135</v>
      </c>
    </row>
    <row r="287" spans="1:2">
      <c r="A287" s="557">
        <f>UWert!$O23</f>
        <v>0</v>
      </c>
      <c r="B287" t="s">
        <v>151</v>
      </c>
    </row>
    <row r="288" spans="1:2">
      <c r="A288" s="557">
        <f>UWert!$O24</f>
        <v>0</v>
      </c>
      <c r="B288" t="s">
        <v>1139</v>
      </c>
    </row>
    <row r="289" spans="1:2">
      <c r="A289" s="557">
        <f>UWert!$O25</f>
        <v>0</v>
      </c>
      <c r="B289" t="s">
        <v>2349</v>
      </c>
    </row>
    <row r="290" spans="1:2">
      <c r="A290" s="557">
        <f>UWert!$O26</f>
        <v>0</v>
      </c>
      <c r="B290" t="s">
        <v>2350</v>
      </c>
    </row>
    <row r="291" spans="1:2">
      <c r="A291" s="557">
        <f>UWert!$O27</f>
        <v>0</v>
      </c>
      <c r="B291" t="s">
        <v>2351</v>
      </c>
    </row>
    <row r="292" spans="1:2">
      <c r="A292" s="557">
        <f>UWert!$O28</f>
        <v>0</v>
      </c>
      <c r="B292" t="s">
        <v>2352</v>
      </c>
    </row>
    <row r="293" spans="1:2">
      <c r="A293" s="557">
        <f>UWert!$O29</f>
        <v>0</v>
      </c>
      <c r="B293" t="s">
        <v>2353</v>
      </c>
    </row>
    <row r="294" spans="1:2">
      <c r="A294" s="557">
        <f>UWert!$O30</f>
        <v>0</v>
      </c>
      <c r="B294" t="s">
        <v>2354</v>
      </c>
    </row>
    <row r="295" spans="1:2">
      <c r="A295" s="557">
        <f>UWert!$O31</f>
        <v>0</v>
      </c>
      <c r="B295" t="s">
        <v>285</v>
      </c>
    </row>
    <row r="296" spans="1:2">
      <c r="A296" s="557">
        <f>UWert!$O32</f>
        <v>0</v>
      </c>
      <c r="B296" t="s">
        <v>286</v>
      </c>
    </row>
    <row r="297" spans="1:2">
      <c r="A297" s="557">
        <f>UWert!N24/100</f>
        <v>0</v>
      </c>
      <c r="B297" t="s">
        <v>278</v>
      </c>
    </row>
    <row r="298" spans="1:2">
      <c r="A298" s="557">
        <f>UWert!N25/100</f>
        <v>0</v>
      </c>
      <c r="B298" t="s">
        <v>279</v>
      </c>
    </row>
    <row r="299" spans="1:2">
      <c r="A299" s="557">
        <f>UWert!N26/100</f>
        <v>0</v>
      </c>
      <c r="B299" t="s">
        <v>280</v>
      </c>
    </row>
    <row r="300" spans="1:2">
      <c r="A300" s="557">
        <f>UWert!N27/100</f>
        <v>0</v>
      </c>
      <c r="B300" t="s">
        <v>281</v>
      </c>
    </row>
    <row r="301" spans="1:2">
      <c r="A301" s="557">
        <f>UWert!N28/100</f>
        <v>0</v>
      </c>
      <c r="B301" t="s">
        <v>282</v>
      </c>
    </row>
    <row r="302" spans="1:2">
      <c r="A302" s="557">
        <f>UWert!N29/100</f>
        <v>0</v>
      </c>
      <c r="B302" t="s">
        <v>283</v>
      </c>
    </row>
    <row r="303" spans="1:2">
      <c r="A303" s="557">
        <f>UWert!N30/100</f>
        <v>0</v>
      </c>
      <c r="B303" t="s">
        <v>284</v>
      </c>
    </row>
    <row r="304" spans="1:2">
      <c r="A304" s="557">
        <f>INDEX(Bauteile!$G$57:$G$1152,UWert!BB24,1)</f>
        <v>0</v>
      </c>
      <c r="B304" t="s">
        <v>949</v>
      </c>
    </row>
    <row r="305" spans="1:2">
      <c r="A305" s="557">
        <f>INDEX(Bauteile!$G$57:$G$1152,UWert!BB25,1)</f>
        <v>0</v>
      </c>
      <c r="B305" t="s">
        <v>405</v>
      </c>
    </row>
    <row r="306" spans="1:2">
      <c r="A306" s="557">
        <f>INDEX(Bauteile!$G$57:$G$1152,UWert!BB26,1)</f>
        <v>0</v>
      </c>
      <c r="B306" t="s">
        <v>406</v>
      </c>
    </row>
    <row r="307" spans="1:2">
      <c r="A307" s="557">
        <f>INDEX(Bauteile!$G$57:$G$1152,UWert!BB27,1)</f>
        <v>0</v>
      </c>
      <c r="B307" t="s">
        <v>407</v>
      </c>
    </row>
    <row r="308" spans="1:2">
      <c r="A308" s="557">
        <f>INDEX(Bauteile!$G$57:$G$1152,UWert!BB28,1)</f>
        <v>0</v>
      </c>
      <c r="B308" t="s">
        <v>408</v>
      </c>
    </row>
    <row r="309" spans="1:2">
      <c r="A309" s="557">
        <f>INDEX(Bauteile!$G$57:$G$1152,UWert!BB29,1)</f>
        <v>0</v>
      </c>
      <c r="B309" t="s">
        <v>409</v>
      </c>
    </row>
    <row r="310" spans="1:2">
      <c r="A310" s="557">
        <f>INDEX(Bauteile!$G$57:$G$1152,UWert!BB30,1)</f>
        <v>0</v>
      </c>
      <c r="B310" t="s">
        <v>410</v>
      </c>
    </row>
    <row r="311" spans="1:2">
      <c r="A311" s="800" t="str">
        <f>UWert!$N$21</f>
        <v/>
      </c>
      <c r="B311" t="s">
        <v>159</v>
      </c>
    </row>
    <row r="312" spans="1:2">
      <c r="A312" s="804">
        <f>UWert!BK10</f>
        <v>1</v>
      </c>
      <c r="B312" t="s">
        <v>2186</v>
      </c>
    </row>
    <row r="313" spans="1:2">
      <c r="A313" s="799" t="s">
        <v>160</v>
      </c>
    </row>
    <row r="314" spans="1:2">
      <c r="A314" s="557">
        <f>UWert!C35</f>
        <v>0</v>
      </c>
      <c r="B314" t="s">
        <v>161</v>
      </c>
    </row>
    <row r="315" spans="1:2">
      <c r="A315" s="557">
        <f>INDEX(Bauteile!$M$280:$M$282,UWert!BA37,1)</f>
        <v>0</v>
      </c>
      <c r="B315" t="s">
        <v>1134</v>
      </c>
    </row>
    <row r="316" spans="1:2">
      <c r="A316" s="557">
        <f>INDEX(Bauteile!$B$57:$B$1152,UWert!BA38,1)</f>
        <v>0</v>
      </c>
      <c r="B316" t="s">
        <v>1591</v>
      </c>
    </row>
    <row r="317" spans="1:2">
      <c r="A317" s="557">
        <f>INDEX(Bauteile!$B$57:$B$1152,UWert!BA39,1)</f>
        <v>0</v>
      </c>
      <c r="B317" t="s">
        <v>1592</v>
      </c>
    </row>
    <row r="318" spans="1:2">
      <c r="A318" s="557">
        <f>INDEX(Bauteile!$B$57:$B$1152,UWert!BA40,1)</f>
        <v>0</v>
      </c>
      <c r="B318" t="s">
        <v>1593</v>
      </c>
    </row>
    <row r="319" spans="1:2">
      <c r="A319" s="557">
        <f>INDEX(Bauteile!$B$57:$B$1152,UWert!BA41,1)</f>
        <v>0</v>
      </c>
      <c r="B319" t="s">
        <v>1594</v>
      </c>
    </row>
    <row r="320" spans="1:2">
      <c r="A320" s="557">
        <f>INDEX(Bauteile!$B$57:$B$1152,UWert!BA42,1)</f>
        <v>0</v>
      </c>
      <c r="B320" t="s">
        <v>1595</v>
      </c>
    </row>
    <row r="321" spans="1:2">
      <c r="A321" s="557">
        <f>INDEX(Bauteile!$B$57:$B$1152,UWert!BA43,1)</f>
        <v>0</v>
      </c>
      <c r="B321" t="s">
        <v>1131</v>
      </c>
    </row>
    <row r="322" spans="1:2">
      <c r="A322" s="557">
        <f>INDEX(Bauteile!$B$57:$B$1152,UWert!BA44,1)</f>
        <v>0</v>
      </c>
      <c r="B322" t="s">
        <v>1132</v>
      </c>
    </row>
    <row r="323" spans="1:2">
      <c r="A323" s="557">
        <f>INDEX(Bauteile!$L$284:$L$296,UWert!BA45,1)</f>
        <v>0</v>
      </c>
      <c r="B323" t="s">
        <v>1138</v>
      </c>
    </row>
    <row r="324" spans="1:2">
      <c r="A324" s="557">
        <f>INDEX(Bauteile!$M$280:$M$282,UWert!BA46,1)</f>
        <v>0</v>
      </c>
      <c r="B324" t="s">
        <v>1135</v>
      </c>
    </row>
    <row r="325" spans="1:2">
      <c r="A325" s="557">
        <f>UWert!$G37</f>
        <v>0</v>
      </c>
      <c r="B325" t="s">
        <v>151</v>
      </c>
    </row>
    <row r="326" spans="1:2">
      <c r="A326" s="557">
        <f>UWert!$G38</f>
        <v>0</v>
      </c>
      <c r="B326" t="s">
        <v>1139</v>
      </c>
    </row>
    <row r="327" spans="1:2">
      <c r="A327" s="557">
        <f>UWert!$G39</f>
        <v>0</v>
      </c>
      <c r="B327" t="s">
        <v>2349</v>
      </c>
    </row>
    <row r="328" spans="1:2">
      <c r="A328" s="557">
        <f>UWert!$G40</f>
        <v>0</v>
      </c>
      <c r="B328" t="s">
        <v>2350</v>
      </c>
    </row>
    <row r="329" spans="1:2">
      <c r="A329" s="557">
        <f>UWert!$G41</f>
        <v>0</v>
      </c>
      <c r="B329" t="s">
        <v>2351</v>
      </c>
    </row>
    <row r="330" spans="1:2">
      <c r="A330" s="557">
        <f>UWert!$G42</f>
        <v>0</v>
      </c>
      <c r="B330" t="s">
        <v>2352</v>
      </c>
    </row>
    <row r="331" spans="1:2">
      <c r="A331" s="557">
        <f>UWert!$G43</f>
        <v>0</v>
      </c>
      <c r="B331" t="s">
        <v>2353</v>
      </c>
    </row>
    <row r="332" spans="1:2">
      <c r="A332" s="557">
        <f>UWert!$G44</f>
        <v>0</v>
      </c>
      <c r="B332" t="s">
        <v>2354</v>
      </c>
    </row>
    <row r="333" spans="1:2">
      <c r="A333" s="557">
        <f>UWert!$G45</f>
        <v>0</v>
      </c>
      <c r="B333" t="s">
        <v>285</v>
      </c>
    </row>
    <row r="334" spans="1:2">
      <c r="A334" s="557">
        <f>UWert!$G46</f>
        <v>0</v>
      </c>
      <c r="B334" t="s">
        <v>286</v>
      </c>
    </row>
    <row r="335" spans="1:2">
      <c r="A335" s="557">
        <f>UWert!$F38/100</f>
        <v>0</v>
      </c>
      <c r="B335" t="s">
        <v>278</v>
      </c>
    </row>
    <row r="336" spans="1:2">
      <c r="A336" s="557">
        <f>UWert!$F39/100</f>
        <v>0</v>
      </c>
      <c r="B336" t="s">
        <v>279</v>
      </c>
    </row>
    <row r="337" spans="1:2">
      <c r="A337" s="557">
        <f>UWert!$F40/100</f>
        <v>0</v>
      </c>
      <c r="B337" t="s">
        <v>280</v>
      </c>
    </row>
    <row r="338" spans="1:2">
      <c r="A338" s="557">
        <f>UWert!$F41/100</f>
        <v>0</v>
      </c>
      <c r="B338" t="s">
        <v>281</v>
      </c>
    </row>
    <row r="339" spans="1:2">
      <c r="A339" s="557">
        <f>UWert!$F42/100</f>
        <v>0</v>
      </c>
      <c r="B339" t="s">
        <v>282</v>
      </c>
    </row>
    <row r="340" spans="1:2">
      <c r="A340" s="557">
        <f>UWert!$F43/100</f>
        <v>0</v>
      </c>
      <c r="B340" t="s">
        <v>283</v>
      </c>
    </row>
    <row r="341" spans="1:2">
      <c r="A341" s="557">
        <f>UWert!$F44/100</f>
        <v>0</v>
      </c>
      <c r="B341" t="s">
        <v>284</v>
      </c>
    </row>
    <row r="342" spans="1:2">
      <c r="A342" s="557">
        <f>INDEX(Bauteile!$G$57:$G$1152,UWert!BA38,1)</f>
        <v>0</v>
      </c>
      <c r="B342" t="s">
        <v>949</v>
      </c>
    </row>
    <row r="343" spans="1:2">
      <c r="A343" s="557">
        <f>INDEX(Bauteile!$G$57:$G$1152,UWert!BA39,1)</f>
        <v>0</v>
      </c>
      <c r="B343" t="s">
        <v>405</v>
      </c>
    </row>
    <row r="344" spans="1:2">
      <c r="A344" s="557">
        <f>INDEX(Bauteile!$G$57:$G$1152,UWert!BA40,1)</f>
        <v>0</v>
      </c>
      <c r="B344" t="s">
        <v>406</v>
      </c>
    </row>
    <row r="345" spans="1:2">
      <c r="A345" s="557">
        <f>INDEX(Bauteile!$G$57:$G$1152,UWert!BA41,1)</f>
        <v>0</v>
      </c>
      <c r="B345" t="s">
        <v>407</v>
      </c>
    </row>
    <row r="346" spans="1:2">
      <c r="A346" s="557">
        <f>INDEX(Bauteile!$G$57:$G$1152,UWert!BA42,1)</f>
        <v>0</v>
      </c>
      <c r="B346" t="s">
        <v>408</v>
      </c>
    </row>
    <row r="347" spans="1:2">
      <c r="A347" s="557">
        <f>INDEX(Bauteile!$G$57:$G$1152,UWert!BA43,1)</f>
        <v>0</v>
      </c>
      <c r="B347" t="s">
        <v>409</v>
      </c>
    </row>
    <row r="348" spans="1:2">
      <c r="A348" s="557">
        <f>INDEX(Bauteile!$G$57:$G$1152,UWert!BA44,1)</f>
        <v>0</v>
      </c>
      <c r="B348" t="s">
        <v>410</v>
      </c>
    </row>
    <row r="349" spans="1:2">
      <c r="A349" s="800" t="str">
        <f>UWert!F35</f>
        <v/>
      </c>
      <c r="B349" t="s">
        <v>162</v>
      </c>
    </row>
    <row r="350" spans="1:2">
      <c r="A350" s="804">
        <f>UWert!BK11</f>
        <v>1</v>
      </c>
      <c r="B350" t="s">
        <v>535</v>
      </c>
    </row>
    <row r="351" spans="1:2">
      <c r="A351" s="799" t="s">
        <v>163</v>
      </c>
    </row>
    <row r="352" spans="1:2">
      <c r="A352" s="557">
        <f>UWert!K35</f>
        <v>0</v>
      </c>
      <c r="B352" t="s">
        <v>164</v>
      </c>
    </row>
    <row r="353" spans="1:2">
      <c r="A353" s="557">
        <f>INDEX(Bauteile!$M$280:$M$282,UWert!BB37,1)</f>
        <v>0</v>
      </c>
      <c r="B353" t="s">
        <v>1134</v>
      </c>
    </row>
    <row r="354" spans="1:2">
      <c r="A354" s="557">
        <f>INDEX(Bauteile!$B$57:$B$1152,UWert!BB38,1)</f>
        <v>0</v>
      </c>
      <c r="B354" t="s">
        <v>1591</v>
      </c>
    </row>
    <row r="355" spans="1:2">
      <c r="A355" s="557">
        <f>INDEX(Bauteile!$B$57:$B$1152,UWert!BB39,1)</f>
        <v>0</v>
      </c>
      <c r="B355" t="s">
        <v>1592</v>
      </c>
    </row>
    <row r="356" spans="1:2">
      <c r="A356" s="557">
        <f>INDEX(Bauteile!$B$57:$B$1152,UWert!BB40,1)</f>
        <v>0</v>
      </c>
      <c r="B356" t="s">
        <v>1593</v>
      </c>
    </row>
    <row r="357" spans="1:2">
      <c r="A357" s="557">
        <f>INDEX(Bauteile!$B$57:$B$1152,UWert!BB41,1)</f>
        <v>0</v>
      </c>
      <c r="B357" t="s">
        <v>1594</v>
      </c>
    </row>
    <row r="358" spans="1:2">
      <c r="A358" s="557">
        <f>INDEX(Bauteile!$B$57:$B$1152,UWert!BB42,1)</f>
        <v>0</v>
      </c>
      <c r="B358" t="s">
        <v>1595</v>
      </c>
    </row>
    <row r="359" spans="1:2">
      <c r="A359" s="557">
        <f>INDEX(Bauteile!$B$57:$B$1152,UWert!BB43,1)</f>
        <v>0</v>
      </c>
      <c r="B359" t="s">
        <v>1131</v>
      </c>
    </row>
    <row r="360" spans="1:2">
      <c r="A360" s="557">
        <f>INDEX(Bauteile!$B$57:$B$1152,UWert!BB44,1)</f>
        <v>0</v>
      </c>
      <c r="B360" t="s">
        <v>1132</v>
      </c>
    </row>
    <row r="361" spans="1:2">
      <c r="A361" s="557">
        <f>INDEX(Bauteile!$L$284:$L$296,UWert!BB45,1)</f>
        <v>0</v>
      </c>
      <c r="B361" t="s">
        <v>1138</v>
      </c>
    </row>
    <row r="362" spans="1:2">
      <c r="A362" s="557">
        <f>INDEX(Bauteile!$M$280:$M$282,UWert!BB46,1)</f>
        <v>0</v>
      </c>
      <c r="B362" t="s">
        <v>1135</v>
      </c>
    </row>
    <row r="363" spans="1:2">
      <c r="A363" s="557">
        <f>UWert!$O37</f>
        <v>0</v>
      </c>
      <c r="B363" t="s">
        <v>151</v>
      </c>
    </row>
    <row r="364" spans="1:2">
      <c r="A364" s="557">
        <f>UWert!$O38</f>
        <v>0</v>
      </c>
      <c r="B364" t="s">
        <v>1139</v>
      </c>
    </row>
    <row r="365" spans="1:2">
      <c r="A365" s="557">
        <f>UWert!$O39</f>
        <v>0</v>
      </c>
      <c r="B365" t="s">
        <v>2349</v>
      </c>
    </row>
    <row r="366" spans="1:2">
      <c r="A366" s="557">
        <f>UWert!$O40</f>
        <v>0</v>
      </c>
      <c r="B366" t="s">
        <v>2350</v>
      </c>
    </row>
    <row r="367" spans="1:2">
      <c r="A367" s="557">
        <f>UWert!$O41</f>
        <v>0</v>
      </c>
      <c r="B367" t="s">
        <v>2351</v>
      </c>
    </row>
    <row r="368" spans="1:2">
      <c r="A368" s="557">
        <f>UWert!$O42</f>
        <v>0</v>
      </c>
      <c r="B368" t="s">
        <v>2352</v>
      </c>
    </row>
    <row r="369" spans="1:2">
      <c r="A369" s="557">
        <f>UWert!$O43</f>
        <v>0</v>
      </c>
      <c r="B369" t="s">
        <v>2353</v>
      </c>
    </row>
    <row r="370" spans="1:2">
      <c r="A370" s="557">
        <f>UWert!$O44</f>
        <v>0</v>
      </c>
      <c r="B370" t="s">
        <v>2354</v>
      </c>
    </row>
    <row r="371" spans="1:2">
      <c r="A371" s="557">
        <f>UWert!$O45</f>
        <v>0</v>
      </c>
      <c r="B371" t="s">
        <v>285</v>
      </c>
    </row>
    <row r="372" spans="1:2">
      <c r="A372" s="557">
        <f>UWert!$O46</f>
        <v>0</v>
      </c>
      <c r="B372" t="s">
        <v>286</v>
      </c>
    </row>
    <row r="373" spans="1:2">
      <c r="A373" s="557">
        <f>UWert!N38/100</f>
        <v>0</v>
      </c>
      <c r="B373" t="s">
        <v>278</v>
      </c>
    </row>
    <row r="374" spans="1:2">
      <c r="A374" s="557">
        <f>UWert!N39/100</f>
        <v>0</v>
      </c>
      <c r="B374" t="s">
        <v>279</v>
      </c>
    </row>
    <row r="375" spans="1:2">
      <c r="A375" s="557">
        <f>UWert!N40/100</f>
        <v>0</v>
      </c>
      <c r="B375" t="s">
        <v>280</v>
      </c>
    </row>
    <row r="376" spans="1:2">
      <c r="A376" s="557">
        <f>UWert!N41/100</f>
        <v>0</v>
      </c>
      <c r="B376" t="s">
        <v>281</v>
      </c>
    </row>
    <row r="377" spans="1:2">
      <c r="A377" s="557">
        <f>UWert!N42/100</f>
        <v>0</v>
      </c>
      <c r="B377" t="s">
        <v>282</v>
      </c>
    </row>
    <row r="378" spans="1:2">
      <c r="A378" s="557">
        <f>UWert!N43/100</f>
        <v>0</v>
      </c>
      <c r="B378" t="s">
        <v>283</v>
      </c>
    </row>
    <row r="379" spans="1:2">
      <c r="A379" s="557">
        <f>UWert!N44/100</f>
        <v>0</v>
      </c>
      <c r="B379" t="s">
        <v>284</v>
      </c>
    </row>
    <row r="380" spans="1:2">
      <c r="A380" s="557">
        <f>INDEX(Bauteile!$G$57:$G$1152,UWert!BB38,1)</f>
        <v>0</v>
      </c>
      <c r="B380" t="s">
        <v>949</v>
      </c>
    </row>
    <row r="381" spans="1:2">
      <c r="A381" s="557">
        <f>INDEX(Bauteile!$G$57:$G$1152,UWert!BB39,1)</f>
        <v>0</v>
      </c>
      <c r="B381" t="s">
        <v>405</v>
      </c>
    </row>
    <row r="382" spans="1:2">
      <c r="A382" s="557">
        <f>INDEX(Bauteile!$G$57:$G$1152,UWert!BB40,1)</f>
        <v>0</v>
      </c>
      <c r="B382" t="s">
        <v>406</v>
      </c>
    </row>
    <row r="383" spans="1:2">
      <c r="A383" s="557">
        <f>INDEX(Bauteile!$G$57:$G$1152,UWert!BB41,1)</f>
        <v>0</v>
      </c>
      <c r="B383" t="s">
        <v>407</v>
      </c>
    </row>
    <row r="384" spans="1:2">
      <c r="A384" s="557">
        <f>INDEX(Bauteile!$G$57:$G$1152,UWert!BB42,1)</f>
        <v>0</v>
      </c>
      <c r="B384" t="s">
        <v>408</v>
      </c>
    </row>
    <row r="385" spans="1:2">
      <c r="A385" s="557">
        <f>INDEX(Bauteile!$G$57:$G$1152,UWert!BB43,1)</f>
        <v>0</v>
      </c>
      <c r="B385" t="s">
        <v>409</v>
      </c>
    </row>
    <row r="386" spans="1:2">
      <c r="A386" s="557">
        <f>INDEX(Bauteile!$G$57:$G$1152,UWert!BB44,1)</f>
        <v>0</v>
      </c>
      <c r="B386" t="s">
        <v>410</v>
      </c>
    </row>
    <row r="387" spans="1:2">
      <c r="A387" s="800" t="str">
        <f>UWert!N35</f>
        <v/>
      </c>
      <c r="B387" t="s">
        <v>165</v>
      </c>
    </row>
    <row r="388" spans="1:2">
      <c r="A388" s="804">
        <f>UWert!BK12</f>
        <v>1</v>
      </c>
      <c r="B388" t="s">
        <v>2063</v>
      </c>
    </row>
    <row r="389" spans="1:2">
      <c r="A389" s="799" t="s">
        <v>166</v>
      </c>
    </row>
    <row r="390" spans="1:2">
      <c r="A390" s="557">
        <f>UWert!C49</f>
        <v>0</v>
      </c>
      <c r="B390" t="s">
        <v>1910</v>
      </c>
    </row>
    <row r="391" spans="1:2">
      <c r="A391" s="557">
        <f>INDEX(Bauteile!$M$280:$M$282,UWert!BA51,1)</f>
        <v>0</v>
      </c>
      <c r="B391" t="s">
        <v>1134</v>
      </c>
    </row>
    <row r="392" spans="1:2">
      <c r="A392" s="557">
        <f>INDEX(Bauteile!$B$57:$B$1152,UWert!BA52,1)</f>
        <v>0</v>
      </c>
      <c r="B392" t="s">
        <v>1591</v>
      </c>
    </row>
    <row r="393" spans="1:2">
      <c r="A393" s="557">
        <f>INDEX(Bauteile!$B$57:$B$1152,UWert!BA53,1)</f>
        <v>0</v>
      </c>
      <c r="B393" t="s">
        <v>1592</v>
      </c>
    </row>
    <row r="394" spans="1:2">
      <c r="A394" s="557">
        <f>INDEX(Bauteile!$B$57:$B$1152,UWert!BA54,1)</f>
        <v>0</v>
      </c>
      <c r="B394" t="s">
        <v>1593</v>
      </c>
    </row>
    <row r="395" spans="1:2">
      <c r="A395" s="557">
        <f>INDEX(Bauteile!$B$57:$B$1152,UWert!BA55,1)</f>
        <v>0</v>
      </c>
      <c r="B395" t="s">
        <v>1594</v>
      </c>
    </row>
    <row r="396" spans="1:2">
      <c r="A396" s="557">
        <f>INDEX(Bauteile!$B$57:$B$1152,UWert!BA56,1)</f>
        <v>0</v>
      </c>
      <c r="B396" t="s">
        <v>1595</v>
      </c>
    </row>
    <row r="397" spans="1:2">
      <c r="A397" s="557">
        <f>INDEX(Bauteile!$B$57:$B$1152,UWert!BA57,1)</f>
        <v>0</v>
      </c>
      <c r="B397" t="s">
        <v>1131</v>
      </c>
    </row>
    <row r="398" spans="1:2">
      <c r="A398" s="557">
        <f>INDEX(Bauteile!$B$57:$B$1152,UWert!BA58,1)</f>
        <v>0</v>
      </c>
      <c r="B398" t="s">
        <v>1132</v>
      </c>
    </row>
    <row r="399" spans="1:2">
      <c r="A399" s="557">
        <f>INDEX(Bauteile!$L$284:$L$296,UWert!BA59,1)</f>
        <v>0</v>
      </c>
      <c r="B399" t="s">
        <v>1138</v>
      </c>
    </row>
    <row r="400" spans="1:2">
      <c r="A400" s="557">
        <f>INDEX(Bauteile!$M$280:$M$282,UWert!BA60,1)</f>
        <v>0</v>
      </c>
      <c r="B400" t="s">
        <v>1135</v>
      </c>
    </row>
    <row r="401" spans="1:2">
      <c r="A401" s="557">
        <f>UWert!$G51</f>
        <v>0</v>
      </c>
      <c r="B401" t="s">
        <v>151</v>
      </c>
    </row>
    <row r="402" spans="1:2">
      <c r="A402" s="557">
        <f>UWert!$G52</f>
        <v>0</v>
      </c>
      <c r="B402" t="s">
        <v>1139</v>
      </c>
    </row>
    <row r="403" spans="1:2">
      <c r="A403" s="557">
        <f>UWert!$G53</f>
        <v>0</v>
      </c>
      <c r="B403" t="s">
        <v>2349</v>
      </c>
    </row>
    <row r="404" spans="1:2">
      <c r="A404" s="557">
        <f>UWert!$G54</f>
        <v>0</v>
      </c>
      <c r="B404" t="s">
        <v>2350</v>
      </c>
    </row>
    <row r="405" spans="1:2">
      <c r="A405" s="557">
        <f>UWert!$G55</f>
        <v>0</v>
      </c>
      <c r="B405" t="s">
        <v>2351</v>
      </c>
    </row>
    <row r="406" spans="1:2">
      <c r="A406" s="557">
        <f>UWert!$G56</f>
        <v>0</v>
      </c>
      <c r="B406" t="s">
        <v>2352</v>
      </c>
    </row>
    <row r="407" spans="1:2">
      <c r="A407" s="557">
        <f>UWert!$G57</f>
        <v>0</v>
      </c>
      <c r="B407" t="s">
        <v>2353</v>
      </c>
    </row>
    <row r="408" spans="1:2">
      <c r="A408" s="557">
        <f>UWert!$G58</f>
        <v>0</v>
      </c>
      <c r="B408" t="s">
        <v>2354</v>
      </c>
    </row>
    <row r="409" spans="1:2">
      <c r="A409" s="557">
        <f>UWert!$G59</f>
        <v>0</v>
      </c>
      <c r="B409" t="s">
        <v>285</v>
      </c>
    </row>
    <row r="410" spans="1:2">
      <c r="A410" s="557">
        <f>UWert!$G60</f>
        <v>0</v>
      </c>
      <c r="B410" t="s">
        <v>286</v>
      </c>
    </row>
    <row r="411" spans="1:2">
      <c r="A411" s="557">
        <f>UWert!$F52/100</f>
        <v>0</v>
      </c>
      <c r="B411" t="s">
        <v>278</v>
      </c>
    </row>
    <row r="412" spans="1:2">
      <c r="A412" s="557">
        <f>UWert!$F53/100</f>
        <v>0</v>
      </c>
      <c r="B412" t="s">
        <v>279</v>
      </c>
    </row>
    <row r="413" spans="1:2">
      <c r="A413" s="557">
        <f>UWert!$F54/100</f>
        <v>0</v>
      </c>
      <c r="B413" t="s">
        <v>280</v>
      </c>
    </row>
    <row r="414" spans="1:2">
      <c r="A414" s="557">
        <f>UWert!$F55/100</f>
        <v>0</v>
      </c>
      <c r="B414" t="s">
        <v>281</v>
      </c>
    </row>
    <row r="415" spans="1:2">
      <c r="A415" s="557">
        <f>UWert!$F56/100</f>
        <v>0</v>
      </c>
      <c r="B415" t="s">
        <v>282</v>
      </c>
    </row>
    <row r="416" spans="1:2">
      <c r="A416" s="557">
        <f>UWert!$F57/100</f>
        <v>0</v>
      </c>
      <c r="B416" t="s">
        <v>283</v>
      </c>
    </row>
    <row r="417" spans="1:2">
      <c r="A417" s="557">
        <f>UWert!$F58/100</f>
        <v>0</v>
      </c>
      <c r="B417" t="s">
        <v>284</v>
      </c>
    </row>
    <row r="418" spans="1:2">
      <c r="A418" s="557">
        <f>INDEX(Bauteile!$G$57:$G$1152,UWert!BA52,1)</f>
        <v>0</v>
      </c>
      <c r="B418" t="s">
        <v>949</v>
      </c>
    </row>
    <row r="419" spans="1:2">
      <c r="A419" s="557">
        <f>INDEX(Bauteile!$G$57:$G$1152,UWert!BA53,1)</f>
        <v>0</v>
      </c>
      <c r="B419" t="s">
        <v>405</v>
      </c>
    </row>
    <row r="420" spans="1:2">
      <c r="A420" s="557">
        <f>INDEX(Bauteile!$G$57:$G$1152,UWert!BA54,1)</f>
        <v>0</v>
      </c>
      <c r="B420" t="s">
        <v>406</v>
      </c>
    </row>
    <row r="421" spans="1:2">
      <c r="A421" s="557">
        <f>INDEX(Bauteile!$G$57:$G$1152,UWert!BA55,1)</f>
        <v>0</v>
      </c>
      <c r="B421" t="s">
        <v>407</v>
      </c>
    </row>
    <row r="422" spans="1:2">
      <c r="A422" s="557">
        <f>INDEX(Bauteile!$G$57:$G$1152,UWert!BA56,1)</f>
        <v>0</v>
      </c>
      <c r="B422" t="s">
        <v>408</v>
      </c>
    </row>
    <row r="423" spans="1:2">
      <c r="A423" s="557">
        <f>INDEX(Bauteile!$G$57:$G$1152,UWert!BA57,1)</f>
        <v>0</v>
      </c>
      <c r="B423" t="s">
        <v>409</v>
      </c>
    </row>
    <row r="424" spans="1:2">
      <c r="A424" s="557">
        <f>INDEX(Bauteile!$G$57:$G$1152,UWert!BA58,1)</f>
        <v>0</v>
      </c>
      <c r="B424" t="s">
        <v>410</v>
      </c>
    </row>
    <row r="425" spans="1:2">
      <c r="A425" s="800" t="str">
        <f>UWert!F49</f>
        <v/>
      </c>
      <c r="B425" t="s">
        <v>1911</v>
      </c>
    </row>
    <row r="426" spans="1:2">
      <c r="A426" s="804">
        <f>UWert!BK13</f>
        <v>1</v>
      </c>
      <c r="B426" t="s">
        <v>2064</v>
      </c>
    </row>
    <row r="427" spans="1:2">
      <c r="A427" s="799" t="s">
        <v>1912</v>
      </c>
    </row>
    <row r="428" spans="1:2">
      <c r="A428" s="557">
        <f>UWert!K49</f>
        <v>0</v>
      </c>
      <c r="B428" t="s">
        <v>1913</v>
      </c>
    </row>
    <row r="429" spans="1:2">
      <c r="A429" s="557">
        <f>INDEX(Bauteile!$M$280:$M$282,UWert!BB51,1)</f>
        <v>0</v>
      </c>
      <c r="B429" t="s">
        <v>1134</v>
      </c>
    </row>
    <row r="430" spans="1:2">
      <c r="A430" s="557">
        <f>INDEX(Bauteile!$B$57:$B$1152,UWert!BB52,1)</f>
        <v>0</v>
      </c>
      <c r="B430" t="s">
        <v>1591</v>
      </c>
    </row>
    <row r="431" spans="1:2">
      <c r="A431" s="557">
        <f>INDEX(Bauteile!$B$57:$B$1152,UWert!BB53,1)</f>
        <v>0</v>
      </c>
      <c r="B431" t="s">
        <v>1592</v>
      </c>
    </row>
    <row r="432" spans="1:2">
      <c r="A432" s="557">
        <f>INDEX(Bauteile!$B$57:$B$1152,UWert!BB54,1)</f>
        <v>0</v>
      </c>
      <c r="B432" t="s">
        <v>1593</v>
      </c>
    </row>
    <row r="433" spans="1:2">
      <c r="A433" s="557">
        <f>INDEX(Bauteile!$B$57:$B$1152,UWert!BB55,1)</f>
        <v>0</v>
      </c>
      <c r="B433" t="s">
        <v>1594</v>
      </c>
    </row>
    <row r="434" spans="1:2">
      <c r="A434" s="557">
        <f>INDEX(Bauteile!$B$57:$B$1152,UWert!BB56,1)</f>
        <v>0</v>
      </c>
      <c r="B434" t="s">
        <v>1595</v>
      </c>
    </row>
    <row r="435" spans="1:2">
      <c r="A435" s="557">
        <f>INDEX(Bauteile!$B$57:$B$1152,UWert!BB57,1)</f>
        <v>0</v>
      </c>
      <c r="B435" t="s">
        <v>1131</v>
      </c>
    </row>
    <row r="436" spans="1:2">
      <c r="A436" s="557">
        <f>INDEX(Bauteile!$B$57:$B$1152,UWert!BB58,1)</f>
        <v>0</v>
      </c>
      <c r="B436" t="s">
        <v>1132</v>
      </c>
    </row>
    <row r="437" spans="1:2">
      <c r="A437" s="557">
        <f>INDEX(Bauteile!$L$284:$L$296,UWert!BB59,1)</f>
        <v>0</v>
      </c>
      <c r="B437" t="s">
        <v>1138</v>
      </c>
    </row>
    <row r="438" spans="1:2">
      <c r="A438" s="557">
        <f>INDEX(Bauteile!$M$280:$M$282,UWert!BB60,1)</f>
        <v>0</v>
      </c>
      <c r="B438" t="s">
        <v>1135</v>
      </c>
    </row>
    <row r="439" spans="1:2">
      <c r="A439" s="557">
        <f>UWert!$O51</f>
        <v>0</v>
      </c>
      <c r="B439" t="s">
        <v>151</v>
      </c>
    </row>
    <row r="440" spans="1:2">
      <c r="A440" s="557">
        <f>UWert!$O52</f>
        <v>0</v>
      </c>
      <c r="B440" t="s">
        <v>1139</v>
      </c>
    </row>
    <row r="441" spans="1:2">
      <c r="A441" s="557">
        <f>UWert!$O53</f>
        <v>0</v>
      </c>
      <c r="B441" t="s">
        <v>2349</v>
      </c>
    </row>
    <row r="442" spans="1:2">
      <c r="A442" s="557">
        <f>UWert!$O54</f>
        <v>0</v>
      </c>
      <c r="B442" t="s">
        <v>2350</v>
      </c>
    </row>
    <row r="443" spans="1:2">
      <c r="A443" s="557">
        <f>UWert!$O55</f>
        <v>0</v>
      </c>
      <c r="B443" t="s">
        <v>2351</v>
      </c>
    </row>
    <row r="444" spans="1:2">
      <c r="A444" s="557">
        <f>UWert!$O56</f>
        <v>0</v>
      </c>
      <c r="B444" t="s">
        <v>2352</v>
      </c>
    </row>
    <row r="445" spans="1:2">
      <c r="A445" s="557">
        <f>UWert!$O57</f>
        <v>0</v>
      </c>
      <c r="B445" t="s">
        <v>2353</v>
      </c>
    </row>
    <row r="446" spans="1:2">
      <c r="A446" s="557">
        <f>UWert!$O58</f>
        <v>0</v>
      </c>
      <c r="B446" t="s">
        <v>2354</v>
      </c>
    </row>
    <row r="447" spans="1:2">
      <c r="A447" s="557">
        <f>UWert!$O59</f>
        <v>0</v>
      </c>
      <c r="B447" t="s">
        <v>285</v>
      </c>
    </row>
    <row r="448" spans="1:2">
      <c r="A448" s="557">
        <f>UWert!$O60</f>
        <v>0</v>
      </c>
      <c r="B448" t="s">
        <v>286</v>
      </c>
    </row>
    <row r="449" spans="1:2">
      <c r="A449" s="557">
        <f>UWert!N52/100</f>
        <v>0</v>
      </c>
      <c r="B449" t="s">
        <v>278</v>
      </c>
    </row>
    <row r="450" spans="1:2">
      <c r="A450" s="557">
        <f>UWert!N53/100</f>
        <v>0</v>
      </c>
      <c r="B450" t="s">
        <v>279</v>
      </c>
    </row>
    <row r="451" spans="1:2">
      <c r="A451" s="557">
        <f>UWert!N54/100</f>
        <v>0</v>
      </c>
      <c r="B451" t="s">
        <v>280</v>
      </c>
    </row>
    <row r="452" spans="1:2">
      <c r="A452" s="557">
        <f>UWert!N55/100</f>
        <v>0</v>
      </c>
      <c r="B452" t="s">
        <v>281</v>
      </c>
    </row>
    <row r="453" spans="1:2">
      <c r="A453" s="557">
        <f>UWert!N56/100</f>
        <v>0</v>
      </c>
      <c r="B453" t="s">
        <v>282</v>
      </c>
    </row>
    <row r="454" spans="1:2">
      <c r="A454" s="557">
        <f>UWert!N57/100</f>
        <v>0</v>
      </c>
      <c r="B454" t="s">
        <v>283</v>
      </c>
    </row>
    <row r="455" spans="1:2">
      <c r="A455" s="557">
        <f>UWert!N58/100</f>
        <v>0</v>
      </c>
      <c r="B455" t="s">
        <v>284</v>
      </c>
    </row>
    <row r="456" spans="1:2">
      <c r="A456" s="557">
        <f>INDEX(Bauteile!$G$57:$G$1152,UWert!BB52,1)</f>
        <v>0</v>
      </c>
      <c r="B456" t="s">
        <v>949</v>
      </c>
    </row>
    <row r="457" spans="1:2">
      <c r="A457" s="557">
        <f>INDEX(Bauteile!$G$57:$G$1152,UWert!BB53,1)</f>
        <v>0</v>
      </c>
      <c r="B457" t="s">
        <v>405</v>
      </c>
    </row>
    <row r="458" spans="1:2">
      <c r="A458" s="557">
        <f>INDEX(Bauteile!$G$57:$G$1152,UWert!BB54,1)</f>
        <v>0</v>
      </c>
      <c r="B458" t="s">
        <v>406</v>
      </c>
    </row>
    <row r="459" spans="1:2">
      <c r="A459" s="557">
        <f>INDEX(Bauteile!$G$57:$G$1152,UWert!BB55,1)</f>
        <v>0</v>
      </c>
      <c r="B459" t="s">
        <v>407</v>
      </c>
    </row>
    <row r="460" spans="1:2">
      <c r="A460" s="557">
        <f>INDEX(Bauteile!$G$57:$G$1152,UWert!BB56,1)</f>
        <v>0</v>
      </c>
      <c r="B460" t="s">
        <v>408</v>
      </c>
    </row>
    <row r="461" spans="1:2">
      <c r="A461" s="557">
        <f>INDEX(Bauteile!$G$57:$G$1152,UWert!BB57,1)</f>
        <v>0</v>
      </c>
      <c r="B461" t="s">
        <v>409</v>
      </c>
    </row>
    <row r="462" spans="1:2">
      <c r="A462" s="557">
        <f>INDEX(Bauteile!$G$57:$G$1152,UWert!BB58,1)</f>
        <v>0</v>
      </c>
      <c r="B462" t="s">
        <v>410</v>
      </c>
    </row>
    <row r="463" spans="1:2">
      <c r="A463" s="800" t="str">
        <f>UWert!N49</f>
        <v/>
      </c>
      <c r="B463" t="s">
        <v>1914</v>
      </c>
    </row>
    <row r="464" spans="1:2">
      <c r="A464" s="804">
        <f>UWert!BK14</f>
        <v>1</v>
      </c>
      <c r="B464" t="s">
        <v>2065</v>
      </c>
    </row>
    <row r="465" spans="1:2">
      <c r="A465" s="799" t="s">
        <v>1915</v>
      </c>
    </row>
    <row r="466" spans="1:2">
      <c r="A466" s="557">
        <f>UWert!$C$63</f>
        <v>0</v>
      </c>
      <c r="B466" t="s">
        <v>1916</v>
      </c>
    </row>
    <row r="467" spans="1:2">
      <c r="A467" s="557">
        <f>INDEX(Bauteile!$M$280:$M$282,UWert!BA65,1)</f>
        <v>0</v>
      </c>
      <c r="B467" t="s">
        <v>1134</v>
      </c>
    </row>
    <row r="468" spans="1:2">
      <c r="A468" s="557">
        <f>INDEX(Bauteile!$B$57:$B$1152,UWert!BA66,1)</f>
        <v>0</v>
      </c>
      <c r="B468" t="s">
        <v>1591</v>
      </c>
    </row>
    <row r="469" spans="1:2">
      <c r="A469" s="557">
        <f>INDEX(Bauteile!$B$57:$B$1152,UWert!BA67,1)</f>
        <v>0</v>
      </c>
      <c r="B469" t="s">
        <v>1592</v>
      </c>
    </row>
    <row r="470" spans="1:2">
      <c r="A470" s="557">
        <f>INDEX(Bauteile!$B$57:$B$1152,UWert!BA68,1)</f>
        <v>0</v>
      </c>
      <c r="B470" t="s">
        <v>1593</v>
      </c>
    </row>
    <row r="471" spans="1:2">
      <c r="A471" s="557">
        <f>INDEX(Bauteile!$B$57:$B$1152,UWert!BA69,1)</f>
        <v>0</v>
      </c>
      <c r="B471" t="s">
        <v>1594</v>
      </c>
    </row>
    <row r="472" spans="1:2">
      <c r="A472" s="557">
        <f>INDEX(Bauteile!$B$57:$B$1152,UWert!BA70,1)</f>
        <v>0</v>
      </c>
      <c r="B472" t="s">
        <v>1595</v>
      </c>
    </row>
    <row r="473" spans="1:2">
      <c r="A473" s="557">
        <f>INDEX(Bauteile!$B$57:$B$1152,UWert!BA71,1)</f>
        <v>0</v>
      </c>
      <c r="B473" t="s">
        <v>1131</v>
      </c>
    </row>
    <row r="474" spans="1:2">
      <c r="A474" s="557">
        <f>INDEX(Bauteile!$B$57:$B$1152,UWert!BA72,1)</f>
        <v>0</v>
      </c>
      <c r="B474" t="s">
        <v>1132</v>
      </c>
    </row>
    <row r="475" spans="1:2">
      <c r="A475" s="557">
        <f>INDEX(Bauteile!$L$284:$L$296,UWert!BA73,1)</f>
        <v>0</v>
      </c>
      <c r="B475" t="s">
        <v>1138</v>
      </c>
    </row>
    <row r="476" spans="1:2">
      <c r="A476" s="557">
        <f>INDEX(Bauteile!$M$280:$M$282,UWert!BA74,1)</f>
        <v>0</v>
      </c>
      <c r="B476" t="s">
        <v>1135</v>
      </c>
    </row>
    <row r="477" spans="1:2">
      <c r="A477" s="557">
        <f>UWert!$G65</f>
        <v>0</v>
      </c>
      <c r="B477" t="s">
        <v>151</v>
      </c>
    </row>
    <row r="478" spans="1:2">
      <c r="A478" s="557">
        <f>UWert!$G66</f>
        <v>0</v>
      </c>
      <c r="B478" t="s">
        <v>1139</v>
      </c>
    </row>
    <row r="479" spans="1:2">
      <c r="A479" s="557">
        <f>UWert!$G67</f>
        <v>0</v>
      </c>
      <c r="B479" t="s">
        <v>2349</v>
      </c>
    </row>
    <row r="480" spans="1:2">
      <c r="A480" s="557">
        <f>UWert!$G68</f>
        <v>0</v>
      </c>
      <c r="B480" t="s">
        <v>2350</v>
      </c>
    </row>
    <row r="481" spans="1:2">
      <c r="A481" s="557">
        <f>UWert!$G69</f>
        <v>0</v>
      </c>
      <c r="B481" t="s">
        <v>2351</v>
      </c>
    </row>
    <row r="482" spans="1:2">
      <c r="A482" s="557">
        <f>UWert!$G70</f>
        <v>0</v>
      </c>
      <c r="B482" t="s">
        <v>2352</v>
      </c>
    </row>
    <row r="483" spans="1:2">
      <c r="A483" s="557">
        <f>UWert!$G71</f>
        <v>0</v>
      </c>
      <c r="B483" t="s">
        <v>2353</v>
      </c>
    </row>
    <row r="484" spans="1:2">
      <c r="A484" s="557">
        <f>UWert!$G72</f>
        <v>0</v>
      </c>
      <c r="B484" t="s">
        <v>2354</v>
      </c>
    </row>
    <row r="485" spans="1:2">
      <c r="A485" s="557">
        <f>UWert!$G73</f>
        <v>0</v>
      </c>
      <c r="B485" t="s">
        <v>285</v>
      </c>
    </row>
    <row r="486" spans="1:2">
      <c r="A486" s="557">
        <f>UWert!$G74</f>
        <v>0</v>
      </c>
      <c r="B486" t="s">
        <v>286</v>
      </c>
    </row>
    <row r="487" spans="1:2">
      <c r="A487" s="557">
        <f>UWert!$F66/100</f>
        <v>0</v>
      </c>
      <c r="B487" t="s">
        <v>278</v>
      </c>
    </row>
    <row r="488" spans="1:2">
      <c r="A488" s="557">
        <f>UWert!$F67/100</f>
        <v>0</v>
      </c>
      <c r="B488" t="s">
        <v>279</v>
      </c>
    </row>
    <row r="489" spans="1:2">
      <c r="A489" s="557">
        <f>UWert!$F68/100</f>
        <v>0</v>
      </c>
      <c r="B489" t="s">
        <v>280</v>
      </c>
    </row>
    <row r="490" spans="1:2">
      <c r="A490" s="557">
        <f>UWert!$F69/100</f>
        <v>0</v>
      </c>
      <c r="B490" t="s">
        <v>281</v>
      </c>
    </row>
    <row r="491" spans="1:2">
      <c r="A491" s="557">
        <f>UWert!$F70/100</f>
        <v>0</v>
      </c>
      <c r="B491" t="s">
        <v>282</v>
      </c>
    </row>
    <row r="492" spans="1:2">
      <c r="A492" s="557">
        <f>UWert!$F71/100</f>
        <v>0</v>
      </c>
      <c r="B492" t="s">
        <v>283</v>
      </c>
    </row>
    <row r="493" spans="1:2">
      <c r="A493" s="557">
        <f>UWert!$F72/100</f>
        <v>0</v>
      </c>
      <c r="B493" t="s">
        <v>284</v>
      </c>
    </row>
    <row r="494" spans="1:2">
      <c r="A494" s="557">
        <f>INDEX(Bauteile!$G$57:$G$1152,UWert!BA66,1)</f>
        <v>0</v>
      </c>
      <c r="B494" t="s">
        <v>949</v>
      </c>
    </row>
    <row r="495" spans="1:2">
      <c r="A495" s="557">
        <f>INDEX(Bauteile!$G$57:$G$1152,UWert!BA67,1)</f>
        <v>0</v>
      </c>
      <c r="B495" t="s">
        <v>405</v>
      </c>
    </row>
    <row r="496" spans="1:2">
      <c r="A496" s="557">
        <f>INDEX(Bauteile!$G$57:$G$1152,UWert!BA68,1)</f>
        <v>0</v>
      </c>
      <c r="B496" t="s">
        <v>406</v>
      </c>
    </row>
    <row r="497" spans="1:2">
      <c r="A497" s="557">
        <f>INDEX(Bauteile!$G$57:$G$1152,UWert!BA69,1)</f>
        <v>0</v>
      </c>
      <c r="B497" t="s">
        <v>407</v>
      </c>
    </row>
    <row r="498" spans="1:2">
      <c r="A498" s="557">
        <f>INDEX(Bauteile!$G$57:$G$1152,UWert!BA70,1)</f>
        <v>0</v>
      </c>
      <c r="B498" t="s">
        <v>408</v>
      </c>
    </row>
    <row r="499" spans="1:2">
      <c r="A499" s="557">
        <f>INDEX(Bauteile!$G$57:$G$1152,UWert!BA71,1)</f>
        <v>0</v>
      </c>
      <c r="B499" t="s">
        <v>409</v>
      </c>
    </row>
    <row r="500" spans="1:2">
      <c r="A500" s="557">
        <f>INDEX(Bauteile!$G$57:$G$1152,UWert!BA72,1)</f>
        <v>0</v>
      </c>
      <c r="B500" t="s">
        <v>410</v>
      </c>
    </row>
    <row r="501" spans="1:2">
      <c r="A501" s="800" t="str">
        <f>UWert!$F$63</f>
        <v/>
      </c>
      <c r="B501" t="s">
        <v>513</v>
      </c>
    </row>
    <row r="502" spans="1:2">
      <c r="A502" s="804">
        <f>UWert!BK15</f>
        <v>1</v>
      </c>
      <c r="B502" t="s">
        <v>2066</v>
      </c>
    </row>
    <row r="503" spans="1:2">
      <c r="A503" s="799" t="s">
        <v>514</v>
      </c>
    </row>
    <row r="504" spans="1:2">
      <c r="A504" s="557">
        <f>UWert!K63</f>
        <v>0</v>
      </c>
      <c r="B504" t="s">
        <v>1614</v>
      </c>
    </row>
    <row r="505" spans="1:2">
      <c r="A505" s="557">
        <f>INDEX(Bauteile!$M$280:$M$282,UWert!BB65,1)</f>
        <v>0</v>
      </c>
      <c r="B505" t="s">
        <v>1134</v>
      </c>
    </row>
    <row r="506" spans="1:2">
      <c r="A506" s="557">
        <f>INDEX(Bauteile!$B$57:$B$1152,UWert!BB66,1)</f>
        <v>0</v>
      </c>
      <c r="B506" t="s">
        <v>1591</v>
      </c>
    </row>
    <row r="507" spans="1:2">
      <c r="A507" s="557">
        <f>INDEX(Bauteile!$B$57:$B$1152,UWert!BB67,1)</f>
        <v>0</v>
      </c>
      <c r="B507" t="s">
        <v>1592</v>
      </c>
    </row>
    <row r="508" spans="1:2">
      <c r="A508" s="557">
        <f>INDEX(Bauteile!$B$57:$B$1152,UWert!BB68,1)</f>
        <v>0</v>
      </c>
      <c r="B508" t="s">
        <v>1593</v>
      </c>
    </row>
    <row r="509" spans="1:2">
      <c r="A509" s="557">
        <f>INDEX(Bauteile!$B$57:$B$1152,UWert!BB69,1)</f>
        <v>0</v>
      </c>
      <c r="B509" t="s">
        <v>1594</v>
      </c>
    </row>
    <row r="510" spans="1:2">
      <c r="A510" s="557">
        <f>INDEX(Bauteile!$B$57:$B$1152,UWert!BB70,1)</f>
        <v>0</v>
      </c>
      <c r="B510" t="s">
        <v>1595</v>
      </c>
    </row>
    <row r="511" spans="1:2">
      <c r="A511" s="557">
        <f>INDEX(Bauteile!$B$57:$B$1152,UWert!BB71,1)</f>
        <v>0</v>
      </c>
      <c r="B511" t="s">
        <v>1131</v>
      </c>
    </row>
    <row r="512" spans="1:2">
      <c r="A512" s="557">
        <f>INDEX(Bauteile!$B$57:$B$1152,UWert!BB72,1)</f>
        <v>0</v>
      </c>
      <c r="B512" t="s">
        <v>1132</v>
      </c>
    </row>
    <row r="513" spans="1:2">
      <c r="A513" s="557">
        <f>INDEX(Bauteile!$L$284:$L$296,UWert!BB73,1)</f>
        <v>0</v>
      </c>
      <c r="B513" t="s">
        <v>1138</v>
      </c>
    </row>
    <row r="514" spans="1:2">
      <c r="A514" s="557">
        <f>INDEX(Bauteile!$M$280:$M$282,UWert!BB74,1)</f>
        <v>0</v>
      </c>
      <c r="B514" t="s">
        <v>1135</v>
      </c>
    </row>
    <row r="515" spans="1:2">
      <c r="A515" s="557">
        <f>UWert!$O65</f>
        <v>0</v>
      </c>
      <c r="B515" t="s">
        <v>151</v>
      </c>
    </row>
    <row r="516" spans="1:2">
      <c r="A516" s="557">
        <f>UWert!$O66</f>
        <v>0</v>
      </c>
      <c r="B516" t="s">
        <v>1139</v>
      </c>
    </row>
    <row r="517" spans="1:2">
      <c r="A517" s="557">
        <f>UWert!$O67</f>
        <v>0</v>
      </c>
      <c r="B517" t="s">
        <v>2349</v>
      </c>
    </row>
    <row r="518" spans="1:2">
      <c r="A518" s="557">
        <f>UWert!$O68</f>
        <v>0</v>
      </c>
      <c r="B518" t="s">
        <v>2350</v>
      </c>
    </row>
    <row r="519" spans="1:2">
      <c r="A519" s="557">
        <f>UWert!$O69</f>
        <v>0</v>
      </c>
      <c r="B519" t="s">
        <v>2351</v>
      </c>
    </row>
    <row r="520" spans="1:2">
      <c r="A520" s="557">
        <f>UWert!$O70</f>
        <v>0</v>
      </c>
      <c r="B520" t="s">
        <v>2352</v>
      </c>
    </row>
    <row r="521" spans="1:2">
      <c r="A521" s="557">
        <f>UWert!$O71</f>
        <v>0</v>
      </c>
      <c r="B521" t="s">
        <v>2353</v>
      </c>
    </row>
    <row r="522" spans="1:2">
      <c r="A522" s="557">
        <f>UWert!$O72</f>
        <v>0</v>
      </c>
      <c r="B522" t="s">
        <v>2354</v>
      </c>
    </row>
    <row r="523" spans="1:2">
      <c r="A523" s="557">
        <f>UWert!$O73</f>
        <v>0</v>
      </c>
      <c r="B523" t="s">
        <v>285</v>
      </c>
    </row>
    <row r="524" spans="1:2">
      <c r="A524" s="557">
        <f>UWert!$O74</f>
        <v>0</v>
      </c>
      <c r="B524" t="s">
        <v>286</v>
      </c>
    </row>
    <row r="525" spans="1:2">
      <c r="A525" s="557">
        <f>UWert!N66/100</f>
        <v>0</v>
      </c>
      <c r="B525" t="s">
        <v>278</v>
      </c>
    </row>
    <row r="526" spans="1:2">
      <c r="A526" s="557">
        <f>UWert!N67/100</f>
        <v>0</v>
      </c>
      <c r="B526" t="s">
        <v>279</v>
      </c>
    </row>
    <row r="527" spans="1:2">
      <c r="A527" s="557">
        <f>UWert!N68/100</f>
        <v>0</v>
      </c>
      <c r="B527" t="s">
        <v>280</v>
      </c>
    </row>
    <row r="528" spans="1:2">
      <c r="A528" s="557">
        <f>UWert!N69/100</f>
        <v>0</v>
      </c>
      <c r="B528" t="s">
        <v>281</v>
      </c>
    </row>
    <row r="529" spans="1:2">
      <c r="A529" s="557">
        <f>UWert!N70/100</f>
        <v>0</v>
      </c>
      <c r="B529" t="s">
        <v>282</v>
      </c>
    </row>
    <row r="530" spans="1:2">
      <c r="A530" s="557">
        <f>UWert!N71/100</f>
        <v>0</v>
      </c>
      <c r="B530" t="s">
        <v>283</v>
      </c>
    </row>
    <row r="531" spans="1:2">
      <c r="A531" s="557">
        <f>UWert!N72/100</f>
        <v>0</v>
      </c>
      <c r="B531" t="s">
        <v>284</v>
      </c>
    </row>
    <row r="532" spans="1:2">
      <c r="A532" s="557">
        <f>INDEX(Bauteile!$G$57:$G$1152,UWert!BB66,1)</f>
        <v>0</v>
      </c>
      <c r="B532" t="s">
        <v>949</v>
      </c>
    </row>
    <row r="533" spans="1:2">
      <c r="A533" s="557">
        <f>INDEX(Bauteile!$G$57:$G$1152,UWert!BB67,1)</f>
        <v>0</v>
      </c>
      <c r="B533" t="s">
        <v>405</v>
      </c>
    </row>
    <row r="534" spans="1:2">
      <c r="A534" s="557">
        <f>INDEX(Bauteile!$G$57:$G$1152,UWert!BB68,1)</f>
        <v>0</v>
      </c>
      <c r="B534" t="s">
        <v>406</v>
      </c>
    </row>
    <row r="535" spans="1:2">
      <c r="A535" s="557">
        <f>INDEX(Bauteile!$G$57:$G$1152,UWert!BB69,1)</f>
        <v>0</v>
      </c>
      <c r="B535" t="s">
        <v>407</v>
      </c>
    </row>
    <row r="536" spans="1:2">
      <c r="A536" s="557">
        <f>INDEX(Bauteile!$G$57:$G$1152,UWert!BB70,1)</f>
        <v>0</v>
      </c>
      <c r="B536" t="s">
        <v>408</v>
      </c>
    </row>
    <row r="537" spans="1:2">
      <c r="A537" s="557">
        <f>INDEX(Bauteile!$G$57:$G$1152,UWert!BB71,1)</f>
        <v>0</v>
      </c>
      <c r="B537" t="s">
        <v>409</v>
      </c>
    </row>
    <row r="538" spans="1:2">
      <c r="A538" s="557">
        <f>INDEX(Bauteile!$G$57:$G$660,UWert!BB72,1)</f>
        <v>0</v>
      </c>
      <c r="B538" t="s">
        <v>410</v>
      </c>
    </row>
    <row r="539" spans="1:2">
      <c r="A539" s="800" t="str">
        <f>UWert!N63</f>
        <v/>
      </c>
      <c r="B539" t="s">
        <v>1615</v>
      </c>
    </row>
    <row r="540" spans="1:2">
      <c r="A540" s="804">
        <f>UWert!BK16</f>
        <v>1</v>
      </c>
      <c r="B540" t="s">
        <v>2067</v>
      </c>
    </row>
    <row r="541" spans="1:2">
      <c r="A541" s="799" t="s">
        <v>1616</v>
      </c>
    </row>
    <row r="542" spans="1:2">
      <c r="A542" s="557">
        <f>UWert!C84</f>
        <v>0</v>
      </c>
      <c r="B542" t="s">
        <v>1617</v>
      </c>
    </row>
    <row r="543" spans="1:2">
      <c r="A543" s="557">
        <f>INDEX(Bauteile!$M$280:$M$282,UWert!BA86,1)</f>
        <v>0</v>
      </c>
      <c r="B543" t="s">
        <v>1134</v>
      </c>
    </row>
    <row r="544" spans="1:2">
      <c r="A544" s="557">
        <f>INDEX(Bauteile!$B$57:$B$1152,UWert!BA87,1)</f>
        <v>0</v>
      </c>
      <c r="B544" t="s">
        <v>1591</v>
      </c>
    </row>
    <row r="545" spans="1:2">
      <c r="A545" s="557">
        <f>INDEX(Bauteile!$B$57:$B$1152,UWert!BA88,1)</f>
        <v>0</v>
      </c>
      <c r="B545" t="s">
        <v>1592</v>
      </c>
    </row>
    <row r="546" spans="1:2">
      <c r="A546" s="557">
        <f>INDEX(Bauteile!$B$57:$B$1152,UWert!BA89,1)</f>
        <v>0</v>
      </c>
      <c r="B546" t="s">
        <v>1593</v>
      </c>
    </row>
    <row r="547" spans="1:2">
      <c r="A547" s="557">
        <f>INDEX(Bauteile!$B$57:$B$1152,UWert!BA90,1)</f>
        <v>0</v>
      </c>
      <c r="B547" t="s">
        <v>1594</v>
      </c>
    </row>
    <row r="548" spans="1:2">
      <c r="A548" s="557">
        <f>INDEX(Bauteile!$B$57:$B$1152,UWert!BA91,1)</f>
        <v>0</v>
      </c>
      <c r="B548" t="s">
        <v>1595</v>
      </c>
    </row>
    <row r="549" spans="1:2">
      <c r="A549" s="557">
        <f>INDEX(Bauteile!$B$57:$B$1152,UWert!BA92,1)</f>
        <v>0</v>
      </c>
      <c r="B549" t="s">
        <v>1131</v>
      </c>
    </row>
    <row r="550" spans="1:2">
      <c r="A550" s="557">
        <f>INDEX(Bauteile!$B$57:$B$1152,UWert!BA93,1)</f>
        <v>0</v>
      </c>
      <c r="B550" t="s">
        <v>1132</v>
      </c>
    </row>
    <row r="551" spans="1:2">
      <c r="A551" s="557">
        <f>INDEX(Bauteile!$L$284:$L$296,UWert!BA94,1)</f>
        <v>0</v>
      </c>
      <c r="B551" t="s">
        <v>1138</v>
      </c>
    </row>
    <row r="552" spans="1:2">
      <c r="A552" s="557">
        <f>INDEX(Bauteile!$M$280:$M$282,UWert!BA95,1)</f>
        <v>0</v>
      </c>
      <c r="B552" t="s">
        <v>1135</v>
      </c>
    </row>
    <row r="553" spans="1:2">
      <c r="A553" s="557">
        <f>UWert!$G86</f>
        <v>0</v>
      </c>
      <c r="B553" t="s">
        <v>151</v>
      </c>
    </row>
    <row r="554" spans="1:2">
      <c r="A554" s="557">
        <f>UWert!$G87</f>
        <v>0</v>
      </c>
      <c r="B554" t="s">
        <v>1139</v>
      </c>
    </row>
    <row r="555" spans="1:2">
      <c r="A555" s="557">
        <f>UWert!$G88</f>
        <v>0</v>
      </c>
      <c r="B555" t="s">
        <v>2349</v>
      </c>
    </row>
    <row r="556" spans="1:2">
      <c r="A556" s="557">
        <f>UWert!$G89</f>
        <v>0</v>
      </c>
      <c r="B556" t="s">
        <v>2350</v>
      </c>
    </row>
    <row r="557" spans="1:2">
      <c r="A557" s="557">
        <f>UWert!$G90</f>
        <v>0</v>
      </c>
      <c r="B557" t="s">
        <v>2351</v>
      </c>
    </row>
    <row r="558" spans="1:2">
      <c r="A558" s="557">
        <f>UWert!$G91</f>
        <v>0</v>
      </c>
      <c r="B558" t="s">
        <v>2352</v>
      </c>
    </row>
    <row r="559" spans="1:2">
      <c r="A559" s="557">
        <f>UWert!$G92</f>
        <v>0</v>
      </c>
      <c r="B559" t="s">
        <v>2353</v>
      </c>
    </row>
    <row r="560" spans="1:2">
      <c r="A560" s="557">
        <f>UWert!$G93</f>
        <v>0</v>
      </c>
      <c r="B560" t="s">
        <v>2354</v>
      </c>
    </row>
    <row r="561" spans="1:2">
      <c r="A561" s="557">
        <f>UWert!$G94</f>
        <v>0</v>
      </c>
      <c r="B561" t="s">
        <v>285</v>
      </c>
    </row>
    <row r="562" spans="1:2">
      <c r="A562" s="557">
        <f>UWert!$G95</f>
        <v>0</v>
      </c>
      <c r="B562" t="s">
        <v>286</v>
      </c>
    </row>
    <row r="563" spans="1:2">
      <c r="A563" s="557">
        <f>UWert!$F87/100</f>
        <v>0</v>
      </c>
      <c r="B563" t="s">
        <v>278</v>
      </c>
    </row>
    <row r="564" spans="1:2">
      <c r="A564" s="557">
        <f>UWert!$F88/100</f>
        <v>0</v>
      </c>
      <c r="B564" t="s">
        <v>279</v>
      </c>
    </row>
    <row r="565" spans="1:2">
      <c r="A565" s="557">
        <f>UWert!$F89/100</f>
        <v>0</v>
      </c>
      <c r="B565" t="s">
        <v>280</v>
      </c>
    </row>
    <row r="566" spans="1:2">
      <c r="A566" s="557">
        <f>UWert!$F90/100</f>
        <v>0</v>
      </c>
      <c r="B566" t="s">
        <v>281</v>
      </c>
    </row>
    <row r="567" spans="1:2">
      <c r="A567" s="557">
        <f>UWert!$F91/100</f>
        <v>0</v>
      </c>
      <c r="B567" t="s">
        <v>282</v>
      </c>
    </row>
    <row r="568" spans="1:2">
      <c r="A568" s="557">
        <f>UWert!$F92/100</f>
        <v>0</v>
      </c>
      <c r="B568" t="s">
        <v>283</v>
      </c>
    </row>
    <row r="569" spans="1:2">
      <c r="A569" s="557">
        <f>UWert!$F93/100</f>
        <v>0</v>
      </c>
      <c r="B569" t="s">
        <v>284</v>
      </c>
    </row>
    <row r="570" spans="1:2">
      <c r="A570" s="557">
        <f>INDEX(Bauteile!$G$57:$G$1152,UWert!BA87,1)</f>
        <v>0</v>
      </c>
      <c r="B570" t="s">
        <v>949</v>
      </c>
    </row>
    <row r="571" spans="1:2">
      <c r="A571" s="557">
        <f>INDEX(Bauteile!$G$57:$G$1152,UWert!BA88,1)</f>
        <v>0</v>
      </c>
      <c r="B571" t="s">
        <v>405</v>
      </c>
    </row>
    <row r="572" spans="1:2">
      <c r="A572" s="557">
        <f>INDEX(Bauteile!$G$57:$G$1152,UWert!BA89,1)</f>
        <v>0</v>
      </c>
      <c r="B572" t="s">
        <v>406</v>
      </c>
    </row>
    <row r="573" spans="1:2">
      <c r="A573" s="557">
        <f>INDEX(Bauteile!$G$57:$G$1152,UWert!BA90,1)</f>
        <v>0</v>
      </c>
      <c r="B573" t="s">
        <v>407</v>
      </c>
    </row>
    <row r="574" spans="1:2">
      <c r="A574" s="557">
        <f>INDEX(Bauteile!$G$57:$G$1152,UWert!BA91,1)</f>
        <v>0</v>
      </c>
      <c r="B574" t="s">
        <v>408</v>
      </c>
    </row>
    <row r="575" spans="1:2">
      <c r="A575" s="557">
        <f>INDEX(Bauteile!$G$57:$G$1152,UWert!BA92,1)</f>
        <v>0</v>
      </c>
      <c r="B575" t="s">
        <v>409</v>
      </c>
    </row>
    <row r="576" spans="1:2">
      <c r="A576" s="557">
        <f>INDEX(Bauteile!$G$57:$G$1152,UWert!BA93,1)</f>
        <v>0</v>
      </c>
      <c r="B576" t="s">
        <v>410</v>
      </c>
    </row>
    <row r="577" spans="1:2">
      <c r="A577" s="800" t="str">
        <f>UWert!F84</f>
        <v/>
      </c>
      <c r="B577" t="s">
        <v>48</v>
      </c>
    </row>
    <row r="578" spans="1:2">
      <c r="A578" s="804">
        <f>UWert!BK17</f>
        <v>1</v>
      </c>
      <c r="B578" t="s">
        <v>2068</v>
      </c>
    </row>
    <row r="579" spans="1:2">
      <c r="A579" s="799" t="s">
        <v>1364</v>
      </c>
    </row>
    <row r="580" spans="1:2">
      <c r="A580" s="557">
        <f>UWert!K84</f>
        <v>0</v>
      </c>
      <c r="B580" t="s">
        <v>1365</v>
      </c>
    </row>
    <row r="581" spans="1:2">
      <c r="A581" s="557">
        <f>INDEX(Bauteile!$M$280:$M$282,UWert!BB86,1)</f>
        <v>0</v>
      </c>
      <c r="B581" t="s">
        <v>1134</v>
      </c>
    </row>
    <row r="582" spans="1:2">
      <c r="A582" s="557">
        <f>INDEX(Bauteile!$B$57:$B$1152,UWert!BB87,1)</f>
        <v>0</v>
      </c>
      <c r="B582" t="s">
        <v>1591</v>
      </c>
    </row>
    <row r="583" spans="1:2">
      <c r="A583" s="557">
        <f>INDEX(Bauteile!$B$57:$B$1152,UWert!BB88,1)</f>
        <v>0</v>
      </c>
      <c r="B583" t="s">
        <v>1592</v>
      </c>
    </row>
    <row r="584" spans="1:2">
      <c r="A584" s="557">
        <f>INDEX(Bauteile!$B$57:$B$1152,UWert!BB89,1)</f>
        <v>0</v>
      </c>
      <c r="B584" t="s">
        <v>1593</v>
      </c>
    </row>
    <row r="585" spans="1:2">
      <c r="A585" s="557">
        <f>INDEX(Bauteile!$B$57:$B$1152,UWert!BB90,1)</f>
        <v>0</v>
      </c>
      <c r="B585" t="s">
        <v>1594</v>
      </c>
    </row>
    <row r="586" spans="1:2">
      <c r="A586" s="557">
        <f>INDEX(Bauteile!$B$57:$B$1152,UWert!BB91,1)</f>
        <v>0</v>
      </c>
      <c r="B586" t="s">
        <v>1595</v>
      </c>
    </row>
    <row r="587" spans="1:2">
      <c r="A587" s="557">
        <f>INDEX(Bauteile!$B$57:$B$1152,UWert!BB92,1)</f>
        <v>0</v>
      </c>
      <c r="B587" t="s">
        <v>1131</v>
      </c>
    </row>
    <row r="588" spans="1:2">
      <c r="A588" s="557">
        <f>INDEX(Bauteile!$B$57:$B$1152,UWert!BB93,1)</f>
        <v>0</v>
      </c>
      <c r="B588" t="s">
        <v>1132</v>
      </c>
    </row>
    <row r="589" spans="1:2">
      <c r="A589" s="557">
        <f>INDEX(Bauteile!$L$284:$L$296,UWert!BB94,1)</f>
        <v>0</v>
      </c>
      <c r="B589" t="s">
        <v>1138</v>
      </c>
    </row>
    <row r="590" spans="1:2">
      <c r="A590" s="557">
        <f>INDEX(Bauteile!$M$280:$M$282,UWert!BB95,1)</f>
        <v>0</v>
      </c>
      <c r="B590" t="s">
        <v>1135</v>
      </c>
    </row>
    <row r="591" spans="1:2">
      <c r="A591" s="557">
        <f>UWert!$O86</f>
        <v>0</v>
      </c>
      <c r="B591" t="s">
        <v>151</v>
      </c>
    </row>
    <row r="592" spans="1:2">
      <c r="A592" s="557">
        <f>UWert!$O87</f>
        <v>0</v>
      </c>
      <c r="B592" t="s">
        <v>1139</v>
      </c>
    </row>
    <row r="593" spans="1:2">
      <c r="A593" s="557">
        <f>UWert!$O88</f>
        <v>0</v>
      </c>
      <c r="B593" t="s">
        <v>2349</v>
      </c>
    </row>
    <row r="594" spans="1:2">
      <c r="A594" s="557">
        <f>UWert!$O89</f>
        <v>0</v>
      </c>
      <c r="B594" t="s">
        <v>2350</v>
      </c>
    </row>
    <row r="595" spans="1:2">
      <c r="A595" s="557">
        <f>UWert!$O90</f>
        <v>0</v>
      </c>
      <c r="B595" t="s">
        <v>2351</v>
      </c>
    </row>
    <row r="596" spans="1:2">
      <c r="A596" s="557">
        <f>UWert!$O91</f>
        <v>0</v>
      </c>
      <c r="B596" t="s">
        <v>2352</v>
      </c>
    </row>
    <row r="597" spans="1:2">
      <c r="A597" s="557">
        <f>UWert!$O92</f>
        <v>0</v>
      </c>
      <c r="B597" t="s">
        <v>2353</v>
      </c>
    </row>
    <row r="598" spans="1:2">
      <c r="A598" s="557">
        <f>UWert!$O93</f>
        <v>0</v>
      </c>
      <c r="B598" t="s">
        <v>2354</v>
      </c>
    </row>
    <row r="599" spans="1:2">
      <c r="A599" s="557">
        <f>UWert!$O94</f>
        <v>0</v>
      </c>
      <c r="B599" t="s">
        <v>285</v>
      </c>
    </row>
    <row r="600" spans="1:2">
      <c r="A600" s="557">
        <f>UWert!$O95</f>
        <v>0</v>
      </c>
      <c r="B600" t="s">
        <v>286</v>
      </c>
    </row>
    <row r="601" spans="1:2">
      <c r="A601" s="557">
        <f>UWert!N87/100</f>
        <v>0</v>
      </c>
      <c r="B601" t="s">
        <v>278</v>
      </c>
    </row>
    <row r="602" spans="1:2">
      <c r="A602" s="557">
        <f>UWert!N88/100</f>
        <v>0</v>
      </c>
      <c r="B602" t="s">
        <v>279</v>
      </c>
    </row>
    <row r="603" spans="1:2">
      <c r="A603" s="557">
        <f>UWert!N89/100</f>
        <v>0</v>
      </c>
      <c r="B603" t="s">
        <v>280</v>
      </c>
    </row>
    <row r="604" spans="1:2">
      <c r="A604" s="557">
        <f>UWert!N90/100</f>
        <v>0</v>
      </c>
      <c r="B604" t="s">
        <v>281</v>
      </c>
    </row>
    <row r="605" spans="1:2">
      <c r="A605" s="557">
        <f>UWert!N91/100</f>
        <v>0</v>
      </c>
      <c r="B605" t="s">
        <v>282</v>
      </c>
    </row>
    <row r="606" spans="1:2">
      <c r="A606" s="557">
        <f>UWert!N92/100</f>
        <v>0</v>
      </c>
      <c r="B606" t="s">
        <v>283</v>
      </c>
    </row>
    <row r="607" spans="1:2">
      <c r="A607" s="557">
        <f>UWert!N93/100</f>
        <v>0</v>
      </c>
      <c r="B607" t="s">
        <v>284</v>
      </c>
    </row>
    <row r="608" spans="1:2">
      <c r="A608" s="557">
        <f>INDEX(Bauteile!$G$57:$G$1152,UWert!BB87,1)</f>
        <v>0</v>
      </c>
      <c r="B608" t="s">
        <v>949</v>
      </c>
    </row>
    <row r="609" spans="1:2">
      <c r="A609" s="557">
        <f>INDEX(Bauteile!$G$57:$G$1152,UWert!BB88,1)</f>
        <v>0</v>
      </c>
      <c r="B609" t="s">
        <v>405</v>
      </c>
    </row>
    <row r="610" spans="1:2">
      <c r="A610" s="557">
        <f>INDEX(Bauteile!$G$57:$G$1152,UWert!BB89,1)</f>
        <v>0</v>
      </c>
      <c r="B610" t="s">
        <v>406</v>
      </c>
    </row>
    <row r="611" spans="1:2">
      <c r="A611" s="557">
        <f>INDEX(Bauteile!$G$57:$G$1152,UWert!BB90,1)</f>
        <v>0</v>
      </c>
      <c r="B611" t="s">
        <v>407</v>
      </c>
    </row>
    <row r="612" spans="1:2">
      <c r="A612" s="557">
        <f>INDEX(Bauteile!$G$57:$G$1152,UWert!BB91,1)</f>
        <v>0</v>
      </c>
      <c r="B612" t="s">
        <v>408</v>
      </c>
    </row>
    <row r="613" spans="1:2">
      <c r="A613" s="557">
        <f>INDEX(Bauteile!$G$57:$G$1152,UWert!BB92,1)</f>
        <v>0</v>
      </c>
      <c r="B613" t="s">
        <v>409</v>
      </c>
    </row>
    <row r="614" spans="1:2">
      <c r="A614" s="557">
        <f>INDEX(Bauteile!$G$57:$G$1152,UWert!BB93,1)</f>
        <v>0</v>
      </c>
      <c r="B614" t="s">
        <v>410</v>
      </c>
    </row>
    <row r="615" spans="1:2">
      <c r="A615" s="800" t="str">
        <f>UWert!N84</f>
        <v/>
      </c>
      <c r="B615" t="s">
        <v>1366</v>
      </c>
    </row>
    <row r="616" spans="1:2">
      <c r="A616" s="804">
        <f>UWert!BK18</f>
        <v>1</v>
      </c>
      <c r="B616" t="s">
        <v>512</v>
      </c>
    </row>
    <row r="617" spans="1:2">
      <c r="A617" s="799" t="s">
        <v>940</v>
      </c>
    </row>
    <row r="618" spans="1:2">
      <c r="A618" s="557">
        <f>UWert!$C$98</f>
        <v>0</v>
      </c>
      <c r="B618" t="s">
        <v>941</v>
      </c>
    </row>
    <row r="619" spans="1:2">
      <c r="A619" s="557">
        <f>INDEX(Bauteile!$M$280:$M$282,UWert!BA100,1)</f>
        <v>0</v>
      </c>
      <c r="B619" t="s">
        <v>1134</v>
      </c>
    </row>
    <row r="620" spans="1:2">
      <c r="A620" s="557">
        <f>INDEX(Bauteile!$B$57:$B$1152,UWert!BA101,1)</f>
        <v>0</v>
      </c>
      <c r="B620" t="s">
        <v>1591</v>
      </c>
    </row>
    <row r="621" spans="1:2">
      <c r="A621" s="557">
        <f>INDEX(Bauteile!$B$57:$B$1152,UWert!BA102,1)</f>
        <v>0</v>
      </c>
      <c r="B621" t="s">
        <v>1592</v>
      </c>
    </row>
    <row r="622" spans="1:2">
      <c r="A622" s="557">
        <f>INDEX(Bauteile!$B$57:$B$1152,UWert!BA103,1)</f>
        <v>0</v>
      </c>
      <c r="B622" t="s">
        <v>1593</v>
      </c>
    </row>
    <row r="623" spans="1:2">
      <c r="A623" s="557">
        <f>INDEX(Bauteile!$B$57:$B$1152,UWert!BA104,1)</f>
        <v>0</v>
      </c>
      <c r="B623" t="s">
        <v>1594</v>
      </c>
    </row>
    <row r="624" spans="1:2">
      <c r="A624" s="557">
        <f>INDEX(Bauteile!$B$57:$B$1152,UWert!BA105,1)</f>
        <v>0</v>
      </c>
      <c r="B624" t="s">
        <v>1595</v>
      </c>
    </row>
    <row r="625" spans="1:2">
      <c r="A625" s="557">
        <f>INDEX(Bauteile!$B$57:$B$1152,UWert!BA106,1)</f>
        <v>0</v>
      </c>
      <c r="B625" t="s">
        <v>1131</v>
      </c>
    </row>
    <row r="626" spans="1:2">
      <c r="A626" s="557">
        <f>INDEX(Bauteile!$B$57:$B$1152,UWert!BA107,1)</f>
        <v>0</v>
      </c>
      <c r="B626" t="s">
        <v>1132</v>
      </c>
    </row>
    <row r="627" spans="1:2">
      <c r="A627" s="557">
        <f>INDEX(Bauteile!$L$284:$L$296,UWert!BA108,1)</f>
        <v>0</v>
      </c>
      <c r="B627" t="s">
        <v>1138</v>
      </c>
    </row>
    <row r="628" spans="1:2">
      <c r="A628" s="557">
        <f>INDEX(Bauteile!$M$280:$M$282,UWert!BA109,1)</f>
        <v>0</v>
      </c>
      <c r="B628" t="s">
        <v>1135</v>
      </c>
    </row>
    <row r="629" spans="1:2">
      <c r="A629" s="557">
        <f>UWert!$G100</f>
        <v>0</v>
      </c>
      <c r="B629" t="s">
        <v>151</v>
      </c>
    </row>
    <row r="630" spans="1:2">
      <c r="A630" s="557">
        <f>UWert!$G101</f>
        <v>0</v>
      </c>
      <c r="B630" t="s">
        <v>1139</v>
      </c>
    </row>
    <row r="631" spans="1:2">
      <c r="A631" s="557">
        <f>UWert!$G102</f>
        <v>0</v>
      </c>
      <c r="B631" t="s">
        <v>2349</v>
      </c>
    </row>
    <row r="632" spans="1:2">
      <c r="A632" s="557">
        <f>UWert!$G103</f>
        <v>0</v>
      </c>
      <c r="B632" t="s">
        <v>2350</v>
      </c>
    </row>
    <row r="633" spans="1:2">
      <c r="A633" s="557">
        <f>UWert!$G104</f>
        <v>0</v>
      </c>
      <c r="B633" t="s">
        <v>2351</v>
      </c>
    </row>
    <row r="634" spans="1:2">
      <c r="A634" s="557">
        <f>UWert!$G105</f>
        <v>0</v>
      </c>
      <c r="B634" t="s">
        <v>2352</v>
      </c>
    </row>
    <row r="635" spans="1:2">
      <c r="A635" s="557">
        <f>UWert!$G106</f>
        <v>0</v>
      </c>
      <c r="B635" t="s">
        <v>2353</v>
      </c>
    </row>
    <row r="636" spans="1:2">
      <c r="A636" s="557">
        <f>UWert!$G107</f>
        <v>0</v>
      </c>
      <c r="B636" t="s">
        <v>2354</v>
      </c>
    </row>
    <row r="637" spans="1:2">
      <c r="A637" s="557">
        <f>UWert!$G108</f>
        <v>0</v>
      </c>
      <c r="B637" t="s">
        <v>285</v>
      </c>
    </row>
    <row r="638" spans="1:2">
      <c r="A638" s="557">
        <f>UWert!$G109</f>
        <v>0</v>
      </c>
      <c r="B638" t="s">
        <v>286</v>
      </c>
    </row>
    <row r="639" spans="1:2">
      <c r="A639" s="557">
        <f>UWert!$F101/100</f>
        <v>0</v>
      </c>
      <c r="B639" t="s">
        <v>278</v>
      </c>
    </row>
    <row r="640" spans="1:2">
      <c r="A640" s="557">
        <f>UWert!$F102/100</f>
        <v>0</v>
      </c>
      <c r="B640" t="s">
        <v>279</v>
      </c>
    </row>
    <row r="641" spans="1:2">
      <c r="A641" s="557">
        <f>UWert!$F103/100</f>
        <v>0</v>
      </c>
      <c r="B641" t="s">
        <v>280</v>
      </c>
    </row>
    <row r="642" spans="1:2">
      <c r="A642" s="557">
        <f>UWert!$F104/100</f>
        <v>0</v>
      </c>
      <c r="B642" t="s">
        <v>281</v>
      </c>
    </row>
    <row r="643" spans="1:2">
      <c r="A643" s="557">
        <f>UWert!$F105/100</f>
        <v>0</v>
      </c>
      <c r="B643" t="s">
        <v>282</v>
      </c>
    </row>
    <row r="644" spans="1:2">
      <c r="A644" s="557">
        <f>UWert!$F106/100</f>
        <v>0</v>
      </c>
      <c r="B644" t="s">
        <v>283</v>
      </c>
    </row>
    <row r="645" spans="1:2">
      <c r="A645" s="557">
        <f>UWert!$F107/100</f>
        <v>0</v>
      </c>
      <c r="B645" t="s">
        <v>284</v>
      </c>
    </row>
    <row r="646" spans="1:2">
      <c r="A646" s="557">
        <f>INDEX(Bauteile!$G$57:$G$1152,UWert!BA101,1)</f>
        <v>0</v>
      </c>
      <c r="B646" t="s">
        <v>949</v>
      </c>
    </row>
    <row r="647" spans="1:2">
      <c r="A647" s="557">
        <f>INDEX(Bauteile!$G$57:$G$1152,UWert!BA102,1)</f>
        <v>0</v>
      </c>
      <c r="B647" t="s">
        <v>405</v>
      </c>
    </row>
    <row r="648" spans="1:2">
      <c r="A648" s="557">
        <f>INDEX(Bauteile!$G$57:$G$1152,UWert!BA103,1)</f>
        <v>0</v>
      </c>
      <c r="B648" t="s">
        <v>406</v>
      </c>
    </row>
    <row r="649" spans="1:2">
      <c r="A649" s="557">
        <f>INDEX(Bauteile!$G$57:$G$1152,UWert!BA104,1)</f>
        <v>0</v>
      </c>
      <c r="B649" t="s">
        <v>407</v>
      </c>
    </row>
    <row r="650" spans="1:2">
      <c r="A650" s="557">
        <f>INDEX(Bauteile!$G$57:$G$1152,UWert!BA105,1)</f>
        <v>0</v>
      </c>
      <c r="B650" t="s">
        <v>408</v>
      </c>
    </row>
    <row r="651" spans="1:2">
      <c r="A651" s="557">
        <f>INDEX(Bauteile!$G$57:$G$1152,UWert!BA106,1)</f>
        <v>0</v>
      </c>
      <c r="B651" t="s">
        <v>409</v>
      </c>
    </row>
    <row r="652" spans="1:2">
      <c r="A652" s="557">
        <f>INDEX(Bauteile!$G$57:$G$1152,UWert!BA107,1)</f>
        <v>0</v>
      </c>
      <c r="B652" t="s">
        <v>410</v>
      </c>
    </row>
    <row r="653" spans="1:2">
      <c r="A653" s="800" t="str">
        <f>UWert!$F$98</f>
        <v/>
      </c>
      <c r="B653" t="s">
        <v>942</v>
      </c>
    </row>
    <row r="654" spans="1:2">
      <c r="A654" s="804">
        <f>UWert!BK19</f>
        <v>1</v>
      </c>
      <c r="B654" t="s">
        <v>2384</v>
      </c>
    </row>
    <row r="655" spans="1:2">
      <c r="A655" s="799" t="s">
        <v>943</v>
      </c>
    </row>
    <row r="656" spans="1:2">
      <c r="A656" s="557">
        <f>UWert!$K$98</f>
        <v>0</v>
      </c>
      <c r="B656" t="s">
        <v>944</v>
      </c>
    </row>
    <row r="657" spans="1:2">
      <c r="A657" s="557">
        <f>INDEX(Bauteile!$M$280:$M$282,UWert!BB100,1)</f>
        <v>0</v>
      </c>
      <c r="B657" t="s">
        <v>1134</v>
      </c>
    </row>
    <row r="658" spans="1:2">
      <c r="A658" s="557">
        <f>INDEX(Bauteile!$B$57:$B$1152,UWert!BB101,1)</f>
        <v>0</v>
      </c>
      <c r="B658" t="s">
        <v>1591</v>
      </c>
    </row>
    <row r="659" spans="1:2">
      <c r="A659" s="557">
        <f>INDEX(Bauteile!$B$57:$B$1152,UWert!BB102,1)</f>
        <v>0</v>
      </c>
      <c r="B659" t="s">
        <v>1592</v>
      </c>
    </row>
    <row r="660" spans="1:2">
      <c r="A660" s="557">
        <f>INDEX(Bauteile!$B$57:$B$1152,UWert!BB103,1)</f>
        <v>0</v>
      </c>
      <c r="B660" t="s">
        <v>1593</v>
      </c>
    </row>
    <row r="661" spans="1:2">
      <c r="A661" s="557">
        <f>INDEX(Bauteile!$B$57:$B$1152,UWert!BB104,1)</f>
        <v>0</v>
      </c>
      <c r="B661" t="s">
        <v>1594</v>
      </c>
    </row>
    <row r="662" spans="1:2">
      <c r="A662" s="557">
        <f>INDEX(Bauteile!$B$57:$B$1152,UWert!BB105,1)</f>
        <v>0</v>
      </c>
      <c r="B662" t="s">
        <v>1595</v>
      </c>
    </row>
    <row r="663" spans="1:2">
      <c r="A663" s="557">
        <f>INDEX(Bauteile!$B$57:$B$1152,UWert!BB106,1)</f>
        <v>0</v>
      </c>
      <c r="B663" t="s">
        <v>1131</v>
      </c>
    </row>
    <row r="664" spans="1:2">
      <c r="A664" s="557">
        <f>INDEX(Bauteile!$B$57:$B$1152,UWert!BB107,1)</f>
        <v>0</v>
      </c>
      <c r="B664" t="s">
        <v>1132</v>
      </c>
    </row>
    <row r="665" spans="1:2">
      <c r="A665" s="557">
        <f>INDEX(Bauteile!$L$284:$L$296,UWert!BB108,1)</f>
        <v>0</v>
      </c>
      <c r="B665" t="s">
        <v>1138</v>
      </c>
    </row>
    <row r="666" spans="1:2">
      <c r="A666" s="557">
        <f>INDEX(Bauteile!$M$280:$M$282,UWert!BB109,1)</f>
        <v>0</v>
      </c>
      <c r="B666" t="s">
        <v>1135</v>
      </c>
    </row>
    <row r="667" spans="1:2">
      <c r="A667" s="557">
        <f>UWert!$O100</f>
        <v>0</v>
      </c>
      <c r="B667" t="s">
        <v>151</v>
      </c>
    </row>
    <row r="668" spans="1:2">
      <c r="A668" s="557">
        <f>UWert!$O101</f>
        <v>0</v>
      </c>
      <c r="B668" t="s">
        <v>1139</v>
      </c>
    </row>
    <row r="669" spans="1:2">
      <c r="A669" s="557">
        <f>UWert!$O102</f>
        <v>0</v>
      </c>
      <c r="B669" t="s">
        <v>2349</v>
      </c>
    </row>
    <row r="670" spans="1:2">
      <c r="A670" s="557">
        <f>UWert!$O103</f>
        <v>0</v>
      </c>
      <c r="B670" t="s">
        <v>2350</v>
      </c>
    </row>
    <row r="671" spans="1:2">
      <c r="A671" s="557">
        <f>UWert!$O104</f>
        <v>0</v>
      </c>
      <c r="B671" t="s">
        <v>2351</v>
      </c>
    </row>
    <row r="672" spans="1:2">
      <c r="A672" s="557">
        <f>UWert!$O105</f>
        <v>0</v>
      </c>
      <c r="B672" t="s">
        <v>2352</v>
      </c>
    </row>
    <row r="673" spans="1:2">
      <c r="A673" s="557">
        <f>UWert!$O106</f>
        <v>0</v>
      </c>
      <c r="B673" t="s">
        <v>2353</v>
      </c>
    </row>
    <row r="674" spans="1:2">
      <c r="A674" s="557">
        <f>UWert!$O107</f>
        <v>0</v>
      </c>
      <c r="B674" t="s">
        <v>2354</v>
      </c>
    </row>
    <row r="675" spans="1:2">
      <c r="A675" s="557">
        <f>UWert!$O108</f>
        <v>0</v>
      </c>
      <c r="B675" t="s">
        <v>285</v>
      </c>
    </row>
    <row r="676" spans="1:2">
      <c r="A676" s="557">
        <f>UWert!$O109</f>
        <v>0</v>
      </c>
      <c r="B676" t="s">
        <v>286</v>
      </c>
    </row>
    <row r="677" spans="1:2">
      <c r="A677" s="557">
        <f>UWert!N101/100</f>
        <v>0</v>
      </c>
      <c r="B677" t="s">
        <v>278</v>
      </c>
    </row>
    <row r="678" spans="1:2">
      <c r="A678" s="557">
        <f>UWert!N102/100</f>
        <v>0</v>
      </c>
      <c r="B678" t="s">
        <v>279</v>
      </c>
    </row>
    <row r="679" spans="1:2">
      <c r="A679" s="557">
        <f>UWert!N103/100</f>
        <v>0</v>
      </c>
      <c r="B679" t="s">
        <v>280</v>
      </c>
    </row>
    <row r="680" spans="1:2">
      <c r="A680" s="557">
        <f>UWert!N104/100</f>
        <v>0</v>
      </c>
      <c r="B680" t="s">
        <v>281</v>
      </c>
    </row>
    <row r="681" spans="1:2">
      <c r="A681" s="557">
        <f>UWert!N105/100</f>
        <v>0</v>
      </c>
      <c r="B681" t="s">
        <v>282</v>
      </c>
    </row>
    <row r="682" spans="1:2">
      <c r="A682" s="557">
        <f>UWert!N106/100</f>
        <v>0</v>
      </c>
      <c r="B682" t="s">
        <v>283</v>
      </c>
    </row>
    <row r="683" spans="1:2">
      <c r="A683" s="557">
        <f>UWert!N107/100</f>
        <v>0</v>
      </c>
      <c r="B683" t="s">
        <v>284</v>
      </c>
    </row>
    <row r="684" spans="1:2">
      <c r="A684" s="557">
        <f>INDEX(Bauteile!$G$57:$G$1152,UWert!BB101,1)</f>
        <v>0</v>
      </c>
      <c r="B684" t="s">
        <v>949</v>
      </c>
    </row>
    <row r="685" spans="1:2">
      <c r="A685" s="557">
        <f>INDEX(Bauteile!$G$57:$G$1152,UWert!BB102,1)</f>
        <v>0</v>
      </c>
      <c r="B685" t="s">
        <v>405</v>
      </c>
    </row>
    <row r="686" spans="1:2">
      <c r="A686" s="557">
        <f>INDEX(Bauteile!$G$57:$G$1152,UWert!BB103,1)</f>
        <v>0</v>
      </c>
      <c r="B686" t="s">
        <v>406</v>
      </c>
    </row>
    <row r="687" spans="1:2">
      <c r="A687" s="557">
        <f>INDEX(Bauteile!$G$57:$G$1152,UWert!BB104,1)</f>
        <v>0</v>
      </c>
      <c r="B687" t="s">
        <v>407</v>
      </c>
    </row>
    <row r="688" spans="1:2">
      <c r="A688" s="557">
        <f>INDEX(Bauteile!$G$57:$G$1152,UWert!BB105,1)</f>
        <v>0</v>
      </c>
      <c r="B688" t="s">
        <v>408</v>
      </c>
    </row>
    <row r="689" spans="1:2">
      <c r="A689" s="557">
        <f>INDEX(Bauteile!$G$57:$G$1152,UWert!BB106,1)</f>
        <v>0</v>
      </c>
      <c r="B689" t="s">
        <v>409</v>
      </c>
    </row>
    <row r="690" spans="1:2">
      <c r="A690" s="557">
        <f>INDEX(Bauteile!$G$57:$G$1152,UWert!BB107,1)</f>
        <v>0</v>
      </c>
      <c r="B690" t="s">
        <v>410</v>
      </c>
    </row>
    <row r="691" spans="1:2">
      <c r="A691" s="800">
        <f>UWert!$N$98</f>
        <v>0</v>
      </c>
      <c r="B691" t="s">
        <v>1366</v>
      </c>
    </row>
    <row r="692" spans="1:2">
      <c r="A692" s="800">
        <f>UWert!BK20</f>
        <v>1</v>
      </c>
      <c r="B692" t="s">
        <v>2385</v>
      </c>
    </row>
    <row r="693" spans="1:2">
      <c r="A693" s="806" t="s">
        <v>1497</v>
      </c>
    </row>
    <row r="694" spans="1:2">
      <c r="A694" s="802">
        <f>UWert!C114</f>
        <v>0</v>
      </c>
      <c r="B694" t="s">
        <v>1498</v>
      </c>
    </row>
    <row r="695" spans="1:2">
      <c r="A695" s="802">
        <f>INDEX(Bauteile!$C$7:$C$33,UWert!BA116)</f>
        <v>0</v>
      </c>
      <c r="B695" t="s">
        <v>948</v>
      </c>
    </row>
    <row r="696" spans="1:2">
      <c r="A696" s="800" t="str">
        <f>UWert!F114</f>
        <v/>
      </c>
      <c r="B696" t="s">
        <v>945</v>
      </c>
    </row>
    <row r="697" spans="1:2">
      <c r="A697" s="800" t="str">
        <f>UWert!H114</f>
        <v/>
      </c>
      <c r="B697" t="s">
        <v>946</v>
      </c>
    </row>
    <row r="698" spans="1:2">
      <c r="A698" s="800">
        <f>UWert!H118</f>
        <v>0</v>
      </c>
      <c r="B698" t="s">
        <v>947</v>
      </c>
    </row>
    <row r="699" spans="1:2">
      <c r="A699" s="800">
        <v>1</v>
      </c>
      <c r="B699" t="s">
        <v>2391</v>
      </c>
    </row>
    <row r="700" spans="1:2">
      <c r="A700" s="806" t="s">
        <v>1499</v>
      </c>
    </row>
    <row r="701" spans="1:2">
      <c r="A701" s="802">
        <f>UWert!K114</f>
        <v>0</v>
      </c>
      <c r="B701" t="s">
        <v>1500</v>
      </c>
    </row>
    <row r="702" spans="1:2">
      <c r="A702" s="802">
        <f>INDEX(Bauteile!$C$7:$C$33,UWert!BB116)</f>
        <v>0</v>
      </c>
      <c r="B702" t="s">
        <v>948</v>
      </c>
    </row>
    <row r="703" spans="1:2">
      <c r="A703" s="800" t="str">
        <f>UWert!N114</f>
        <v/>
      </c>
      <c r="B703" t="s">
        <v>945</v>
      </c>
    </row>
    <row r="704" spans="1:2">
      <c r="A704" s="800" t="str">
        <f>UWert!P114</f>
        <v/>
      </c>
      <c r="B704" t="s">
        <v>946</v>
      </c>
    </row>
    <row r="705" spans="1:4">
      <c r="A705" s="800">
        <f>UWert!P118</f>
        <v>0</v>
      </c>
      <c r="B705" t="s">
        <v>947</v>
      </c>
    </row>
    <row r="706" spans="1:4">
      <c r="A706" s="557">
        <v>1</v>
      </c>
      <c r="B706" t="s">
        <v>2392</v>
      </c>
    </row>
    <row r="707" spans="1:4">
      <c r="A707" s="799" t="s">
        <v>447</v>
      </c>
    </row>
    <row r="708" spans="1:4">
      <c r="A708" s="800">
        <f>Fenster!L27</f>
        <v>20</v>
      </c>
      <c r="B708" t="s">
        <v>945</v>
      </c>
      <c r="D708" s="557"/>
    </row>
    <row r="709" spans="1:4">
      <c r="A709" s="804">
        <f>Fenster!N27</f>
        <v>0</v>
      </c>
      <c r="B709" t="s">
        <v>946</v>
      </c>
    </row>
    <row r="710" spans="1:4">
      <c r="A710" s="804">
        <f>Fenster!O27</f>
        <v>0</v>
      </c>
      <c r="B710" t="s">
        <v>947</v>
      </c>
    </row>
    <row r="711" spans="1:4">
      <c r="A711" s="804">
        <f>Fenster!AK27</f>
        <v>0</v>
      </c>
      <c r="B711" t="s">
        <v>448</v>
      </c>
    </row>
    <row r="712" spans="1:4">
      <c r="A712" s="557">
        <v>1</v>
      </c>
      <c r="B712" t="s">
        <v>2395</v>
      </c>
    </row>
    <row r="713" spans="1:4">
      <c r="A713" s="799" t="s">
        <v>255</v>
      </c>
    </row>
    <row r="714" spans="1:4">
      <c r="A714" s="802">
        <f>Drehung</f>
        <v>0</v>
      </c>
      <c r="B714" t="s">
        <v>449</v>
      </c>
    </row>
    <row r="715" spans="1:4">
      <c r="A715" s="805">
        <f>Fenster!L50</f>
        <v>20</v>
      </c>
      <c r="B715" t="s">
        <v>945</v>
      </c>
    </row>
    <row r="716" spans="1:4">
      <c r="A716" s="803">
        <f>Fenster!L50</f>
        <v>20</v>
      </c>
      <c r="B716" t="s">
        <v>946</v>
      </c>
    </row>
    <row r="717" spans="1:4">
      <c r="A717" s="805">
        <f>Fenster!O50</f>
        <v>0</v>
      </c>
      <c r="B717" t="s">
        <v>947</v>
      </c>
    </row>
    <row r="718" spans="1:4">
      <c r="A718" s="804">
        <f>Fenster!AK50</f>
        <v>0</v>
      </c>
      <c r="B718" t="s">
        <v>448</v>
      </c>
    </row>
    <row r="719" spans="1:4">
      <c r="A719" s="557">
        <v>1</v>
      </c>
      <c r="B719" t="s">
        <v>2396</v>
      </c>
    </row>
    <row r="720" spans="1:4">
      <c r="A720" s="799" t="s">
        <v>256</v>
      </c>
    </row>
    <row r="721" spans="1:2">
      <c r="A721" s="802">
        <f>Drehung</f>
        <v>0</v>
      </c>
      <c r="B721" t="s">
        <v>253</v>
      </c>
    </row>
    <row r="722" spans="1:2">
      <c r="A722" s="805">
        <f>Fenster!L73</f>
        <v>20</v>
      </c>
      <c r="B722" t="s">
        <v>945</v>
      </c>
    </row>
    <row r="723" spans="1:2">
      <c r="A723" s="803">
        <f>Fenster!N73</f>
        <v>0</v>
      </c>
      <c r="B723" t="s">
        <v>946</v>
      </c>
    </row>
    <row r="724" spans="1:2">
      <c r="A724" s="805">
        <f>Fenster!O73</f>
        <v>0</v>
      </c>
      <c r="B724" t="s">
        <v>947</v>
      </c>
    </row>
    <row r="725" spans="1:2">
      <c r="A725" s="804">
        <f>Fenster!AK73</f>
        <v>0</v>
      </c>
      <c r="B725" t="s">
        <v>448</v>
      </c>
    </row>
    <row r="726" spans="1:2">
      <c r="A726" s="557">
        <v>1</v>
      </c>
      <c r="B726" t="s">
        <v>2397</v>
      </c>
    </row>
    <row r="727" spans="1:2">
      <c r="A727" s="799" t="s">
        <v>257</v>
      </c>
    </row>
    <row r="728" spans="1:2">
      <c r="A728" s="802">
        <f>Drehung</f>
        <v>0</v>
      </c>
      <c r="B728" t="s">
        <v>254</v>
      </c>
    </row>
    <row r="729" spans="1:2">
      <c r="A729" s="805">
        <f>Fenster!L96</f>
        <v>20</v>
      </c>
      <c r="B729" t="s">
        <v>945</v>
      </c>
    </row>
    <row r="730" spans="1:2">
      <c r="A730" s="803">
        <f>Fenster!N96</f>
        <v>0</v>
      </c>
      <c r="B730" t="s">
        <v>946</v>
      </c>
    </row>
    <row r="731" spans="1:2">
      <c r="A731" s="805">
        <f>Fenster!O96</f>
        <v>0</v>
      </c>
      <c r="B731" t="s">
        <v>947</v>
      </c>
    </row>
    <row r="732" spans="1:2">
      <c r="A732" s="804">
        <f>Fenster!AK96</f>
        <v>0</v>
      </c>
      <c r="B732" t="s">
        <v>448</v>
      </c>
    </row>
    <row r="733" spans="1:2">
      <c r="A733" s="557">
        <v>1</v>
      </c>
      <c r="B733" t="s">
        <v>2398</v>
      </c>
    </row>
    <row r="734" spans="1:2">
      <c r="A734" s="799" t="s">
        <v>258</v>
      </c>
    </row>
    <row r="735" spans="1:2">
      <c r="A735" s="802">
        <f>Drehung</f>
        <v>0</v>
      </c>
      <c r="B735" t="s">
        <v>1496</v>
      </c>
    </row>
    <row r="736" spans="1:2">
      <c r="A736" s="805">
        <f>Fenster!L119</f>
        <v>20</v>
      </c>
      <c r="B736" t="s">
        <v>945</v>
      </c>
    </row>
    <row r="737" spans="1:2">
      <c r="A737" s="803">
        <f>Fenster!N119</f>
        <v>0</v>
      </c>
      <c r="B737" t="s">
        <v>946</v>
      </c>
    </row>
    <row r="738" spans="1:2">
      <c r="A738" s="805">
        <f>Fenster!O119</f>
        <v>0</v>
      </c>
      <c r="B738" t="s">
        <v>947</v>
      </c>
    </row>
    <row r="739" spans="1:2">
      <c r="A739" s="804">
        <f>Fenster!AK119</f>
        <v>0</v>
      </c>
      <c r="B739" t="s">
        <v>448</v>
      </c>
    </row>
    <row r="740" spans="1:2">
      <c r="A740" s="557">
        <v>1</v>
      </c>
      <c r="B740" t="s">
        <v>2399</v>
      </c>
    </row>
    <row r="741" spans="1:2">
      <c r="A741" s="799" t="s">
        <v>411</v>
      </c>
    </row>
    <row r="742" spans="1:2">
      <c r="A742" s="557">
        <f>UWert!C123</f>
        <v>0</v>
      </c>
      <c r="B742" t="s">
        <v>412</v>
      </c>
    </row>
    <row r="743" spans="1:2">
      <c r="A743" s="557">
        <f>INDEX(Bauteile!$C$36:$C$50,UWert!BA124,1)</f>
        <v>0</v>
      </c>
      <c r="B743" t="s">
        <v>414</v>
      </c>
    </row>
    <row r="744" spans="1:2">
      <c r="A744" s="800" t="str">
        <f>UWert!$F$123</f>
        <v/>
      </c>
      <c r="B744" t="s">
        <v>413</v>
      </c>
    </row>
    <row r="745" spans="1:2">
      <c r="A745" s="804">
        <f>UWert!BK23</f>
        <v>1</v>
      </c>
      <c r="B745" t="s">
        <v>2393</v>
      </c>
    </row>
    <row r="746" spans="1:2">
      <c r="A746" s="799" t="s">
        <v>415</v>
      </c>
    </row>
    <row r="747" spans="1:2">
      <c r="A747" s="557">
        <f>UWert!$K$123</f>
        <v>0</v>
      </c>
      <c r="B747" t="s">
        <v>416</v>
      </c>
    </row>
    <row r="748" spans="1:2">
      <c r="A748" s="557">
        <f>INDEX(Bauteile!$C$36:$C$50,UWert!BB124,1)</f>
        <v>0</v>
      </c>
      <c r="B748" t="s">
        <v>414</v>
      </c>
    </row>
    <row r="749" spans="1:2">
      <c r="A749" s="800" t="str">
        <f>UWert!$N$123</f>
        <v/>
      </c>
      <c r="B749" t="s">
        <v>413</v>
      </c>
    </row>
    <row r="750" spans="1:2">
      <c r="A750" s="804">
        <f>UWert!BK24</f>
        <v>1</v>
      </c>
      <c r="B750" t="s">
        <v>2394</v>
      </c>
    </row>
    <row r="751" spans="1:2">
      <c r="A751" s="799" t="s">
        <v>63</v>
      </c>
    </row>
    <row r="752" spans="1:2">
      <c r="A752" s="557">
        <f>UWert!$C$128</f>
        <v>0</v>
      </c>
      <c r="B752" t="s">
        <v>417</v>
      </c>
    </row>
    <row r="753" spans="1:2">
      <c r="A753" s="557">
        <f>INDEX(Bauteile!$M$280:$M$282,UWert!BA136,1)</f>
        <v>0</v>
      </c>
      <c r="B753" t="s">
        <v>1134</v>
      </c>
    </row>
    <row r="754" spans="1:2">
      <c r="A754" s="557">
        <f>INDEX(Bauteile!$B$57:$B$1152,UWert!BA137,1)</f>
        <v>0</v>
      </c>
      <c r="B754" t="s">
        <v>1591</v>
      </c>
    </row>
    <row r="755" spans="1:2">
      <c r="A755" s="557">
        <f>INDEX(Bauteile!$B$57:$B$1152,UWert!BA138,1)</f>
        <v>0</v>
      </c>
      <c r="B755" t="s">
        <v>1592</v>
      </c>
    </row>
    <row r="756" spans="1:2">
      <c r="A756" s="557">
        <f>INDEX(Bauteile!$B$57:$B$1152,UWert!BA139,1)</f>
        <v>0</v>
      </c>
      <c r="B756" t="s">
        <v>1593</v>
      </c>
    </row>
    <row r="757" spans="1:2">
      <c r="A757" s="557">
        <f>INDEX(Bauteile!$B$57:$B$1152,UWert!BA140,1)</f>
        <v>0</v>
      </c>
      <c r="B757" t="s">
        <v>1594</v>
      </c>
    </row>
    <row r="758" spans="1:2">
      <c r="A758" s="557">
        <f>INDEX(Bauteile!$B$57:$B$1152,UWert!BA141,1)</f>
        <v>0</v>
      </c>
      <c r="B758" t="s">
        <v>1595</v>
      </c>
    </row>
    <row r="759" spans="1:2">
      <c r="A759" s="557">
        <f>INDEX(Bauteile!$B$57:$B$1152,UWert!BA142,1)</f>
        <v>0</v>
      </c>
      <c r="B759" t="s">
        <v>1131</v>
      </c>
    </row>
    <row r="760" spans="1:2">
      <c r="A760" s="557">
        <f>INDEX(Bauteile!$B$57:$B$1152,UWert!BA143,1)</f>
        <v>0</v>
      </c>
      <c r="B760" t="s">
        <v>1132</v>
      </c>
    </row>
    <row r="761" spans="1:2">
      <c r="A761" s="557">
        <f>INDEX(Bauteile!$L$284:$L$296,UWert!BA144,1)</f>
        <v>0</v>
      </c>
      <c r="B761" t="s">
        <v>1138</v>
      </c>
    </row>
    <row r="762" spans="1:2">
      <c r="A762" s="557">
        <f>INDEX(Bauteile!$M$280:$M$282,UWert!BA145,1)</f>
        <v>0</v>
      </c>
      <c r="B762" t="s">
        <v>1135</v>
      </c>
    </row>
    <row r="763" spans="1:2">
      <c r="A763" s="557">
        <f>UWert!$G136</f>
        <v>0</v>
      </c>
      <c r="B763" t="s">
        <v>151</v>
      </c>
    </row>
    <row r="764" spans="1:2">
      <c r="A764" s="557">
        <f>UWert!$G137</f>
        <v>0</v>
      </c>
      <c r="B764" t="s">
        <v>1139</v>
      </c>
    </row>
    <row r="765" spans="1:2">
      <c r="A765" s="557">
        <f>UWert!$G138</f>
        <v>0</v>
      </c>
      <c r="B765" t="s">
        <v>2349</v>
      </c>
    </row>
    <row r="766" spans="1:2">
      <c r="A766" s="557">
        <f>UWert!$G139</f>
        <v>0</v>
      </c>
      <c r="B766" t="s">
        <v>2350</v>
      </c>
    </row>
    <row r="767" spans="1:2">
      <c r="A767" s="557">
        <f>UWert!$G140</f>
        <v>0</v>
      </c>
      <c r="B767" t="s">
        <v>2351</v>
      </c>
    </row>
    <row r="768" spans="1:2">
      <c r="A768" s="557">
        <f>UWert!$G141</f>
        <v>0</v>
      </c>
      <c r="B768" t="s">
        <v>2352</v>
      </c>
    </row>
    <row r="769" spans="1:2">
      <c r="A769" s="557">
        <f>UWert!$G142</f>
        <v>0</v>
      </c>
      <c r="B769" t="s">
        <v>2353</v>
      </c>
    </row>
    <row r="770" spans="1:2">
      <c r="A770" s="557">
        <f>UWert!$G143</f>
        <v>0</v>
      </c>
      <c r="B770" t="s">
        <v>2354</v>
      </c>
    </row>
    <row r="771" spans="1:2">
      <c r="A771" s="557">
        <f>UWert!$G144</f>
        <v>0</v>
      </c>
      <c r="B771" t="s">
        <v>285</v>
      </c>
    </row>
    <row r="772" spans="1:2">
      <c r="A772" s="557">
        <f>UWert!$G145</f>
        <v>0</v>
      </c>
      <c r="B772" t="s">
        <v>286</v>
      </c>
    </row>
    <row r="773" spans="1:2">
      <c r="A773" s="557">
        <f>UWert!$F137/100</f>
        <v>0</v>
      </c>
      <c r="B773" t="s">
        <v>278</v>
      </c>
    </row>
    <row r="774" spans="1:2">
      <c r="A774" s="557">
        <f>UWert!$F138/100</f>
        <v>0</v>
      </c>
      <c r="B774" t="s">
        <v>279</v>
      </c>
    </row>
    <row r="775" spans="1:2">
      <c r="A775" s="557">
        <f>UWert!$F139/100</f>
        <v>0</v>
      </c>
      <c r="B775" t="s">
        <v>280</v>
      </c>
    </row>
    <row r="776" spans="1:2">
      <c r="A776" s="557">
        <f>UWert!$F140/100</f>
        <v>0</v>
      </c>
      <c r="B776" t="s">
        <v>281</v>
      </c>
    </row>
    <row r="777" spans="1:2">
      <c r="A777" s="557">
        <f>UWert!$F141/100</f>
        <v>0</v>
      </c>
      <c r="B777" t="s">
        <v>282</v>
      </c>
    </row>
    <row r="778" spans="1:2">
      <c r="A778" s="557">
        <f>UWert!$F142/100</f>
        <v>0</v>
      </c>
      <c r="B778" t="s">
        <v>283</v>
      </c>
    </row>
    <row r="779" spans="1:2">
      <c r="A779" s="557">
        <f>UWert!$F143/100</f>
        <v>0</v>
      </c>
      <c r="B779" t="s">
        <v>284</v>
      </c>
    </row>
    <row r="780" spans="1:2">
      <c r="A780" s="557">
        <f>INDEX(Bauteile!$G$57:$G$1152,UWert!BA137,1)</f>
        <v>0</v>
      </c>
      <c r="B780" t="s">
        <v>949</v>
      </c>
    </row>
    <row r="781" spans="1:2">
      <c r="A781" s="557">
        <f>INDEX(Bauteile!$G$57:$G$1152,UWert!BA138,1)</f>
        <v>0</v>
      </c>
      <c r="B781" t="s">
        <v>405</v>
      </c>
    </row>
    <row r="782" spans="1:2">
      <c r="A782" s="557">
        <f>INDEX(Bauteile!$G$57:$G$1152,UWert!BA139,1)</f>
        <v>0</v>
      </c>
      <c r="B782" t="s">
        <v>406</v>
      </c>
    </row>
    <row r="783" spans="1:2">
      <c r="A783" s="557">
        <f>INDEX(Bauteile!$G$57:$G$1152,UWert!BA140,1)</f>
        <v>0</v>
      </c>
      <c r="B783" t="s">
        <v>407</v>
      </c>
    </row>
    <row r="784" spans="1:2">
      <c r="A784" s="557">
        <f>INDEX(Bauteile!$G$57:$G$1152,UWert!BA141,1)</f>
        <v>0</v>
      </c>
      <c r="B784" t="s">
        <v>408</v>
      </c>
    </row>
    <row r="785" spans="1:2">
      <c r="A785" s="557">
        <f>INDEX(Bauteile!$G$57:$G$1152,UWert!BA142,1)</f>
        <v>0</v>
      </c>
      <c r="B785" t="s">
        <v>409</v>
      </c>
    </row>
    <row r="786" spans="1:2">
      <c r="A786" s="557">
        <f>INDEX(Bauteile!$G$57:$G$1152,UWert!BA143,1)</f>
        <v>0</v>
      </c>
      <c r="B786" t="s">
        <v>410</v>
      </c>
    </row>
    <row r="787" spans="1:2">
      <c r="A787" s="557">
        <f>UWert!D134</f>
        <v>0</v>
      </c>
      <c r="B787" t="s">
        <v>66</v>
      </c>
    </row>
    <row r="788" spans="1:2">
      <c r="A788" s="799" t="s">
        <v>64</v>
      </c>
    </row>
    <row r="789" spans="1:2">
      <c r="A789" s="557">
        <f>INDEX(Bauteile!$M$280:$M$282,UWert!BB136,1)</f>
        <v>0</v>
      </c>
      <c r="B789" t="s">
        <v>1134</v>
      </c>
    </row>
    <row r="790" spans="1:2">
      <c r="A790" s="557">
        <f>INDEX(Bauteile!$B$57:$B$1152,UWert!BB137,1)</f>
        <v>0</v>
      </c>
      <c r="B790" t="s">
        <v>1591</v>
      </c>
    </row>
    <row r="791" spans="1:2">
      <c r="A791" s="557">
        <f>INDEX(Bauteile!$B$57:$B$1152,UWert!BB138,1)</f>
        <v>0</v>
      </c>
      <c r="B791" t="s">
        <v>1592</v>
      </c>
    </row>
    <row r="792" spans="1:2">
      <c r="A792" s="557">
        <f>INDEX(Bauteile!$B$57:$B$1152,UWert!BB139,1)</f>
        <v>0</v>
      </c>
      <c r="B792" t="s">
        <v>1593</v>
      </c>
    </row>
    <row r="793" spans="1:2">
      <c r="A793" s="557">
        <f>INDEX(Bauteile!$B$57:$B$1152,UWert!BB140,1)</f>
        <v>0</v>
      </c>
      <c r="B793" t="s">
        <v>1594</v>
      </c>
    </row>
    <row r="794" spans="1:2">
      <c r="A794" s="557">
        <f>INDEX(Bauteile!$B$57:$B$1152,UWert!BB141,1)</f>
        <v>0</v>
      </c>
      <c r="B794" t="s">
        <v>1595</v>
      </c>
    </row>
    <row r="795" spans="1:2">
      <c r="A795" s="557">
        <f>INDEX(Bauteile!$B$57:$B$1152,UWert!BB142,1)</f>
        <v>0</v>
      </c>
      <c r="B795" t="s">
        <v>1131</v>
      </c>
    </row>
    <row r="796" spans="1:2">
      <c r="A796" s="557">
        <f>INDEX(Bauteile!$B$57:$B$1152,UWert!BB143,1)</f>
        <v>0</v>
      </c>
      <c r="B796" t="s">
        <v>1132</v>
      </c>
    </row>
    <row r="797" spans="1:2">
      <c r="A797" s="557">
        <f>INDEX(Bauteile!$L$284:$L$296,UWert!BB144,1)</f>
        <v>0</v>
      </c>
      <c r="B797" t="s">
        <v>1138</v>
      </c>
    </row>
    <row r="798" spans="1:2">
      <c r="A798" s="557">
        <f>INDEX(Bauteile!$M$280:$M$282,UWert!BB145,1)</f>
        <v>0</v>
      </c>
      <c r="B798" t="s">
        <v>1135</v>
      </c>
    </row>
    <row r="799" spans="1:2">
      <c r="A799" s="557">
        <f>UWert!$O136</f>
        <v>0</v>
      </c>
      <c r="B799" t="s">
        <v>151</v>
      </c>
    </row>
    <row r="800" spans="1:2">
      <c r="A800" s="557">
        <f>UWert!$O137</f>
        <v>0</v>
      </c>
      <c r="B800" t="s">
        <v>1139</v>
      </c>
    </row>
    <row r="801" spans="1:2">
      <c r="A801" s="557">
        <f>UWert!$O138</f>
        <v>0</v>
      </c>
      <c r="B801" t="s">
        <v>2349</v>
      </c>
    </row>
    <row r="802" spans="1:2">
      <c r="A802" s="557">
        <f>UWert!$O139</f>
        <v>0</v>
      </c>
      <c r="B802" t="s">
        <v>2350</v>
      </c>
    </row>
    <row r="803" spans="1:2">
      <c r="A803" s="557">
        <f>UWert!$O140</f>
        <v>0</v>
      </c>
      <c r="B803" t="s">
        <v>2351</v>
      </c>
    </row>
    <row r="804" spans="1:2">
      <c r="A804" s="557">
        <f>UWert!$O141</f>
        <v>0</v>
      </c>
      <c r="B804" t="s">
        <v>2352</v>
      </c>
    </row>
    <row r="805" spans="1:2">
      <c r="A805" s="557">
        <f>UWert!$O142</f>
        <v>0</v>
      </c>
      <c r="B805" t="s">
        <v>2353</v>
      </c>
    </row>
    <row r="806" spans="1:2">
      <c r="A806" s="557">
        <f>UWert!$O143</f>
        <v>0</v>
      </c>
      <c r="B806" t="s">
        <v>2354</v>
      </c>
    </row>
    <row r="807" spans="1:2">
      <c r="A807" s="557">
        <f>UWert!$O144</f>
        <v>0</v>
      </c>
      <c r="B807" t="s">
        <v>285</v>
      </c>
    </row>
    <row r="808" spans="1:2">
      <c r="A808" s="557">
        <f>UWert!$O145</f>
        <v>0</v>
      </c>
      <c r="B808" t="s">
        <v>286</v>
      </c>
    </row>
    <row r="809" spans="1:2">
      <c r="A809" s="557">
        <f>UWert!N137/100</f>
        <v>0</v>
      </c>
      <c r="B809" t="s">
        <v>278</v>
      </c>
    </row>
    <row r="810" spans="1:2">
      <c r="A810" s="557">
        <f>UWert!N138/100</f>
        <v>0</v>
      </c>
      <c r="B810" t="s">
        <v>279</v>
      </c>
    </row>
    <row r="811" spans="1:2">
      <c r="A811" s="557">
        <f>UWert!N139/100</f>
        <v>0</v>
      </c>
      <c r="B811" t="s">
        <v>280</v>
      </c>
    </row>
    <row r="812" spans="1:2">
      <c r="A812" s="557">
        <f>UWert!N140/100</f>
        <v>0</v>
      </c>
      <c r="B812" t="s">
        <v>281</v>
      </c>
    </row>
    <row r="813" spans="1:2">
      <c r="A813" s="557">
        <f>UWert!N141/100</f>
        <v>0</v>
      </c>
      <c r="B813" t="s">
        <v>282</v>
      </c>
    </row>
    <row r="814" spans="1:2">
      <c r="A814" s="557">
        <f>UWert!N142/100</f>
        <v>0</v>
      </c>
      <c r="B814" t="s">
        <v>283</v>
      </c>
    </row>
    <row r="815" spans="1:2">
      <c r="A815" s="557">
        <f>UWert!N143/100</f>
        <v>0</v>
      </c>
      <c r="B815" t="s">
        <v>284</v>
      </c>
    </row>
    <row r="816" spans="1:2">
      <c r="A816" s="557">
        <f>INDEX(Bauteile!$G$57:$G$1152,UWert!BB137,1)</f>
        <v>0</v>
      </c>
      <c r="B816" t="s">
        <v>949</v>
      </c>
    </row>
    <row r="817" spans="1:2">
      <c r="A817" s="557">
        <f>INDEX(Bauteile!$G$57:$G$1152,UWert!BB138,1)</f>
        <v>0</v>
      </c>
      <c r="B817" t="s">
        <v>405</v>
      </c>
    </row>
    <row r="818" spans="1:2">
      <c r="A818" s="557">
        <f>INDEX(Bauteile!$G$57:$G$1152,UWert!BB139,1)</f>
        <v>0</v>
      </c>
      <c r="B818" t="s">
        <v>406</v>
      </c>
    </row>
    <row r="819" spans="1:2">
      <c r="A819" s="557">
        <f>INDEX(Bauteile!$G$57:$G$1152,UWert!BB140,1)</f>
        <v>0</v>
      </c>
      <c r="B819" t="s">
        <v>407</v>
      </c>
    </row>
    <row r="820" spans="1:2">
      <c r="A820" s="557">
        <f>INDEX(Bauteile!$G$57:$G$1152,UWert!BB141,1)</f>
        <v>0</v>
      </c>
      <c r="B820" t="s">
        <v>408</v>
      </c>
    </row>
    <row r="821" spans="1:2">
      <c r="A821" s="557">
        <f>INDEX(Bauteile!$G$57:$G$1152,UWert!BB142,1)</f>
        <v>0</v>
      </c>
      <c r="B821" t="s">
        <v>409</v>
      </c>
    </row>
    <row r="822" spans="1:2">
      <c r="A822" s="557">
        <f>INDEX(Bauteile!$G$57:$G$1152,UWert!BB143,1)</f>
        <v>0</v>
      </c>
      <c r="B822" t="s">
        <v>410</v>
      </c>
    </row>
    <row r="823" spans="1:2">
      <c r="A823" s="800" t="str">
        <f>UWert!F128</f>
        <v/>
      </c>
      <c r="B823" t="s">
        <v>65</v>
      </c>
    </row>
    <row r="824" spans="1:2">
      <c r="A824" s="804">
        <f>UWert!BK25</f>
        <v>1</v>
      </c>
      <c r="B824" t="s">
        <v>2400</v>
      </c>
    </row>
    <row r="825" spans="1:2">
      <c r="A825" s="799" t="s">
        <v>1746</v>
      </c>
    </row>
    <row r="826" spans="1:2">
      <c r="A826" s="557">
        <f>UWert!C148</f>
        <v>0</v>
      </c>
      <c r="B826" t="s">
        <v>67</v>
      </c>
    </row>
    <row r="827" spans="1:2">
      <c r="A827" s="557">
        <f>UWert!C165</f>
        <v>0</v>
      </c>
      <c r="B827" t="s">
        <v>69</v>
      </c>
    </row>
    <row r="828" spans="1:2">
      <c r="A828" s="557">
        <f>UWert!C185</f>
        <v>0</v>
      </c>
      <c r="B828" t="s">
        <v>71</v>
      </c>
    </row>
    <row r="829" spans="1:2">
      <c r="A829" s="557">
        <f>UWert!C186</f>
        <v>0</v>
      </c>
      <c r="B829" t="s">
        <v>73</v>
      </c>
    </row>
    <row r="830" spans="1:2">
      <c r="A830" s="557">
        <f>UWert!C187</f>
        <v>0</v>
      </c>
      <c r="B830" t="s">
        <v>287</v>
      </c>
    </row>
    <row r="831" spans="1:2">
      <c r="A831" s="557">
        <f>UWert!C188</f>
        <v>0</v>
      </c>
      <c r="B831" t="s">
        <v>289</v>
      </c>
    </row>
    <row r="832" spans="1:2">
      <c r="A832" s="557">
        <f>UWert!C189</f>
        <v>0</v>
      </c>
      <c r="B832" t="s">
        <v>291</v>
      </c>
    </row>
    <row r="833" spans="1:2">
      <c r="A833" s="557">
        <f>UWert!K185</f>
        <v>0</v>
      </c>
      <c r="B833" t="s">
        <v>1905</v>
      </c>
    </row>
    <row r="834" spans="1:2">
      <c r="A834" s="557">
        <f>UWert!K186</f>
        <v>0</v>
      </c>
      <c r="B834" t="s">
        <v>1907</v>
      </c>
    </row>
    <row r="835" spans="1:2">
      <c r="A835" s="557">
        <f>UWert!K187</f>
        <v>0</v>
      </c>
      <c r="B835" t="s">
        <v>1909</v>
      </c>
    </row>
    <row r="836" spans="1:2">
      <c r="A836" s="557">
        <f>UWert!K188</f>
        <v>0</v>
      </c>
      <c r="B836" t="s">
        <v>295</v>
      </c>
    </row>
    <row r="837" spans="1:2">
      <c r="A837" s="557">
        <f>UWert!K189</f>
        <v>0</v>
      </c>
      <c r="B837" t="s">
        <v>1078</v>
      </c>
    </row>
    <row r="838" spans="1:2">
      <c r="A838" s="557" t="str">
        <f>UWert!F184</f>
        <v/>
      </c>
      <c r="B838" t="s">
        <v>68</v>
      </c>
    </row>
    <row r="839" spans="1:2">
      <c r="A839" s="557" t="str">
        <f>UWert!N184</f>
        <v/>
      </c>
      <c r="B839" t="s">
        <v>70</v>
      </c>
    </row>
    <row r="840" spans="1:2">
      <c r="A840" s="557">
        <f>UWert!F185</f>
        <v>0</v>
      </c>
      <c r="B840" t="s">
        <v>72</v>
      </c>
    </row>
    <row r="841" spans="1:2">
      <c r="A841" s="557">
        <f>UWert!F186</f>
        <v>0</v>
      </c>
      <c r="B841" t="s">
        <v>74</v>
      </c>
    </row>
    <row r="842" spans="1:2">
      <c r="A842" s="557">
        <f>UWert!F187</f>
        <v>0</v>
      </c>
      <c r="B842" t="s">
        <v>288</v>
      </c>
    </row>
    <row r="843" spans="1:2">
      <c r="A843" s="557">
        <f>UWert!F188</f>
        <v>0</v>
      </c>
      <c r="B843" t="s">
        <v>290</v>
      </c>
    </row>
    <row r="844" spans="1:2">
      <c r="A844" s="557">
        <f>UWert!F189</f>
        <v>0</v>
      </c>
      <c r="B844" t="s">
        <v>292</v>
      </c>
    </row>
    <row r="845" spans="1:2">
      <c r="A845" s="557">
        <f>UWert!N185</f>
        <v>0</v>
      </c>
      <c r="B845" t="s">
        <v>1906</v>
      </c>
    </row>
    <row r="846" spans="1:2">
      <c r="A846" s="557">
        <f>UWert!N186</f>
        <v>0</v>
      </c>
      <c r="B846" t="s">
        <v>1908</v>
      </c>
    </row>
    <row r="847" spans="1:2">
      <c r="A847" s="557">
        <f>UWert!N187</f>
        <v>0</v>
      </c>
      <c r="B847" t="s">
        <v>294</v>
      </c>
    </row>
    <row r="848" spans="1:2">
      <c r="A848" s="557">
        <f>UWert!N188</f>
        <v>0</v>
      </c>
      <c r="B848" t="s">
        <v>296</v>
      </c>
    </row>
    <row r="849" spans="1:2">
      <c r="A849" s="557">
        <f>UWert!N189</f>
        <v>0</v>
      </c>
      <c r="B849" t="s">
        <v>304</v>
      </c>
    </row>
    <row r="850" spans="1:2">
      <c r="A850" s="804">
        <f>UWert!BK26</f>
        <v>1</v>
      </c>
      <c r="B850" t="s">
        <v>2405</v>
      </c>
    </row>
    <row r="851" spans="1:2">
      <c r="A851" s="804">
        <f>UWert!BK27</f>
        <v>1</v>
      </c>
      <c r="B851" t="s">
        <v>1488</v>
      </c>
    </row>
    <row r="852" spans="1:2">
      <c r="A852" s="804">
        <f>UWert!BK28</f>
        <v>1</v>
      </c>
      <c r="B852" t="s">
        <v>1489</v>
      </c>
    </row>
    <row r="853" spans="1:2">
      <c r="A853" s="804">
        <f>UWert!BK29</f>
        <v>1</v>
      </c>
      <c r="B853" t="s">
        <v>1490</v>
      </c>
    </row>
    <row r="854" spans="1:2">
      <c r="A854" s="804">
        <f>UWert!BK30</f>
        <v>1</v>
      </c>
      <c r="B854" t="s">
        <v>1491</v>
      </c>
    </row>
    <row r="855" spans="1:2">
      <c r="A855" s="804">
        <f>UWert!BK31</f>
        <v>1</v>
      </c>
      <c r="B855" t="s">
        <v>1492</v>
      </c>
    </row>
    <row r="856" spans="1:2">
      <c r="A856" s="804">
        <f>UWert!BK32</f>
        <v>1</v>
      </c>
      <c r="B856" t="s">
        <v>1493</v>
      </c>
    </row>
    <row r="857" spans="1:2">
      <c r="A857" s="804">
        <f>UWert!BK33</f>
        <v>1</v>
      </c>
      <c r="B857" t="s">
        <v>2183</v>
      </c>
    </row>
    <row r="858" spans="1:2">
      <c r="A858" s="804">
        <f>UWert!BK34</f>
        <v>1</v>
      </c>
      <c r="B858" t="s">
        <v>2184</v>
      </c>
    </row>
    <row r="859" spans="1:2">
      <c r="A859" s="804">
        <f>UWert!BK35</f>
        <v>1</v>
      </c>
      <c r="B859" t="s">
        <v>2185</v>
      </c>
    </row>
    <row r="860" spans="1:2">
      <c r="A860" s="804">
        <f>UWert!BK36</f>
        <v>1</v>
      </c>
      <c r="B860" t="s">
        <v>1445</v>
      </c>
    </row>
    <row r="861" spans="1:2">
      <c r="A861" s="804">
        <f>UWert!BK37</f>
        <v>1</v>
      </c>
      <c r="B861" t="s">
        <v>1446</v>
      </c>
    </row>
    <row r="862" spans="1:2">
      <c r="A862" s="799" t="s">
        <v>1501</v>
      </c>
    </row>
    <row r="863" spans="1:2">
      <c r="A863" s="557">
        <f>UWert!C194</f>
        <v>0</v>
      </c>
      <c r="B863" t="s">
        <v>1502</v>
      </c>
    </row>
    <row r="864" spans="1:2">
      <c r="A864" s="557">
        <f>MAX(UWert!F195:F206)</f>
        <v>0</v>
      </c>
      <c r="B864" t="s">
        <v>1741</v>
      </c>
    </row>
    <row r="865" spans="1:2">
      <c r="A865" s="557">
        <f>MIN(UWert!H195:H206)</f>
        <v>0</v>
      </c>
      <c r="B865" t="s">
        <v>1742</v>
      </c>
    </row>
    <row r="866" spans="1:2">
      <c r="A866" s="557">
        <v>1</v>
      </c>
      <c r="B866" t="s">
        <v>2401</v>
      </c>
    </row>
    <row r="867" spans="1:2">
      <c r="A867" s="799" t="s">
        <v>1743</v>
      </c>
    </row>
    <row r="868" spans="1:2">
      <c r="A868" s="557">
        <f>UWert!K194</f>
        <v>0</v>
      </c>
      <c r="B868" t="s">
        <v>1502</v>
      </c>
    </row>
    <row r="869" spans="1:2">
      <c r="A869" s="557">
        <f>MAX(UWert!N195:N206)</f>
        <v>0</v>
      </c>
      <c r="B869" t="s">
        <v>1741</v>
      </c>
    </row>
    <row r="870" spans="1:2">
      <c r="A870" s="557">
        <f>MIN(UWert!P195:P206)</f>
        <v>0</v>
      </c>
      <c r="B870" t="s">
        <v>1742</v>
      </c>
    </row>
    <row r="871" spans="1:2">
      <c r="A871" s="557">
        <v>1</v>
      </c>
      <c r="B871" t="s">
        <v>2402</v>
      </c>
    </row>
    <row r="872" spans="1:2">
      <c r="A872" s="799" t="s">
        <v>1744</v>
      </c>
    </row>
    <row r="873" spans="1:2">
      <c r="A873" s="557">
        <f>UWert!C208</f>
        <v>0</v>
      </c>
      <c r="B873" t="s">
        <v>1502</v>
      </c>
    </row>
    <row r="874" spans="1:2">
      <c r="A874" s="557">
        <f>MAX(UWert!F209:F220)</f>
        <v>0</v>
      </c>
      <c r="B874" t="s">
        <v>1741</v>
      </c>
    </row>
    <row r="875" spans="1:2">
      <c r="A875" s="557">
        <f>MIN(UWert!H209:H220)</f>
        <v>0</v>
      </c>
      <c r="B875" t="s">
        <v>1742</v>
      </c>
    </row>
    <row r="876" spans="1:2">
      <c r="A876" s="557">
        <v>1</v>
      </c>
      <c r="B876" t="s">
        <v>2403</v>
      </c>
    </row>
    <row r="877" spans="1:2">
      <c r="A877" s="799" t="s">
        <v>1745</v>
      </c>
    </row>
    <row r="878" spans="1:2">
      <c r="A878" s="557">
        <f>UWert!K208</f>
        <v>0</v>
      </c>
      <c r="B878" t="s">
        <v>1502</v>
      </c>
    </row>
    <row r="879" spans="1:2">
      <c r="A879" s="557">
        <f>MAX(UWert!N209:N220)</f>
        <v>0</v>
      </c>
      <c r="B879" t="s">
        <v>1741</v>
      </c>
    </row>
    <row r="880" spans="1:2">
      <c r="A880" s="557">
        <f>MIN(UWert!P209:P220)</f>
        <v>0</v>
      </c>
      <c r="B880" t="s">
        <v>1742</v>
      </c>
    </row>
    <row r="881" spans="1:2">
      <c r="A881" s="557">
        <v>1</v>
      </c>
      <c r="B881" t="s">
        <v>2404</v>
      </c>
    </row>
    <row r="882" spans="1:2">
      <c r="A882" s="799" t="s">
        <v>311</v>
      </c>
    </row>
    <row r="883" spans="1:2">
      <c r="A883" s="557">
        <f>UWert!C148</f>
        <v>0</v>
      </c>
      <c r="B883" t="s">
        <v>313</v>
      </c>
    </row>
    <row r="884" spans="1:2">
      <c r="A884" s="557">
        <f>INDEX(Bauteile!$M$280:$M$282,UWert!BA153,1)</f>
        <v>0</v>
      </c>
      <c r="B884" t="s">
        <v>1134</v>
      </c>
    </row>
    <row r="885" spans="1:2">
      <c r="A885" s="557">
        <f>INDEX(Bauteile!$B$57:$B$1152,UWert!BA154,1)</f>
        <v>0</v>
      </c>
      <c r="B885" t="s">
        <v>1591</v>
      </c>
    </row>
    <row r="886" spans="1:2">
      <c r="A886" s="557">
        <f>INDEX(Bauteile!$B$57:$B$1152,UWert!BA155,1)</f>
        <v>0</v>
      </c>
      <c r="B886" t="s">
        <v>1592</v>
      </c>
    </row>
    <row r="887" spans="1:2">
      <c r="A887" s="557">
        <f>INDEX(Bauteile!$B$57:$B$1152,UWert!BA156,1)</f>
        <v>0</v>
      </c>
      <c r="B887" t="s">
        <v>1593</v>
      </c>
    </row>
    <row r="888" spans="1:2">
      <c r="A888" s="557">
        <f>INDEX(Bauteile!$B$57:$B$1152,UWert!BA157,1)</f>
        <v>0</v>
      </c>
      <c r="B888" t="s">
        <v>1594</v>
      </c>
    </row>
    <row r="889" spans="1:2">
      <c r="A889" s="557">
        <f>INDEX(Bauteile!$B$57:$B$1152,UWert!BA158,1)</f>
        <v>0</v>
      </c>
      <c r="B889" t="s">
        <v>1595</v>
      </c>
    </row>
    <row r="890" spans="1:2">
      <c r="A890" s="557">
        <f>INDEX(Bauteile!$B$57:$B$1152,UWert!BA159,1)</f>
        <v>0</v>
      </c>
      <c r="B890" t="s">
        <v>1131</v>
      </c>
    </row>
    <row r="891" spans="1:2">
      <c r="A891" s="557">
        <f>INDEX(Bauteile!$B$57:$B$1152,UWert!BA160,1)</f>
        <v>0</v>
      </c>
      <c r="B891" t="s">
        <v>1132</v>
      </c>
    </row>
    <row r="892" spans="1:2">
      <c r="A892" s="557">
        <f>INDEX(Bauteile!$L$284:$L$296,UWert!BA161,1)</f>
        <v>0</v>
      </c>
      <c r="B892" t="s">
        <v>1138</v>
      </c>
    </row>
    <row r="893" spans="1:2">
      <c r="A893" s="557">
        <f>INDEX(Bauteile!$M$280:$M$282,UWert!BA162,1)</f>
        <v>0</v>
      </c>
      <c r="B893" t="s">
        <v>1135</v>
      </c>
    </row>
    <row r="894" spans="1:2">
      <c r="A894" s="557">
        <f>UWert!$G153</f>
        <v>0</v>
      </c>
      <c r="B894" t="s">
        <v>151</v>
      </c>
    </row>
    <row r="895" spans="1:2">
      <c r="A895" s="557">
        <f>UWert!$G154</f>
        <v>0</v>
      </c>
      <c r="B895" t="s">
        <v>1139</v>
      </c>
    </row>
    <row r="896" spans="1:2">
      <c r="A896" s="557">
        <f>UWert!$G155</f>
        <v>0</v>
      </c>
      <c r="B896" t="s">
        <v>2349</v>
      </c>
    </row>
    <row r="897" spans="1:2">
      <c r="A897" s="557">
        <f>UWert!$G156</f>
        <v>0</v>
      </c>
      <c r="B897" t="s">
        <v>2350</v>
      </c>
    </row>
    <row r="898" spans="1:2">
      <c r="A898" s="557">
        <f>UWert!$G157</f>
        <v>0</v>
      </c>
      <c r="B898" t="s">
        <v>2351</v>
      </c>
    </row>
    <row r="899" spans="1:2">
      <c r="A899" s="557">
        <f>UWert!$G158</f>
        <v>0</v>
      </c>
      <c r="B899" t="s">
        <v>2352</v>
      </c>
    </row>
    <row r="900" spans="1:2">
      <c r="A900" s="557">
        <f>UWert!$G159</f>
        <v>0</v>
      </c>
      <c r="B900" t="s">
        <v>2353</v>
      </c>
    </row>
    <row r="901" spans="1:2">
      <c r="A901" s="557">
        <f>UWert!$G160</f>
        <v>0</v>
      </c>
      <c r="B901" t="s">
        <v>2354</v>
      </c>
    </row>
    <row r="902" spans="1:2">
      <c r="A902" s="557">
        <f>UWert!$G161</f>
        <v>0</v>
      </c>
      <c r="B902" t="s">
        <v>285</v>
      </c>
    </row>
    <row r="903" spans="1:2">
      <c r="A903" s="557">
        <f>UWert!$G162</f>
        <v>0</v>
      </c>
      <c r="B903" t="s">
        <v>286</v>
      </c>
    </row>
    <row r="904" spans="1:2">
      <c r="A904" s="557">
        <f>UWert!$F154/100</f>
        <v>0</v>
      </c>
      <c r="B904" t="s">
        <v>278</v>
      </c>
    </row>
    <row r="905" spans="1:2">
      <c r="A905" s="557">
        <f>UWert!$F155/100</f>
        <v>0</v>
      </c>
      <c r="B905" t="s">
        <v>279</v>
      </c>
    </row>
    <row r="906" spans="1:2">
      <c r="A906" s="557">
        <f>UWert!$F156/100</f>
        <v>0</v>
      </c>
      <c r="B906" t="s">
        <v>280</v>
      </c>
    </row>
    <row r="907" spans="1:2">
      <c r="A907" s="557">
        <f>UWert!$F157/100</f>
        <v>0</v>
      </c>
      <c r="B907" t="s">
        <v>281</v>
      </c>
    </row>
    <row r="908" spans="1:2">
      <c r="A908" s="557">
        <f>UWert!$F158/100</f>
        <v>0</v>
      </c>
      <c r="B908" t="s">
        <v>282</v>
      </c>
    </row>
    <row r="909" spans="1:2">
      <c r="A909" s="557">
        <f>UWert!$F159/100</f>
        <v>0</v>
      </c>
      <c r="B909" t="s">
        <v>283</v>
      </c>
    </row>
    <row r="910" spans="1:2">
      <c r="A910" s="557">
        <f>UWert!$F160/100</f>
        <v>0</v>
      </c>
      <c r="B910" t="s">
        <v>284</v>
      </c>
    </row>
    <row r="911" spans="1:2">
      <c r="A911" s="557">
        <f>INDEX(Bauteile!$G$57:$G$1152,UWert!BA154,1)</f>
        <v>0</v>
      </c>
      <c r="B911" t="s">
        <v>949</v>
      </c>
    </row>
    <row r="912" spans="1:2">
      <c r="A912" s="557">
        <f>INDEX(Bauteile!$G$57:$G$1152,UWert!BA155,1)</f>
        <v>0</v>
      </c>
      <c r="B912" t="s">
        <v>405</v>
      </c>
    </row>
    <row r="913" spans="1:2">
      <c r="A913" s="557">
        <f>INDEX(Bauteile!$G$57:$G$1152,UWert!BA156,1)</f>
        <v>0</v>
      </c>
      <c r="B913" t="s">
        <v>406</v>
      </c>
    </row>
    <row r="914" spans="1:2">
      <c r="A914" s="557">
        <f>INDEX(Bauteile!$G$57:$G$1152,UWert!BA157,1)</f>
        <v>0</v>
      </c>
      <c r="B914" t="s">
        <v>407</v>
      </c>
    </row>
    <row r="915" spans="1:2">
      <c r="A915" s="557">
        <f>INDEX(Bauteile!$G$57:$G$1152,UWert!BA158,1)</f>
        <v>0</v>
      </c>
      <c r="B915" t="s">
        <v>408</v>
      </c>
    </row>
    <row r="916" spans="1:2">
      <c r="A916" s="557">
        <f>INDEX(Bauteile!$G$57:$G$1152,UWert!BA159,1)</f>
        <v>0</v>
      </c>
      <c r="B916" t="s">
        <v>409</v>
      </c>
    </row>
    <row r="917" spans="1:2">
      <c r="A917" s="557">
        <f>INDEX(Bauteile!$G$57:$G$1152,UWert!BA160,1)</f>
        <v>0</v>
      </c>
      <c r="B917" t="s">
        <v>410</v>
      </c>
    </row>
    <row r="918" spans="1:2">
      <c r="A918" s="557">
        <f>UWert!D151</f>
        <v>0</v>
      </c>
      <c r="B918" t="s">
        <v>66</v>
      </c>
    </row>
    <row r="919" spans="1:2">
      <c r="A919" s="799" t="s">
        <v>312</v>
      </c>
    </row>
    <row r="920" spans="1:2">
      <c r="A920" s="557">
        <f>INDEX(Bauteile!$M$280:$M$282,UWert!BB153,1)</f>
        <v>0</v>
      </c>
      <c r="B920" t="s">
        <v>1134</v>
      </c>
    </row>
    <row r="921" spans="1:2">
      <c r="A921" s="557">
        <f>INDEX(Bauteile!$B$57:$B$1152,UWert!BB154,1)</f>
        <v>0</v>
      </c>
      <c r="B921" t="s">
        <v>1591</v>
      </c>
    </row>
    <row r="922" spans="1:2">
      <c r="A922" s="557">
        <f>INDEX(Bauteile!$B$57:$B$1152,UWert!BB155,1)</f>
        <v>0</v>
      </c>
      <c r="B922" t="s">
        <v>1592</v>
      </c>
    </row>
    <row r="923" spans="1:2">
      <c r="A923" s="557">
        <f>INDEX(Bauteile!$B$57:$B$1152,UWert!BB156,1)</f>
        <v>0</v>
      </c>
      <c r="B923" t="s">
        <v>1593</v>
      </c>
    </row>
    <row r="924" spans="1:2">
      <c r="A924" s="557">
        <f>INDEX(Bauteile!$B$57:$B$1152,UWert!BB157,1)</f>
        <v>0</v>
      </c>
      <c r="B924" t="s">
        <v>1594</v>
      </c>
    </row>
    <row r="925" spans="1:2">
      <c r="A925" s="557">
        <f>INDEX(Bauteile!$B$57:$B$1152,UWert!BB158,1)</f>
        <v>0</v>
      </c>
      <c r="B925" t="s">
        <v>1595</v>
      </c>
    </row>
    <row r="926" spans="1:2">
      <c r="A926" s="557">
        <f>INDEX(Bauteile!$B$57:$B$1152,UWert!BB159,1)</f>
        <v>0</v>
      </c>
      <c r="B926" t="s">
        <v>1131</v>
      </c>
    </row>
    <row r="927" spans="1:2">
      <c r="A927" s="557">
        <f>INDEX(Bauteile!$B$57:$B$1152,UWert!BB160,1)</f>
        <v>0</v>
      </c>
      <c r="B927" t="s">
        <v>1132</v>
      </c>
    </row>
    <row r="928" spans="1:2">
      <c r="A928" s="557">
        <f>INDEX(Bauteile!$L$284:$L$296,UWert!BB161,1)</f>
        <v>0</v>
      </c>
      <c r="B928" t="s">
        <v>1138</v>
      </c>
    </row>
    <row r="929" spans="1:2">
      <c r="A929" s="557">
        <f>INDEX(Bauteile!$M$280:$M$282,UWert!BB162,1)</f>
        <v>0</v>
      </c>
      <c r="B929" t="s">
        <v>1135</v>
      </c>
    </row>
    <row r="930" spans="1:2">
      <c r="A930" s="557">
        <f>UWert!O153</f>
        <v>0</v>
      </c>
      <c r="B930" t="s">
        <v>151</v>
      </c>
    </row>
    <row r="931" spans="1:2">
      <c r="A931" s="557">
        <f>UWert!O154</f>
        <v>0</v>
      </c>
      <c r="B931" t="s">
        <v>1139</v>
      </c>
    </row>
    <row r="932" spans="1:2">
      <c r="A932" s="557">
        <f>UWert!O155</f>
        <v>0</v>
      </c>
      <c r="B932" t="s">
        <v>2349</v>
      </c>
    </row>
    <row r="933" spans="1:2">
      <c r="A933" s="557">
        <f>UWert!O156</f>
        <v>0</v>
      </c>
      <c r="B933" t="s">
        <v>2350</v>
      </c>
    </row>
    <row r="934" spans="1:2">
      <c r="A934" s="557">
        <f>UWert!O157</f>
        <v>0</v>
      </c>
      <c r="B934" t="s">
        <v>2351</v>
      </c>
    </row>
    <row r="935" spans="1:2">
      <c r="A935" s="557">
        <f>UWert!O158</f>
        <v>0</v>
      </c>
      <c r="B935" t="s">
        <v>2352</v>
      </c>
    </row>
    <row r="936" spans="1:2">
      <c r="A936" s="557">
        <f>UWert!O159</f>
        <v>0</v>
      </c>
      <c r="B936" t="s">
        <v>2353</v>
      </c>
    </row>
    <row r="937" spans="1:2">
      <c r="A937" s="557">
        <f>UWert!O160</f>
        <v>0</v>
      </c>
      <c r="B937" t="s">
        <v>2354</v>
      </c>
    </row>
    <row r="938" spans="1:2">
      <c r="A938" s="557">
        <f>UWert!O161</f>
        <v>0</v>
      </c>
      <c r="B938" t="s">
        <v>285</v>
      </c>
    </row>
    <row r="939" spans="1:2">
      <c r="A939" s="557">
        <f>UWert!O162</f>
        <v>0</v>
      </c>
      <c r="B939" t="s">
        <v>286</v>
      </c>
    </row>
    <row r="940" spans="1:2">
      <c r="A940" s="557">
        <f>UWert!N154/100</f>
        <v>0</v>
      </c>
      <c r="B940" t="s">
        <v>278</v>
      </c>
    </row>
    <row r="941" spans="1:2">
      <c r="A941" s="557">
        <f>UWert!N155/100</f>
        <v>0</v>
      </c>
      <c r="B941" t="s">
        <v>279</v>
      </c>
    </row>
    <row r="942" spans="1:2">
      <c r="A942" s="557">
        <f>UWert!N156/100</f>
        <v>0</v>
      </c>
      <c r="B942" t="s">
        <v>280</v>
      </c>
    </row>
    <row r="943" spans="1:2">
      <c r="A943" s="557">
        <f>UWert!N157/100</f>
        <v>0</v>
      </c>
      <c r="B943" t="s">
        <v>281</v>
      </c>
    </row>
    <row r="944" spans="1:2">
      <c r="A944" s="557">
        <f>UWert!N158/100</f>
        <v>0</v>
      </c>
      <c r="B944" t="s">
        <v>282</v>
      </c>
    </row>
    <row r="945" spans="1:2">
      <c r="A945" s="557">
        <f>UWert!N159/100</f>
        <v>0</v>
      </c>
      <c r="B945" t="s">
        <v>283</v>
      </c>
    </row>
    <row r="946" spans="1:2">
      <c r="A946" s="557">
        <f>UWert!N160/100</f>
        <v>0</v>
      </c>
      <c r="B946" t="s">
        <v>284</v>
      </c>
    </row>
    <row r="947" spans="1:2">
      <c r="A947" s="557">
        <f>INDEX(Bauteile!$G$57:$G$1152,UWert!BB154,1)</f>
        <v>0</v>
      </c>
      <c r="B947" t="s">
        <v>949</v>
      </c>
    </row>
    <row r="948" spans="1:2">
      <c r="A948" s="557">
        <f>INDEX(Bauteile!$G$57:$G$1152,UWert!BB155,1)</f>
        <v>0</v>
      </c>
      <c r="B948" t="s">
        <v>405</v>
      </c>
    </row>
    <row r="949" spans="1:2">
      <c r="A949" s="557">
        <f>INDEX(Bauteile!$G$57:$G$1152,UWert!BB156,1)</f>
        <v>0</v>
      </c>
      <c r="B949" t="s">
        <v>406</v>
      </c>
    </row>
    <row r="950" spans="1:2">
      <c r="A950" s="557">
        <f>INDEX(Bauteile!$G$57:$G$1152,UWert!BB157,1)</f>
        <v>0</v>
      </c>
      <c r="B950" t="s">
        <v>407</v>
      </c>
    </row>
    <row r="951" spans="1:2">
      <c r="A951" s="557">
        <f>INDEX(Bauteile!$G$57:$G$1152,UWert!BB158,1)</f>
        <v>0</v>
      </c>
      <c r="B951" t="s">
        <v>408</v>
      </c>
    </row>
    <row r="952" spans="1:2">
      <c r="A952" s="557">
        <f>INDEX(Bauteile!$G$57:$G$1152,UWert!BB159,1)</f>
        <v>0</v>
      </c>
      <c r="B952" t="s">
        <v>409</v>
      </c>
    </row>
    <row r="953" spans="1:2">
      <c r="A953" s="557">
        <f>INDEX(Bauteile!$G$57:$G$1152,UWert!BB160,1)</f>
        <v>0</v>
      </c>
      <c r="B953" t="s">
        <v>410</v>
      </c>
    </row>
    <row r="954" spans="1:2">
      <c r="A954" s="800" t="str">
        <f>UWert!F148</f>
        <v/>
      </c>
      <c r="B954" t="s">
        <v>314</v>
      </c>
    </row>
    <row r="955" spans="1:2">
      <c r="A955" s="804">
        <f>UWert!D147</f>
        <v>0</v>
      </c>
      <c r="B955" t="s">
        <v>2405</v>
      </c>
    </row>
    <row r="956" spans="1:2">
      <c r="A956" s="799" t="s">
        <v>2202</v>
      </c>
    </row>
    <row r="957" spans="1:2">
      <c r="A957" s="557">
        <f>UWert!C165</f>
        <v>0</v>
      </c>
      <c r="B957" t="s">
        <v>315</v>
      </c>
    </row>
    <row r="958" spans="1:2">
      <c r="A958" s="557">
        <f>INDEX(Bauteile!$M$280:$M$282,UWert!BA170,1)</f>
        <v>0</v>
      </c>
      <c r="B958" t="s">
        <v>1134</v>
      </c>
    </row>
    <row r="959" spans="1:2">
      <c r="A959" s="557">
        <f>INDEX(Bauteile!$B$57:$B$1152,UWert!BA171,1)</f>
        <v>0</v>
      </c>
      <c r="B959" t="s">
        <v>1591</v>
      </c>
    </row>
    <row r="960" spans="1:2">
      <c r="A960" s="557">
        <f>INDEX(Bauteile!$B$57:$B$1152,UWert!BA172,1)</f>
        <v>0</v>
      </c>
      <c r="B960" t="s">
        <v>1592</v>
      </c>
    </row>
    <row r="961" spans="1:2">
      <c r="A961" s="557">
        <f>INDEX(Bauteile!$B$57:$B$1152,UWert!BA173,1)</f>
        <v>0</v>
      </c>
      <c r="B961" t="s">
        <v>1593</v>
      </c>
    </row>
    <row r="962" spans="1:2">
      <c r="A962" s="557">
        <f>INDEX(Bauteile!$B$57:$B$1152,UWert!BA174,1)</f>
        <v>0</v>
      </c>
      <c r="B962" t="s">
        <v>1594</v>
      </c>
    </row>
    <row r="963" spans="1:2">
      <c r="A963" s="557">
        <f>INDEX(Bauteile!$B$57:$B$1152,UWert!BA175,1)</f>
        <v>0</v>
      </c>
      <c r="B963" t="s">
        <v>1595</v>
      </c>
    </row>
    <row r="964" spans="1:2">
      <c r="A964" s="557">
        <f>INDEX(Bauteile!$B$57:$B$1152,UWert!BA176,1)</f>
        <v>0</v>
      </c>
      <c r="B964" t="s">
        <v>1131</v>
      </c>
    </row>
    <row r="965" spans="1:2">
      <c r="A965" s="557">
        <f>INDEX(Bauteile!$B$57:$B$1152,UWert!BA177,1)</f>
        <v>0</v>
      </c>
      <c r="B965" t="s">
        <v>1132</v>
      </c>
    </row>
    <row r="966" spans="1:2">
      <c r="A966" s="557">
        <f>INDEX(Bauteile!$L$284:$L$296,UWert!BA178,1)</f>
        <v>0</v>
      </c>
      <c r="B966" t="s">
        <v>1138</v>
      </c>
    </row>
    <row r="967" spans="1:2">
      <c r="A967" s="557">
        <f>INDEX(Bauteile!$M$280:$M$282,UWert!BA179,1)</f>
        <v>0</v>
      </c>
      <c r="B967" t="s">
        <v>1135</v>
      </c>
    </row>
    <row r="968" spans="1:2">
      <c r="A968" s="557">
        <f>UWert!G170</f>
        <v>0</v>
      </c>
      <c r="B968" t="s">
        <v>151</v>
      </c>
    </row>
    <row r="969" spans="1:2">
      <c r="A969" s="557">
        <f>UWert!G171</f>
        <v>0</v>
      </c>
      <c r="B969" t="s">
        <v>1139</v>
      </c>
    </row>
    <row r="970" spans="1:2">
      <c r="A970" s="557">
        <f>UWert!G172</f>
        <v>0</v>
      </c>
      <c r="B970" t="s">
        <v>2349</v>
      </c>
    </row>
    <row r="971" spans="1:2">
      <c r="A971" s="557">
        <f>UWert!G173</f>
        <v>0</v>
      </c>
      <c r="B971" t="s">
        <v>2350</v>
      </c>
    </row>
    <row r="972" spans="1:2">
      <c r="A972" s="557">
        <f>UWert!G174</f>
        <v>0</v>
      </c>
      <c r="B972" t="s">
        <v>2351</v>
      </c>
    </row>
    <row r="973" spans="1:2">
      <c r="A973" s="557">
        <f>UWert!G175</f>
        <v>0</v>
      </c>
      <c r="B973" t="s">
        <v>2352</v>
      </c>
    </row>
    <row r="974" spans="1:2">
      <c r="A974" s="557">
        <f>UWert!G176</f>
        <v>0</v>
      </c>
      <c r="B974" t="s">
        <v>2353</v>
      </c>
    </row>
    <row r="975" spans="1:2">
      <c r="A975" s="557">
        <f>UWert!G177</f>
        <v>0</v>
      </c>
      <c r="B975" t="s">
        <v>2354</v>
      </c>
    </row>
    <row r="976" spans="1:2">
      <c r="A976" s="557">
        <f>UWert!G178</f>
        <v>0</v>
      </c>
      <c r="B976" t="s">
        <v>285</v>
      </c>
    </row>
    <row r="977" spans="1:2">
      <c r="A977" s="557">
        <f>UWert!G179</f>
        <v>0</v>
      </c>
      <c r="B977" t="s">
        <v>286</v>
      </c>
    </row>
    <row r="978" spans="1:2">
      <c r="A978" s="557">
        <f>UWert!F171/100</f>
        <v>0</v>
      </c>
      <c r="B978" t="s">
        <v>278</v>
      </c>
    </row>
    <row r="979" spans="1:2">
      <c r="A979" s="557">
        <f>UWert!F172/100</f>
        <v>0</v>
      </c>
      <c r="B979" t="s">
        <v>279</v>
      </c>
    </row>
    <row r="980" spans="1:2">
      <c r="A980" s="557">
        <f>UWert!F173/100</f>
        <v>0</v>
      </c>
      <c r="B980" t="s">
        <v>280</v>
      </c>
    </row>
    <row r="981" spans="1:2">
      <c r="A981" s="557">
        <f>UWert!F174/100</f>
        <v>0</v>
      </c>
      <c r="B981" t="s">
        <v>281</v>
      </c>
    </row>
    <row r="982" spans="1:2">
      <c r="A982" s="557">
        <f>UWert!F175/100</f>
        <v>0</v>
      </c>
      <c r="B982" t="s">
        <v>282</v>
      </c>
    </row>
    <row r="983" spans="1:2">
      <c r="A983" s="557">
        <f>UWert!F176/100</f>
        <v>0</v>
      </c>
      <c r="B983" t="s">
        <v>283</v>
      </c>
    </row>
    <row r="984" spans="1:2">
      <c r="A984" s="557">
        <f>UWert!F177/100</f>
        <v>0</v>
      </c>
      <c r="B984" t="s">
        <v>284</v>
      </c>
    </row>
    <row r="985" spans="1:2">
      <c r="A985" s="557">
        <f>INDEX(Bauteile!$G$57:$G$1152,UWert!BA171,1)</f>
        <v>0</v>
      </c>
      <c r="B985" t="s">
        <v>949</v>
      </c>
    </row>
    <row r="986" spans="1:2">
      <c r="A986" s="557">
        <f>INDEX(Bauteile!$G$57:$G$1152,UWert!BA172,1)</f>
        <v>0</v>
      </c>
      <c r="B986" t="s">
        <v>405</v>
      </c>
    </row>
    <row r="987" spans="1:2">
      <c r="A987" s="557">
        <f>INDEX(Bauteile!$G$57:$G$1152,UWert!BA173,1)</f>
        <v>0</v>
      </c>
      <c r="B987" t="s">
        <v>406</v>
      </c>
    </row>
    <row r="988" spans="1:2">
      <c r="A988" s="557">
        <f>INDEX(Bauteile!$G$57:$G$1152,UWert!BA174,1)</f>
        <v>0</v>
      </c>
      <c r="B988" t="s">
        <v>407</v>
      </c>
    </row>
    <row r="989" spans="1:2">
      <c r="A989" s="557">
        <f>INDEX(Bauteile!$G$57:$G$1152,UWert!BA175,1)</f>
        <v>0</v>
      </c>
      <c r="B989" t="s">
        <v>408</v>
      </c>
    </row>
    <row r="990" spans="1:2">
      <c r="A990" s="557">
        <f>INDEX(Bauteile!$G$57:$G$1152,UWert!BA176,1)</f>
        <v>0</v>
      </c>
      <c r="B990" t="s">
        <v>409</v>
      </c>
    </row>
    <row r="991" spans="1:2">
      <c r="A991" s="557">
        <f>INDEX(Bauteile!$G$57:$G$1152,UWert!BA177,1)</f>
        <v>0</v>
      </c>
      <c r="B991" t="s">
        <v>410</v>
      </c>
    </row>
    <row r="992" spans="1:2">
      <c r="A992" s="557">
        <f>UWert!D168</f>
        <v>0</v>
      </c>
      <c r="B992" t="s">
        <v>66</v>
      </c>
    </row>
    <row r="993" spans="1:2">
      <c r="A993" s="799" t="s">
        <v>2203</v>
      </c>
    </row>
    <row r="994" spans="1:2">
      <c r="A994" s="557">
        <f>INDEX(Bauteile!$M$280:$M$282,UWert!BB170,1)</f>
        <v>0</v>
      </c>
      <c r="B994" t="s">
        <v>1134</v>
      </c>
    </row>
    <row r="995" spans="1:2">
      <c r="A995" s="557">
        <f>INDEX(Bauteile!$B$57:$B$1152,UWert!BB171,1)</f>
        <v>0</v>
      </c>
      <c r="B995" t="s">
        <v>1591</v>
      </c>
    </row>
    <row r="996" spans="1:2">
      <c r="A996" s="557">
        <f>INDEX(Bauteile!$B$57:$B$1152,UWert!BB172,1)</f>
        <v>0</v>
      </c>
      <c r="B996" t="s">
        <v>1592</v>
      </c>
    </row>
    <row r="997" spans="1:2">
      <c r="A997" s="557">
        <f>INDEX(Bauteile!$B$57:$B$1152,UWert!BB173,1)</f>
        <v>0</v>
      </c>
      <c r="B997" t="s">
        <v>1593</v>
      </c>
    </row>
    <row r="998" spans="1:2">
      <c r="A998" s="557">
        <f>INDEX(Bauteile!$B$57:$B$1152,UWert!BB174,1)</f>
        <v>0</v>
      </c>
      <c r="B998" t="s">
        <v>1594</v>
      </c>
    </row>
    <row r="999" spans="1:2">
      <c r="A999" s="557">
        <f>INDEX(Bauteile!$B$57:$B$1152,UWert!BB175,1)</f>
        <v>0</v>
      </c>
      <c r="B999" t="s">
        <v>1595</v>
      </c>
    </row>
    <row r="1000" spans="1:2">
      <c r="A1000" s="557">
        <f>INDEX(Bauteile!$B$57:$B$1152,UWert!BB176,1)</f>
        <v>0</v>
      </c>
      <c r="B1000" t="s">
        <v>1131</v>
      </c>
    </row>
    <row r="1001" spans="1:2">
      <c r="A1001" s="557">
        <f>INDEX(Bauteile!$B$57:$B$1152,UWert!BB177,1)</f>
        <v>0</v>
      </c>
      <c r="B1001" t="s">
        <v>1132</v>
      </c>
    </row>
    <row r="1002" spans="1:2">
      <c r="A1002" s="557">
        <f>INDEX(Bauteile!$L$284:$L$296,UWert!BB178,1)</f>
        <v>0</v>
      </c>
      <c r="B1002" t="s">
        <v>1138</v>
      </c>
    </row>
    <row r="1003" spans="1:2">
      <c r="A1003" s="557">
        <f>INDEX(Bauteile!$M$280:$M$282,UWert!BB179,1)</f>
        <v>0</v>
      </c>
      <c r="B1003" t="s">
        <v>1135</v>
      </c>
    </row>
    <row r="1004" spans="1:2">
      <c r="A1004" s="557">
        <f>UWert!O170</f>
        <v>0</v>
      </c>
      <c r="B1004" t="s">
        <v>151</v>
      </c>
    </row>
    <row r="1005" spans="1:2">
      <c r="A1005" s="557">
        <f>UWert!O171</f>
        <v>0</v>
      </c>
      <c r="B1005" t="s">
        <v>1139</v>
      </c>
    </row>
    <row r="1006" spans="1:2">
      <c r="A1006" s="557">
        <f>UWert!O172</f>
        <v>0</v>
      </c>
      <c r="B1006" t="s">
        <v>2349</v>
      </c>
    </row>
    <row r="1007" spans="1:2">
      <c r="A1007" s="557">
        <f>UWert!O173</f>
        <v>0</v>
      </c>
      <c r="B1007" t="s">
        <v>2350</v>
      </c>
    </row>
    <row r="1008" spans="1:2">
      <c r="A1008" s="557">
        <f>UWert!O174</f>
        <v>0</v>
      </c>
      <c r="B1008" t="s">
        <v>2351</v>
      </c>
    </row>
    <row r="1009" spans="1:2">
      <c r="A1009" s="557">
        <f>UWert!O175</f>
        <v>0</v>
      </c>
      <c r="B1009" t="s">
        <v>2352</v>
      </c>
    </row>
    <row r="1010" spans="1:2">
      <c r="A1010" s="557">
        <f>UWert!O176</f>
        <v>0</v>
      </c>
      <c r="B1010" t="s">
        <v>2353</v>
      </c>
    </row>
    <row r="1011" spans="1:2">
      <c r="A1011" s="557">
        <f>UWert!O177</f>
        <v>0</v>
      </c>
      <c r="B1011" t="s">
        <v>2354</v>
      </c>
    </row>
    <row r="1012" spans="1:2">
      <c r="A1012" s="557">
        <f>UWert!O178</f>
        <v>0</v>
      </c>
      <c r="B1012" t="s">
        <v>285</v>
      </c>
    </row>
    <row r="1013" spans="1:2">
      <c r="A1013" s="557">
        <f>UWert!O179</f>
        <v>0</v>
      </c>
      <c r="B1013" t="s">
        <v>286</v>
      </c>
    </row>
    <row r="1014" spans="1:2">
      <c r="A1014" s="557">
        <f>UWert!N171/100</f>
        <v>0</v>
      </c>
      <c r="B1014" t="s">
        <v>278</v>
      </c>
    </row>
    <row r="1015" spans="1:2">
      <c r="A1015" s="557">
        <f>UWert!N172/100</f>
        <v>0</v>
      </c>
      <c r="B1015" t="s">
        <v>279</v>
      </c>
    </row>
    <row r="1016" spans="1:2">
      <c r="A1016" s="557">
        <f>UWert!N173/100</f>
        <v>0</v>
      </c>
      <c r="B1016" t="s">
        <v>280</v>
      </c>
    </row>
    <row r="1017" spans="1:2">
      <c r="A1017" s="557">
        <f>UWert!N174/100</f>
        <v>0</v>
      </c>
      <c r="B1017" t="s">
        <v>281</v>
      </c>
    </row>
    <row r="1018" spans="1:2">
      <c r="A1018" s="557">
        <f>UWert!N175/100</f>
        <v>0</v>
      </c>
      <c r="B1018" t="s">
        <v>282</v>
      </c>
    </row>
    <row r="1019" spans="1:2">
      <c r="A1019" s="557">
        <f>UWert!N176/100</f>
        <v>0</v>
      </c>
      <c r="B1019" t="s">
        <v>283</v>
      </c>
    </row>
    <row r="1020" spans="1:2">
      <c r="A1020" s="557">
        <f>UWert!N177/100</f>
        <v>0</v>
      </c>
      <c r="B1020" t="s">
        <v>284</v>
      </c>
    </row>
    <row r="1021" spans="1:2">
      <c r="A1021" s="557">
        <f>INDEX(Bauteile!$G$57:$G$1152,UWert!BB171,1)</f>
        <v>0</v>
      </c>
      <c r="B1021" t="s">
        <v>949</v>
      </c>
    </row>
    <row r="1022" spans="1:2">
      <c r="A1022" s="557">
        <f>INDEX(Bauteile!$G$57:$G$1152,UWert!BB172,1)</f>
        <v>0</v>
      </c>
      <c r="B1022" t="s">
        <v>405</v>
      </c>
    </row>
    <row r="1023" spans="1:2">
      <c r="A1023" s="557">
        <f>INDEX(Bauteile!$G$57:$G$1152,UWert!BB173,1)</f>
        <v>0</v>
      </c>
      <c r="B1023" t="s">
        <v>406</v>
      </c>
    </row>
    <row r="1024" spans="1:2">
      <c r="A1024" s="557">
        <f>INDEX(Bauteile!$G$57:$G$1152,UWert!BB174,1)</f>
        <v>0</v>
      </c>
      <c r="B1024" t="s">
        <v>407</v>
      </c>
    </row>
    <row r="1025" spans="1:2">
      <c r="A1025" s="557">
        <f>INDEX(Bauteile!$G$57:$G$1152,UWert!BB175,1)</f>
        <v>0</v>
      </c>
      <c r="B1025" t="s">
        <v>408</v>
      </c>
    </row>
    <row r="1026" spans="1:2">
      <c r="A1026" s="557">
        <f>INDEX(Bauteile!$G$57:$G$1152,UWert!BB176,1)</f>
        <v>0</v>
      </c>
      <c r="B1026" t="s">
        <v>409</v>
      </c>
    </row>
    <row r="1027" spans="1:2">
      <c r="A1027" s="557">
        <f>INDEX(Bauteile!$G$57:$G$1152,UWert!BB177,1)</f>
        <v>0</v>
      </c>
      <c r="B1027" t="s">
        <v>410</v>
      </c>
    </row>
    <row r="1028" spans="1:2">
      <c r="A1028" s="800" t="str">
        <f>UWert!F165</f>
        <v/>
      </c>
      <c r="B1028" t="s">
        <v>316</v>
      </c>
    </row>
    <row r="1029" spans="1:2">
      <c r="A1029" s="804">
        <f>UWert!D164</f>
        <v>0</v>
      </c>
      <c r="B1029" t="s">
        <v>1488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
  <sheetViews>
    <sheetView workbookViewId="0"/>
  </sheetViews>
  <sheetFormatPr baseColWidth="10" defaultRowHeight="12.75"/>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DD423"/>
  <sheetViews>
    <sheetView showZeros="0" zoomScaleNormal="100" workbookViewId="0">
      <selection activeCell="B1" sqref="B1"/>
    </sheetView>
  </sheetViews>
  <sheetFormatPr baseColWidth="10" defaultRowHeight="12.75"/>
  <cols>
    <col min="1" max="1" width="0.85546875" style="1115" customWidth="1"/>
    <col min="2" max="2" width="2.28515625" style="1115" customWidth="1"/>
    <col min="3" max="3" width="2.7109375" style="1115" customWidth="1"/>
    <col min="4" max="4" width="18.28515625" style="557" customWidth="1"/>
    <col min="5" max="5" width="1.7109375" style="1191" customWidth="1"/>
    <col min="6" max="6" width="3.140625" style="1086" customWidth="1"/>
    <col min="7" max="7" width="1.7109375" style="1191" customWidth="1"/>
    <col min="8" max="8" width="6.42578125" customWidth="1"/>
    <col min="9" max="10" width="3.5703125" customWidth="1"/>
    <col min="11" max="11" width="6.28515625" customWidth="1"/>
    <col min="12" max="12" width="7.7109375" style="1086" customWidth="1"/>
    <col min="13" max="13" width="5.42578125" customWidth="1"/>
    <col min="14" max="14" width="5.7109375" style="1086" customWidth="1"/>
    <col min="15" max="15" width="8.5703125" customWidth="1"/>
    <col min="16" max="16" width="1.5703125" customWidth="1"/>
    <col min="17" max="17" width="0.7109375" customWidth="1"/>
    <col min="18" max="18" width="5.7109375" customWidth="1"/>
    <col min="19" max="19" width="3" customWidth="1"/>
    <col min="20" max="20" width="5.7109375" customWidth="1"/>
    <col min="21" max="21" width="3" customWidth="1"/>
    <col min="22" max="22" width="4.140625" customWidth="1"/>
    <col min="23" max="23" width="1.28515625" customWidth="1"/>
    <col min="24" max="24" width="5.7109375" style="557" customWidth="1"/>
    <col min="25" max="25" width="0.85546875" customWidth="1"/>
    <col min="26" max="26" width="2.28515625" customWidth="1"/>
    <col min="27" max="27" width="0.85546875" customWidth="1"/>
    <col min="28" max="28" width="5.7109375" customWidth="1"/>
    <col min="29" max="29" width="3" customWidth="1"/>
    <col min="30" max="30" width="5.7109375" customWidth="1"/>
    <col min="31" max="31" width="3" customWidth="1"/>
    <col min="32" max="32" width="4.140625" customWidth="1"/>
    <col min="33" max="33" width="3" customWidth="1"/>
    <col min="34" max="34" width="4.5703125" style="557" customWidth="1"/>
    <col min="35" max="35" width="1.7109375" customWidth="1"/>
    <col min="36" max="36" width="0.85546875" customWidth="1"/>
    <col min="37" max="37" width="6.28515625" customWidth="1"/>
    <col min="38" max="38" width="1.7109375" customWidth="1"/>
    <col min="39" max="39" width="6.7109375" hidden="1" customWidth="1"/>
    <col min="40" max="40" width="7.28515625" hidden="1" customWidth="1"/>
    <col min="41" max="41" width="7.28515625" style="1086" hidden="1" customWidth="1"/>
    <col min="42" max="42" width="5.42578125" style="1086" hidden="1" customWidth="1"/>
    <col min="43" max="43" width="8.85546875" style="1188" hidden="1" customWidth="1"/>
    <col min="44" max="44" width="8.85546875" style="1086" hidden="1" customWidth="1"/>
    <col min="45" max="45" width="8.85546875" style="1188" hidden="1" customWidth="1"/>
    <col min="46" max="46" width="8.85546875" style="1086" hidden="1" customWidth="1"/>
    <col min="47" max="47" width="18.7109375" hidden="1" customWidth="1"/>
    <col min="48" max="48" width="3.28515625" hidden="1" customWidth="1"/>
    <col min="49" max="49" width="7.85546875" style="174" hidden="1" customWidth="1"/>
    <col min="50" max="50" width="5.85546875" style="174" hidden="1" customWidth="1"/>
    <col min="51" max="51" width="5.5703125" style="174" hidden="1" customWidth="1"/>
    <col min="52" max="52" width="5.7109375" style="174" hidden="1" customWidth="1"/>
    <col min="53" max="55" width="6.28515625" style="174" hidden="1" customWidth="1"/>
    <col min="56" max="56" width="2.42578125" style="174" hidden="1" customWidth="1"/>
    <col min="57" max="58" width="7.85546875" style="174" hidden="1" customWidth="1"/>
    <col min="59" max="59" width="5.85546875" style="174" hidden="1" customWidth="1"/>
    <col min="60" max="60" width="5.5703125" style="174" hidden="1" customWidth="1"/>
    <col min="61" max="61" width="5.7109375" style="174" hidden="1" customWidth="1"/>
    <col min="62" max="64" width="6.28515625" style="174" hidden="1" customWidth="1"/>
    <col min="65" max="65" width="2.42578125" style="174" hidden="1" customWidth="1"/>
    <col min="66" max="67" width="7.85546875" style="174" hidden="1" customWidth="1"/>
    <col min="68" max="68" width="5.85546875" style="174" hidden="1" customWidth="1"/>
    <col min="69" max="69" width="5.5703125" style="174" hidden="1" customWidth="1"/>
    <col min="70" max="70" width="5.7109375" style="174" hidden="1" customWidth="1"/>
    <col min="71" max="73" width="6.28515625" style="174" hidden="1" customWidth="1"/>
    <col min="74" max="74" width="2.42578125" style="174" hidden="1" customWidth="1"/>
    <col min="75" max="75" width="7.85546875" style="174" hidden="1" customWidth="1"/>
    <col min="76" max="76" width="5.85546875" style="174" hidden="1" customWidth="1"/>
    <col min="77" max="77" width="5.5703125" style="174" hidden="1" customWidth="1"/>
    <col min="78" max="78" width="5.7109375" style="174" hidden="1" customWidth="1"/>
    <col min="79" max="81" width="6.28515625" style="174" hidden="1" customWidth="1"/>
    <col min="82" max="108" width="30.7109375" style="174" customWidth="1"/>
  </cols>
  <sheetData>
    <row r="1" spans="1:108">
      <c r="A1" s="1114"/>
      <c r="B1" s="1114"/>
      <c r="C1" s="1114"/>
      <c r="D1" s="29" t="str">
        <f>Projekt!B1</f>
        <v>Programme Entech 380/1, Ver. 6.1, BFE/EnFK-Zert.-Nr. 1639, SIA 380/1 (Edition 2016)</v>
      </c>
      <c r="E1" s="27"/>
      <c r="F1" s="28"/>
      <c r="G1" s="27"/>
      <c r="H1" s="27"/>
      <c r="I1" s="27"/>
      <c r="J1" s="27"/>
      <c r="K1" s="27"/>
      <c r="L1" s="28"/>
      <c r="M1" s="27"/>
      <c r="N1" s="64"/>
      <c r="O1" s="64"/>
      <c r="P1" s="1406">
        <f>Projekt!E5</f>
        <v>0</v>
      </c>
      <c r="Q1" s="27"/>
      <c r="R1" s="27"/>
      <c r="S1" s="27"/>
      <c r="T1" s="27"/>
      <c r="U1" s="27"/>
      <c r="V1" s="27"/>
      <c r="W1" s="27"/>
      <c r="X1" s="29"/>
      <c r="Y1" s="27"/>
      <c r="Z1" s="27"/>
      <c r="AA1" s="27"/>
      <c r="AB1" s="27"/>
      <c r="AC1" s="27"/>
      <c r="AD1" s="27"/>
      <c r="AE1" s="174"/>
      <c r="AF1" s="174"/>
      <c r="AG1" s="174"/>
      <c r="AH1" s="554"/>
      <c r="AI1" s="174"/>
      <c r="AJ1" s="46"/>
      <c r="AK1" s="248" t="str">
        <f>"Qh= "&amp;ROUND(Qhtot,1)&amp;IF(_Ver09," MJ/m2"," kWh/m2")</f>
        <v>Qh= 0 kWh/m2</v>
      </c>
      <c r="AL1" s="248"/>
      <c r="AM1" s="248"/>
      <c r="AN1" s="248"/>
      <c r="AO1" s="248"/>
      <c r="AP1" s="248"/>
      <c r="AQ1" s="2105" t="s">
        <v>9346</v>
      </c>
      <c r="AR1" s="2104"/>
      <c r="AS1" s="1189"/>
      <c r="AT1" s="2104"/>
      <c r="AU1" s="2102"/>
      <c r="AV1" s="2102"/>
      <c r="BB1" s="1094" t="str">
        <f>VLOOKUP(IF(C34="","S1",C34),$AQ$2:$AZ$6,6,FALSE)</f>
        <v>W1_S</v>
      </c>
      <c r="BC1" s="1095" t="str">
        <f>VLOOKUP(IF(C57="","E1",C57),$AR$2:$AZ$6,6,FALSE)</f>
        <v>W1_O</v>
      </c>
      <c r="BD1" s="1095" t="str">
        <f>VLOOKUP(IF(C80="","W1",C80),$AS$2:$AZ$6,6,FALSE)</f>
        <v>W1_W</v>
      </c>
      <c r="BE1" s="1095" t="str">
        <f>VLOOKUP(IF(C103="","N1",C103),$AT$2:$AZ$6,6,FALSE)</f>
        <v>W1_N</v>
      </c>
      <c r="BF1" s="2127" t="str">
        <f>VLOOKUP(IF(C11="","H1",C11),$AU$2:$AZ$6,6,FALSE)</f>
        <v>Da1</v>
      </c>
    </row>
    <row r="2" spans="1:108">
      <c r="A2" s="1114"/>
      <c r="B2" s="1114"/>
      <c r="C2" s="1114"/>
      <c r="D2" s="64" t="str">
        <f>Bau!B2</f>
        <v>imprimé le:</v>
      </c>
      <c r="E2" s="2183">
        <f ca="1">NOW()</f>
        <v>43566.628989236109</v>
      </c>
      <c r="F2" s="2183"/>
      <c r="G2" s="2183"/>
      <c r="H2" s="2183"/>
      <c r="I2" s="2183"/>
      <c r="J2" s="531"/>
      <c r="K2" s="64" t="str">
        <f>IF(Wettbewerb,"für   **** anonymer Programmbenutzer ****","für "&amp;Firma)</f>
        <v xml:space="preserve">für </v>
      </c>
      <c r="L2" s="63"/>
      <c r="M2" s="531"/>
      <c r="N2" s="28"/>
      <c r="O2" s="64"/>
      <c r="P2" s="64"/>
      <c r="Q2" s="239"/>
      <c r="R2" s="64"/>
      <c r="S2" s="239"/>
      <c r="T2" s="64"/>
      <c r="U2" s="30"/>
      <c r="V2" s="30"/>
      <c r="W2" s="30"/>
      <c r="X2" s="64"/>
      <c r="Y2" s="30"/>
      <c r="Z2" s="30"/>
      <c r="AA2" s="30"/>
      <c r="AB2" s="30"/>
      <c r="AC2" s="30"/>
      <c r="AD2" s="30"/>
      <c r="AE2" s="174"/>
      <c r="AF2" s="174"/>
      <c r="AG2" s="174"/>
      <c r="AH2" s="554"/>
      <c r="AI2" s="174"/>
      <c r="AJ2" s="30"/>
      <c r="AK2" s="1325" t="str">
        <f>Uebersetzung!D443</f>
        <v>page 6 de 10</v>
      </c>
      <c r="AL2" s="56"/>
      <c r="AM2" s="30"/>
      <c r="AN2" s="30"/>
      <c r="AO2" s="63"/>
      <c r="AP2" s="63"/>
      <c r="AQ2" s="2106" t="s">
        <v>9347</v>
      </c>
      <c r="AR2" s="2107" t="s">
        <v>9348</v>
      </c>
      <c r="AS2" s="2108" t="s">
        <v>9349</v>
      </c>
      <c r="AT2" s="2108" t="s">
        <v>9350</v>
      </c>
      <c r="AU2" s="2109" t="s">
        <v>9351</v>
      </c>
      <c r="AV2" s="1245" t="str">
        <f>"W1_"&amp;IF(dreh=1,"SW","S")</f>
        <v>W1_S</v>
      </c>
      <c r="AW2" s="197" t="str">
        <f>"W1_"&amp;IF(dreh=1,"SO","O")</f>
        <v>W1_O</v>
      </c>
      <c r="AX2" s="197" t="str">
        <f>"W1_"&amp;IF(dreh=1,"NW","W")</f>
        <v>W1_W</v>
      </c>
      <c r="AY2" s="197" t="str">
        <f>"W1_"&amp;IF(dreh=1,"NO","N")</f>
        <v>W1_N</v>
      </c>
      <c r="AZ2" s="1869" t="str">
        <f>"Da1"</f>
        <v>Da1</v>
      </c>
      <c r="BA2" s="2106">
        <v>1</v>
      </c>
      <c r="BB2" s="2128" t="str">
        <f>VLOOKUP(IF(C36="","S1",C36),$AQ$2:$AZ$6,6,FALSE)</f>
        <v>W1_S</v>
      </c>
      <c r="BC2" s="260" t="str">
        <f>VLOOKUP(IF(C59="","E1",C59),$AR$2:$AZ$6,6,FALSE)</f>
        <v>W1_O</v>
      </c>
      <c r="BD2" s="260" t="str">
        <f>VLOOKUP(IF(C82="","W1",C82),$AS$2:$AZ$6,6,FALSE)</f>
        <v>W1_W</v>
      </c>
      <c r="BE2" s="260" t="str">
        <f>VLOOKUP(IF(C105="","N1",C105),$AT$2:$AZ$6,6,FALSE)</f>
        <v>W1_N</v>
      </c>
      <c r="BF2" s="2129" t="str">
        <f>VLOOKUP(IF(C13="","H1",C13),$AU$2:$AZ$6,6,FALSE)</f>
        <v>Da1</v>
      </c>
    </row>
    <row r="3" spans="1:108">
      <c r="A3" s="1114"/>
      <c r="B3" s="1114"/>
      <c r="C3" s="1114"/>
      <c r="D3" s="64"/>
      <c r="E3" s="64"/>
      <c r="F3" s="63"/>
      <c r="G3" s="64"/>
      <c r="H3" s="30"/>
      <c r="I3" s="531"/>
      <c r="J3" s="531"/>
      <c r="K3" s="531"/>
      <c r="L3" s="1121"/>
      <c r="M3" s="64"/>
      <c r="N3" s="28"/>
      <c r="O3" s="64"/>
      <c r="P3" s="64"/>
      <c r="Q3" s="239"/>
      <c r="R3" s="64"/>
      <c r="S3" s="199"/>
      <c r="T3" s="106"/>
      <c r="U3" s="30"/>
      <c r="V3" s="30"/>
      <c r="W3" s="30"/>
      <c r="X3" s="64"/>
      <c r="Y3" s="30"/>
      <c r="Z3" s="30"/>
      <c r="AA3" s="30"/>
      <c r="AB3" s="30"/>
      <c r="AC3" s="30"/>
      <c r="AD3" s="30"/>
      <c r="AE3" s="174"/>
      <c r="AF3" s="174"/>
      <c r="AG3" s="174"/>
      <c r="AH3" s="554"/>
      <c r="AI3" s="174"/>
      <c r="AJ3" s="30"/>
      <c r="AK3" s="30"/>
      <c r="AL3" s="30"/>
      <c r="AM3" s="30"/>
      <c r="AN3" s="30" t="s">
        <v>1561</v>
      </c>
      <c r="AO3" s="63"/>
      <c r="AP3" s="63"/>
      <c r="AQ3" s="2110" t="s">
        <v>9352</v>
      </c>
      <c r="AR3" s="2111" t="s">
        <v>9353</v>
      </c>
      <c r="AS3" s="2112" t="s">
        <v>9354</v>
      </c>
      <c r="AT3" s="2112" t="s">
        <v>4064</v>
      </c>
      <c r="AU3" s="2113" t="s">
        <v>9355</v>
      </c>
      <c r="AV3" s="253" t="str">
        <f>"W2_"&amp;IF(dreh=1,"SW","S")</f>
        <v>W2_S</v>
      </c>
      <c r="AW3" s="199" t="str">
        <f>"W2_"&amp;IF(dreh=1,"SO","O")</f>
        <v>W2_O</v>
      </c>
      <c r="AX3" s="199" t="str">
        <f>"W2_"&amp;IF(dreh=1,"NW","W")</f>
        <v>W2_W</v>
      </c>
      <c r="AY3" s="199" t="str">
        <f>"W2_"&amp;IF(dreh=1,"NO","N")</f>
        <v>W2_N</v>
      </c>
      <c r="AZ3" s="2122" t="str">
        <f>"Da2"</f>
        <v>Da2</v>
      </c>
      <c r="BA3" s="2110">
        <v>2</v>
      </c>
      <c r="BB3" s="2128" t="str">
        <f>VLOOKUP(IF(C38="","S1",C38),$AQ$2:$AZ$6,6,FALSE)</f>
        <v>W1_S</v>
      </c>
      <c r="BC3" s="260" t="str">
        <f>VLOOKUP(IF(C61="","E1",C61),$AR$2:$AZ$6,6,FALSE)</f>
        <v>W1_O</v>
      </c>
      <c r="BD3" s="260" t="str">
        <f>VLOOKUP(IF(C84="","W1",C84),$AS$2:$AZ$6,6,FALSE)</f>
        <v>W1_W</v>
      </c>
      <c r="BE3" s="260" t="str">
        <f>VLOOKUP(IF(C107="","N1",C107),$AT$2:$AZ$6,6,FALSE)</f>
        <v>W1_N</v>
      </c>
      <c r="BF3" s="2129" t="str">
        <f>VLOOKUP(IF(C15="","H1",C15),$AU$2:$AZ$6,6,FALSE)</f>
        <v>Da1</v>
      </c>
    </row>
    <row r="4" spans="1:108" ht="22.9" customHeight="1">
      <c r="A4" s="1114"/>
      <c r="B4" s="1114"/>
      <c r="C4" s="1114"/>
      <c r="D4" s="109" t="str">
        <f>Uebersetzung!D308</f>
        <v>Fenêtre:</v>
      </c>
      <c r="E4" s="64"/>
      <c r="F4" s="1118"/>
      <c r="G4" s="64"/>
      <c r="H4" s="30"/>
      <c r="I4" s="531"/>
      <c r="J4" s="531"/>
      <c r="K4" s="531"/>
      <c r="L4" s="1121"/>
      <c r="M4" s="64"/>
      <c r="N4" s="28"/>
      <c r="O4" s="199"/>
      <c r="P4" s="199"/>
      <c r="Q4" s="199"/>
      <c r="R4" s="106"/>
      <c r="S4" s="199"/>
      <c r="T4" s="106"/>
      <c r="U4" s="199"/>
      <c r="V4" s="199"/>
      <c r="W4" s="199"/>
      <c r="X4" s="199"/>
      <c r="Y4" s="199"/>
      <c r="Z4" s="199"/>
      <c r="AA4" s="199"/>
      <c r="AB4" s="199"/>
      <c r="AC4" s="199"/>
      <c r="AD4" s="199"/>
      <c r="AE4" s="199"/>
      <c r="AF4" s="199"/>
      <c r="AG4" s="199"/>
      <c r="AH4" s="199"/>
      <c r="AI4" s="199"/>
      <c r="AJ4" s="199"/>
      <c r="AK4" s="199"/>
      <c r="AL4" s="30"/>
      <c r="AM4" s="30"/>
      <c r="AN4" s="2203" t="b">
        <f>IF($S$6=$AN$5,TRUE,FALSE)</f>
        <v>0</v>
      </c>
      <c r="AO4" s="2204"/>
      <c r="AP4" s="63"/>
      <c r="AQ4" s="2110" t="s">
        <v>9356</v>
      </c>
      <c r="AR4" s="2111" t="s">
        <v>9357</v>
      </c>
      <c r="AS4" s="2112" t="s">
        <v>9358</v>
      </c>
      <c r="AT4" s="2112" t="s">
        <v>4105</v>
      </c>
      <c r="AU4" s="2113" t="s">
        <v>9359</v>
      </c>
      <c r="AV4" s="253" t="str">
        <f>"W3_"&amp;IF(dreh=1,"SW","S")</f>
        <v>W3_S</v>
      </c>
      <c r="AW4" s="199" t="str">
        <f>"W3_"&amp;IF(dreh=1,"SO","O")</f>
        <v>W3_O</v>
      </c>
      <c r="AX4" s="199" t="str">
        <f>"W3_"&amp;IF(dreh=1,"NW","W")</f>
        <v>W3_W</v>
      </c>
      <c r="AY4" s="199" t="str">
        <f>"W3_"&amp;IF(dreh=1,"NO","N")</f>
        <v>W3_N</v>
      </c>
      <c r="AZ4" s="2122" t="str">
        <f>"Da3"</f>
        <v>Da3</v>
      </c>
      <c r="BA4" s="2110">
        <v>3</v>
      </c>
      <c r="BB4" s="2128" t="str">
        <f>VLOOKUP(IF(C40="","S1",C40),$AQ$2:$AZ$6,6,FALSE)</f>
        <v>W1_S</v>
      </c>
      <c r="BC4" s="260" t="str">
        <f>VLOOKUP(IF(C63="","E1",C63),$AR$2:$AZ$6,6,FALSE)</f>
        <v>W1_O</v>
      </c>
      <c r="BD4" s="260" t="str">
        <f>VLOOKUP(IF(C86="","W1",C86),$AS$2:$AZ$6,6,FALSE)</f>
        <v>W1_W</v>
      </c>
      <c r="BE4" s="260" t="str">
        <f>VLOOKUP(IF(C109="","N1",C109),$AT$2:$AZ$6,6,FALSE)</f>
        <v>W1_N</v>
      </c>
      <c r="BF4" s="2129" t="str">
        <f>VLOOKUP(IF(C17="","H1",C17),$AU$2:$AZ$6,6,FALSE)</f>
        <v>Da1</v>
      </c>
    </row>
    <row r="5" spans="1:108" ht="6.6" customHeight="1">
      <c r="A5" s="1114"/>
      <c r="B5" s="1114"/>
      <c r="C5" s="1114"/>
      <c r="D5" s="532"/>
      <c r="E5" s="64"/>
      <c r="F5" s="1119"/>
      <c r="G5" s="64"/>
      <c r="H5" s="30"/>
      <c r="I5" s="531"/>
      <c r="J5" s="531"/>
      <c r="K5" s="531"/>
      <c r="L5" s="1121"/>
      <c r="M5" s="64"/>
      <c r="N5" s="28"/>
      <c r="O5" s="199"/>
      <c r="P5" s="199"/>
      <c r="Q5" s="199"/>
      <c r="R5" s="199"/>
      <c r="S5" s="199"/>
      <c r="T5" s="106"/>
      <c r="U5" s="199"/>
      <c r="V5" s="199"/>
      <c r="W5" s="199"/>
      <c r="X5" s="199"/>
      <c r="Y5" s="199"/>
      <c r="Z5" s="199"/>
      <c r="AA5" s="199"/>
      <c r="AB5" s="199"/>
      <c r="AC5" s="199"/>
      <c r="AD5" s="199"/>
      <c r="AE5" s="199"/>
      <c r="AF5" s="199"/>
      <c r="AG5" s="199"/>
      <c r="AH5" s="199"/>
      <c r="AI5" s="199"/>
      <c r="AJ5" s="199"/>
      <c r="AK5" s="199"/>
      <c r="AL5" s="30"/>
      <c r="AM5" s="30"/>
      <c r="AN5" s="121" t="s">
        <v>446</v>
      </c>
      <c r="AO5" s="379"/>
      <c r="AP5" s="63"/>
      <c r="AQ5" s="2110" t="s">
        <v>3318</v>
      </c>
      <c r="AR5" s="2111" t="s">
        <v>9360</v>
      </c>
      <c r="AS5" s="2112" t="s">
        <v>9361</v>
      </c>
      <c r="AT5" s="2112" t="s">
        <v>9362</v>
      </c>
      <c r="AU5" s="2113"/>
      <c r="AV5" s="253" t="str">
        <f>"W4_"&amp;IF(dreh=1,"SW","S")</f>
        <v>W4_S</v>
      </c>
      <c r="AW5" s="199" t="str">
        <f>"W4_"&amp;IF(dreh=1,"SO","O")</f>
        <v>W4_O</v>
      </c>
      <c r="AX5" s="199" t="str">
        <f>"W4_"&amp;IF(dreh=1,"NW","W")</f>
        <v>W4_W</v>
      </c>
      <c r="AY5" s="199" t="str">
        <f>"W4_"&amp;IF(dreh=1,"NO","N")</f>
        <v>W4_N</v>
      </c>
      <c r="AZ5" s="2122"/>
      <c r="BA5" s="2110">
        <v>4</v>
      </c>
      <c r="BB5" s="2128" t="str">
        <f>VLOOKUP(IF(C42="","S1",C42),$AQ$2:$AZ$6,6,FALSE)</f>
        <v>W1_S</v>
      </c>
      <c r="BC5" s="260" t="str">
        <f>VLOOKUP(IF(C65="","E1",C65),$AR$2:$AZ$6,6,FALSE)</f>
        <v>W1_O</v>
      </c>
      <c r="BD5" s="260" t="str">
        <f>VLOOKUP(IF(C88="","W1",C88),$AS$2:$AZ$6,6,FALSE)</f>
        <v>W1_W</v>
      </c>
      <c r="BE5" s="260" t="str">
        <f>VLOOKUP(IF(C111="","N1",C111),$AT$2:$AZ$6,6,FALSE)</f>
        <v>W1_N</v>
      </c>
      <c r="BF5" s="2129" t="str">
        <f>VLOOKUP(IF(C19="","H1",C19),$AU$2:$AZ$6,6,FALSE)</f>
        <v>Da1</v>
      </c>
    </row>
    <row r="6" spans="1:108" ht="14.45" customHeight="1">
      <c r="A6" s="1114"/>
      <c r="B6" s="1114"/>
      <c r="C6" s="1114"/>
      <c r="D6" s="554"/>
      <c r="E6" s="30"/>
      <c r="F6" s="1091"/>
      <c r="G6" s="30"/>
      <c r="H6" s="174"/>
      <c r="I6" s="174"/>
      <c r="J6" s="174"/>
      <c r="K6" s="1853" t="s">
        <v>3124</v>
      </c>
      <c r="L6" s="1853" t="str">
        <f>Uebersetzung!D310</f>
        <v>( angle d'hoizont )</v>
      </c>
      <c r="M6" s="1853"/>
      <c r="N6" s="1853"/>
      <c r="O6" s="199"/>
      <c r="P6" s="199"/>
      <c r="Q6" s="199"/>
      <c r="R6" s="199"/>
      <c r="S6" s="1509"/>
      <c r="T6" s="106" t="str">
        <f>Uebersetzung!D329</f>
        <v xml:space="preserve">  :  Calculer les données avec un outil exterieur pour les fenêtres</v>
      </c>
      <c r="U6" s="199"/>
      <c r="V6" s="199"/>
      <c r="W6" s="199"/>
      <c r="X6" s="199"/>
      <c r="Y6" s="199"/>
      <c r="Z6" s="199"/>
      <c r="AA6" s="199"/>
      <c r="AB6" s="199"/>
      <c r="AC6" s="199"/>
      <c r="AD6" s="199"/>
      <c r="AE6" s="199"/>
      <c r="AF6" s="199"/>
      <c r="AG6" s="199"/>
      <c r="AH6" s="199"/>
      <c r="AI6" s="199"/>
      <c r="AJ6" s="199"/>
      <c r="AK6" s="199"/>
      <c r="AL6" s="174"/>
      <c r="AM6" s="174"/>
      <c r="AN6" s="515" t="s">
        <v>350</v>
      </c>
      <c r="AO6" s="1517"/>
      <c r="AP6" s="1091"/>
      <c r="AQ6" s="2123" t="s">
        <v>9363</v>
      </c>
      <c r="AR6" s="2115" t="s">
        <v>9364</v>
      </c>
      <c r="AS6" s="2116" t="s">
        <v>9365</v>
      </c>
      <c r="AT6" s="2116" t="s">
        <v>3352</v>
      </c>
      <c r="AU6" s="2117"/>
      <c r="AV6" s="515" t="str">
        <f>"W5_"&amp;IF(dreh=1,"SW","S")</f>
        <v>W5_S</v>
      </c>
      <c r="AW6" s="196" t="str">
        <f>"W5_"&amp;IF(dreh=1,"SO","O")</f>
        <v>W5_O</v>
      </c>
      <c r="AX6" s="196" t="str">
        <f>"W5_"&amp;IF(dreh=1,"NW","W")</f>
        <v>W5_W</v>
      </c>
      <c r="AY6" s="196" t="str">
        <f>"W5_"&amp;IF(dreh=1,"NO","N")</f>
        <v>W5_N</v>
      </c>
      <c r="AZ6" s="518"/>
      <c r="BA6" s="2114">
        <v>5</v>
      </c>
      <c r="BB6" s="2128" t="str">
        <f>VLOOKUP(IF(C44="","S1",C44),$AQ$2:$AZ$6,6,FALSE)</f>
        <v>W1_S</v>
      </c>
      <c r="BC6" s="260" t="str">
        <f>VLOOKUP(IF(C67="","E1",C67),$AR$2:$AZ$6,6,FALSE)</f>
        <v>W1_O</v>
      </c>
      <c r="BD6" s="260" t="str">
        <f>VLOOKUP(IF(C90="","W1",C90),$AS$2:$AZ$6,6,FALSE)</f>
        <v>W1_W</v>
      </c>
      <c r="BE6" s="260" t="str">
        <f>VLOOKUP(IF(C113="","N1",C113),$AT$2:$AZ$6,6,FALSE)</f>
        <v>W1_N</v>
      </c>
      <c r="BF6" s="2129" t="str">
        <f>VLOOKUP(IF(C21="","H1",C21),$AU$2:$AZ$6,6,FALSE)</f>
        <v>Da1</v>
      </c>
    </row>
    <row r="7" spans="1:108" s="535" customFormat="1">
      <c r="A7" s="531"/>
      <c r="B7" s="531"/>
      <c r="C7" s="531"/>
      <c r="D7" s="1179" t="str">
        <f>Uebersetzung!D309</f>
        <v>horizontal:</v>
      </c>
      <c r="E7" s="536"/>
      <c r="F7" s="1111" t="str">
        <f>Uebersetzung!D27</f>
        <v xml:space="preserve">N°  </v>
      </c>
      <c r="G7" s="2"/>
      <c r="H7" s="1170">
        <v>36</v>
      </c>
      <c r="I7" s="174"/>
      <c r="J7" s="4"/>
      <c r="K7" s="1368" t="str">
        <f>Uebersetzung!D143</f>
        <v>Sud</v>
      </c>
      <c r="L7" s="1369" t="str">
        <f>Uebersetzung!D139</f>
        <v>Est</v>
      </c>
      <c r="M7" s="1369" t="str">
        <f>Uebersetzung!D141</f>
        <v>Ouest</v>
      </c>
      <c r="N7" s="1370" t="str">
        <f>Uebersetzung!D137</f>
        <v>Nord</v>
      </c>
      <c r="O7" s="199"/>
      <c r="P7" s="199"/>
      <c r="Q7" s="199"/>
      <c r="R7" s="199"/>
      <c r="S7" s="199"/>
      <c r="T7" s="199"/>
      <c r="U7" s="199"/>
      <c r="V7" s="199"/>
      <c r="W7" s="199"/>
      <c r="X7" s="199"/>
      <c r="Y7" s="199"/>
      <c r="Z7" s="199"/>
      <c r="AA7" s="199"/>
      <c r="AB7" s="199"/>
      <c r="AC7" s="199"/>
      <c r="AD7" s="199"/>
      <c r="AE7" s="199"/>
      <c r="AF7" s="199"/>
      <c r="AG7" s="199"/>
      <c r="AH7" s="199"/>
      <c r="AI7" s="199"/>
      <c r="AJ7" s="199"/>
      <c r="AK7" s="199"/>
      <c r="AL7" s="174"/>
      <c r="AM7" s="174"/>
      <c r="AN7" s="174"/>
      <c r="AO7" s="1091"/>
      <c r="AP7" s="1091"/>
      <c r="AQ7" s="1180"/>
      <c r="AR7" s="1091"/>
      <c r="AS7" s="1180"/>
      <c r="AT7" s="1091"/>
      <c r="AU7" s="174"/>
      <c r="AV7" s="174"/>
      <c r="AW7" s="174"/>
      <c r="AX7" s="174"/>
      <c r="AY7" s="174"/>
      <c r="AZ7" s="174"/>
      <c r="BA7" s="174"/>
      <c r="BB7" s="2128" t="str">
        <f>VLOOKUP(IF(C46="","S1",C46),$AQ$2:$AZ$6,6,FALSE)</f>
        <v>W1_S</v>
      </c>
      <c r="BC7" s="260" t="str">
        <f>VLOOKUP(IF(C69="","E1",C69),$AR$2:$AZ$6,6,FALSE)</f>
        <v>W1_O</v>
      </c>
      <c r="BD7" s="260" t="str">
        <f>VLOOKUP(IF(C92="","W1",C92),$AS$2:$AZ$6,6,FALSE)</f>
        <v>W1_W</v>
      </c>
      <c r="BE7" s="260" t="str">
        <f>VLOOKUP(IF(C115="","N1",C115),$AT$2:$AZ$6,6,FALSE)</f>
        <v>W1_N</v>
      </c>
      <c r="BF7" s="2129" t="str">
        <f>VLOOKUP(IF(C23="","H1",C23),$AU$2:$AZ$6,6,FALSE)</f>
        <v>Da1</v>
      </c>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row>
    <row r="8" spans="1:108" s="535" customFormat="1" ht="14.45" customHeight="1">
      <c r="A8" s="531"/>
      <c r="B8" s="531"/>
      <c r="C8" s="531"/>
      <c r="D8" s="436"/>
      <c r="E8" s="533"/>
      <c r="F8" s="1111"/>
      <c r="G8" s="533"/>
      <c r="H8" s="2"/>
      <c r="I8" s="2"/>
      <c r="J8" s="467"/>
      <c r="K8" s="264">
        <v>30</v>
      </c>
      <c r="L8" s="428">
        <v>30</v>
      </c>
      <c r="M8" s="428">
        <v>30</v>
      </c>
      <c r="N8" s="1371">
        <v>30</v>
      </c>
      <c r="O8" s="273" t="s">
        <v>1880</v>
      </c>
      <c r="P8" s="4"/>
      <c r="Q8" s="1125">
        <f>IF(Uebersetzung!A1=1,1,0)</f>
        <v>0</v>
      </c>
      <c r="R8" s="1126"/>
      <c r="S8" s="1127"/>
      <c r="T8" s="1126"/>
      <c r="U8" s="1875"/>
      <c r="V8" s="1127"/>
      <c r="W8" s="1127"/>
      <c r="X8" s="1128"/>
      <c r="Y8" s="174"/>
      <c r="Z8" s="174"/>
      <c r="AA8" s="174"/>
      <c r="AB8" s="4"/>
      <c r="AC8" s="4"/>
      <c r="AD8" s="4"/>
      <c r="AE8" s="4"/>
      <c r="AF8" s="4"/>
      <c r="AG8" s="4"/>
      <c r="AH8" s="4"/>
      <c r="AI8" s="514"/>
      <c r="AJ8" s="1135"/>
      <c r="AK8" s="1135"/>
      <c r="AL8" s="1139"/>
      <c r="AM8" s="174"/>
      <c r="AN8" s="174"/>
      <c r="AO8" s="1091"/>
      <c r="AP8" s="1091" t="s">
        <v>1233</v>
      </c>
      <c r="AQ8" s="1180" t="s">
        <v>1234</v>
      </c>
      <c r="AR8" s="1091" t="s">
        <v>1235</v>
      </c>
      <c r="AS8" s="1180" t="s">
        <v>1236</v>
      </c>
      <c r="AT8" s="1091"/>
      <c r="AU8" s="174"/>
      <c r="AV8" s="174"/>
      <c r="AW8" s="2119"/>
      <c r="AX8" s="2120"/>
      <c r="AY8" s="2120"/>
      <c r="AZ8" s="2121" t="s">
        <v>14</v>
      </c>
      <c r="BA8" s="2120">
        <f>IF(Drehung&gt;1,1,IF(Drehung=1,1,0))</f>
        <v>0</v>
      </c>
      <c r="BB8" s="2130" t="str">
        <f>VLOOKUP(IF(C48="","S1",C48),$AQ$2:$AZ$6,6,FALSE)</f>
        <v>W1_S</v>
      </c>
      <c r="BC8" s="1092" t="str">
        <f>VLOOKUP(IF(C71="","E1",C71),$AR$2:$AZ$6,6,FALSE)</f>
        <v>W1_O</v>
      </c>
      <c r="BD8" s="1092" t="str">
        <f>VLOOKUP(IF(C94="","W1",C94),$AS$2:$AZ$6,6,FALSE)</f>
        <v>W1_W</v>
      </c>
      <c r="BE8" s="1092" t="str">
        <f>VLOOKUP(IF(C117="","N1",C117),$AT$2:$AZ$6,6,FALSE)</f>
        <v>W1_N</v>
      </c>
      <c r="BF8" s="1517" t="str">
        <f>VLOOKUP(IF(C25="","H1",C25),$AU$2:$AZ$6,6,FALSE)</f>
        <v>Da1</v>
      </c>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row>
    <row r="9" spans="1:108" ht="25.9" customHeight="1">
      <c r="A9" s="531"/>
      <c r="B9" s="531"/>
      <c r="C9" s="531"/>
      <c r="D9" s="1089" t="str">
        <f>Uebersetzung!D85</f>
        <v>Description:</v>
      </c>
      <c r="E9" s="1112"/>
      <c r="F9" s="1087" t="str">
        <f>Uebersetzung!D318</f>
        <v>nombre</v>
      </c>
      <c r="G9" s="1112"/>
      <c r="H9" s="1089" t="str">
        <f>Uebersetzung!D319</f>
        <v>Surfaces</v>
      </c>
      <c r="I9" s="1087"/>
      <c r="J9" s="1863" t="str">
        <f>F7</f>
        <v xml:space="preserve">N°  </v>
      </c>
      <c r="K9" s="2199" t="str">
        <f>Uebersetzung!D311</f>
        <v>Valeur U
[W/m2K]</v>
      </c>
      <c r="L9" s="2199"/>
      <c r="M9" s="1089" t="str">
        <f>Uebersetzung!D317</f>
        <v>Valeur g</v>
      </c>
      <c r="N9" s="28"/>
      <c r="O9" s="2201" t="str">
        <f>Uebersetzung!D321</f>
        <v>part vitrée
(Val. FF):</v>
      </c>
      <c r="P9" s="2202"/>
      <c r="Q9" s="1127">
        <f>IF(Uebersetzung!A1=2,1,0)</f>
        <v>1</v>
      </c>
      <c r="R9" s="1127"/>
      <c r="S9" s="1127"/>
      <c r="T9" s="1127"/>
      <c r="U9" s="1875"/>
      <c r="V9" s="1127"/>
      <c r="W9" s="1127"/>
      <c r="X9" s="1128"/>
      <c r="Y9" s="174"/>
      <c r="Z9" s="174"/>
      <c r="AA9" s="174"/>
      <c r="AB9" s="4"/>
      <c r="AC9" s="4"/>
      <c r="AD9" s="4"/>
      <c r="AE9" s="4"/>
      <c r="AF9" s="4"/>
      <c r="AG9" s="4"/>
      <c r="AH9" s="4"/>
      <c r="AI9" s="514"/>
      <c r="AJ9" s="1137"/>
      <c r="AK9" s="1867" t="str">
        <f>Uebersetzung!D324</f>
        <v>Valeur  FS</v>
      </c>
      <c r="AL9" s="1171"/>
      <c r="AM9" s="1089" t="s">
        <v>1881</v>
      </c>
      <c r="AN9" s="1089" t="s">
        <v>1883</v>
      </c>
      <c r="AO9" s="1089" t="s">
        <v>1884</v>
      </c>
      <c r="AP9" s="1148" t="s">
        <v>1826</v>
      </c>
      <c r="AQ9" s="1148" t="s">
        <v>1826</v>
      </c>
      <c r="AR9" s="1148" t="s">
        <v>1826</v>
      </c>
      <c r="AS9" s="1148" t="s">
        <v>1826</v>
      </c>
      <c r="AT9" s="63"/>
      <c r="AU9" s="1089"/>
      <c r="AV9" s="174"/>
      <c r="AW9" s="1096" t="s">
        <v>2113</v>
      </c>
      <c r="AX9" s="1097"/>
      <c r="AY9" s="1097"/>
      <c r="AZ9" s="1097" t="s">
        <v>8</v>
      </c>
      <c r="BA9" s="1097"/>
      <c r="BB9" s="2124"/>
      <c r="BC9" s="2125" t="s">
        <v>1879</v>
      </c>
      <c r="BE9" s="2126" t="s">
        <v>2114</v>
      </c>
      <c r="BF9" s="2124"/>
      <c r="BG9" s="1097"/>
      <c r="BH9" s="1097" t="s">
        <v>8</v>
      </c>
      <c r="BI9" s="1097"/>
      <c r="BJ9" s="1097"/>
      <c r="BK9" s="1098" t="s">
        <v>1879</v>
      </c>
      <c r="BN9" s="1096" t="s">
        <v>2115</v>
      </c>
      <c r="BO9" s="1097"/>
      <c r="BP9" s="1097"/>
      <c r="BQ9" s="1097" t="s">
        <v>8</v>
      </c>
      <c r="BR9" s="1097"/>
      <c r="BS9" s="1097"/>
      <c r="BT9" s="1098" t="s">
        <v>1879</v>
      </c>
      <c r="BW9" s="1096" t="s">
        <v>2116</v>
      </c>
      <c r="BX9" s="1097"/>
      <c r="BY9" s="1097"/>
      <c r="BZ9" s="1097" t="s">
        <v>8</v>
      </c>
      <c r="CA9" s="1097"/>
      <c r="CB9" s="1097"/>
      <c r="CC9" s="1098" t="s">
        <v>1879</v>
      </c>
    </row>
    <row r="10" spans="1:108" ht="3.6" customHeight="1">
      <c r="A10" s="531"/>
      <c r="B10" s="531"/>
      <c r="C10" s="531"/>
      <c r="D10" s="434"/>
      <c r="E10" s="273"/>
      <c r="F10" s="2"/>
      <c r="G10" s="273"/>
      <c r="H10" s="447"/>
      <c r="I10" s="2"/>
      <c r="J10" s="2"/>
      <c r="K10" s="434"/>
      <c r="L10" s="2"/>
      <c r="M10" s="434"/>
      <c r="N10" s="28"/>
      <c r="O10" s="434"/>
      <c r="P10" s="2"/>
      <c r="Q10" s="1125"/>
      <c r="R10" s="1127"/>
      <c r="S10" s="1127"/>
      <c r="T10" s="1127"/>
      <c r="U10" s="1127"/>
      <c r="V10" s="1127"/>
      <c r="W10" s="1127"/>
      <c r="X10" s="1128"/>
      <c r="Y10" s="174"/>
      <c r="Z10" s="174"/>
      <c r="AA10" s="174"/>
      <c r="AB10" s="4"/>
      <c r="AC10" s="4"/>
      <c r="AD10" s="4"/>
      <c r="AE10" s="4"/>
      <c r="AF10" s="4"/>
      <c r="AG10" s="4"/>
      <c r="AH10" s="4"/>
      <c r="AI10" s="514"/>
      <c r="AJ10" s="1138"/>
      <c r="AK10" s="1136"/>
      <c r="AL10" s="1172"/>
      <c r="AM10" s="434"/>
      <c r="AN10" s="434"/>
      <c r="AO10" s="470"/>
      <c r="AP10" s="470"/>
      <c r="AQ10" s="470"/>
      <c r="AR10" s="470"/>
      <c r="AS10" s="470"/>
      <c r="AT10" s="63"/>
      <c r="AU10" s="434"/>
      <c r="AV10" s="174"/>
      <c r="AW10" s="1099"/>
      <c r="AX10" s="1100"/>
      <c r="AY10" s="1100"/>
      <c r="AZ10" s="1100"/>
      <c r="BA10" s="1100"/>
      <c r="BB10" s="1100"/>
      <c r="BC10" s="1101"/>
      <c r="BE10" s="1099"/>
      <c r="BF10" s="1100"/>
      <c r="BG10" s="1100"/>
      <c r="BH10" s="1100"/>
      <c r="BI10" s="1100"/>
      <c r="BJ10" s="1100"/>
      <c r="BK10" s="1101"/>
      <c r="BN10" s="1209"/>
      <c r="BO10" s="1210"/>
      <c r="BP10" s="1210"/>
      <c r="BQ10" s="1210"/>
      <c r="BR10" s="1210"/>
      <c r="BS10" s="1210"/>
      <c r="BT10" s="1211"/>
      <c r="BW10" s="1209"/>
      <c r="BX10" s="1210"/>
      <c r="BY10" s="1210"/>
      <c r="BZ10" s="1210"/>
      <c r="CA10" s="1210"/>
      <c r="CB10" s="1210"/>
      <c r="CC10" s="1211"/>
    </row>
    <row r="11" spans="1:108" ht="14.45" customHeight="1">
      <c r="A11" s="531"/>
      <c r="B11" s="531"/>
      <c r="C11" s="2132"/>
      <c r="D11" s="1117"/>
      <c r="E11" s="4"/>
      <c r="F11" s="1120"/>
      <c r="G11" s="4"/>
      <c r="H11" s="618"/>
      <c r="I11" s="1088" t="s">
        <v>1882</v>
      </c>
      <c r="J11" s="360"/>
      <c r="K11" s="264"/>
      <c r="L11" s="63">
        <f>IF(J11&gt;0,IF(K11&gt;0,Fehler1,INDEX(UWert!$BD$7:$BD$41,J11)),K11)</f>
        <v>0</v>
      </c>
      <c r="M11" s="264"/>
      <c r="N11" s="28">
        <f>IF(J11&gt;0,IF(M11&gt;0,Fehler1,INDEX(UWert!$BE$7:$BE$41,J11)),M11)</f>
        <v>0</v>
      </c>
      <c r="O11" s="264"/>
      <c r="P11" s="2"/>
      <c r="Q11" s="1125"/>
      <c r="R11" s="1127"/>
      <c r="S11" s="1127"/>
      <c r="T11" s="1127"/>
      <c r="U11" s="1127"/>
      <c r="V11" s="1127"/>
      <c r="W11" s="1127"/>
      <c r="X11" s="1128"/>
      <c r="Y11" s="174"/>
      <c r="Z11" s="174"/>
      <c r="AA11" s="174"/>
      <c r="AB11" s="4"/>
      <c r="AC11" s="4"/>
      <c r="AD11" s="4"/>
      <c r="AE11" s="4"/>
      <c r="AF11" s="4"/>
      <c r="AG11" s="4"/>
      <c r="AH11" s="4"/>
      <c r="AI11" s="514"/>
      <c r="AJ11" s="1135"/>
      <c r="AK11" s="1129">
        <f>BC11*BK11*BT11*CC11</f>
        <v>0.25644704000000001</v>
      </c>
      <c r="AL11" s="1173"/>
      <c r="AM11" s="554">
        <f>IF(O11&gt;0,MIN(O11,0.95),IF(_Ver09,0.7,0.75))</f>
        <v>0.75</v>
      </c>
      <c r="AN11" s="554">
        <f>IF(N11&gt;0,MIN(N11,0.9),)</f>
        <v>0</v>
      </c>
      <c r="AO11" s="63">
        <f>IF(F11&gt;0,H11*F11,H11)</f>
        <v>0</v>
      </c>
      <c r="AP11" s="280">
        <f>$K$8</f>
        <v>30</v>
      </c>
      <c r="AQ11" s="1366">
        <f>$L$8</f>
        <v>30</v>
      </c>
      <c r="AR11" s="1366">
        <f>$M$8</f>
        <v>30</v>
      </c>
      <c r="AS11" s="1366">
        <f>$N$8</f>
        <v>30</v>
      </c>
      <c r="AT11" s="63"/>
      <c r="AU11" s="626" t="str">
        <f>IF(AND(AO11&gt;0,OR(L11=0,N11=0)),"Nicht alle Eingaben gewählt","")</f>
        <v/>
      </c>
      <c r="AV11" s="174"/>
      <c r="AW11" s="1093">
        <f>AP11</f>
        <v>30</v>
      </c>
      <c r="AX11" s="1094">
        <f>IF(AW11&lt;Tab!$B$78,1,IF(AW11&lt;Tab!$B$79,2,IF(AW11&lt;Tab!$B$80,3,IF(AW11&lt;Tab!$B$81,4,5))))</f>
        <v>4</v>
      </c>
      <c r="AY11" s="1095">
        <f>INDEX(Tab!$B$77:$B$82,AX11,1)</f>
        <v>30</v>
      </c>
      <c r="AZ11" s="1095">
        <f>INDEX(Tab!$B$77:$B$82,AX11+1,1)</f>
        <v>40</v>
      </c>
      <c r="BA11" s="1106">
        <f>INDEX(Tab!$C$77:$D$82,AX11,1+Ausrichtung)</f>
        <v>0.59</v>
      </c>
      <c r="BB11" s="1106">
        <f>INDEX(Tab!$C$77:$D$82,AX11+1,1+Ausrichtung)</f>
        <v>0.45</v>
      </c>
      <c r="BC11" s="1102">
        <f>BB11+(BA11-BB11)/(AZ11-AY11)*(AZ11-AW11)</f>
        <v>0.59</v>
      </c>
      <c r="BE11" s="1093">
        <f>AQ11</f>
        <v>30</v>
      </c>
      <c r="BF11" s="1094">
        <f>IF(BE11&lt;Tab!$B$78,1,IF(BE11&lt;Tab!$B$79,2,IF(BE11&lt;Tab!$B$80,3,IF(BE11&lt;Tab!$B$81,4,5))))</f>
        <v>4</v>
      </c>
      <c r="BG11" s="1095">
        <f>INDEX(Tab!$B$77:$B$82,BF11,1)</f>
        <v>30</v>
      </c>
      <c r="BH11" s="1095">
        <f>INDEX(Tab!$B$77:$B$82,BF11+1,1)</f>
        <v>40</v>
      </c>
      <c r="BI11" s="1106">
        <f>INDEX(Tab!$E$77:$F$82,BF11,1+Ausrichtung)</f>
        <v>0.68</v>
      </c>
      <c r="BJ11" s="1106">
        <f>INDEX(Tab!$E$77:$F$82,BF11+1,1+Ausrichtung)</f>
        <v>0.6</v>
      </c>
      <c r="BK11" s="1102">
        <f>BJ11+(BI11-BJ11)/(BH11-BG11)*(BH11-BE11)</f>
        <v>0.68</v>
      </c>
      <c r="BN11" s="1093">
        <f>AR11</f>
        <v>30</v>
      </c>
      <c r="BO11" s="1094">
        <f>IF(BN11&lt;Tab!$B$78,1,IF(BN11&lt;Tab!$B$79,2,IF(BN11&lt;Tab!$B$80,3,IF(BN11&lt;Tab!$B$81,4,5))))</f>
        <v>4</v>
      </c>
      <c r="BP11" s="1095">
        <f>INDEX(Tab!$B$77:$B$82,BO11,1)</f>
        <v>30</v>
      </c>
      <c r="BQ11" s="1095">
        <f>INDEX(Tab!$B$77:$B$82,BO11+1,1)</f>
        <v>40</v>
      </c>
      <c r="BR11" s="1106">
        <f>INDEX(Tab!$G$77:$H$82,BO11,1+Ausrichtung)</f>
        <v>0.68</v>
      </c>
      <c r="BS11" s="1106">
        <f>INDEX(Tab!$G$77:$H$82,BO11+1,1+Ausrichtung)</f>
        <v>0.6</v>
      </c>
      <c r="BT11" s="1102">
        <f>BS11+(BR11-BS11)/(BQ11-BP11)*(BQ11-BN11)</f>
        <v>0.68</v>
      </c>
      <c r="BW11" s="1093">
        <f>AS11</f>
        <v>30</v>
      </c>
      <c r="BX11" s="1094">
        <f>IF(BW11&lt;Tab!$B$78,1,IF(BW11&lt;Tab!$B$79,2,IF(BW11&lt;Tab!$B$80,3,IF(BW11&lt;Tab!$B$81,4,5))))</f>
        <v>4</v>
      </c>
      <c r="BY11" s="1095">
        <f>INDEX(Tab!$B$77:$B$82,BX11,1)</f>
        <v>30</v>
      </c>
      <c r="BZ11" s="1095">
        <f>INDEX(Tab!$B$77:$B$82,BX11+1,1)</f>
        <v>40</v>
      </c>
      <c r="CA11" s="1106">
        <f>INDEX(Tab!$I$77:$J$82,BX11,1+Ausrichtung)</f>
        <v>0.94</v>
      </c>
      <c r="CB11" s="1106">
        <f>INDEX(Tab!$I$77:$J$82,BX11+1,1+Ausrichtung)</f>
        <v>0.9</v>
      </c>
      <c r="CC11" s="1102">
        <f>CB11+(CA11-CB11)/(BZ11-BY11)*(BZ11-BW11)</f>
        <v>0.94</v>
      </c>
    </row>
    <row r="12" spans="1:108" s="1196" customFormat="1" ht="3.6" customHeight="1">
      <c r="A12" s="531"/>
      <c r="B12" s="531"/>
      <c r="C12" s="531"/>
      <c r="D12" s="1113"/>
      <c r="E12" s="4"/>
      <c r="F12" s="1192"/>
      <c r="G12" s="4"/>
      <c r="H12" s="440"/>
      <c r="I12" s="434"/>
      <c r="J12" s="434"/>
      <c r="K12" s="4"/>
      <c r="L12" s="63"/>
      <c r="M12" s="4"/>
      <c r="N12" s="28"/>
      <c r="O12" s="4"/>
      <c r="P12" s="2"/>
      <c r="Q12" s="1142"/>
      <c r="R12" s="1140"/>
      <c r="S12" s="1127"/>
      <c r="T12" s="1140"/>
      <c r="U12" s="1140"/>
      <c r="V12" s="1140"/>
      <c r="W12" s="1140"/>
      <c r="X12" s="1193"/>
      <c r="Y12" s="27"/>
      <c r="Z12" s="27"/>
      <c r="AA12" s="27"/>
      <c r="AB12" s="4"/>
      <c r="AC12" s="4"/>
      <c r="AD12" s="4"/>
      <c r="AE12" s="4"/>
      <c r="AF12" s="4"/>
      <c r="AG12" s="4"/>
      <c r="AH12" s="4"/>
      <c r="AI12" s="57"/>
      <c r="AJ12" s="1194"/>
      <c r="AK12" s="1129"/>
      <c r="AL12" s="1173"/>
      <c r="AM12" s="445"/>
      <c r="AN12" s="445"/>
      <c r="AO12" s="63"/>
      <c r="AP12" s="280"/>
      <c r="AQ12" s="1366"/>
      <c r="AR12" s="1366"/>
      <c r="AS12" s="1366"/>
      <c r="AT12" s="63"/>
      <c r="AU12" s="1195"/>
      <c r="AV12" s="27"/>
      <c r="AW12" s="1200"/>
      <c r="AX12" s="305"/>
      <c r="AY12" s="59"/>
      <c r="AZ12" s="59"/>
      <c r="BA12" s="59"/>
      <c r="BB12" s="59"/>
      <c r="BC12" s="1201"/>
      <c r="BD12" s="27"/>
      <c r="BE12" s="1200"/>
      <c r="BF12" s="305"/>
      <c r="BG12" s="59"/>
      <c r="BH12" s="59"/>
      <c r="BI12" s="59"/>
      <c r="BJ12" s="59"/>
      <c r="BK12" s="1201"/>
      <c r="BL12" s="27"/>
      <c r="BM12" s="27"/>
      <c r="BN12" s="1200"/>
      <c r="BO12" s="305"/>
      <c r="BP12" s="59"/>
      <c r="BQ12" s="59"/>
      <c r="BR12" s="59"/>
      <c r="BS12" s="59"/>
      <c r="BT12" s="1201"/>
      <c r="BU12" s="27"/>
      <c r="BV12" s="27"/>
      <c r="BW12" s="1200"/>
      <c r="BX12" s="305"/>
      <c r="BY12" s="59"/>
      <c r="BZ12" s="59"/>
      <c r="CA12" s="59"/>
      <c r="CB12" s="59"/>
      <c r="CC12" s="1201"/>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row>
    <row r="13" spans="1:108" ht="14.45" customHeight="1">
      <c r="A13" s="531"/>
      <c r="B13" s="531"/>
      <c r="C13" s="2132"/>
      <c r="D13" s="1117"/>
      <c r="E13" s="4"/>
      <c r="F13" s="1120"/>
      <c r="G13" s="4"/>
      <c r="H13" s="618"/>
      <c r="I13" s="1088" t="s">
        <v>1882</v>
      </c>
      <c r="J13" s="360"/>
      <c r="K13" s="264"/>
      <c r="L13" s="63">
        <f>IF(J13&gt;0,IF(K13&gt;0,Fehler1,INDEX(UWert!$BD$7:$BD$41,J13)),K13)</f>
        <v>0</v>
      </c>
      <c r="M13" s="264"/>
      <c r="N13" s="28">
        <f>IF(J13&gt;0,IF(M13&gt;0,Fehler1,INDEX(UWert!$BE$7:$BE$41,J13)),M13)</f>
        <v>0</v>
      </c>
      <c r="O13" s="264"/>
      <c r="P13" s="2"/>
      <c r="Q13" s="1125"/>
      <c r="R13" s="1127"/>
      <c r="S13" s="1127"/>
      <c r="T13" s="1127"/>
      <c r="U13" s="1127"/>
      <c r="V13" s="1127"/>
      <c r="W13" s="1127"/>
      <c r="X13" s="1128"/>
      <c r="Y13" s="174"/>
      <c r="Z13" s="174"/>
      <c r="AA13" s="174"/>
      <c r="AB13" s="4"/>
      <c r="AC13" s="4"/>
      <c r="AD13" s="4"/>
      <c r="AE13" s="4"/>
      <c r="AF13" s="4"/>
      <c r="AG13" s="4"/>
      <c r="AH13" s="4"/>
      <c r="AI13" s="514"/>
      <c r="AJ13" s="1135"/>
      <c r="AK13" s="1129">
        <f>BC13*BK13*BT13*CC13</f>
        <v>0.25644704000000001</v>
      </c>
      <c r="AL13" s="1173"/>
      <c r="AM13" s="554">
        <f>IF(O13&gt;0,MIN(O13,0.95),IF(_Ver09,0.7,0.75))</f>
        <v>0.75</v>
      </c>
      <c r="AN13" s="554">
        <f>IF(N13&gt;0,MIN(N13,0.9),)</f>
        <v>0</v>
      </c>
      <c r="AO13" s="63">
        <f>IF(F13&gt;0,H13*F13,H13)</f>
        <v>0</v>
      </c>
      <c r="AP13" s="280">
        <f>$K$8</f>
        <v>30</v>
      </c>
      <c r="AQ13" s="1366">
        <f>$L$8</f>
        <v>30</v>
      </c>
      <c r="AR13" s="1366">
        <f>$M$8</f>
        <v>30</v>
      </c>
      <c r="AS13" s="1366">
        <f>$N$8</f>
        <v>30</v>
      </c>
      <c r="AT13" s="63"/>
      <c r="AU13" s="626" t="str">
        <f>IF(AND(AO13&gt;0,OR(L13=0,N13=0)),"Nicht alle Eingaben gewählt","")</f>
        <v/>
      </c>
      <c r="AV13" s="174"/>
      <c r="AW13" s="1093">
        <f>AP13</f>
        <v>30</v>
      </c>
      <c r="AX13" s="1094">
        <f>IF(AW13&lt;Tab!$B$78,1,IF(AW13&lt;Tab!$B$79,2,IF(AW13&lt;Tab!$B$80,3,IF(AW13&lt;Tab!$B$81,4,5))))</f>
        <v>4</v>
      </c>
      <c r="AY13" s="1095">
        <f>INDEX(Tab!$B$77:$B$82,AX13,1)</f>
        <v>30</v>
      </c>
      <c r="AZ13" s="1095">
        <f>INDEX(Tab!$B$77:$B$82,AX13+1,1)</f>
        <v>40</v>
      </c>
      <c r="BA13" s="1106">
        <f>INDEX(Tab!$C$77:$D$82,AX13,1+Ausrichtung)</f>
        <v>0.59</v>
      </c>
      <c r="BB13" s="1106">
        <f>INDEX(Tab!$C$77:$D$82,AX13+1,1+Ausrichtung)</f>
        <v>0.45</v>
      </c>
      <c r="BC13" s="1102">
        <f>BB13+(BA13-BB13)/(AZ13-AY13)*(AZ13-AW13)</f>
        <v>0.59</v>
      </c>
      <c r="BE13" s="1093">
        <f>AQ13</f>
        <v>30</v>
      </c>
      <c r="BF13" s="1094">
        <f>IF(BE13&lt;Tab!$B$78,1,IF(BE13&lt;Tab!$B$79,2,IF(BE13&lt;Tab!$B$80,3,IF(BE13&lt;Tab!$B$81,4,5))))</f>
        <v>4</v>
      </c>
      <c r="BG13" s="1095">
        <f>INDEX(Tab!$B$77:$B$82,BF13,1)</f>
        <v>30</v>
      </c>
      <c r="BH13" s="1095">
        <f>INDEX(Tab!$B$77:$B$82,BF13+1,1)</f>
        <v>40</v>
      </c>
      <c r="BI13" s="1106">
        <f>INDEX(Tab!$E$77:$F$82,BF13,1+Ausrichtung)</f>
        <v>0.68</v>
      </c>
      <c r="BJ13" s="1106">
        <f>INDEX(Tab!$E$77:$F$82,BF13+1,1+Ausrichtung)</f>
        <v>0.6</v>
      </c>
      <c r="BK13" s="1102">
        <f>BJ13+(BI13-BJ13)/(BH13-BG13)*(BH13-BE13)</f>
        <v>0.68</v>
      </c>
      <c r="BN13" s="1093">
        <f>AR13</f>
        <v>30</v>
      </c>
      <c r="BO13" s="1094">
        <f>IF(BN13&lt;Tab!$B$78,1,IF(BN13&lt;Tab!$B$79,2,IF(BN13&lt;Tab!$B$80,3,IF(BN13&lt;Tab!$B$81,4,5))))</f>
        <v>4</v>
      </c>
      <c r="BP13" s="1095">
        <f>INDEX(Tab!$B$77:$B$82,BO13,1)</f>
        <v>30</v>
      </c>
      <c r="BQ13" s="1095">
        <f>INDEX(Tab!$B$77:$B$82,BO13+1,1)</f>
        <v>40</v>
      </c>
      <c r="BR13" s="1106">
        <f>INDEX(Tab!$G$77:$H$82,BO13,1+Ausrichtung)</f>
        <v>0.68</v>
      </c>
      <c r="BS13" s="1106">
        <f>INDEX(Tab!$G$77:$H$82,BO13+1,1+Ausrichtung)</f>
        <v>0.6</v>
      </c>
      <c r="BT13" s="1102">
        <f>BS13+(BR13-BS13)/(BQ13-BP13)*(BQ13-BN13)</f>
        <v>0.68</v>
      </c>
      <c r="BW13" s="1093">
        <f>AS13</f>
        <v>30</v>
      </c>
      <c r="BX13" s="1094">
        <f>IF(BW13&lt;Tab!$B$78,1,IF(BW13&lt;Tab!$B$79,2,IF(BW13&lt;Tab!$B$80,3,IF(BW13&lt;Tab!$B$81,4,5))))</f>
        <v>4</v>
      </c>
      <c r="BY13" s="1095">
        <f>INDEX(Tab!$B$77:$B$82,BX13,1)</f>
        <v>30</v>
      </c>
      <c r="BZ13" s="1095">
        <f>INDEX(Tab!$B$77:$B$82,BX13+1,1)</f>
        <v>40</v>
      </c>
      <c r="CA13" s="1106">
        <f>INDEX(Tab!$I$77:$J$82,BX13,1+Ausrichtung)</f>
        <v>0.94</v>
      </c>
      <c r="CB13" s="1106">
        <f>INDEX(Tab!$I$77:$J$82,BX13+1,1+Ausrichtung)</f>
        <v>0.9</v>
      </c>
      <c r="CC13" s="1102">
        <f>CB13+(CA13-CB13)/(BZ13-BY13)*(BZ13-BW13)</f>
        <v>0.94</v>
      </c>
    </row>
    <row r="14" spans="1:108" s="1196" customFormat="1" ht="3.6" customHeight="1">
      <c r="A14" s="531"/>
      <c r="B14" s="531"/>
      <c r="C14" s="531"/>
      <c r="D14" s="1197"/>
      <c r="E14" s="4"/>
      <c r="F14" s="1192"/>
      <c r="G14" s="4"/>
      <c r="H14" s="1198"/>
      <c r="I14" s="434"/>
      <c r="J14" s="434"/>
      <c r="K14" s="1199"/>
      <c r="L14" s="63"/>
      <c r="M14" s="4"/>
      <c r="N14" s="28"/>
      <c r="O14" s="1199"/>
      <c r="P14" s="2"/>
      <c r="Q14" s="1142"/>
      <c r="R14" s="1140"/>
      <c r="S14" s="1140"/>
      <c r="T14" s="1140"/>
      <c r="U14" s="1140"/>
      <c r="V14" s="1140"/>
      <c r="W14" s="1140"/>
      <c r="X14" s="1193"/>
      <c r="Y14" s="27"/>
      <c r="Z14" s="27"/>
      <c r="AA14" s="27"/>
      <c r="AB14" s="4"/>
      <c r="AC14" s="4"/>
      <c r="AD14" s="4"/>
      <c r="AE14" s="4"/>
      <c r="AF14" s="4"/>
      <c r="AG14" s="4"/>
      <c r="AH14" s="4"/>
      <c r="AI14" s="57"/>
      <c r="AJ14" s="1194"/>
      <c r="AK14" s="1129"/>
      <c r="AL14" s="1173"/>
      <c r="AM14" s="445"/>
      <c r="AN14" s="445"/>
      <c r="AO14" s="63"/>
      <c r="AP14" s="280"/>
      <c r="AQ14" s="1366"/>
      <c r="AR14" s="1366"/>
      <c r="AS14" s="1366"/>
      <c r="AT14" s="63"/>
      <c r="AU14" s="1195"/>
      <c r="AV14" s="27"/>
      <c r="AW14" s="1200"/>
      <c r="AX14" s="305"/>
      <c r="AY14" s="59"/>
      <c r="AZ14" s="59"/>
      <c r="BA14" s="59"/>
      <c r="BB14" s="59"/>
      <c r="BC14" s="1201"/>
      <c r="BD14" s="27"/>
      <c r="BE14" s="1200"/>
      <c r="BF14" s="305"/>
      <c r="BG14" s="59"/>
      <c r="BH14" s="59"/>
      <c r="BI14" s="59"/>
      <c r="BJ14" s="59"/>
      <c r="BK14" s="1201"/>
      <c r="BL14" s="27"/>
      <c r="BM14" s="27"/>
      <c r="BN14" s="1200"/>
      <c r="BO14" s="305"/>
      <c r="BP14" s="59"/>
      <c r="BQ14" s="59"/>
      <c r="BR14" s="59"/>
      <c r="BS14" s="59"/>
      <c r="BT14" s="1201"/>
      <c r="BU14" s="27"/>
      <c r="BV14" s="27"/>
      <c r="BW14" s="1200"/>
      <c r="BX14" s="305"/>
      <c r="BY14" s="59"/>
      <c r="BZ14" s="59"/>
      <c r="CA14" s="59"/>
      <c r="CB14" s="59"/>
      <c r="CC14" s="1201"/>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row>
    <row r="15" spans="1:108" ht="14.45" customHeight="1">
      <c r="A15" s="531"/>
      <c r="B15" s="531"/>
      <c r="C15" s="2132"/>
      <c r="D15" s="1117"/>
      <c r="E15" s="4"/>
      <c r="F15" s="1120"/>
      <c r="G15" s="4"/>
      <c r="H15" s="618"/>
      <c r="I15" s="1088" t="s">
        <v>1882</v>
      </c>
      <c r="J15" s="360"/>
      <c r="K15" s="264"/>
      <c r="L15" s="63">
        <f>IF(J15&gt;0,IF(K15&gt;0,Fehler1,INDEX(UWert!$BD$7:$BD$41,J15)),K15)</f>
        <v>0</v>
      </c>
      <c r="M15" s="264"/>
      <c r="N15" s="28">
        <f>IF(J15&gt;0,IF(M15&gt;0,Fehler1,INDEX(UWert!$BE$7:$BE$41,J15)),M15)</f>
        <v>0</v>
      </c>
      <c r="O15" s="264"/>
      <c r="P15" s="2"/>
      <c r="Q15" s="1125"/>
      <c r="R15" s="1127"/>
      <c r="S15" s="1127"/>
      <c r="T15" s="1161" t="str">
        <f>T30</f>
        <v>Surplomb</v>
      </c>
      <c r="U15" s="1127"/>
      <c r="V15" s="1127"/>
      <c r="W15" s="1127"/>
      <c r="X15" s="1128"/>
      <c r="Y15" s="174"/>
      <c r="Z15" s="174"/>
      <c r="AA15" s="174"/>
      <c r="AB15" s="4"/>
      <c r="AC15" s="4"/>
      <c r="AD15" s="467" t="str">
        <f>AD30</f>
        <v>Ecran latéral</v>
      </c>
      <c r="AE15" s="4"/>
      <c r="AF15" s="4"/>
      <c r="AG15" s="4"/>
      <c r="AH15" s="4"/>
      <c r="AI15" s="514"/>
      <c r="AJ15" s="1135"/>
      <c r="AK15" s="1129">
        <f>BC15*BK15*BT15*CC15</f>
        <v>0.25644704000000001</v>
      </c>
      <c r="AL15" s="1173"/>
      <c r="AM15" s="554">
        <f>IF(O15&gt;0,MIN(O15,0.95),IF(_Ver09,0.7,0.75))</f>
        <v>0.75</v>
      </c>
      <c r="AN15" s="554">
        <f>IF(N15&gt;0,MIN(N15,0.9),)</f>
        <v>0</v>
      </c>
      <c r="AO15" s="63">
        <f>IF(F15&gt;0,H15*F15,H15)</f>
        <v>0</v>
      </c>
      <c r="AP15" s="280">
        <f>$K$8</f>
        <v>30</v>
      </c>
      <c r="AQ15" s="1366">
        <f>$L$8</f>
        <v>30</v>
      </c>
      <c r="AR15" s="1366">
        <f>$M$8</f>
        <v>30</v>
      </c>
      <c r="AS15" s="1366">
        <f>$N$8</f>
        <v>30</v>
      </c>
      <c r="AT15" s="63"/>
      <c r="AU15" s="626" t="str">
        <f>IF(AND(AO15&gt;0,OR(L15=0,N15=0)),"Nicht alle Eingaben gewählt","")</f>
        <v/>
      </c>
      <c r="AV15" s="174"/>
      <c r="AW15" s="1093">
        <f>AP15</f>
        <v>30</v>
      </c>
      <c r="AX15" s="1094">
        <f>IF(AW15&lt;Tab!$B$78,1,IF(AW15&lt;Tab!$B$79,2,IF(AW15&lt;Tab!$B$80,3,IF(AW15&lt;Tab!$B$81,4,5))))</f>
        <v>4</v>
      </c>
      <c r="AY15" s="1095">
        <f>INDEX(Tab!$B$77:$B$82,AX15,1)</f>
        <v>30</v>
      </c>
      <c r="AZ15" s="1095">
        <f>INDEX(Tab!$B$77:$B$82,AX15+1,1)</f>
        <v>40</v>
      </c>
      <c r="BA15" s="1106">
        <f>INDEX(Tab!$C$77:$D$82,AX15,1+Ausrichtung)</f>
        <v>0.59</v>
      </c>
      <c r="BB15" s="1106">
        <f>INDEX(Tab!$C$77:$D$82,AX15+1,1+Ausrichtung)</f>
        <v>0.45</v>
      </c>
      <c r="BC15" s="1102">
        <f>BB15+(BA15-BB15)/(AZ15-AY15)*(AZ15-AW15)</f>
        <v>0.59</v>
      </c>
      <c r="BE15" s="1093">
        <f>AQ15</f>
        <v>30</v>
      </c>
      <c r="BF15" s="1094">
        <f>IF(BE15&lt;Tab!$B$78,1,IF(BE15&lt;Tab!$B$79,2,IF(BE15&lt;Tab!$B$80,3,IF(BE15&lt;Tab!$B$81,4,5))))</f>
        <v>4</v>
      </c>
      <c r="BG15" s="1095">
        <f>INDEX(Tab!$B$77:$B$82,BF15,1)</f>
        <v>30</v>
      </c>
      <c r="BH15" s="1095">
        <f>INDEX(Tab!$B$77:$B$82,BF15+1,1)</f>
        <v>40</v>
      </c>
      <c r="BI15" s="1106">
        <f>INDEX(Tab!$E$77:$F$82,BF15,1+Ausrichtung)</f>
        <v>0.68</v>
      </c>
      <c r="BJ15" s="1106">
        <f>INDEX(Tab!$E$77:$F$82,BF15+1,1+Ausrichtung)</f>
        <v>0.6</v>
      </c>
      <c r="BK15" s="1102">
        <f>BJ15+(BI15-BJ15)/(BH15-BG15)*(BH15-BE15)</f>
        <v>0.68</v>
      </c>
      <c r="BN15" s="1093">
        <f>AR15</f>
        <v>30</v>
      </c>
      <c r="BO15" s="1094">
        <f>IF(BN15&lt;Tab!$B$78,1,IF(BN15&lt;Tab!$B$79,2,IF(BN15&lt;Tab!$B$80,3,IF(BN15&lt;Tab!$B$81,4,5))))</f>
        <v>4</v>
      </c>
      <c r="BP15" s="1095">
        <f>INDEX(Tab!$B$77:$B$82,BO15,1)</f>
        <v>30</v>
      </c>
      <c r="BQ15" s="1095">
        <f>INDEX(Tab!$B$77:$B$82,BO15+1,1)</f>
        <v>40</v>
      </c>
      <c r="BR15" s="1106">
        <f>INDEX(Tab!$G$77:$H$82,BO15,1+Ausrichtung)</f>
        <v>0.68</v>
      </c>
      <c r="BS15" s="1106">
        <f>INDEX(Tab!$G$77:$H$82,BO15+1,1+Ausrichtung)</f>
        <v>0.6</v>
      </c>
      <c r="BT15" s="1102">
        <f>BS15+(BR15-BS15)/(BQ15-BP15)*(BQ15-BN15)</f>
        <v>0.68</v>
      </c>
      <c r="BW15" s="1093">
        <f>AS15</f>
        <v>30</v>
      </c>
      <c r="BX15" s="1094">
        <f>IF(BW15&lt;Tab!$B$78,1,IF(BW15&lt;Tab!$B$79,2,IF(BW15&lt;Tab!$B$80,3,IF(BW15&lt;Tab!$B$81,4,5))))</f>
        <v>4</v>
      </c>
      <c r="BY15" s="1095">
        <f>INDEX(Tab!$B$77:$B$82,BX15,1)</f>
        <v>30</v>
      </c>
      <c r="BZ15" s="1095">
        <f>INDEX(Tab!$B$77:$B$82,BX15+1,1)</f>
        <v>40</v>
      </c>
      <c r="CA15" s="1106">
        <f>INDEX(Tab!$I$77:$J$82,BX15,1+Ausrichtung)</f>
        <v>0.94</v>
      </c>
      <c r="CB15" s="1106">
        <f>INDEX(Tab!$I$77:$J$82,BX15+1,1+Ausrichtung)</f>
        <v>0.9</v>
      </c>
      <c r="CC15" s="1102">
        <f>CB15+(CA15-CB15)/(BZ15-BY15)*(BZ15-BW15)</f>
        <v>0.94</v>
      </c>
    </row>
    <row r="16" spans="1:108" s="1196" customFormat="1" ht="3.6" customHeight="1">
      <c r="A16" s="531"/>
      <c r="B16" s="531"/>
      <c r="C16" s="531"/>
      <c r="D16" s="1197"/>
      <c r="E16" s="4"/>
      <c r="F16" s="1192"/>
      <c r="G16" s="4"/>
      <c r="H16" s="1198"/>
      <c r="I16" s="434"/>
      <c r="J16" s="434"/>
      <c r="K16" s="1199"/>
      <c r="L16" s="63"/>
      <c r="M16" s="4"/>
      <c r="N16" s="28"/>
      <c r="O16" s="1199"/>
      <c r="P16" s="2"/>
      <c r="Q16" s="1142"/>
      <c r="R16" s="1140"/>
      <c r="S16" s="1140"/>
      <c r="T16" s="1140"/>
      <c r="U16" s="1140"/>
      <c r="V16" s="1140"/>
      <c r="W16" s="1140"/>
      <c r="X16" s="1193"/>
      <c r="Y16" s="27"/>
      <c r="Z16" s="27"/>
      <c r="AA16" s="27"/>
      <c r="AB16" s="4"/>
      <c r="AC16" s="4"/>
      <c r="AD16" s="4"/>
      <c r="AE16" s="4"/>
      <c r="AF16" s="4"/>
      <c r="AG16" s="4"/>
      <c r="AH16" s="4"/>
      <c r="AI16" s="57"/>
      <c r="AJ16" s="1194"/>
      <c r="AK16" s="1129"/>
      <c r="AL16" s="1173"/>
      <c r="AM16" s="445"/>
      <c r="AN16" s="445"/>
      <c r="AO16" s="63"/>
      <c r="AP16" s="280"/>
      <c r="AQ16" s="1366"/>
      <c r="AR16" s="1366"/>
      <c r="AS16" s="1366"/>
      <c r="AT16" s="63"/>
      <c r="AU16" s="1195"/>
      <c r="AV16" s="27"/>
      <c r="AW16" s="1200"/>
      <c r="AX16" s="305"/>
      <c r="AY16" s="59"/>
      <c r="AZ16" s="59"/>
      <c r="BA16" s="59"/>
      <c r="BB16" s="59"/>
      <c r="BC16" s="1201"/>
      <c r="BD16" s="27"/>
      <c r="BE16" s="1200"/>
      <c r="BF16" s="305"/>
      <c r="BG16" s="59"/>
      <c r="BH16" s="59"/>
      <c r="BI16" s="59"/>
      <c r="BJ16" s="59"/>
      <c r="BK16" s="1201"/>
      <c r="BL16" s="27"/>
      <c r="BM16" s="27"/>
      <c r="BN16" s="1200"/>
      <c r="BO16" s="305"/>
      <c r="BP16" s="59"/>
      <c r="BQ16" s="59"/>
      <c r="BR16" s="59"/>
      <c r="BS16" s="59"/>
      <c r="BT16" s="1201"/>
      <c r="BU16" s="27"/>
      <c r="BV16" s="27"/>
      <c r="BW16" s="1200"/>
      <c r="BX16" s="305"/>
      <c r="BY16" s="59"/>
      <c r="BZ16" s="59"/>
      <c r="CA16" s="59"/>
      <c r="CB16" s="59"/>
      <c r="CC16" s="1201"/>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row>
    <row r="17" spans="1:108" ht="14.45" customHeight="1">
      <c r="A17" s="531"/>
      <c r="B17" s="531"/>
      <c r="C17" s="2132"/>
      <c r="D17" s="1117"/>
      <c r="E17" s="4"/>
      <c r="F17" s="1120"/>
      <c r="G17" s="4"/>
      <c r="H17" s="618"/>
      <c r="I17" s="1088" t="s">
        <v>1882</v>
      </c>
      <c r="J17" s="360"/>
      <c r="K17" s="264"/>
      <c r="L17" s="63">
        <f>IF(J17&gt;0,IF(K17&gt;0,Fehler1,INDEX(UWert!$BD$7:$BD$41,J17)),K17)</f>
        <v>0</v>
      </c>
      <c r="M17" s="264"/>
      <c r="N17" s="28">
        <f>IF(J17&gt;0,IF(M17&gt;0,Fehler1,INDEX(UWert!$BE$7:$BE$41,J17)),M17)</f>
        <v>0</v>
      </c>
      <c r="O17" s="264"/>
      <c r="P17" s="2"/>
      <c r="Q17" s="1125"/>
      <c r="R17" s="1127"/>
      <c r="S17" s="1127"/>
      <c r="T17" s="1127"/>
      <c r="U17" s="1127"/>
      <c r="V17" s="1127"/>
      <c r="W17" s="1127"/>
      <c r="X17" s="1128"/>
      <c r="Y17" s="174"/>
      <c r="Z17" s="174"/>
      <c r="AA17" s="174"/>
      <c r="AB17" s="4"/>
      <c r="AC17" s="4"/>
      <c r="AD17" s="4"/>
      <c r="AE17" s="4"/>
      <c r="AF17" s="4"/>
      <c r="AG17" s="4"/>
      <c r="AH17" s="4"/>
      <c r="AI17" s="514"/>
      <c r="AJ17" s="1135"/>
      <c r="AK17" s="1129">
        <f>BC17*BK17*BT17*CC17</f>
        <v>0.25644704000000001</v>
      </c>
      <c r="AL17" s="1173"/>
      <c r="AM17" s="554">
        <f>IF(O17&gt;0,MIN(O17,0.95),IF(_Ver09,0.7,0.75))</f>
        <v>0.75</v>
      </c>
      <c r="AN17" s="554">
        <f>IF(N17&gt;0,MIN(N17,0.9),)</f>
        <v>0</v>
      </c>
      <c r="AO17" s="63">
        <f>IF(F17&gt;0,H17*F17,H17)</f>
        <v>0</v>
      </c>
      <c r="AP17" s="280">
        <f>$K$8</f>
        <v>30</v>
      </c>
      <c r="AQ17" s="1366">
        <f>$L$8</f>
        <v>30</v>
      </c>
      <c r="AR17" s="1366">
        <f>$M$8</f>
        <v>30</v>
      </c>
      <c r="AS17" s="1366">
        <f>$N$8</f>
        <v>30</v>
      </c>
      <c r="AT17" s="63"/>
      <c r="AU17" s="626" t="str">
        <f>IF(AND(AO17&gt;0,OR(L17=0,N17=0)),"Nicht alle Eingaben gewählt","")</f>
        <v/>
      </c>
      <c r="AV17" s="174"/>
      <c r="AW17" s="1090">
        <f>AP17</f>
        <v>30</v>
      </c>
      <c r="AX17" s="1094">
        <f>IF(AW17&lt;Tab!$B$78,1,IF(AW17&lt;Tab!$B$79,2,IF(AW17&lt;Tab!$B$80,3,IF(AW17&lt;Tab!$B$81,4,5))))</f>
        <v>4</v>
      </c>
      <c r="AY17" s="1095">
        <f>INDEX(Tab!$B$77:$B$82,AX17,1)</f>
        <v>30</v>
      </c>
      <c r="AZ17" s="1095">
        <f>INDEX(Tab!$B$77:$B$82,AX17+1,1)</f>
        <v>40</v>
      </c>
      <c r="BA17" s="1106">
        <f>INDEX(Tab!$C$77:$D$82,AX17,1+Ausrichtung)</f>
        <v>0.59</v>
      </c>
      <c r="BB17" s="1106">
        <f>INDEX(Tab!$C$77:$D$82,AX17+1,1+Ausrichtung)</f>
        <v>0.45</v>
      </c>
      <c r="BC17" s="1102">
        <f>BB17+(BA17-BB17)/(AZ17-AY17)*(AZ17-AW17)</f>
        <v>0.59</v>
      </c>
      <c r="BE17" s="1093">
        <f>AQ17</f>
        <v>30</v>
      </c>
      <c r="BF17" s="1094">
        <f>IF(BE17&lt;Tab!$B$78,1,IF(BE17&lt;Tab!$B$79,2,IF(BE17&lt;Tab!$B$80,3,IF(BE17&lt;Tab!$B$81,4,5))))</f>
        <v>4</v>
      </c>
      <c r="BG17" s="1095">
        <f>INDEX(Tab!$B$77:$B$82,BF17,1)</f>
        <v>30</v>
      </c>
      <c r="BH17" s="1095">
        <f>INDEX(Tab!$B$77:$B$82,BF17+1,1)</f>
        <v>40</v>
      </c>
      <c r="BI17" s="1106">
        <f>INDEX(Tab!$E$77:$F$82,BF17,1+Ausrichtung)</f>
        <v>0.68</v>
      </c>
      <c r="BJ17" s="1106">
        <f>INDEX(Tab!$E$77:$F$82,BF17+1,1+Ausrichtung)</f>
        <v>0.6</v>
      </c>
      <c r="BK17" s="1102">
        <f>BJ17+(BI17-BJ17)/(BH17-BG17)*(BH17-BE17)</f>
        <v>0.68</v>
      </c>
      <c r="BN17" s="1093">
        <f>AR17</f>
        <v>30</v>
      </c>
      <c r="BO17" s="1094">
        <f>IF(BN17&lt;Tab!$B$78,1,IF(BN17&lt;Tab!$B$79,2,IF(BN17&lt;Tab!$B$80,3,IF(BN17&lt;Tab!$B$81,4,5))))</f>
        <v>4</v>
      </c>
      <c r="BP17" s="1095">
        <f>INDEX(Tab!$B$77:$B$82,BO17,1)</f>
        <v>30</v>
      </c>
      <c r="BQ17" s="1095">
        <f>INDEX(Tab!$B$77:$B$82,BO17+1,1)</f>
        <v>40</v>
      </c>
      <c r="BR17" s="1106">
        <f>INDEX(Tab!$G$77:$H$82,BO17,1+Ausrichtung)</f>
        <v>0.68</v>
      </c>
      <c r="BS17" s="1106">
        <f>INDEX(Tab!$G$77:$H$82,BO17+1,1+Ausrichtung)</f>
        <v>0.6</v>
      </c>
      <c r="BT17" s="1102">
        <f>BS17+(BR17-BS17)/(BQ17-BP17)*(BQ17-BN17)</f>
        <v>0.68</v>
      </c>
      <c r="BW17" s="1093">
        <f>AS17</f>
        <v>30</v>
      </c>
      <c r="BX17" s="1094">
        <f>IF(BW17&lt;Tab!$B$78,1,IF(BW17&lt;Tab!$B$79,2,IF(BW17&lt;Tab!$B$80,3,IF(BW17&lt;Tab!$B$81,4,5))))</f>
        <v>4</v>
      </c>
      <c r="BY17" s="1095">
        <f>INDEX(Tab!$B$77:$B$82,BX17,1)</f>
        <v>30</v>
      </c>
      <c r="BZ17" s="1095">
        <f>INDEX(Tab!$B$77:$B$82,BX17+1,1)</f>
        <v>40</v>
      </c>
      <c r="CA17" s="1106">
        <f>INDEX(Tab!$I$77:$J$82,BX17,1+Ausrichtung)</f>
        <v>0.94</v>
      </c>
      <c r="CB17" s="1106">
        <f>INDEX(Tab!$I$77:$J$82,BX17+1,1+Ausrichtung)</f>
        <v>0.9</v>
      </c>
      <c r="CC17" s="1102">
        <f>CB17+(CA17-CB17)/(BZ17-BY17)*(BZ17-BW17)</f>
        <v>0.94</v>
      </c>
    </row>
    <row r="18" spans="1:108" s="1196" customFormat="1" ht="3.6" customHeight="1">
      <c r="A18" s="531"/>
      <c r="B18" s="531"/>
      <c r="C18" s="531"/>
      <c r="D18" s="1113"/>
      <c r="E18" s="4"/>
      <c r="F18" s="1192"/>
      <c r="G18" s="4"/>
      <c r="H18" s="1198"/>
      <c r="I18" s="434"/>
      <c r="J18" s="434"/>
      <c r="K18" s="4"/>
      <c r="L18" s="63"/>
      <c r="M18" s="4"/>
      <c r="N18" s="28"/>
      <c r="O18" s="4"/>
      <c r="P18" s="2"/>
      <c r="Q18" s="1142"/>
      <c r="R18" s="1140"/>
      <c r="S18" s="1140"/>
      <c r="T18" s="1140"/>
      <c r="U18" s="1140"/>
      <c r="V18" s="1140"/>
      <c r="W18" s="1140"/>
      <c r="X18" s="1193"/>
      <c r="Y18" s="27"/>
      <c r="Z18" s="27"/>
      <c r="AA18" s="27"/>
      <c r="AB18" s="4"/>
      <c r="AC18" s="4"/>
      <c r="AD18" s="4"/>
      <c r="AE18" s="4"/>
      <c r="AF18" s="4"/>
      <c r="AG18" s="4"/>
      <c r="AH18" s="4"/>
      <c r="AI18" s="57"/>
      <c r="AJ18" s="1194"/>
      <c r="AK18" s="1129"/>
      <c r="AL18" s="1173"/>
      <c r="AM18" s="445"/>
      <c r="AN18" s="445"/>
      <c r="AO18" s="63"/>
      <c r="AP18" s="280"/>
      <c r="AQ18" s="1366"/>
      <c r="AR18" s="1366"/>
      <c r="AS18" s="1366"/>
      <c r="AT18" s="63"/>
      <c r="AU18" s="1195"/>
      <c r="AV18" s="27"/>
      <c r="AW18" s="1200"/>
      <c r="AX18" s="327"/>
      <c r="AY18" s="63"/>
      <c r="AZ18" s="63"/>
      <c r="BA18" s="63"/>
      <c r="BB18" s="63"/>
      <c r="BC18" s="1204"/>
      <c r="BD18" s="27"/>
      <c r="BE18" s="1200"/>
      <c r="BF18" s="327"/>
      <c r="BG18" s="63"/>
      <c r="BH18" s="63"/>
      <c r="BI18" s="63"/>
      <c r="BJ18" s="63"/>
      <c r="BK18" s="1204"/>
      <c r="BL18" s="27"/>
      <c r="BM18" s="27"/>
      <c r="BN18" s="1200"/>
      <c r="BO18" s="327"/>
      <c r="BP18" s="63"/>
      <c r="BQ18" s="63"/>
      <c r="BR18" s="63"/>
      <c r="BS18" s="63"/>
      <c r="BT18" s="1204"/>
      <c r="BU18" s="27"/>
      <c r="BV18" s="27"/>
      <c r="BW18" s="1200"/>
      <c r="BX18" s="327"/>
      <c r="BY18" s="63"/>
      <c r="BZ18" s="63"/>
      <c r="CA18" s="63"/>
      <c r="CB18" s="63"/>
      <c r="CC18" s="1204"/>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row>
    <row r="19" spans="1:108" ht="14.45" customHeight="1">
      <c r="A19" s="531"/>
      <c r="B19" s="531"/>
      <c r="C19" s="2132"/>
      <c r="D19" s="1117"/>
      <c r="E19" s="4"/>
      <c r="F19" s="1120"/>
      <c r="G19" s="4"/>
      <c r="H19" s="618"/>
      <c r="I19" s="1088" t="s">
        <v>1882</v>
      </c>
      <c r="J19" s="360"/>
      <c r="K19" s="264"/>
      <c r="L19" s="63">
        <f>IF(J19&gt;0,IF(K19&gt;0,Fehler1,INDEX(UWert!$BD$7:$BD$41,J19)),K19)</f>
        <v>0</v>
      </c>
      <c r="M19" s="264"/>
      <c r="N19" s="28">
        <f>IF(J19&gt;0,IF(M19&gt;0,Fehler1,INDEX(UWert!$BE$7:$BE$41,J19)),M19)</f>
        <v>0</v>
      </c>
      <c r="O19" s="264"/>
      <c r="P19" s="2"/>
      <c r="Q19" s="1125"/>
      <c r="R19" s="1127"/>
      <c r="S19" s="1127"/>
      <c r="T19" s="1127"/>
      <c r="U19" s="1127"/>
      <c r="V19" s="1127"/>
      <c r="W19" s="1127"/>
      <c r="X19" s="1128"/>
      <c r="Y19" s="174"/>
      <c r="Z19" s="174"/>
      <c r="AA19" s="174"/>
      <c r="AB19" s="4"/>
      <c r="AC19" s="4"/>
      <c r="AD19" s="4"/>
      <c r="AE19" s="4"/>
      <c r="AF19" s="4"/>
      <c r="AG19" s="4"/>
      <c r="AH19" s="4"/>
      <c r="AI19" s="514"/>
      <c r="AJ19" s="1135"/>
      <c r="AK19" s="1129">
        <f>BC19*BK19*BT19*CC19</f>
        <v>0.25644704000000001</v>
      </c>
      <c r="AL19" s="1173"/>
      <c r="AM19" s="554">
        <f>IF(O19&gt;0,MIN(O19,0.95),IF(_Ver09,0.7,0.75))</f>
        <v>0.75</v>
      </c>
      <c r="AN19" s="554">
        <f>IF(N19&gt;0,MIN(N19,0.9),)</f>
        <v>0</v>
      </c>
      <c r="AO19" s="63">
        <f>IF(F19&gt;0,H19*F19,H19)</f>
        <v>0</v>
      </c>
      <c r="AP19" s="280">
        <f>$K$8</f>
        <v>30</v>
      </c>
      <c r="AQ19" s="1366">
        <f>$L$8</f>
        <v>30</v>
      </c>
      <c r="AR19" s="1366">
        <f>$M$8</f>
        <v>30</v>
      </c>
      <c r="AS19" s="1366">
        <f>$N$8</f>
        <v>30</v>
      </c>
      <c r="AT19" s="63"/>
      <c r="AU19" s="626" t="str">
        <f>IF(AND(AO19&gt;0,OR(L19=0,N19=0)),"Nicht alle Eingaben gewählt","")</f>
        <v/>
      </c>
      <c r="AV19" s="174"/>
      <c r="AW19" s="1093">
        <f>AP19</f>
        <v>30</v>
      </c>
      <c r="AX19" s="1094">
        <f>IF(AW19&lt;Tab!$B$78,1,IF(AW19&lt;Tab!$B$79,2,IF(AW19&lt;Tab!$B$80,3,IF(AW19&lt;Tab!$B$81,4,5))))</f>
        <v>4</v>
      </c>
      <c r="AY19" s="1095">
        <f>INDEX(Tab!$B$77:$B$82,AX19,1)</f>
        <v>30</v>
      </c>
      <c r="AZ19" s="1095">
        <f>INDEX(Tab!$B$77:$B$82,AX19+1,1)</f>
        <v>40</v>
      </c>
      <c r="BA19" s="1106">
        <f>INDEX(Tab!$C$77:$D$82,AX19,1+Ausrichtung)</f>
        <v>0.59</v>
      </c>
      <c r="BB19" s="1106">
        <f>INDEX(Tab!$C$77:$D$82,AX19+1,1+Ausrichtung)</f>
        <v>0.45</v>
      </c>
      <c r="BC19" s="1102">
        <f>BB19+(BA19-BB19)/(AZ19-AY19)*(AZ19-AW19)</f>
        <v>0.59</v>
      </c>
      <c r="BE19" s="1093">
        <f>AQ19</f>
        <v>30</v>
      </c>
      <c r="BF19" s="1094">
        <f>IF(BE19&lt;Tab!$B$78,1,IF(BE19&lt;Tab!$B$79,2,IF(BE19&lt;Tab!$B$80,3,IF(BE19&lt;Tab!$B$81,4,5))))</f>
        <v>4</v>
      </c>
      <c r="BG19" s="1095">
        <f>INDEX(Tab!$B$77:$B$82,BF19,1)</f>
        <v>30</v>
      </c>
      <c r="BH19" s="1095">
        <f>INDEX(Tab!$B$77:$B$82,BF19+1,1)</f>
        <v>40</v>
      </c>
      <c r="BI19" s="1106">
        <f>INDEX(Tab!$E$77:$F$82,BF19,1+Ausrichtung)</f>
        <v>0.68</v>
      </c>
      <c r="BJ19" s="1106">
        <f>INDEX(Tab!$E$77:$F$82,BF19+1,1+Ausrichtung)</f>
        <v>0.6</v>
      </c>
      <c r="BK19" s="1102">
        <f>BJ19+(BI19-BJ19)/(BH19-BG19)*(BH19-BE19)</f>
        <v>0.68</v>
      </c>
      <c r="BN19" s="1093">
        <f>AR19</f>
        <v>30</v>
      </c>
      <c r="BO19" s="1094">
        <f>IF(BN19&lt;Tab!$B$78,1,IF(BN19&lt;Tab!$B$79,2,IF(BN19&lt;Tab!$B$80,3,IF(BN19&lt;Tab!$B$81,4,5))))</f>
        <v>4</v>
      </c>
      <c r="BP19" s="1095">
        <f>INDEX(Tab!$B$77:$B$82,BO19,1)</f>
        <v>30</v>
      </c>
      <c r="BQ19" s="1095">
        <f>INDEX(Tab!$B$77:$B$82,BO19+1,1)</f>
        <v>40</v>
      </c>
      <c r="BR19" s="1106">
        <f>INDEX(Tab!$G$77:$H$82,BO19,1+Ausrichtung)</f>
        <v>0.68</v>
      </c>
      <c r="BS19" s="1106">
        <f>INDEX(Tab!$G$77:$H$82,BO19+1,1+Ausrichtung)</f>
        <v>0.6</v>
      </c>
      <c r="BT19" s="1102">
        <f>BS19+(BR19-BS19)/(BQ19-BP19)*(BQ19-BN19)</f>
        <v>0.68</v>
      </c>
      <c r="BW19" s="1093">
        <f>AS19</f>
        <v>30</v>
      </c>
      <c r="BX19" s="1094">
        <f>IF(BW19&lt;Tab!$B$78,1,IF(BW19&lt;Tab!$B$79,2,IF(BW19&lt;Tab!$B$80,3,IF(BW19&lt;Tab!$B$81,4,5))))</f>
        <v>4</v>
      </c>
      <c r="BY19" s="1095">
        <f>INDEX(Tab!$B$77:$B$82,BX19,1)</f>
        <v>30</v>
      </c>
      <c r="BZ19" s="1095">
        <f>INDEX(Tab!$B$77:$B$82,BX19+1,1)</f>
        <v>40</v>
      </c>
      <c r="CA19" s="1106">
        <f>INDEX(Tab!$I$77:$J$82,BX19,1+Ausrichtung)</f>
        <v>0.94</v>
      </c>
      <c r="CB19" s="1106">
        <f>INDEX(Tab!$I$77:$J$82,BX19+1,1+Ausrichtung)</f>
        <v>0.9</v>
      </c>
      <c r="CC19" s="1102">
        <f>CB19+(CA19-CB19)/(BZ19-BY19)*(BZ19-BW19)</f>
        <v>0.94</v>
      </c>
    </row>
    <row r="20" spans="1:108" s="1196" customFormat="1" ht="3.6" customHeight="1">
      <c r="A20" s="531"/>
      <c r="B20" s="531"/>
      <c r="C20" s="531"/>
      <c r="D20" s="1197"/>
      <c r="E20" s="4"/>
      <c r="F20" s="1192"/>
      <c r="G20" s="4"/>
      <c r="H20" s="1198"/>
      <c r="I20" s="434"/>
      <c r="J20" s="434"/>
      <c r="K20" s="1199"/>
      <c r="L20" s="63"/>
      <c r="M20" s="4"/>
      <c r="N20" s="28"/>
      <c r="O20" s="1199"/>
      <c r="P20" s="2"/>
      <c r="Q20" s="1142"/>
      <c r="R20" s="1140"/>
      <c r="S20" s="1140"/>
      <c r="T20" s="1140"/>
      <c r="U20" s="1140"/>
      <c r="V20" s="1140"/>
      <c r="W20" s="1140"/>
      <c r="X20" s="1193"/>
      <c r="Y20" s="27"/>
      <c r="Z20" s="27"/>
      <c r="AA20" s="27"/>
      <c r="AB20" s="4"/>
      <c r="AC20" s="4"/>
      <c r="AD20" s="4"/>
      <c r="AE20" s="4"/>
      <c r="AF20" s="4"/>
      <c r="AG20" s="4"/>
      <c r="AH20" s="4"/>
      <c r="AI20" s="57"/>
      <c r="AJ20" s="1194"/>
      <c r="AK20" s="1129"/>
      <c r="AL20" s="1173"/>
      <c r="AM20" s="445"/>
      <c r="AN20" s="445"/>
      <c r="AO20" s="63"/>
      <c r="AP20" s="280"/>
      <c r="AQ20" s="1366"/>
      <c r="AR20" s="1366"/>
      <c r="AS20" s="1366"/>
      <c r="AT20" s="63"/>
      <c r="AU20" s="1195"/>
      <c r="AV20" s="27"/>
      <c r="AW20" s="1200"/>
      <c r="AX20" s="305"/>
      <c r="AY20" s="59"/>
      <c r="AZ20" s="59"/>
      <c r="BA20" s="59"/>
      <c r="BB20" s="59"/>
      <c r="BC20" s="1201"/>
      <c r="BD20" s="27"/>
      <c r="BE20" s="1200"/>
      <c r="BF20" s="305"/>
      <c r="BG20" s="59"/>
      <c r="BH20" s="59"/>
      <c r="BI20" s="59"/>
      <c r="BJ20" s="59"/>
      <c r="BK20" s="1201"/>
      <c r="BL20" s="27"/>
      <c r="BM20" s="27"/>
      <c r="BN20" s="1200"/>
      <c r="BO20" s="305"/>
      <c r="BP20" s="59"/>
      <c r="BQ20" s="59"/>
      <c r="BR20" s="59"/>
      <c r="BS20" s="59"/>
      <c r="BT20" s="1201"/>
      <c r="BU20" s="27"/>
      <c r="BV20" s="27"/>
      <c r="BW20" s="1200"/>
      <c r="BX20" s="305"/>
      <c r="BY20" s="59"/>
      <c r="BZ20" s="59"/>
      <c r="CA20" s="59"/>
      <c r="CB20" s="59"/>
      <c r="CC20" s="1201"/>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row>
    <row r="21" spans="1:108" ht="14.45" customHeight="1">
      <c r="A21" s="531"/>
      <c r="B21" s="531"/>
      <c r="C21" s="2132"/>
      <c r="D21" s="1117"/>
      <c r="E21" s="4"/>
      <c r="F21" s="1120"/>
      <c r="G21" s="4"/>
      <c r="H21" s="618"/>
      <c r="I21" s="1088" t="s">
        <v>1882</v>
      </c>
      <c r="J21" s="360"/>
      <c r="K21" s="264"/>
      <c r="L21" s="63">
        <f>IF(J21&gt;0,IF(K21&gt;0,Fehler1,INDEX(UWert!$BD$7:$BD$41,J21)),K21)</f>
        <v>0</v>
      </c>
      <c r="M21" s="264"/>
      <c r="N21" s="28">
        <f>IF(J21&gt;0,IF(M21&gt;0,Fehler1,INDEX(UWert!$BE$7:$BE$41,J21)),M21)</f>
        <v>0</v>
      </c>
      <c r="O21" s="264"/>
      <c r="P21" s="2"/>
      <c r="Q21" s="1125"/>
      <c r="R21" s="1127"/>
      <c r="S21" s="1127"/>
      <c r="T21" s="1127"/>
      <c r="U21" s="1127"/>
      <c r="V21" s="1127"/>
      <c r="W21" s="1127"/>
      <c r="X21" s="1128"/>
      <c r="Y21" s="174"/>
      <c r="Z21" s="174"/>
      <c r="AA21" s="174"/>
      <c r="AB21" s="4"/>
      <c r="AC21" s="4"/>
      <c r="AD21" s="4"/>
      <c r="AE21" s="4"/>
      <c r="AF21" s="4"/>
      <c r="AG21" s="4"/>
      <c r="AH21" s="4"/>
      <c r="AI21" s="514"/>
      <c r="AJ21" s="1135"/>
      <c r="AK21" s="1129">
        <f>BC21*BK21*BT21*CC21</f>
        <v>0.25644704000000001</v>
      </c>
      <c r="AL21" s="1173"/>
      <c r="AM21" s="554">
        <f>IF(O21&gt;0,MIN(O21,0.95),IF(_Ver09,0.7,0.75))</f>
        <v>0.75</v>
      </c>
      <c r="AN21" s="554">
        <f>IF(N21&gt;0,MIN(N21,0.9),)</f>
        <v>0</v>
      </c>
      <c r="AO21" s="63">
        <f>IF(F21&gt;0,H21*F21,H21)</f>
        <v>0</v>
      </c>
      <c r="AP21" s="280">
        <f>$K$8</f>
        <v>30</v>
      </c>
      <c r="AQ21" s="1366">
        <f>$L$8</f>
        <v>30</v>
      </c>
      <c r="AR21" s="1366">
        <f>$M$8</f>
        <v>30</v>
      </c>
      <c r="AS21" s="1366">
        <f>$N$8</f>
        <v>30</v>
      </c>
      <c r="AT21" s="63"/>
      <c r="AU21" s="626" t="str">
        <f>IF(AND(AO21&gt;0,OR(L21=0,N21=0)),"Nicht alle Eingaben gewählt","")</f>
        <v/>
      </c>
      <c r="AV21" s="174"/>
      <c r="AW21" s="1093">
        <f>AP21</f>
        <v>30</v>
      </c>
      <c r="AX21" s="1094">
        <f>IF(AW21&lt;Tab!$B$78,1,IF(AW21&lt;Tab!$B$79,2,IF(AW21&lt;Tab!$B$80,3,IF(AW21&lt;Tab!$B$81,4,5))))</f>
        <v>4</v>
      </c>
      <c r="AY21" s="1095">
        <f>INDEX(Tab!$B$77:$B$82,AX21,1)</f>
        <v>30</v>
      </c>
      <c r="AZ21" s="1095">
        <f>INDEX(Tab!$B$77:$B$82,AX21+1,1)</f>
        <v>40</v>
      </c>
      <c r="BA21" s="1106">
        <f>INDEX(Tab!$C$77:$D$82,AX21,1+Ausrichtung)</f>
        <v>0.59</v>
      </c>
      <c r="BB21" s="1106">
        <f>INDEX(Tab!$C$77:$D$82,AX21+1,1+Ausrichtung)</f>
        <v>0.45</v>
      </c>
      <c r="BC21" s="1102">
        <f>BB21+(BA21-BB21)/(AZ21-AY21)*(AZ21-AW21)</f>
        <v>0.59</v>
      </c>
      <c r="BE21" s="1093">
        <f>AQ21</f>
        <v>30</v>
      </c>
      <c r="BF21" s="1094">
        <f>IF(BE21&lt;Tab!$B$78,1,IF(BE21&lt;Tab!$B$79,2,IF(BE21&lt;Tab!$B$80,3,IF(BE21&lt;Tab!$B$81,4,5))))</f>
        <v>4</v>
      </c>
      <c r="BG21" s="1095">
        <f>INDEX(Tab!$B$77:$B$82,BF21,1)</f>
        <v>30</v>
      </c>
      <c r="BH21" s="1095">
        <f>INDEX(Tab!$B$77:$B$82,BF21+1,1)</f>
        <v>40</v>
      </c>
      <c r="BI21" s="1106">
        <f>INDEX(Tab!$E$77:$F$82,BF21,1+Ausrichtung)</f>
        <v>0.68</v>
      </c>
      <c r="BJ21" s="1106">
        <f>INDEX(Tab!$E$77:$F$82,BF21+1,1+Ausrichtung)</f>
        <v>0.6</v>
      </c>
      <c r="BK21" s="1102">
        <f>BJ21+(BI21-BJ21)/(BH21-BG21)*(BH21-BE21)</f>
        <v>0.68</v>
      </c>
      <c r="BN21" s="1093">
        <f>AR21</f>
        <v>30</v>
      </c>
      <c r="BO21" s="1094">
        <f>IF(BN21&lt;Tab!$B$78,1,IF(BN21&lt;Tab!$B$79,2,IF(BN21&lt;Tab!$B$80,3,IF(BN21&lt;Tab!$B$81,4,5))))</f>
        <v>4</v>
      </c>
      <c r="BP21" s="1095">
        <f>INDEX(Tab!$B$77:$B$82,BO21,1)</f>
        <v>30</v>
      </c>
      <c r="BQ21" s="1095">
        <f>INDEX(Tab!$B$77:$B$82,BO21+1,1)</f>
        <v>40</v>
      </c>
      <c r="BR21" s="1106">
        <f>INDEX(Tab!$G$77:$H$82,BO21,1+Ausrichtung)</f>
        <v>0.68</v>
      </c>
      <c r="BS21" s="1106">
        <f>INDEX(Tab!$G$77:$H$82,BO21+1,1+Ausrichtung)</f>
        <v>0.6</v>
      </c>
      <c r="BT21" s="1102">
        <f>BS21+(BR21-BS21)/(BQ21-BP21)*(BQ21-BN21)</f>
        <v>0.68</v>
      </c>
      <c r="BW21" s="1093">
        <f>AS21</f>
        <v>30</v>
      </c>
      <c r="BX21" s="1094">
        <f>IF(BW21&lt;Tab!$B$78,1,IF(BW21&lt;Tab!$B$79,2,IF(BW21&lt;Tab!$B$80,3,IF(BW21&lt;Tab!$B$81,4,5))))</f>
        <v>4</v>
      </c>
      <c r="BY21" s="1095">
        <f>INDEX(Tab!$B$77:$B$82,BX21,1)</f>
        <v>30</v>
      </c>
      <c r="BZ21" s="1095">
        <f>INDEX(Tab!$B$77:$B$82,BX21+1,1)</f>
        <v>40</v>
      </c>
      <c r="CA21" s="1106">
        <f>INDEX(Tab!$I$77:$J$82,BX21,1+Ausrichtung)</f>
        <v>0.94</v>
      </c>
      <c r="CB21" s="1106">
        <f>INDEX(Tab!$I$77:$J$82,BX21+1,1+Ausrichtung)</f>
        <v>0.9</v>
      </c>
      <c r="CC21" s="1102">
        <f>CB21+(CA21-CB21)/(BZ21-BY21)*(BZ21-BW21)</f>
        <v>0.94</v>
      </c>
    </row>
    <row r="22" spans="1:108" s="1196" customFormat="1" ht="3.6" customHeight="1">
      <c r="A22" s="531"/>
      <c r="B22" s="531"/>
      <c r="C22" s="531"/>
      <c r="D22" s="1197"/>
      <c r="E22" s="4"/>
      <c r="F22" s="1192"/>
      <c r="G22" s="4"/>
      <c r="H22" s="1198"/>
      <c r="I22" s="434"/>
      <c r="J22" s="434"/>
      <c r="K22" s="1199"/>
      <c r="L22" s="63"/>
      <c r="M22" s="4"/>
      <c r="N22" s="28"/>
      <c r="O22" s="1199"/>
      <c r="P22" s="2"/>
      <c r="Q22" s="1142"/>
      <c r="R22" s="1140"/>
      <c r="S22" s="1140"/>
      <c r="T22" s="1140"/>
      <c r="U22" s="1140"/>
      <c r="V22" s="1140"/>
      <c r="W22" s="1140"/>
      <c r="X22" s="1193"/>
      <c r="Y22" s="27"/>
      <c r="Z22" s="27"/>
      <c r="AA22" s="27"/>
      <c r="AB22" s="4"/>
      <c r="AC22" s="4"/>
      <c r="AD22" s="4"/>
      <c r="AE22" s="4"/>
      <c r="AF22" s="4"/>
      <c r="AG22" s="4"/>
      <c r="AH22" s="4"/>
      <c r="AI22" s="57"/>
      <c r="AJ22" s="1194"/>
      <c r="AK22" s="1129"/>
      <c r="AL22" s="1173"/>
      <c r="AM22" s="445"/>
      <c r="AN22" s="445"/>
      <c r="AO22" s="63"/>
      <c r="AP22" s="280"/>
      <c r="AQ22" s="1366"/>
      <c r="AR22" s="1366"/>
      <c r="AS22" s="1366"/>
      <c r="AT22" s="28"/>
      <c r="AU22" s="1195"/>
      <c r="AV22" s="27"/>
      <c r="AW22" s="1200"/>
      <c r="AX22" s="305"/>
      <c r="AY22" s="59"/>
      <c r="AZ22" s="59"/>
      <c r="BA22" s="59"/>
      <c r="BB22" s="59"/>
      <c r="BC22" s="1201"/>
      <c r="BD22" s="27"/>
      <c r="BE22" s="1200"/>
      <c r="BF22" s="305"/>
      <c r="BG22" s="59"/>
      <c r="BH22" s="59"/>
      <c r="BI22" s="59"/>
      <c r="BJ22" s="59"/>
      <c r="BK22" s="1201"/>
      <c r="BL22" s="27"/>
      <c r="BM22" s="27"/>
      <c r="BN22" s="1200"/>
      <c r="BO22" s="305"/>
      <c r="BP22" s="59"/>
      <c r="BQ22" s="59"/>
      <c r="BR22" s="59"/>
      <c r="BS22" s="59"/>
      <c r="BT22" s="1201"/>
      <c r="BU22" s="27"/>
      <c r="BV22" s="27"/>
      <c r="BW22" s="1200"/>
      <c r="BX22" s="305"/>
      <c r="BY22" s="59"/>
      <c r="BZ22" s="59"/>
      <c r="CA22" s="59"/>
      <c r="CB22" s="59"/>
      <c r="CC22" s="1201"/>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row>
    <row r="23" spans="1:108" ht="14.45" customHeight="1">
      <c r="A23" s="531"/>
      <c r="B23" s="531"/>
      <c r="C23" s="2132"/>
      <c r="D23" s="1117"/>
      <c r="E23" s="4"/>
      <c r="F23" s="1120"/>
      <c r="G23" s="4"/>
      <c r="H23" s="618"/>
      <c r="I23" s="1088" t="s">
        <v>1882</v>
      </c>
      <c r="J23" s="360"/>
      <c r="K23" s="264"/>
      <c r="L23" s="63">
        <f>IF(J23&gt;0,IF(K23&gt;0,Fehler1,INDEX(UWert!$BD$7:$BD$41,J23)),K23)</f>
        <v>0</v>
      </c>
      <c r="M23" s="264"/>
      <c r="N23" s="28">
        <f>IF(J23&gt;0,IF(M23&gt;0,Fehler1,INDEX(UWert!$BE$7:$BE$41,J23)),M23)</f>
        <v>0</v>
      </c>
      <c r="O23" s="264"/>
      <c r="P23" s="2"/>
      <c r="Q23" s="1125"/>
      <c r="R23" s="1127"/>
      <c r="S23" s="1127"/>
      <c r="T23" s="1127"/>
      <c r="U23" s="1127"/>
      <c r="V23" s="1127"/>
      <c r="W23" s="1127"/>
      <c r="X23" s="1128"/>
      <c r="Y23" s="174"/>
      <c r="Z23" s="174"/>
      <c r="AA23" s="174"/>
      <c r="AB23" s="4"/>
      <c r="AC23" s="4"/>
      <c r="AD23" s="4"/>
      <c r="AE23" s="4"/>
      <c r="AF23" s="4"/>
      <c r="AG23" s="4"/>
      <c r="AH23" s="4"/>
      <c r="AI23" s="514"/>
      <c r="AJ23" s="1135"/>
      <c r="AK23" s="1129">
        <f>BC23*BK23*BT23*CC23</f>
        <v>0.25644704000000001</v>
      </c>
      <c r="AL23" s="1173"/>
      <c r="AM23" s="554">
        <f>IF(O23&gt;0,MIN(O23,0.95),IF(_Ver09,0.7,0.75))</f>
        <v>0.75</v>
      </c>
      <c r="AN23" s="554">
        <f>IF(N23&gt;0,MIN(N23,0.9),)</f>
        <v>0</v>
      </c>
      <c r="AO23" s="63">
        <f>IF(F23&gt;0,H23*F23,H23)</f>
        <v>0</v>
      </c>
      <c r="AP23" s="280">
        <f>$K$8</f>
        <v>30</v>
      </c>
      <c r="AQ23" s="1366">
        <f>$L$8</f>
        <v>30</v>
      </c>
      <c r="AR23" s="1366">
        <f>$M$8</f>
        <v>30</v>
      </c>
      <c r="AS23" s="1366">
        <f>$N$8</f>
        <v>30</v>
      </c>
      <c r="AT23" s="1091"/>
      <c r="AU23" s="626" t="str">
        <f>IF(AND(AO23&gt;0,OR(L23=0,N23=0)),"Nicht alle Eingaben gewählt","")</f>
        <v/>
      </c>
      <c r="AV23" s="174"/>
      <c r="AW23" s="1090">
        <f>AP23</f>
        <v>30</v>
      </c>
      <c r="AX23" s="1094">
        <f>IF(AW23&lt;Tab!$B$78,1,IF(AW23&lt;Tab!$B$79,2,IF(AW23&lt;Tab!$B$80,3,IF(AW23&lt;Tab!$B$81,4,5))))</f>
        <v>4</v>
      </c>
      <c r="AY23" s="1095">
        <f>INDEX(Tab!$B$77:$B$82,AX23,1)</f>
        <v>30</v>
      </c>
      <c r="AZ23" s="1095">
        <f>INDEX(Tab!$B$77:$B$82,AX23+1,1)</f>
        <v>40</v>
      </c>
      <c r="BA23" s="1106">
        <f>INDEX(Tab!$C$77:$D$82,AX23,1+Ausrichtung)</f>
        <v>0.59</v>
      </c>
      <c r="BB23" s="1106">
        <f>INDEX(Tab!$C$77:$D$82,AX23+1,1+Ausrichtung)</f>
        <v>0.45</v>
      </c>
      <c r="BC23" s="1102">
        <f>BB23+(BA23-BB23)/(AZ23-AY23)*(AZ23-AW23)</f>
        <v>0.59</v>
      </c>
      <c r="BE23" s="1093">
        <f>AQ23</f>
        <v>30</v>
      </c>
      <c r="BF23" s="1094">
        <f>IF(BE23&lt;Tab!$B$78,1,IF(BE23&lt;Tab!$B$79,2,IF(BE23&lt;Tab!$B$80,3,IF(BE23&lt;Tab!$B$81,4,5))))</f>
        <v>4</v>
      </c>
      <c r="BG23" s="1095">
        <f>INDEX(Tab!$B$77:$B$82,BF23,1)</f>
        <v>30</v>
      </c>
      <c r="BH23" s="1095">
        <f>INDEX(Tab!$B$77:$B$82,BF23+1,1)</f>
        <v>40</v>
      </c>
      <c r="BI23" s="1106">
        <f>INDEX(Tab!$E$77:$F$82,BF23,1+Ausrichtung)</f>
        <v>0.68</v>
      </c>
      <c r="BJ23" s="1106">
        <f>INDEX(Tab!$E$77:$F$82,BF23+1,1+Ausrichtung)</f>
        <v>0.6</v>
      </c>
      <c r="BK23" s="1102">
        <f>BJ23+(BI23-BJ23)/(BH23-BG23)*(BH23-BE23)</f>
        <v>0.68</v>
      </c>
      <c r="BN23" s="1093">
        <f>AR23</f>
        <v>30</v>
      </c>
      <c r="BO23" s="1094">
        <f>IF(BN23&lt;Tab!$B$78,1,IF(BN23&lt;Tab!$B$79,2,IF(BN23&lt;Tab!$B$80,3,IF(BN23&lt;Tab!$B$81,4,5))))</f>
        <v>4</v>
      </c>
      <c r="BP23" s="1095">
        <f>INDEX(Tab!$B$77:$B$82,BO23,1)</f>
        <v>30</v>
      </c>
      <c r="BQ23" s="1095">
        <f>INDEX(Tab!$B$77:$B$82,BO23+1,1)</f>
        <v>40</v>
      </c>
      <c r="BR23" s="1106">
        <f>INDEX(Tab!$G$77:$H$82,BO23,1+Ausrichtung)</f>
        <v>0.68</v>
      </c>
      <c r="BS23" s="1106">
        <f>INDEX(Tab!$G$77:$H$82,BO23+1,1+Ausrichtung)</f>
        <v>0.6</v>
      </c>
      <c r="BT23" s="1102">
        <f>BS23+(BR23-BS23)/(BQ23-BP23)*(BQ23-BN23)</f>
        <v>0.68</v>
      </c>
      <c r="BW23" s="1093">
        <f>AS23</f>
        <v>30</v>
      </c>
      <c r="BX23" s="1094">
        <f>IF(BW23&lt;Tab!$B$78,1,IF(BW23&lt;Tab!$B$79,2,IF(BW23&lt;Tab!$B$80,3,IF(BW23&lt;Tab!$B$81,4,5))))</f>
        <v>4</v>
      </c>
      <c r="BY23" s="1095">
        <f>INDEX(Tab!$B$77:$B$82,BX23,1)</f>
        <v>30</v>
      </c>
      <c r="BZ23" s="1095">
        <f>INDEX(Tab!$B$77:$B$82,BX23+1,1)</f>
        <v>40</v>
      </c>
      <c r="CA23" s="1106">
        <f>INDEX(Tab!$I$77:$J$82,BX23,1+Ausrichtung)</f>
        <v>0.94</v>
      </c>
      <c r="CB23" s="1106">
        <f>INDEX(Tab!$I$77:$J$82,BX23+1,1+Ausrichtung)</f>
        <v>0.9</v>
      </c>
      <c r="CC23" s="1102">
        <f>CB23+(CA23-CB23)/(BZ23-BY23)*(BZ23-BW23)</f>
        <v>0.94</v>
      </c>
    </row>
    <row r="24" spans="1:108" s="1196" customFormat="1" ht="3.6" customHeight="1">
      <c r="A24" s="531"/>
      <c r="B24" s="531"/>
      <c r="C24" s="531"/>
      <c r="D24" s="1197"/>
      <c r="E24" s="4"/>
      <c r="F24" s="1192"/>
      <c r="G24" s="4"/>
      <c r="H24" s="1198"/>
      <c r="I24" s="434"/>
      <c r="J24" s="434"/>
      <c r="K24" s="1199"/>
      <c r="L24" s="63"/>
      <c r="M24" s="4"/>
      <c r="N24" s="28"/>
      <c r="O24" s="1199"/>
      <c r="P24" s="2"/>
      <c r="Q24" s="1142"/>
      <c r="R24" s="1140"/>
      <c r="S24" s="1140"/>
      <c r="T24" s="1140"/>
      <c r="U24" s="1140"/>
      <c r="V24" s="1140"/>
      <c r="W24" s="1140"/>
      <c r="X24" s="1193"/>
      <c r="Y24" s="27"/>
      <c r="Z24" s="27"/>
      <c r="AA24" s="27"/>
      <c r="AB24" s="4"/>
      <c r="AC24" s="4"/>
      <c r="AD24" s="4"/>
      <c r="AE24" s="4"/>
      <c r="AF24" s="4"/>
      <c r="AG24" s="4"/>
      <c r="AH24" s="4"/>
      <c r="AI24" s="57"/>
      <c r="AJ24" s="1194"/>
      <c r="AK24" s="1129"/>
      <c r="AL24" s="1173"/>
      <c r="AM24" s="445"/>
      <c r="AN24" s="445"/>
      <c r="AO24" s="63"/>
      <c r="AP24" s="280"/>
      <c r="AQ24" s="1366"/>
      <c r="AR24" s="1366"/>
      <c r="AS24" s="1366"/>
      <c r="AT24" s="28"/>
      <c r="AU24" s="1195"/>
      <c r="AV24" s="27"/>
      <c r="AW24" s="1200"/>
      <c r="AX24" s="327"/>
      <c r="AY24" s="63"/>
      <c r="AZ24" s="63"/>
      <c r="BA24" s="63"/>
      <c r="BB24" s="63"/>
      <c r="BC24" s="1204"/>
      <c r="BD24" s="27"/>
      <c r="BE24" s="1200"/>
      <c r="BF24" s="327"/>
      <c r="BG24" s="63"/>
      <c r="BH24" s="63"/>
      <c r="BI24" s="63"/>
      <c r="BJ24" s="63"/>
      <c r="BK24" s="1204"/>
      <c r="BL24" s="27"/>
      <c r="BM24" s="27"/>
      <c r="BN24" s="1200"/>
      <c r="BO24" s="327"/>
      <c r="BP24" s="63"/>
      <c r="BQ24" s="63"/>
      <c r="BR24" s="63"/>
      <c r="BS24" s="63"/>
      <c r="BT24" s="1204"/>
      <c r="BU24" s="27"/>
      <c r="BV24" s="27"/>
      <c r="BW24" s="1200"/>
      <c r="BX24" s="327"/>
      <c r="BY24" s="63"/>
      <c r="BZ24" s="63"/>
      <c r="CA24" s="63"/>
      <c r="CB24" s="63"/>
      <c r="CC24" s="1204"/>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row>
    <row r="25" spans="1:108" ht="14.45" customHeight="1">
      <c r="A25" s="531"/>
      <c r="B25" s="531"/>
      <c r="C25" s="2132"/>
      <c r="D25" s="1117"/>
      <c r="E25" s="4"/>
      <c r="F25" s="1120"/>
      <c r="G25" s="4"/>
      <c r="H25" s="618"/>
      <c r="I25" s="1088" t="s">
        <v>1882</v>
      </c>
      <c r="J25" s="360"/>
      <c r="K25" s="264"/>
      <c r="L25" s="63">
        <f>IF(J25&gt;0,IF(K25&gt;0,Fehler1,INDEX(UWert!$BD$7:$BD$41,J25)),K25)</f>
        <v>0</v>
      </c>
      <c r="M25" s="264"/>
      <c r="N25" s="28">
        <f>IF(J25&gt;0,IF(M25&gt;0,Fehler1,INDEX(UWert!$BE$7:$BE$41,J25)),M25)</f>
        <v>0</v>
      </c>
      <c r="O25" s="264"/>
      <c r="P25" s="2"/>
      <c r="Q25" s="1125"/>
      <c r="R25" s="1127"/>
      <c r="S25" s="1127"/>
      <c r="T25" s="1127"/>
      <c r="U25" s="1127"/>
      <c r="V25" s="1127"/>
      <c r="W25" s="1127"/>
      <c r="X25" s="1128"/>
      <c r="Y25" s="174"/>
      <c r="Z25" s="174"/>
      <c r="AA25" s="174"/>
      <c r="AB25" s="4"/>
      <c r="AC25" s="4"/>
      <c r="AD25" s="4"/>
      <c r="AE25" s="4"/>
      <c r="AF25" s="4"/>
      <c r="AG25" s="4"/>
      <c r="AH25" s="4"/>
      <c r="AI25" s="514"/>
      <c r="AJ25" s="1135"/>
      <c r="AK25" s="1129">
        <f>BC25*BK25*BT25*CC25</f>
        <v>0.25644704000000001</v>
      </c>
      <c r="AL25" s="1173"/>
      <c r="AM25" s="554">
        <f>IF(O25&gt;0,MIN(O25,0.95),IF(_Ver09,0.7,0.75))</f>
        <v>0.75</v>
      </c>
      <c r="AN25" s="554">
        <f>IF(N25&gt;0,MIN(N25,0.9),)</f>
        <v>0</v>
      </c>
      <c r="AO25" s="63">
        <f>IF(F25&gt;0,H25*F25,H25)</f>
        <v>0</v>
      </c>
      <c r="AP25" s="280">
        <f>$K$8</f>
        <v>30</v>
      </c>
      <c r="AQ25" s="1366">
        <f>$L$8</f>
        <v>30</v>
      </c>
      <c r="AR25" s="1366">
        <f>$M$8</f>
        <v>30</v>
      </c>
      <c r="AS25" s="1366">
        <f>$N$8</f>
        <v>30</v>
      </c>
      <c r="AT25" s="1091"/>
      <c r="AU25" s="626" t="str">
        <f>IF(AND(AO25&gt;0,OR(L25=0,N25=0)),"Nicht alle Eingaben gewählt","")</f>
        <v/>
      </c>
      <c r="AV25" s="174"/>
      <c r="AW25" s="1093">
        <f>AP25</f>
        <v>30</v>
      </c>
      <c r="AX25" s="1094">
        <f>IF(AW25&lt;Tab!$B$78,1,IF(AW25&lt;Tab!$B$79,2,IF(AW25&lt;Tab!$B$80,3,IF(AW25&lt;Tab!$B$81,4,5))))</f>
        <v>4</v>
      </c>
      <c r="AY25" s="1095">
        <f>INDEX(Tab!$B$77:$B$82,AX25,1)</f>
        <v>30</v>
      </c>
      <c r="AZ25" s="1095">
        <f>INDEX(Tab!$B$77:$B$82,AX25+1,1)</f>
        <v>40</v>
      </c>
      <c r="BA25" s="1106">
        <f>INDEX(Tab!$C$77:$D$82,AX25,1+Ausrichtung)</f>
        <v>0.59</v>
      </c>
      <c r="BB25" s="1106">
        <f>INDEX(Tab!$C$77:$D$82,AX25+1,1+Ausrichtung)</f>
        <v>0.45</v>
      </c>
      <c r="BC25" s="1102">
        <f>BB25+(BA25-BB25)/(AZ25-AY25)*(AZ25-AW25)</f>
        <v>0.59</v>
      </c>
      <c r="BE25" s="1093">
        <f>AQ25</f>
        <v>30</v>
      </c>
      <c r="BF25" s="1094">
        <f>IF(BE25&lt;Tab!$B$78,1,IF(BE25&lt;Tab!$B$79,2,IF(BE25&lt;Tab!$B$80,3,IF(BE25&lt;Tab!$B$81,4,5))))</f>
        <v>4</v>
      </c>
      <c r="BG25" s="1095">
        <f>INDEX(Tab!$B$77:$B$82,BF25,1)</f>
        <v>30</v>
      </c>
      <c r="BH25" s="1095">
        <f>INDEX(Tab!$B$77:$B$82,BF25+1,1)</f>
        <v>40</v>
      </c>
      <c r="BI25" s="1106">
        <f>INDEX(Tab!$E$77:$F$82,BF25,1+Ausrichtung)</f>
        <v>0.68</v>
      </c>
      <c r="BJ25" s="1106">
        <f>INDEX(Tab!$E$77:$F$82,BF25+1,1+Ausrichtung)</f>
        <v>0.6</v>
      </c>
      <c r="BK25" s="1102">
        <f>BJ25+(BI25-BJ25)/(BH25-BG25)*(BH25-BE25)</f>
        <v>0.68</v>
      </c>
      <c r="BN25" s="1093">
        <f>AR25</f>
        <v>30</v>
      </c>
      <c r="BO25" s="1094">
        <f>IF(BN25&lt;Tab!$B$78,1,IF(BN25&lt;Tab!$B$79,2,IF(BN25&lt;Tab!$B$80,3,IF(BN25&lt;Tab!$B$81,4,5))))</f>
        <v>4</v>
      </c>
      <c r="BP25" s="1095">
        <f>INDEX(Tab!$B$77:$B$82,BO25,1)</f>
        <v>30</v>
      </c>
      <c r="BQ25" s="1095">
        <f>INDEX(Tab!$B$77:$B$82,BO25+1,1)</f>
        <v>40</v>
      </c>
      <c r="BR25" s="1106">
        <f>INDEX(Tab!$G$77:$H$82,BO25,1+Ausrichtung)</f>
        <v>0.68</v>
      </c>
      <c r="BS25" s="1106">
        <f>INDEX(Tab!$G$77:$H$82,BO25+1,1+Ausrichtung)</f>
        <v>0.6</v>
      </c>
      <c r="BT25" s="1102">
        <f>BS25+(BR25-BS25)/(BQ25-BP25)*(BQ25-BN25)</f>
        <v>0.68</v>
      </c>
      <c r="BW25" s="1093">
        <f>AS25</f>
        <v>30</v>
      </c>
      <c r="BX25" s="1094">
        <f>IF(BW25&lt;Tab!$B$78,1,IF(BW25&lt;Tab!$B$79,2,IF(BW25&lt;Tab!$B$80,3,IF(BW25&lt;Tab!$B$81,4,5))))</f>
        <v>4</v>
      </c>
      <c r="BY25" s="1095">
        <f>INDEX(Tab!$B$77:$B$82,BX25,1)</f>
        <v>30</v>
      </c>
      <c r="BZ25" s="1095">
        <f>INDEX(Tab!$B$77:$B$82,BX25+1,1)</f>
        <v>40</v>
      </c>
      <c r="CA25" s="1106">
        <f>INDEX(Tab!$I$77:$J$82,BX25,1+Ausrichtung)</f>
        <v>0.94</v>
      </c>
      <c r="CB25" s="1106">
        <f>INDEX(Tab!$I$77:$J$82,BX25+1,1+Ausrichtung)</f>
        <v>0.9</v>
      </c>
      <c r="CC25" s="1102">
        <f>CB25+(CA25-CB25)/(BZ25-BY25)*(BZ25-BW25)</f>
        <v>0.94</v>
      </c>
    </row>
    <row r="26" spans="1:108" s="1196" customFormat="1" ht="3.6" customHeight="1">
      <c r="A26" s="531"/>
      <c r="B26" s="531"/>
      <c r="C26" s="531"/>
      <c r="D26" s="273"/>
      <c r="E26" s="4"/>
      <c r="F26" s="4"/>
      <c r="G26" s="4"/>
      <c r="H26" s="440"/>
      <c r="I26" s="434"/>
      <c r="J26" s="434"/>
      <c r="K26" s="434"/>
      <c r="L26" s="63"/>
      <c r="M26" s="174"/>
      <c r="N26" s="28"/>
      <c r="O26" s="4"/>
      <c r="P26" s="2"/>
      <c r="Q26" s="1142"/>
      <c r="R26" s="1129"/>
      <c r="S26" s="1129"/>
      <c r="T26" s="1129"/>
      <c r="U26" s="1129"/>
      <c r="V26" s="1129"/>
      <c r="W26" s="1140"/>
      <c r="X26" s="1193"/>
      <c r="Y26" s="27"/>
      <c r="Z26" s="27"/>
      <c r="AA26" s="27"/>
      <c r="AB26" s="2"/>
      <c r="AC26" s="1088"/>
      <c r="AD26" s="2"/>
      <c r="AE26" s="1088"/>
      <c r="AF26" s="2"/>
      <c r="AG26" s="2"/>
      <c r="AH26" s="1166"/>
      <c r="AI26" s="57"/>
      <c r="AJ26" s="1140"/>
      <c r="AK26" s="1129"/>
      <c r="AL26" s="1173"/>
      <c r="AM26" s="445"/>
      <c r="AN26" s="445"/>
      <c r="AO26" s="63"/>
      <c r="AP26" s="63"/>
      <c r="AQ26" s="63"/>
      <c r="AR26" s="63"/>
      <c r="AS26" s="63"/>
      <c r="AT26" s="63"/>
      <c r="AU26" s="445"/>
      <c r="AV26" s="27"/>
      <c r="AW26" s="267"/>
      <c r="AX26" s="31"/>
      <c r="AY26" s="31"/>
      <c r="AZ26" s="31"/>
      <c r="BA26" s="31"/>
      <c r="BB26" s="31"/>
      <c r="BC26" s="1208"/>
      <c r="BD26" s="27"/>
      <c r="BE26" s="267"/>
      <c r="BF26" s="31"/>
      <c r="BG26" s="31"/>
      <c r="BH26" s="31"/>
      <c r="BI26" s="31"/>
      <c r="BJ26" s="31"/>
      <c r="BK26" s="1208"/>
      <c r="BL26" s="27"/>
      <c r="BM26" s="27"/>
      <c r="BN26" s="267"/>
      <c r="BO26" s="31"/>
      <c r="BP26" s="31"/>
      <c r="BQ26" s="31"/>
      <c r="BR26" s="31"/>
      <c r="BS26" s="31"/>
      <c r="BT26" s="1208"/>
      <c r="BU26" s="27"/>
      <c r="BV26" s="27"/>
      <c r="BW26" s="267"/>
      <c r="BX26" s="31"/>
      <c r="BY26" s="31"/>
      <c r="BZ26" s="31"/>
      <c r="CA26" s="31"/>
      <c r="CB26" s="31"/>
      <c r="CC26" s="1208"/>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ht="14.45" customHeight="1">
      <c r="A27" s="531"/>
      <c r="B27" s="531"/>
      <c r="C27" s="531"/>
      <c r="D27" s="434" t="str">
        <f>Uebersetzung!D330</f>
        <v>total / valeur du milieu:</v>
      </c>
      <c r="E27" s="273"/>
      <c r="F27" s="2">
        <f>SUM(F11:F25)</f>
        <v>0</v>
      </c>
      <c r="G27" s="273"/>
      <c r="H27" s="619">
        <f>AO27</f>
        <v>0</v>
      </c>
      <c r="I27" s="1088" t="s">
        <v>1882</v>
      </c>
      <c r="J27" s="1088"/>
      <c r="K27" s="454"/>
      <c r="L27" s="445">
        <f>IF(Projekt!$AE$3="entech",IF(SUM(AO11:AO25)=0,,SUMPRODUCT(AO11:AO25,L11:L25)/SUM(AO11:AO25)),20)</f>
        <v>20</v>
      </c>
      <c r="M27" s="174"/>
      <c r="N27" s="454">
        <f>IF(Fenstertool,AH28,IF(Projekt!$AE$3="entech",IF((AO27*AK27*O27)=0,,SUMPRODUCT(AO11:AO25,AN11:AN25,AM11:AM25,AK11:AK25)/(AO27*AK27*O27)),))</f>
        <v>0</v>
      </c>
      <c r="O27" s="454">
        <f>IF(SUM(AO11:AO25)=0,,(SUMPRODUCT(AM11:AM25,AO11:AO25))/SUM(AO11:AO25))</f>
        <v>0</v>
      </c>
      <c r="P27" s="2"/>
      <c r="Q27" s="1125"/>
      <c r="R27" s="1168"/>
      <c r="S27" s="1127"/>
      <c r="T27" s="1129"/>
      <c r="U27" s="1127"/>
      <c r="V27" s="1127"/>
      <c r="W27" s="1127"/>
      <c r="X27" s="1128"/>
      <c r="Y27" s="174"/>
      <c r="Z27" s="174"/>
      <c r="AA27" s="174"/>
      <c r="AB27" s="2"/>
      <c r="AC27" s="1088"/>
      <c r="AD27" s="2"/>
      <c r="AE27" s="1088"/>
      <c r="AF27" s="1489" t="str">
        <f>IF(Fenstertool,Uebersetzung!D331,"")</f>
        <v/>
      </c>
      <c r="AG27" s="2"/>
      <c r="AH27" s="1719"/>
      <c r="AI27" s="514"/>
      <c r="AJ27" s="1127"/>
      <c r="AK27" s="1487">
        <f>IF(Fenstertool,AH27,IF(SUM(AO11:AO25)=0,,(SUMPRODUCT(AK11:AK25,AO11:AO25))/SUM(AO11:AO25)))</f>
        <v>0</v>
      </c>
      <c r="AL27" s="1173"/>
      <c r="AM27" s="454"/>
      <c r="AN27" s="454"/>
      <c r="AO27" s="63">
        <f>SUM(AO11:AO25)</f>
        <v>0</v>
      </c>
      <c r="AP27" s="63"/>
      <c r="AQ27" s="190"/>
      <c r="AR27" s="63"/>
      <c r="AS27" s="190"/>
      <c r="AT27" s="63"/>
      <c r="AU27" s="454"/>
      <c r="AV27" s="174"/>
      <c r="AW27" s="199"/>
      <c r="AX27" s="199"/>
      <c r="AY27" s="199"/>
      <c r="AZ27" s="199"/>
      <c r="BA27" s="199"/>
      <c r="BB27" s="256" t="s">
        <v>1147</v>
      </c>
      <c r="BC27" s="1364">
        <f>IF($H27&gt;0,(BC11*$AO11+BC13*$AO13+BC15*$AO15+BC17*$AO17+BC19*$AO19+BC21*$AO21+BC23*$AO23+BC25*$AO25)/$H27,)</f>
        <v>0</v>
      </c>
      <c r="BJ27" s="256" t="s">
        <v>1147</v>
      </c>
      <c r="BK27" s="1367">
        <f>IF($H27&gt;0,(BK11*$AO11+BK13*$AO13+BK15*$AO15+BK17*$AO17+BK19*$AO19+BK21*$AO21+BK23*$AO23+BK25*$AO25)/$H27,)</f>
        <v>0</v>
      </c>
      <c r="BN27" s="199"/>
      <c r="BO27" s="199"/>
      <c r="BP27" s="199"/>
      <c r="BQ27" s="199"/>
      <c r="BR27" s="199"/>
      <c r="BS27" s="256" t="s">
        <v>1147</v>
      </c>
      <c r="BT27" s="1367">
        <f>IF($H27&gt;0,(BT11*$AO11+BT13*$AO13+BT15*$AO15+BT17*$AO17+BT19*$AO19+BT21*$AO21+BT23*$AO23+BT25*$AO25)/$H27,)</f>
        <v>0</v>
      </c>
      <c r="CB27" s="256" t="s">
        <v>1147</v>
      </c>
      <c r="CC27" s="1367">
        <f>IF($H27&gt;0,(CC11*$AO11+CC13*$AO13+CC15*$AO15+CC17*$AO17+CC19*$AO19+CC21*$AO21+CC23*$AO23+CC25*$AO25)/$H27,)</f>
        <v>0</v>
      </c>
    </row>
    <row r="28" spans="1:108" ht="12.6" customHeight="1">
      <c r="A28" s="1114"/>
      <c r="B28" s="1114"/>
      <c r="C28" s="1114"/>
      <c r="D28" s="434"/>
      <c r="E28" s="273"/>
      <c r="F28" s="2"/>
      <c r="G28" s="273"/>
      <c r="H28" s="454"/>
      <c r="I28" s="434"/>
      <c r="J28" s="434"/>
      <c r="K28" s="454"/>
      <c r="L28" s="2"/>
      <c r="M28" s="454"/>
      <c r="N28" s="1091"/>
      <c r="O28" s="454"/>
      <c r="P28" s="2"/>
      <c r="Q28" s="1163"/>
      <c r="R28" s="1164"/>
      <c r="S28" s="1154"/>
      <c r="T28" s="1164"/>
      <c r="U28" s="1154"/>
      <c r="V28" s="1154"/>
      <c r="W28" s="1154"/>
      <c r="X28" s="1162"/>
      <c r="Y28" s="196"/>
      <c r="Z28" s="196"/>
      <c r="AA28" s="196"/>
      <c r="AB28" s="15"/>
      <c r="AC28" s="15"/>
      <c r="AD28" s="15"/>
      <c r="AE28" s="15"/>
      <c r="AF28" s="1488" t="str">
        <f>IF(Fenstertool,Uebersetzung!D332,"")</f>
        <v/>
      </c>
      <c r="AG28" s="15"/>
      <c r="AH28" s="1718"/>
      <c r="AI28" s="518"/>
      <c r="AJ28" s="1154"/>
      <c r="AK28" s="1164"/>
      <c r="AL28" s="1177"/>
      <c r="AM28" s="454"/>
      <c r="AN28" s="454"/>
      <c r="AO28" s="454"/>
      <c r="AP28" s="454"/>
      <c r="AQ28" s="1181"/>
      <c r="AR28" s="454"/>
      <c r="AS28" s="1181"/>
      <c r="AT28" s="454"/>
      <c r="AU28" s="454"/>
      <c r="AV28" s="174"/>
    </row>
    <row r="29" spans="1:108">
      <c r="A29" s="2209"/>
      <c r="B29" s="2205" t="str">
        <f>Uebersetzung!D316</f>
        <v>corps de chauffe</v>
      </c>
      <c r="C29" s="2197" t="str">
        <f>Uebersetzung!D717</f>
        <v>Inclus dans</v>
      </c>
      <c r="D29" s="1143"/>
      <c r="E29" s="1143"/>
      <c r="F29" s="16"/>
      <c r="G29" s="1143"/>
      <c r="H29" s="1144"/>
      <c r="I29" s="1143"/>
      <c r="J29" s="1143"/>
      <c r="K29" s="1144"/>
      <c r="L29" s="16"/>
      <c r="M29" s="1144"/>
      <c r="N29" s="1095"/>
      <c r="O29" s="1144"/>
      <c r="P29" s="16"/>
      <c r="Q29" s="1158"/>
      <c r="R29" s="1159"/>
      <c r="S29" s="1145"/>
      <c r="T29" s="1159"/>
      <c r="U29" s="1145"/>
      <c r="V29" s="1145"/>
      <c r="W29" s="1145"/>
      <c r="X29" s="1160"/>
      <c r="Y29" s="2207"/>
      <c r="Z29" s="2205" t="str">
        <f>Uebersetzung!D325</f>
        <v>deux côtés?</v>
      </c>
      <c r="AA29" s="1851"/>
      <c r="AB29" s="16"/>
      <c r="AC29" s="16"/>
      <c r="AD29" s="16"/>
      <c r="AE29" s="16"/>
      <c r="AF29" s="16"/>
      <c r="AG29" s="16"/>
      <c r="AH29" s="16"/>
      <c r="AI29" s="1869"/>
      <c r="AJ29" s="1158"/>
      <c r="AK29" s="1159"/>
      <c r="AL29" s="1174"/>
      <c r="AM29" s="1144"/>
      <c r="AN29" s="1144"/>
      <c r="AO29" s="1144"/>
      <c r="AP29" s="1144"/>
      <c r="AQ29" s="1182"/>
      <c r="AR29" s="1144"/>
      <c r="AS29" s="1182"/>
      <c r="AT29" s="1144"/>
      <c r="AU29" s="1144"/>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108" ht="13.9" customHeight="1">
      <c r="A30" s="2210"/>
      <c r="B30" s="2211"/>
      <c r="C30" s="2198"/>
      <c r="D30" s="1179" t="str">
        <f>Bau!V29</f>
        <v>Sud</v>
      </c>
      <c r="E30" s="533"/>
      <c r="F30" s="467" t="str">
        <f>F7</f>
        <v xml:space="preserve">N°  </v>
      </c>
      <c r="G30" s="4"/>
      <c r="H30" s="1170">
        <v>37</v>
      </c>
      <c r="I30" s="4"/>
      <c r="J30" s="4"/>
      <c r="K30" s="1862" t="str">
        <f>K6</f>
        <v xml:space="preserve">     a:</v>
      </c>
      <c r="L30" s="533" t="str">
        <f>L6</f>
        <v>( angle d'hoizont )</v>
      </c>
      <c r="M30" s="536"/>
      <c r="N30" s="260"/>
      <c r="O30" s="264">
        <v>30</v>
      </c>
      <c r="P30" s="4" t="s">
        <v>1880</v>
      </c>
      <c r="Q30" s="1125"/>
      <c r="R30" s="1126"/>
      <c r="S30" s="1127"/>
      <c r="T30" s="1161" t="str">
        <f>Uebersetzung!D312</f>
        <v>Surplomb</v>
      </c>
      <c r="U30" s="1127"/>
      <c r="V30" s="1127"/>
      <c r="W30" s="1127"/>
      <c r="X30" s="1128"/>
      <c r="Y30" s="2208"/>
      <c r="Z30" s="2206"/>
      <c r="AA30" s="1852"/>
      <c r="AB30" s="4"/>
      <c r="AC30" s="4"/>
      <c r="AD30" s="467" t="str">
        <f>Uebersetzung!D313</f>
        <v>Ecran latéral</v>
      </c>
      <c r="AE30" s="4"/>
      <c r="AF30" s="4"/>
      <c r="AG30" s="4"/>
      <c r="AH30" s="4"/>
      <c r="AI30" s="514"/>
      <c r="AJ30" s="1125"/>
      <c r="AK30" s="1126"/>
      <c r="AL30" s="1175"/>
      <c r="AM30" s="4"/>
      <c r="AN30" s="4"/>
      <c r="AO30" s="4"/>
      <c r="AP30" s="4"/>
      <c r="AQ30" s="463"/>
      <c r="AR30" s="4"/>
      <c r="AS30" s="463"/>
      <c r="AT30" s="4"/>
      <c r="AU30" s="4"/>
      <c r="AV30" s="199"/>
      <c r="AW30" s="1123"/>
      <c r="AX30" s="199"/>
      <c r="AY30" s="199"/>
      <c r="AZ30" s="199"/>
      <c r="BA30" s="199"/>
      <c r="BB30" s="199"/>
      <c r="BC30" s="199"/>
      <c r="BD30" s="199"/>
      <c r="BE30" s="1123"/>
      <c r="BF30" s="1123"/>
      <c r="BG30" s="199"/>
      <c r="BH30" s="199"/>
      <c r="BI30" s="199"/>
      <c r="BJ30" s="199"/>
      <c r="BK30" s="199"/>
      <c r="BL30" s="199"/>
      <c r="BM30" s="199"/>
      <c r="BN30" s="1123"/>
      <c r="BO30" s="1123"/>
      <c r="BP30" s="199"/>
      <c r="BQ30" s="199"/>
      <c r="BR30" s="199"/>
      <c r="BS30" s="199"/>
      <c r="BT30" s="199"/>
      <c r="BU30" s="199"/>
    </row>
    <row r="31" spans="1:108" ht="14.45" customHeight="1">
      <c r="A31" s="2210"/>
      <c r="B31" s="2211"/>
      <c r="C31" s="2198"/>
      <c r="D31" s="1232">
        <f>IF(ABS(Bau!T38-Fenster!AO50)&gt;0.5,Uebersetzung!D305,)</f>
        <v>0</v>
      </c>
      <c r="E31" s="533"/>
      <c r="F31" s="467"/>
      <c r="G31" s="533"/>
      <c r="H31" s="536"/>
      <c r="I31" s="467"/>
      <c r="J31" s="467"/>
      <c r="K31" s="4"/>
      <c r="L31" s="4"/>
      <c r="M31" s="1178" t="str">
        <f>Uebersetzung!D320</f>
        <v>(au centre de la façade)</v>
      </c>
      <c r="N31" s="260"/>
      <c r="O31" s="445"/>
      <c r="P31" s="4"/>
      <c r="Q31" s="1125"/>
      <c r="R31" s="1126"/>
      <c r="S31" s="1127"/>
      <c r="T31" s="1126"/>
      <c r="U31" s="1127"/>
      <c r="V31" s="1127"/>
      <c r="W31" s="1127"/>
      <c r="X31" s="1128"/>
      <c r="Y31" s="2208"/>
      <c r="Z31" s="2206"/>
      <c r="AA31" s="1852"/>
      <c r="AB31" s="4"/>
      <c r="AC31" s="4"/>
      <c r="AD31" s="4"/>
      <c r="AE31" s="4"/>
      <c r="AF31" s="4"/>
      <c r="AG31" s="4"/>
      <c r="AH31" s="4"/>
      <c r="AI31" s="514"/>
      <c r="AJ31" s="1125"/>
      <c r="AK31" s="1126"/>
      <c r="AL31" s="1175"/>
      <c r="AM31" s="4"/>
      <c r="AN31" s="4"/>
      <c r="AO31" s="4"/>
      <c r="AP31" s="4"/>
      <c r="AQ31" s="463"/>
      <c r="AR31" s="4"/>
      <c r="AS31" s="463"/>
      <c r="AT31" s="4"/>
      <c r="AU31" s="4"/>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108" ht="25.9" customHeight="1">
      <c r="A32" s="2210"/>
      <c r="B32" s="2211"/>
      <c r="C32" s="2198"/>
      <c r="D32" s="1112" t="str">
        <f>D9</f>
        <v>Description:</v>
      </c>
      <c r="E32" s="1112"/>
      <c r="F32" s="1124" t="str">
        <f>F9</f>
        <v>nombre</v>
      </c>
      <c r="G32" s="1112"/>
      <c r="H32" s="1112" t="str">
        <f>H9</f>
        <v>Surfaces</v>
      </c>
      <c r="I32" s="1124"/>
      <c r="J32" s="1863" t="str">
        <f>J9</f>
        <v xml:space="preserve">N°  </v>
      </c>
      <c r="K32" s="2199" t="str">
        <f>Uebersetzung!D311</f>
        <v>Valeur U
[W/m2K]</v>
      </c>
      <c r="L32" s="2199"/>
      <c r="M32" s="1089" t="str">
        <f>M9</f>
        <v>Valeur g</v>
      </c>
      <c r="N32" s="28"/>
      <c r="O32" s="2200" t="str">
        <f>O9</f>
        <v>part vitrée
(Val. FF):</v>
      </c>
      <c r="P32" s="2200"/>
      <c r="Q32" s="1125"/>
      <c r="R32" s="1130" t="str">
        <f>Uebersetzung!D322</f>
        <v>H</v>
      </c>
      <c r="S32" s="1131"/>
      <c r="T32" s="1122" t="str">
        <f>T30</f>
        <v>Surplomb</v>
      </c>
      <c r="U32" s="1127"/>
      <c r="V32" s="1864" t="str">
        <f>Uebersetzung!D323</f>
        <v>angle</v>
      </c>
      <c r="W32" s="1850"/>
      <c r="X32" s="1865" t="s">
        <v>3155</v>
      </c>
      <c r="Y32" s="2208"/>
      <c r="Z32" s="2206"/>
      <c r="AA32" s="1852"/>
      <c r="AB32" s="1112" t="str">
        <f>Uebersetzung!D327</f>
        <v xml:space="preserve">    B</v>
      </c>
      <c r="AC32" s="1113"/>
      <c r="AD32" s="1124" t="str">
        <f>AG32</f>
        <v>écran</v>
      </c>
      <c r="AE32" s="1113"/>
      <c r="AF32" s="533" t="str">
        <f>V32</f>
        <v>angle</v>
      </c>
      <c r="AG32" s="1124" t="str">
        <f>Uebersetzung!D328</f>
        <v>écran</v>
      </c>
      <c r="AH32" s="1866" t="s">
        <v>324</v>
      </c>
      <c r="AI32" s="514"/>
      <c r="AJ32" s="1125"/>
      <c r="AK32" s="1867" t="str">
        <f>AK9</f>
        <v>Valeur  FS</v>
      </c>
      <c r="AL32" s="1171"/>
      <c r="AM32" s="1112" t="s">
        <v>1881</v>
      </c>
      <c r="AN32" s="1112" t="s">
        <v>1883</v>
      </c>
      <c r="AO32" s="1112" t="s">
        <v>1884</v>
      </c>
      <c r="AP32" s="1148" t="s">
        <v>1826</v>
      </c>
      <c r="AQ32" s="1183" t="s">
        <v>1831</v>
      </c>
      <c r="AR32" s="1124" t="s">
        <v>1832</v>
      </c>
      <c r="AS32" s="1190" t="s">
        <v>1975</v>
      </c>
      <c r="AT32" s="1124" t="s">
        <v>1841</v>
      </c>
      <c r="AU32" s="1112"/>
      <c r="AV32" s="199"/>
      <c r="AW32" s="1096" t="s">
        <v>1878</v>
      </c>
      <c r="AX32" s="1097"/>
      <c r="AY32" s="1097"/>
      <c r="AZ32" s="1097" t="s">
        <v>8</v>
      </c>
      <c r="BA32" s="1097"/>
      <c r="BB32" s="1097"/>
      <c r="BC32" s="1098" t="s">
        <v>1879</v>
      </c>
      <c r="BD32" s="199"/>
      <c r="BE32" s="1096" t="s">
        <v>7</v>
      </c>
      <c r="BF32" s="1107"/>
      <c r="BG32" s="1097"/>
      <c r="BH32" s="1097"/>
      <c r="BI32" s="1097" t="s">
        <v>8</v>
      </c>
      <c r="BJ32" s="1097"/>
      <c r="BK32" s="1097"/>
      <c r="BL32" s="1098" t="s">
        <v>9</v>
      </c>
      <c r="BM32" s="199"/>
      <c r="BN32" s="1096" t="s">
        <v>1875</v>
      </c>
      <c r="BO32" s="1107"/>
      <c r="BP32" s="1097"/>
      <c r="BQ32" s="1097"/>
      <c r="BR32" s="1097" t="s">
        <v>8</v>
      </c>
      <c r="BS32" s="1097"/>
      <c r="BT32" s="1097"/>
      <c r="BU32" s="1098" t="s">
        <v>1876</v>
      </c>
    </row>
    <row r="33" spans="1:108" ht="3.6" customHeight="1">
      <c r="A33" s="1147"/>
      <c r="B33" s="1147"/>
      <c r="C33" s="1147"/>
      <c r="D33" s="273"/>
      <c r="E33" s="273"/>
      <c r="F33" s="4"/>
      <c r="G33" s="273"/>
      <c r="H33" s="1149"/>
      <c r="I33" s="4"/>
      <c r="J33" s="2"/>
      <c r="K33" s="4"/>
      <c r="L33" s="4"/>
      <c r="M33" s="273"/>
      <c r="N33" s="28"/>
      <c r="O33" s="273"/>
      <c r="P33" s="4"/>
      <c r="Q33" s="1125"/>
      <c r="R33" s="1132"/>
      <c r="S33" s="1127"/>
      <c r="T33" s="1132"/>
      <c r="U33" s="1127"/>
      <c r="V33" s="1127"/>
      <c r="W33" s="1127"/>
      <c r="X33" s="1128"/>
      <c r="Y33" s="253"/>
      <c r="Z33" s="1871"/>
      <c r="AA33" s="199"/>
      <c r="AB33" s="4"/>
      <c r="AC33" s="4"/>
      <c r="AD33" s="4"/>
      <c r="AE33" s="4"/>
      <c r="AF33" s="4"/>
      <c r="AG33" s="4"/>
      <c r="AH33" s="4"/>
      <c r="AI33" s="514"/>
      <c r="AJ33" s="1125"/>
      <c r="AK33" s="1168"/>
      <c r="AL33" s="1176"/>
      <c r="AM33" s="1150"/>
      <c r="AN33" s="273"/>
      <c r="AO33" s="274"/>
      <c r="AP33" s="445"/>
      <c r="AQ33" s="1184"/>
      <c r="AR33" s="445"/>
      <c r="AS33" s="1184"/>
      <c r="AT33" s="445"/>
      <c r="AU33" s="1150"/>
      <c r="AV33" s="199"/>
      <c r="AW33" s="1099"/>
      <c r="AX33" s="1100"/>
      <c r="AY33" s="1100"/>
      <c r="AZ33" s="1100"/>
      <c r="BA33" s="1100"/>
      <c r="BB33" s="1100"/>
      <c r="BC33" s="1101"/>
      <c r="BD33" s="199"/>
      <c r="BE33" s="1099"/>
      <c r="BF33" s="1108"/>
      <c r="BG33" s="1100"/>
      <c r="BH33" s="1100"/>
      <c r="BI33" s="1100"/>
      <c r="BJ33" s="1100"/>
      <c r="BK33" s="1100"/>
      <c r="BL33" s="1101"/>
      <c r="BM33" s="199"/>
      <c r="BN33" s="1099"/>
      <c r="BO33" s="1108"/>
      <c r="BP33" s="1100"/>
      <c r="BQ33" s="1100"/>
      <c r="BR33" s="1100"/>
      <c r="BS33" s="1100"/>
      <c r="BT33" s="1100"/>
      <c r="BU33" s="1101"/>
    </row>
    <row r="34" spans="1:108" ht="14.45" customHeight="1">
      <c r="A34" s="531"/>
      <c r="B34" s="1509"/>
      <c r="C34" s="2132"/>
      <c r="D34" s="1117"/>
      <c r="E34" s="4"/>
      <c r="F34" s="1120"/>
      <c r="G34" s="4"/>
      <c r="H34" s="618"/>
      <c r="I34" s="1113" t="s">
        <v>1882</v>
      </c>
      <c r="J34" s="360"/>
      <c r="K34" s="264"/>
      <c r="L34" s="292">
        <f>IF(J34&gt;0,IF(K34&gt;0,Fehler1,INDEX(UWert!$BD$7:$BD$41,J34)),K34)</f>
        <v>0</v>
      </c>
      <c r="M34" s="264"/>
      <c r="N34" s="28">
        <f>IF(J34&gt;0,IF(M34&gt;0,Fehler1,INDEX(UWert!$BE$7:$BE$41,J34)),M34)</f>
        <v>0</v>
      </c>
      <c r="O34" s="264"/>
      <c r="P34" s="4"/>
      <c r="Q34" s="1125"/>
      <c r="R34" s="264"/>
      <c r="S34" s="1133" t="s">
        <v>808</v>
      </c>
      <c r="T34" s="264"/>
      <c r="U34" s="1133" t="s">
        <v>808</v>
      </c>
      <c r="V34" s="1110"/>
      <c r="W34" s="1127" t="s">
        <v>1880</v>
      </c>
      <c r="X34" s="1134">
        <f>IF(AND(V34&gt;0,R34&gt;0),Fehler1,IF(V34&gt;0,V34,BF34))</f>
        <v>0</v>
      </c>
      <c r="Y34" s="253"/>
      <c r="Z34" s="1509"/>
      <c r="AA34" s="199"/>
      <c r="AB34" s="1858"/>
      <c r="AC34" s="1113" t="s">
        <v>808</v>
      </c>
      <c r="AD34" s="1858"/>
      <c r="AE34" s="1113" t="s">
        <v>808</v>
      </c>
      <c r="AF34" s="1110"/>
      <c r="AG34" s="273" t="s">
        <v>1880</v>
      </c>
      <c r="AH34" s="1870">
        <f>IF(AND(AF34&gt;0,AB34&gt;0),Fehler1,IF(AF34&gt;0,AF34,BO34))</f>
        <v>0</v>
      </c>
      <c r="AI34" s="514"/>
      <c r="AJ34" s="1125"/>
      <c r="AK34" s="1129">
        <f>BC34*BL34*BU34*AR34</f>
        <v>0.59</v>
      </c>
      <c r="AL34" s="1173"/>
      <c r="AM34" s="554">
        <f>IF(O34&gt;0,MIN(O34,0.95),IF(_Ver09,0.7,0.75))</f>
        <v>0.75</v>
      </c>
      <c r="AN34" s="1141">
        <f>IF(N34&gt;0,MIN(N34,0.9),)</f>
        <v>0</v>
      </c>
      <c r="AO34" s="63">
        <f>IF(F34&gt;0,H34*F34,H34)</f>
        <v>0</v>
      </c>
      <c r="AP34" s="440">
        <f>$O$30</f>
        <v>30</v>
      </c>
      <c r="AQ34" s="1184" t="b">
        <f>IF(Z34=$AN$5,TRUE,FALSE)</f>
        <v>0</v>
      </c>
      <c r="AR34" s="445">
        <f>IF(AQ34,BU34,1)</f>
        <v>1</v>
      </c>
      <c r="AS34" s="1184" t="b">
        <f>IF(B34=$AN$5,TRUE,FALSE)</f>
        <v>0</v>
      </c>
      <c r="AT34" s="445">
        <f>IF(AS34,MAX(1,F34)*H34,0)</f>
        <v>0</v>
      </c>
      <c r="AU34" s="1151" t="str">
        <f>IF(AND(AO34&gt;0,OR(L34=0,N34=0,X34="",AH34="")),"Nicht alle Eingaben gewählt","")</f>
        <v/>
      </c>
      <c r="AV34" s="199"/>
      <c r="AW34" s="1093">
        <f>AP34</f>
        <v>30</v>
      </c>
      <c r="AX34" s="1094">
        <f>IF(AW34&lt;Tab!$B$78,1,IF(AW34&lt;Tab!$B$79,2,IF(AW34&lt;Tab!$B$80,3,IF(AW34&lt;Tab!$B$81,4,IF(AW34&lt;Tab!$B$82,5,IF(AW34&lt;Tab!$B$83,6,7))))))</f>
        <v>4</v>
      </c>
      <c r="AY34" s="1095">
        <f>INDEX(Tab!$B$77:$B$84,AX34,1)</f>
        <v>30</v>
      </c>
      <c r="AZ34" s="1095">
        <f>INDEX(Tab!$B$77:$B$84,AX34+1,1)</f>
        <v>40</v>
      </c>
      <c r="BA34" s="1106">
        <f>INDEX(Tab!$C$77:$D$84,AX34,1+Ausrichtung)</f>
        <v>0.59</v>
      </c>
      <c r="BB34" s="1106">
        <f>INDEX(Tab!$C$77:$D$84,AX34+1,1+Ausrichtung)</f>
        <v>0.45</v>
      </c>
      <c r="BC34" s="1102">
        <f>MAX(BB34+(BA34-BB34)/(AZ34-AY34)*(AZ34-AW34),INDEX(Tab!$C$84:$D$84,1,1+Ausrichtung))</f>
        <v>0.59</v>
      </c>
      <c r="BD34" s="199"/>
      <c r="BE34" s="1093">
        <f>X34</f>
        <v>0</v>
      </c>
      <c r="BF34" s="1109">
        <f>IF(OR(R34=0,T34=0,),0,ATAN(T34/R34)*180/PI())</f>
        <v>0</v>
      </c>
      <c r="BG34" s="1094">
        <f>IF(BE34&lt;Tab!$B$88,1,IF(BE34&lt;Tab!$B$89,2,IF(BE34&lt;Tab!$B$90,3,IF(BE34&lt;Tab!$B$91,4,5))))</f>
        <v>1</v>
      </c>
      <c r="BH34" s="1095">
        <f>INDEX(Tab!$B$87:$B$92,BG34,1)</f>
        <v>0</v>
      </c>
      <c r="BI34" s="1095">
        <f>INDEX(Tab!$B$87:$B$92,BG34+1,1)</f>
        <v>15</v>
      </c>
      <c r="BJ34" s="1106">
        <f>INDEX(Tab!$C$87:$D$92,BG34,1+Ausrichtung)</f>
        <v>1</v>
      </c>
      <c r="BK34" s="1106">
        <f>INDEX(Tab!$C$87:$D$92,BG34+1,1+Ausrichtung)</f>
        <v>0.95</v>
      </c>
      <c r="BL34" s="1102">
        <f>MAX(BK34+(BJ34-BK34)/(BI34-BH34)*(BI34-BE34),INDEX(Tab!$C$92:$D$92,1,1+Ausrichtung))</f>
        <v>1</v>
      </c>
      <c r="BM34" s="199"/>
      <c r="BN34" s="1093">
        <f>AH34</f>
        <v>0</v>
      </c>
      <c r="BO34" s="1109">
        <f>IF(OR(AB34=0,AD34=0,),0,ATAN(AD34/AB34)*180/PI())</f>
        <v>0</v>
      </c>
      <c r="BP34" s="1094">
        <f>IF(BN34&lt;Tab!$B$98,1,IF(BN34&lt;Tab!$B$99,2,IF(BN34&lt;Tab!$B$100,3,IF(BN34&lt;Tab!$B$101,4,5))))</f>
        <v>1</v>
      </c>
      <c r="BQ34" s="1095">
        <f>INDEX(Tab!$B$97:$B$102,BP34,1)</f>
        <v>0</v>
      </c>
      <c r="BR34" s="1095">
        <f>INDEX(Tab!$B$97:$B$102,BP34+1,1)</f>
        <v>15</v>
      </c>
      <c r="BS34" s="1106">
        <f>INDEX(Tab!$C$97:$D$102,BP34,1+Ausrichtung)</f>
        <v>1</v>
      </c>
      <c r="BT34" s="1106">
        <f>INDEX(Tab!$C$97:$D$102,BP34+1,1+Ausrichtung)</f>
        <v>0.97</v>
      </c>
      <c r="BU34" s="1102">
        <f>MAX(BT34+(BS34-BT34)/(BR34-BQ34)*(BR34-BN34),INDEX(Tab!$C$102:$D$102,1,1+Ausrichtung))</f>
        <v>1</v>
      </c>
    </row>
    <row r="35" spans="1:108" s="1203" customFormat="1" ht="3.6" customHeight="1">
      <c r="A35" s="531"/>
      <c r="B35" s="531"/>
      <c r="C35" s="531"/>
      <c r="D35" s="1113"/>
      <c r="E35" s="4"/>
      <c r="F35" s="1192"/>
      <c r="G35" s="4"/>
      <c r="H35" s="440"/>
      <c r="I35" s="1113"/>
      <c r="J35" s="434"/>
      <c r="K35" s="4"/>
      <c r="L35" s="292"/>
      <c r="M35" s="4"/>
      <c r="N35" s="28"/>
      <c r="O35" s="4"/>
      <c r="P35" s="4"/>
      <c r="Q35" s="1142"/>
      <c r="R35" s="1129"/>
      <c r="S35" s="1129"/>
      <c r="T35" s="1129"/>
      <c r="U35" s="1129"/>
      <c r="V35" s="1129"/>
      <c r="W35" s="1140"/>
      <c r="X35" s="1193"/>
      <c r="Y35" s="118"/>
      <c r="Z35" s="1871"/>
      <c r="AA35" s="30"/>
      <c r="AB35" s="4"/>
      <c r="AC35" s="1113"/>
      <c r="AD35" s="4"/>
      <c r="AE35" s="4"/>
      <c r="AF35" s="4"/>
      <c r="AG35" s="273"/>
      <c r="AH35" s="1870"/>
      <c r="AI35" s="57"/>
      <c r="AJ35" s="1142"/>
      <c r="AK35" s="1129"/>
      <c r="AL35" s="1173"/>
      <c r="AM35" s="445"/>
      <c r="AN35" s="445"/>
      <c r="AO35" s="63"/>
      <c r="AP35" s="440"/>
      <c r="AQ35" s="440"/>
      <c r="AR35" s="445"/>
      <c r="AS35" s="445"/>
      <c r="AT35" s="445"/>
      <c r="AU35" s="445"/>
      <c r="AV35" s="30"/>
      <c r="AW35" s="1200"/>
      <c r="AX35" s="305"/>
      <c r="AY35" s="59"/>
      <c r="AZ35" s="59"/>
      <c r="BA35" s="59"/>
      <c r="BB35" s="59"/>
      <c r="BC35" s="1201"/>
      <c r="BD35" s="30"/>
      <c r="BE35" s="1200"/>
      <c r="BF35" s="1202"/>
      <c r="BG35" s="305"/>
      <c r="BH35" s="59"/>
      <c r="BI35" s="59"/>
      <c r="BJ35" s="59"/>
      <c r="BK35" s="59"/>
      <c r="BL35" s="1201"/>
      <c r="BM35" s="30"/>
      <c r="BN35" s="1200"/>
      <c r="BO35" s="1202"/>
      <c r="BP35" s="305"/>
      <c r="BQ35" s="59"/>
      <c r="BR35" s="59"/>
      <c r="BS35" s="59"/>
      <c r="BT35" s="59"/>
      <c r="BU35" s="1201"/>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row>
    <row r="36" spans="1:108" ht="14.45" customHeight="1">
      <c r="A36" s="531"/>
      <c r="B36" s="1509"/>
      <c r="C36" s="2132"/>
      <c r="D36" s="1117"/>
      <c r="E36" s="4"/>
      <c r="F36" s="1120"/>
      <c r="G36" s="4"/>
      <c r="H36" s="618"/>
      <c r="I36" s="1113" t="s">
        <v>1882</v>
      </c>
      <c r="J36" s="360"/>
      <c r="K36" s="264"/>
      <c r="L36" s="292">
        <f>IF(J36&gt;0,IF(K36&gt;0,Fehler1,INDEX(UWert!$BD$7:$BD$41,J36)),K36)</f>
        <v>0</v>
      </c>
      <c r="M36" s="264"/>
      <c r="N36" s="28">
        <f>IF(J36&gt;0,IF(M36&gt;0,Fehler1,INDEX(UWert!$BE$7:$BE$41,J36)),M36)</f>
        <v>0</v>
      </c>
      <c r="O36" s="264"/>
      <c r="P36" s="4"/>
      <c r="Q36" s="1125"/>
      <c r="R36" s="264"/>
      <c r="S36" s="1133" t="s">
        <v>808</v>
      </c>
      <c r="T36" s="264"/>
      <c r="U36" s="1133" t="s">
        <v>808</v>
      </c>
      <c r="V36" s="1110"/>
      <c r="W36" s="1127" t="s">
        <v>1880</v>
      </c>
      <c r="X36" s="1134">
        <f>IF(AND(V36&gt;0,R36&gt;0),Fehler1,IF(V36&gt;0,V36,BF36))</f>
        <v>0</v>
      </c>
      <c r="Y36" s="253"/>
      <c r="Z36" s="1509"/>
      <c r="AA36" s="199"/>
      <c r="AB36" s="1858"/>
      <c r="AC36" s="1113" t="s">
        <v>808</v>
      </c>
      <c r="AD36" s="1858"/>
      <c r="AE36" s="1113" t="s">
        <v>808</v>
      </c>
      <c r="AF36" s="1110"/>
      <c r="AG36" s="273" t="s">
        <v>1880</v>
      </c>
      <c r="AH36" s="1870">
        <f>IF(AND(AF36&gt;0,AB36&gt;0),Fehler1,IF(AF36&gt;0,AF36,BO36))</f>
        <v>0</v>
      </c>
      <c r="AI36" s="514"/>
      <c r="AJ36" s="1125"/>
      <c r="AK36" s="1129">
        <f>BC36*BL36*BU36*AR36</f>
        <v>0.59</v>
      </c>
      <c r="AL36" s="1173"/>
      <c r="AM36" s="554">
        <f>IF(O36&gt;0,MIN(O36,0.95),IF(_Ver09,0.7,0.75))</f>
        <v>0.75</v>
      </c>
      <c r="AN36" s="1141">
        <f>IF(N36&gt;0,MIN(N36,0.9),)</f>
        <v>0</v>
      </c>
      <c r="AO36" s="63">
        <f>IF(F36&gt;0,H36*F36,H36)</f>
        <v>0</v>
      </c>
      <c r="AP36" s="440">
        <f>$O$30</f>
        <v>30</v>
      </c>
      <c r="AQ36" s="1184" t="b">
        <f>IF(Z36=$AN$5,TRUE,FALSE)</f>
        <v>0</v>
      </c>
      <c r="AR36" s="445">
        <f>IF(AQ36,BU36,1)</f>
        <v>1</v>
      </c>
      <c r="AS36" s="1184" t="b">
        <f>IF(B36=$AN$5,TRUE,FALSE)</f>
        <v>0</v>
      </c>
      <c r="AT36" s="445">
        <f>IF(AS36,MAX(1,F36)*H36,0)</f>
        <v>0</v>
      </c>
      <c r="AU36" s="1151" t="str">
        <f>IF(AND(AO36&gt;0,OR(L36=0,N36=0,X36="",AH36="")),"Nicht alle Eingaben gewählt","")</f>
        <v/>
      </c>
      <c r="AV36" s="199"/>
      <c r="AW36" s="1093">
        <f>AP36</f>
        <v>30</v>
      </c>
      <c r="AX36" s="1094">
        <f>IF(AW36&lt;Tab!$B$78,1,IF(AW36&lt;Tab!$B$79,2,IF(AW36&lt;Tab!$B$80,3,IF(AW36&lt;Tab!$B$81,4,IF(AW36&lt;Tab!$B$82,5,IF(AW36&lt;Tab!$B$83,6,7))))))</f>
        <v>4</v>
      </c>
      <c r="AY36" s="1095">
        <f>INDEX(Tab!$B$77:$B$84,AX36,1)</f>
        <v>30</v>
      </c>
      <c r="AZ36" s="1095">
        <f>INDEX(Tab!$B$77:$B$84,AX36+1,1)</f>
        <v>40</v>
      </c>
      <c r="BA36" s="1106">
        <f>INDEX(Tab!$C$77:$D$84,AX36,1+Ausrichtung)</f>
        <v>0.59</v>
      </c>
      <c r="BB36" s="1106">
        <f>INDEX(Tab!$C$77:$D$84,AX36+1,1+Ausrichtung)</f>
        <v>0.45</v>
      </c>
      <c r="BC36" s="1102">
        <f>MAX(BB36+(BA36-BB36)/(AZ36-AY36)*(AZ36-AW36),INDEX(Tab!$C$84:$D$84,1,1+Ausrichtung))</f>
        <v>0.59</v>
      </c>
      <c r="BD36" s="199"/>
      <c r="BE36" s="1093">
        <f>X36</f>
        <v>0</v>
      </c>
      <c r="BF36" s="1109">
        <f>IF(OR(R36=0,T36=0,),0,ATAN(T36/R36)*180/PI())</f>
        <v>0</v>
      </c>
      <c r="BG36" s="1094">
        <f>IF(BE36&lt;Tab!$B$88,1,IF(BE36&lt;Tab!$B$89,2,IF(BE36&lt;Tab!$B$90,3,IF(BE36&lt;Tab!$B$91,4,5))))</f>
        <v>1</v>
      </c>
      <c r="BH36" s="1095">
        <f>INDEX(Tab!$B$87:$B$92,BG36,1)</f>
        <v>0</v>
      </c>
      <c r="BI36" s="1095">
        <f>INDEX(Tab!$B$87:$B$92,BG36+1,1)</f>
        <v>15</v>
      </c>
      <c r="BJ36" s="1106">
        <f>INDEX(Tab!$C$87:$D$92,BG36,1+Ausrichtung)</f>
        <v>1</v>
      </c>
      <c r="BK36" s="1106">
        <f>INDEX(Tab!$C$87:$D$92,BG36+1,1+Ausrichtung)</f>
        <v>0.95</v>
      </c>
      <c r="BL36" s="1102">
        <f>MAX(BK36+(BJ36-BK36)/(BI36-BH36)*(BI36-BE36),INDEX(Tab!$C$92:$D$92,1,1+Ausrichtung))</f>
        <v>1</v>
      </c>
      <c r="BM36" s="199"/>
      <c r="BN36" s="1093">
        <f>AH36</f>
        <v>0</v>
      </c>
      <c r="BO36" s="1109">
        <f>IF(OR(AB36=0,AD36=0,),0,ATAN(AD36/AB36)*180/PI())</f>
        <v>0</v>
      </c>
      <c r="BP36" s="1094">
        <f>IF(BN36&lt;Tab!$B$98,1,IF(BN36&lt;Tab!$B$99,2,IF(BN36&lt;Tab!$B$100,3,IF(BN36&lt;Tab!$B$101,4,5))))</f>
        <v>1</v>
      </c>
      <c r="BQ36" s="1095">
        <f>INDEX(Tab!$B$97:$B$102,BP36,1)</f>
        <v>0</v>
      </c>
      <c r="BR36" s="1095">
        <f>INDEX(Tab!$B$97:$B$102,BP36+1,1)</f>
        <v>15</v>
      </c>
      <c r="BS36" s="1106">
        <f>INDEX(Tab!$C$97:$D$102,BP36,1+Ausrichtung)</f>
        <v>1</v>
      </c>
      <c r="BT36" s="1106">
        <f>INDEX(Tab!$C$97:$D$102,BP36+1,1+Ausrichtung)</f>
        <v>0.97</v>
      </c>
      <c r="BU36" s="1102">
        <f>MAX(BT36+(BS36-BT36)/(BR36-BQ36)*(BR36-BN36),INDEX(Tab!$C$102:$D$102,1,1+Ausrichtung))</f>
        <v>1</v>
      </c>
    </row>
    <row r="37" spans="1:108" s="1203" customFormat="1" ht="3.6" customHeight="1">
      <c r="A37" s="531"/>
      <c r="B37" s="531"/>
      <c r="C37" s="531"/>
      <c r="D37" s="1197"/>
      <c r="E37" s="4"/>
      <c r="F37" s="1192"/>
      <c r="G37" s="4"/>
      <c r="H37" s="1198"/>
      <c r="I37" s="1113"/>
      <c r="J37" s="434"/>
      <c r="K37" s="1199"/>
      <c r="L37" s="292"/>
      <c r="M37" s="4"/>
      <c r="N37" s="28"/>
      <c r="O37" s="1199"/>
      <c r="P37" s="4"/>
      <c r="Q37" s="1142"/>
      <c r="R37" s="1129"/>
      <c r="S37" s="1129"/>
      <c r="T37" s="1129"/>
      <c r="U37" s="1129"/>
      <c r="V37" s="1129"/>
      <c r="W37" s="1140"/>
      <c r="X37" s="1193"/>
      <c r="Y37" s="118"/>
      <c r="Z37" s="1871"/>
      <c r="AA37" s="30"/>
      <c r="AB37" s="1199"/>
      <c r="AC37" s="1113"/>
      <c r="AD37" s="1199"/>
      <c r="AE37" s="4"/>
      <c r="AF37" s="4"/>
      <c r="AG37" s="273"/>
      <c r="AH37" s="1870"/>
      <c r="AI37" s="57"/>
      <c r="AJ37" s="1142"/>
      <c r="AK37" s="1129"/>
      <c r="AL37" s="1173"/>
      <c r="AM37" s="445"/>
      <c r="AN37" s="445"/>
      <c r="AO37" s="63"/>
      <c r="AP37" s="440"/>
      <c r="AQ37" s="440"/>
      <c r="AR37" s="445"/>
      <c r="AS37" s="445"/>
      <c r="AT37" s="445"/>
      <c r="AU37" s="445"/>
      <c r="AV37" s="30"/>
      <c r="AW37" s="1200"/>
      <c r="AX37" s="305"/>
      <c r="AY37" s="59"/>
      <c r="AZ37" s="59"/>
      <c r="BA37" s="59"/>
      <c r="BB37" s="59"/>
      <c r="BC37" s="1201"/>
      <c r="BD37" s="30"/>
      <c r="BE37" s="1200"/>
      <c r="BF37" s="1202"/>
      <c r="BG37" s="305"/>
      <c r="BH37" s="59"/>
      <c r="BI37" s="59"/>
      <c r="BJ37" s="59"/>
      <c r="BK37" s="59"/>
      <c r="BL37" s="1201"/>
      <c r="BM37" s="30"/>
      <c r="BN37" s="1200"/>
      <c r="BO37" s="1202"/>
      <c r="BP37" s="305"/>
      <c r="BQ37" s="59"/>
      <c r="BR37" s="59"/>
      <c r="BS37" s="59"/>
      <c r="BT37" s="59"/>
      <c r="BU37" s="1201"/>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row>
    <row r="38" spans="1:108" ht="14.45" customHeight="1">
      <c r="A38" s="531"/>
      <c r="B38" s="1509"/>
      <c r="C38" s="2132"/>
      <c r="D38" s="1117"/>
      <c r="E38" s="4"/>
      <c r="F38" s="1120"/>
      <c r="G38" s="4"/>
      <c r="H38" s="618"/>
      <c r="I38" s="1113" t="s">
        <v>1882</v>
      </c>
      <c r="J38" s="360"/>
      <c r="K38" s="264"/>
      <c r="L38" s="292">
        <f>IF(J38&gt;0,IF(K38&gt;0,Fehler1,INDEX(UWert!$BD$7:$BD$41,J38)),K38)</f>
        <v>0</v>
      </c>
      <c r="M38" s="264"/>
      <c r="N38" s="28">
        <f>IF(J38&gt;0,IF(M38&gt;0,Fehler1,INDEX(UWert!$BE$7:$BE$41,J38)),M38)</f>
        <v>0</v>
      </c>
      <c r="O38" s="264"/>
      <c r="P38" s="4"/>
      <c r="Q38" s="1125"/>
      <c r="R38" s="264"/>
      <c r="S38" s="1133" t="s">
        <v>808</v>
      </c>
      <c r="T38" s="264"/>
      <c r="U38" s="1133" t="s">
        <v>808</v>
      </c>
      <c r="V38" s="1110"/>
      <c r="W38" s="1127" t="s">
        <v>1880</v>
      </c>
      <c r="X38" s="1134">
        <f>IF(AND(V38&gt;0,R38&gt;0),Fehler1,IF(V38&gt;0,V38,BF38))</f>
        <v>0</v>
      </c>
      <c r="Y38" s="253"/>
      <c r="Z38" s="1509" t="s">
        <v>350</v>
      </c>
      <c r="AA38" s="199"/>
      <c r="AB38" s="1858"/>
      <c r="AC38" s="1113" t="s">
        <v>808</v>
      </c>
      <c r="AD38" s="1858"/>
      <c r="AE38" s="1113" t="s">
        <v>808</v>
      </c>
      <c r="AF38" s="1110"/>
      <c r="AG38" s="273" t="s">
        <v>1880</v>
      </c>
      <c r="AH38" s="1870">
        <f>IF(AND(AF38&gt;0,AB38&gt;0),Fehler1,IF(AF38&gt;0,AF38,BO38))</f>
        <v>0</v>
      </c>
      <c r="AI38" s="514"/>
      <c r="AJ38" s="1125"/>
      <c r="AK38" s="1129">
        <f>BC38*BL38*BU38*AR38</f>
        <v>0.59</v>
      </c>
      <c r="AL38" s="1173"/>
      <c r="AM38" s="554">
        <f>IF(O38&gt;0,MIN(O38,0.95),IF(_Ver09,0.7,0.75))</f>
        <v>0.75</v>
      </c>
      <c r="AN38" s="1141">
        <f>IF(N38&gt;0,MIN(N38,0.9),)</f>
        <v>0</v>
      </c>
      <c r="AO38" s="63">
        <f>IF(F38&gt;0,H38*F38,H38)</f>
        <v>0</v>
      </c>
      <c r="AP38" s="440">
        <f>$O$30</f>
        <v>30</v>
      </c>
      <c r="AQ38" s="1184" t="b">
        <f>IF(Z38=$AN$5,TRUE,FALSE)</f>
        <v>0</v>
      </c>
      <c r="AR38" s="445">
        <f>IF(AQ38,BU38,1)</f>
        <v>1</v>
      </c>
      <c r="AS38" s="1184" t="b">
        <f>IF(B38=$AN$5,TRUE,FALSE)</f>
        <v>0</v>
      </c>
      <c r="AT38" s="445">
        <f>IF(AS38,MAX(1,F38)*H38,0)</f>
        <v>0</v>
      </c>
      <c r="AU38" s="1151" t="str">
        <f>IF(AND(AO38&gt;0,OR(L38=0,N38=0,X38="",AH38="")),"Nicht alle Eingaben gewählt","")</f>
        <v/>
      </c>
      <c r="AV38" s="199"/>
      <c r="AW38" s="1093">
        <f>AP38</f>
        <v>30</v>
      </c>
      <c r="AX38" s="1094">
        <f>IF(AW38&lt;Tab!$B$78,1,IF(AW38&lt;Tab!$B$79,2,IF(AW38&lt;Tab!$B$80,3,IF(AW38&lt;Tab!$B$81,4,IF(AW38&lt;Tab!$B$82,5,IF(AW38&lt;Tab!$B$83,6,7))))))</f>
        <v>4</v>
      </c>
      <c r="AY38" s="1095">
        <f>INDEX(Tab!$B$77:$B$84,AX38,1)</f>
        <v>30</v>
      </c>
      <c r="AZ38" s="1095">
        <f>INDEX(Tab!$B$77:$B$84,AX38+1,1)</f>
        <v>40</v>
      </c>
      <c r="BA38" s="1106">
        <f>INDEX(Tab!$C$77:$D$84,AX38,1+Ausrichtung)</f>
        <v>0.59</v>
      </c>
      <c r="BB38" s="1106">
        <f>INDEX(Tab!$C$77:$D$84,AX38+1,1+Ausrichtung)</f>
        <v>0.45</v>
      </c>
      <c r="BC38" s="1102">
        <f>MAX(BB38+(BA38-BB38)/(AZ38-AY38)*(AZ38-AW38),INDEX(Tab!$C$84:$D$84,1,1+Ausrichtung))</f>
        <v>0.59</v>
      </c>
      <c r="BD38" s="199"/>
      <c r="BE38" s="1093">
        <f>X38</f>
        <v>0</v>
      </c>
      <c r="BF38" s="1109">
        <f>IF(OR(R38=0,T38=0,),0,ATAN(T38/R38)*180/PI())</f>
        <v>0</v>
      </c>
      <c r="BG38" s="1094">
        <f>IF(BE38&lt;Tab!$B$88,1,IF(BE38&lt;Tab!$B$89,2,IF(BE38&lt;Tab!$B$90,3,IF(BE38&lt;Tab!$B$91,4,5))))</f>
        <v>1</v>
      </c>
      <c r="BH38" s="1095">
        <f>INDEX(Tab!$B$87:$B$92,BG38,1)</f>
        <v>0</v>
      </c>
      <c r="BI38" s="1095">
        <f>INDEX(Tab!$B$87:$B$92,BG38+1,1)</f>
        <v>15</v>
      </c>
      <c r="BJ38" s="1106">
        <f>INDEX(Tab!$C$87:$D$92,BG38,1+Ausrichtung)</f>
        <v>1</v>
      </c>
      <c r="BK38" s="1106">
        <f>INDEX(Tab!$C$87:$D$92,BG38+1,1+Ausrichtung)</f>
        <v>0.95</v>
      </c>
      <c r="BL38" s="1102">
        <f>MAX(BK38+(BJ38-BK38)/(BI38-BH38)*(BI38-BE38),INDEX(Tab!$C$92:$D$92,1,1+Ausrichtung))</f>
        <v>1</v>
      </c>
      <c r="BM38" s="199"/>
      <c r="BN38" s="1093">
        <f>AH38</f>
        <v>0</v>
      </c>
      <c r="BO38" s="1109">
        <f>IF(OR(AB38=0,AD38=0,),0,ATAN(AD38/AB38)*180/PI())</f>
        <v>0</v>
      </c>
      <c r="BP38" s="1094">
        <f>IF(BN38&lt;Tab!$B$98,1,IF(BN38&lt;Tab!$B$99,2,IF(BN38&lt;Tab!$B$100,3,IF(BN38&lt;Tab!$B$101,4,5))))</f>
        <v>1</v>
      </c>
      <c r="BQ38" s="1095">
        <f>INDEX(Tab!$B$97:$B$102,BP38,1)</f>
        <v>0</v>
      </c>
      <c r="BR38" s="1095">
        <f>INDEX(Tab!$B$97:$B$102,BP38+1,1)</f>
        <v>15</v>
      </c>
      <c r="BS38" s="1106">
        <f>INDEX(Tab!$C$97:$D$102,BP38,1+Ausrichtung)</f>
        <v>1</v>
      </c>
      <c r="BT38" s="1106">
        <f>INDEX(Tab!$C$97:$D$102,BP38+1,1+Ausrichtung)</f>
        <v>0.97</v>
      </c>
      <c r="BU38" s="1102">
        <f>MAX(BT38+(BS38-BT38)/(BR38-BQ38)*(BR38-BN38),INDEX(Tab!$C$102:$D$102,1,1+Ausrichtung))</f>
        <v>1</v>
      </c>
    </row>
    <row r="39" spans="1:108" s="1203" customFormat="1" ht="3.6" customHeight="1">
      <c r="A39" s="531"/>
      <c r="B39" s="531"/>
      <c r="C39" s="531"/>
      <c r="D39" s="1197"/>
      <c r="E39" s="4"/>
      <c r="F39" s="1192"/>
      <c r="G39" s="4"/>
      <c r="H39" s="1198"/>
      <c r="I39" s="1113"/>
      <c r="J39" s="434"/>
      <c r="K39" s="1199"/>
      <c r="L39" s="292"/>
      <c r="M39" s="4"/>
      <c r="N39" s="28"/>
      <c r="O39" s="1199"/>
      <c r="P39" s="4"/>
      <c r="Q39" s="1142"/>
      <c r="R39" s="1129"/>
      <c r="S39" s="1129"/>
      <c r="T39" s="1129"/>
      <c r="U39" s="1129"/>
      <c r="V39" s="1129"/>
      <c r="W39" s="1140"/>
      <c r="X39" s="1193"/>
      <c r="Y39" s="118"/>
      <c r="Z39" s="1871"/>
      <c r="AA39" s="30"/>
      <c r="AB39" s="1199"/>
      <c r="AC39" s="1113"/>
      <c r="AD39" s="1199"/>
      <c r="AE39" s="4"/>
      <c r="AF39" s="4"/>
      <c r="AG39" s="273"/>
      <c r="AH39" s="1870"/>
      <c r="AI39" s="57"/>
      <c r="AJ39" s="1142"/>
      <c r="AK39" s="1129"/>
      <c r="AL39" s="1173"/>
      <c r="AM39" s="445"/>
      <c r="AN39" s="445"/>
      <c r="AO39" s="63"/>
      <c r="AP39" s="440"/>
      <c r="AQ39" s="440"/>
      <c r="AR39" s="445"/>
      <c r="AS39" s="445"/>
      <c r="AT39" s="445"/>
      <c r="AU39" s="445"/>
      <c r="AV39" s="30"/>
      <c r="AW39" s="1200"/>
      <c r="AX39" s="305"/>
      <c r="AY39" s="59"/>
      <c r="AZ39" s="59"/>
      <c r="BA39" s="59"/>
      <c r="BB39" s="59"/>
      <c r="BC39" s="1201"/>
      <c r="BD39" s="30"/>
      <c r="BE39" s="1200"/>
      <c r="BF39" s="1202"/>
      <c r="BG39" s="305"/>
      <c r="BH39" s="59"/>
      <c r="BI39" s="59"/>
      <c r="BJ39" s="59"/>
      <c r="BK39" s="59"/>
      <c r="BL39" s="1201"/>
      <c r="BM39" s="30"/>
      <c r="BN39" s="1200"/>
      <c r="BO39" s="1202"/>
      <c r="BP39" s="305"/>
      <c r="BQ39" s="59"/>
      <c r="BR39" s="59"/>
      <c r="BS39" s="59"/>
      <c r="BT39" s="59"/>
      <c r="BU39" s="1201"/>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row>
    <row r="40" spans="1:108" ht="14.45" customHeight="1">
      <c r="A40" s="531"/>
      <c r="B40" s="1509"/>
      <c r="C40" s="2132"/>
      <c r="D40" s="1117"/>
      <c r="E40" s="4"/>
      <c r="F40" s="1120"/>
      <c r="G40" s="4"/>
      <c r="H40" s="618"/>
      <c r="I40" s="1113" t="s">
        <v>1882</v>
      </c>
      <c r="J40" s="360"/>
      <c r="K40" s="264"/>
      <c r="L40" s="292">
        <f>IF(J40&gt;0,IF(K40&gt;0,Fehler1,INDEX(UWert!$BD$7:$BD$41,J40)),K40)</f>
        <v>0</v>
      </c>
      <c r="M40" s="264"/>
      <c r="N40" s="28">
        <f>IF(J40&gt;0,IF(M40&gt;0,Fehler1,INDEX(UWert!$BE$7:$BE$41,J40)),M40)</f>
        <v>0</v>
      </c>
      <c r="O40" s="264"/>
      <c r="P40" s="4"/>
      <c r="Q40" s="1125"/>
      <c r="R40" s="264"/>
      <c r="S40" s="1133" t="s">
        <v>808</v>
      </c>
      <c r="T40" s="264"/>
      <c r="U40" s="1133" t="s">
        <v>808</v>
      </c>
      <c r="V40" s="1110"/>
      <c r="W40" s="1127" t="s">
        <v>1880</v>
      </c>
      <c r="X40" s="1134">
        <f>IF(AND(V40&gt;0,R40&gt;0),Fehler1,IF(V40&gt;0,V40,BF40))</f>
        <v>0</v>
      </c>
      <c r="Y40" s="253"/>
      <c r="Z40" s="1509"/>
      <c r="AA40" s="199"/>
      <c r="AB40" s="1858"/>
      <c r="AC40" s="1113" t="s">
        <v>808</v>
      </c>
      <c r="AD40" s="1858"/>
      <c r="AE40" s="1113" t="s">
        <v>808</v>
      </c>
      <c r="AF40" s="1110"/>
      <c r="AG40" s="273" t="s">
        <v>1880</v>
      </c>
      <c r="AH40" s="1870">
        <f>IF(AND(AF40&gt;0,AB40&gt;0),Fehler1,IF(AF40&gt;0,AF40,BO40))</f>
        <v>0</v>
      </c>
      <c r="AI40" s="514"/>
      <c r="AJ40" s="1125"/>
      <c r="AK40" s="1129">
        <f>BC40*BL40*BU40*AR40</f>
        <v>0.59</v>
      </c>
      <c r="AL40" s="1173"/>
      <c r="AM40" s="554">
        <f>IF(O40&gt;0,MIN(O40,0.95),IF(_Ver09,0.7,0.75))</f>
        <v>0.75</v>
      </c>
      <c r="AN40" s="1141">
        <f>IF(N40&gt;0,MIN(N40,0.9),)</f>
        <v>0</v>
      </c>
      <c r="AO40" s="63">
        <f>IF(F40&gt;0,H40*F40,H40)</f>
        <v>0</v>
      </c>
      <c r="AP40" s="440">
        <f>$O$30</f>
        <v>30</v>
      </c>
      <c r="AQ40" s="1184" t="b">
        <f>IF(Z40=$AN$5,TRUE,FALSE)</f>
        <v>0</v>
      </c>
      <c r="AR40" s="445">
        <f>IF(AQ40,BU40,1)</f>
        <v>1</v>
      </c>
      <c r="AS40" s="1184" t="b">
        <f>IF(B40=$AN$5,TRUE,FALSE)</f>
        <v>0</v>
      </c>
      <c r="AT40" s="445">
        <f>IF(AS40,MAX(1,F40)*H40,0)</f>
        <v>0</v>
      </c>
      <c r="AU40" s="1151" t="str">
        <f>IF(AND(AO40&gt;0,OR(L40=0,N40=0,X40="",AH40="")),"Nicht alle Eingaben gewählt","")</f>
        <v/>
      </c>
      <c r="AV40" s="199"/>
      <c r="AW40" s="1090">
        <f>AP40</f>
        <v>30</v>
      </c>
      <c r="AX40" s="1094">
        <f>IF(AW40&lt;Tab!$B$78,1,IF(AW40&lt;Tab!$B$79,2,IF(AW40&lt;Tab!$B$80,3,IF(AW40&lt;Tab!$B$81,4,IF(AW40&lt;Tab!$B$82,5,IF(AW40&lt;Tab!$B$83,6,7))))))</f>
        <v>4</v>
      </c>
      <c r="AY40" s="1095">
        <f>INDEX(Tab!$B$77:$B$84,AX40,1)</f>
        <v>30</v>
      </c>
      <c r="AZ40" s="1095">
        <f>INDEX(Tab!$B$77:$B$84,AX40+1,1)</f>
        <v>40</v>
      </c>
      <c r="BA40" s="1106">
        <f>INDEX(Tab!$C$77:$D$84,AX40,1+Ausrichtung)</f>
        <v>0.59</v>
      </c>
      <c r="BB40" s="1106">
        <f>INDEX(Tab!$C$77:$D$84,AX40+1,1+Ausrichtung)</f>
        <v>0.45</v>
      </c>
      <c r="BC40" s="1102">
        <f>MAX(BB40+(BA40-BB40)/(AZ40-AY40)*(AZ40-AW40),INDEX(Tab!$C$84:$D$84,1,1+Ausrichtung))</f>
        <v>0.59</v>
      </c>
      <c r="BD40" s="199"/>
      <c r="BE40" s="1090">
        <f>X40</f>
        <v>0</v>
      </c>
      <c r="BF40" s="1090">
        <f>IF(OR(R40=0,T40=0,),0,ATAN(T40/R40)*180/PI())</f>
        <v>0</v>
      </c>
      <c r="BG40" s="1094">
        <f>IF(BE40&lt;Tab!$B$88,1,IF(BE40&lt;Tab!$B$89,2,IF(BE40&lt;Tab!$B$90,3,IF(BE40&lt;Tab!$B$91,4,5))))</f>
        <v>1</v>
      </c>
      <c r="BH40" s="1095">
        <f>INDEX(Tab!$B$87:$B$92,BG40,1)</f>
        <v>0</v>
      </c>
      <c r="BI40" s="1095">
        <f>INDEX(Tab!$B$87:$B$92,BG40+1,1)</f>
        <v>15</v>
      </c>
      <c r="BJ40" s="1106">
        <f>INDEX(Tab!$C$87:$D$92,BG40,1+Ausrichtung)</f>
        <v>1</v>
      </c>
      <c r="BK40" s="1106">
        <f>INDEX(Tab!$C$87:$D$92,BG40+1,1+Ausrichtung)</f>
        <v>0.95</v>
      </c>
      <c r="BL40" s="1102">
        <f>MAX(BK40+(BJ40-BK40)/(BI40-BH40)*(BI40-BE40),INDEX(Tab!$C$92:$D$92,1,1+Ausrichtung))</f>
        <v>1</v>
      </c>
      <c r="BM40" s="199"/>
      <c r="BN40" s="1093">
        <f>AH40</f>
        <v>0</v>
      </c>
      <c r="BO40" s="1090">
        <f>IF(OR(AB40=0,AD40=0,),0,ATAN(AD40/AB40)*180/PI())</f>
        <v>0</v>
      </c>
      <c r="BP40" s="1094">
        <f>IF(BN40&lt;Tab!$B$98,1,IF(BN40&lt;Tab!$B$99,2,IF(BN40&lt;Tab!$B$100,3,IF(BN40&lt;Tab!$B$101,4,5))))</f>
        <v>1</v>
      </c>
      <c r="BQ40" s="1095">
        <f>INDEX(Tab!$B$97:$B$102,BP40,1)</f>
        <v>0</v>
      </c>
      <c r="BR40" s="1095">
        <f>INDEX(Tab!$B$97:$B$102,BP40+1,1)</f>
        <v>15</v>
      </c>
      <c r="BS40" s="1106">
        <f>INDEX(Tab!$C$97:$D$102,BP40,1+Ausrichtung)</f>
        <v>1</v>
      </c>
      <c r="BT40" s="1106">
        <f>INDEX(Tab!$C$97:$D$102,BP40+1,1+Ausrichtung)</f>
        <v>0.97</v>
      </c>
      <c r="BU40" s="1102">
        <f>MAX(BT40+(BS40-BT40)/(BR40-BQ40)*(BR40-BN40),INDEX(Tab!$C$102:$D$102,1,1+Ausrichtung))</f>
        <v>1</v>
      </c>
    </row>
    <row r="41" spans="1:108" s="1203" customFormat="1" ht="3.6" customHeight="1">
      <c r="A41" s="531"/>
      <c r="B41" s="531"/>
      <c r="C41" s="531"/>
      <c r="D41" s="1197"/>
      <c r="E41" s="4"/>
      <c r="F41" s="1192"/>
      <c r="G41" s="4"/>
      <c r="H41" s="1198"/>
      <c r="I41" s="1113"/>
      <c r="J41" s="434"/>
      <c r="K41" s="4"/>
      <c r="L41" s="292"/>
      <c r="M41" s="4"/>
      <c r="N41" s="28"/>
      <c r="O41" s="1199"/>
      <c r="P41" s="4"/>
      <c r="Q41" s="1142"/>
      <c r="R41" s="1129"/>
      <c r="S41" s="1129"/>
      <c r="T41" s="1129"/>
      <c r="U41" s="1129"/>
      <c r="V41" s="1129"/>
      <c r="W41" s="1140"/>
      <c r="X41" s="1193"/>
      <c r="Y41" s="118"/>
      <c r="Z41" s="1871"/>
      <c r="AA41" s="30"/>
      <c r="AB41" s="1199"/>
      <c r="AC41" s="1113"/>
      <c r="AD41" s="1199"/>
      <c r="AE41" s="4"/>
      <c r="AF41" s="4"/>
      <c r="AG41" s="273"/>
      <c r="AH41" s="1870"/>
      <c r="AI41" s="57"/>
      <c r="AJ41" s="1142"/>
      <c r="AK41" s="1129"/>
      <c r="AL41" s="1173"/>
      <c r="AM41" s="445"/>
      <c r="AN41" s="445"/>
      <c r="AO41" s="63"/>
      <c r="AP41" s="440"/>
      <c r="AQ41" s="440"/>
      <c r="AR41" s="445"/>
      <c r="AS41" s="445"/>
      <c r="AT41" s="445"/>
      <c r="AU41" s="445"/>
      <c r="AV41" s="30"/>
      <c r="AW41" s="1200"/>
      <c r="AX41" s="327"/>
      <c r="AY41" s="63"/>
      <c r="AZ41" s="63"/>
      <c r="BA41" s="63"/>
      <c r="BB41" s="63"/>
      <c r="BC41" s="1204"/>
      <c r="BD41" s="30"/>
      <c r="BE41" s="1200"/>
      <c r="BF41" s="1200"/>
      <c r="BG41" s="327"/>
      <c r="BH41" s="63"/>
      <c r="BI41" s="63"/>
      <c r="BJ41" s="63"/>
      <c r="BK41" s="63"/>
      <c r="BL41" s="1204"/>
      <c r="BM41" s="30"/>
      <c r="BN41" s="1200"/>
      <c r="BO41" s="1200"/>
      <c r="BP41" s="327"/>
      <c r="BQ41" s="63"/>
      <c r="BR41" s="63"/>
      <c r="BS41" s="63"/>
      <c r="BT41" s="63"/>
      <c r="BU41" s="1204"/>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row>
    <row r="42" spans="1:108" ht="14.45" customHeight="1">
      <c r="A42" s="531"/>
      <c r="B42" s="1509"/>
      <c r="C42" s="2132"/>
      <c r="D42" s="1117"/>
      <c r="E42" s="4"/>
      <c r="F42" s="1120"/>
      <c r="G42" s="4"/>
      <c r="H42" s="618"/>
      <c r="I42" s="1113" t="s">
        <v>1882</v>
      </c>
      <c r="J42" s="360"/>
      <c r="K42" s="264"/>
      <c r="L42" s="292">
        <f>IF(J42&gt;0,IF(K42&gt;0,Fehler1,INDEX(UWert!$BD$7:$BD$41,J42)),K42)</f>
        <v>0</v>
      </c>
      <c r="M42" s="264"/>
      <c r="N42" s="28">
        <f>IF(J42&gt;0,IF(M42&gt;0,Fehler1,INDEX(UWert!$BE$7:$BE$41,J42)),M42)</f>
        <v>0</v>
      </c>
      <c r="O42" s="264"/>
      <c r="P42" s="4"/>
      <c r="Q42" s="1125"/>
      <c r="R42" s="264"/>
      <c r="S42" s="1133" t="s">
        <v>808</v>
      </c>
      <c r="T42" s="264"/>
      <c r="U42" s="1133" t="s">
        <v>808</v>
      </c>
      <c r="V42" s="1110"/>
      <c r="W42" s="1127" t="s">
        <v>1880</v>
      </c>
      <c r="X42" s="1134">
        <f>IF(AND(V42&gt;0,R42&gt;0),Fehler1,IF(V42&gt;0,V42,BF42))</f>
        <v>0</v>
      </c>
      <c r="Y42" s="253"/>
      <c r="Z42" s="1509"/>
      <c r="AA42" s="199"/>
      <c r="AB42" s="1858"/>
      <c r="AC42" s="1113" t="s">
        <v>808</v>
      </c>
      <c r="AD42" s="1858"/>
      <c r="AE42" s="1113" t="s">
        <v>808</v>
      </c>
      <c r="AF42" s="1110"/>
      <c r="AG42" s="273" t="s">
        <v>1880</v>
      </c>
      <c r="AH42" s="1870">
        <f>IF(AND(AF42&gt;0,AB42&gt;0),Fehler1,IF(AF42&gt;0,AF42,BO42))</f>
        <v>0</v>
      </c>
      <c r="AI42" s="514"/>
      <c r="AJ42" s="1125"/>
      <c r="AK42" s="1129">
        <f>BC42*BL42*BU42*AR42</f>
        <v>0.59</v>
      </c>
      <c r="AL42" s="1173"/>
      <c r="AM42" s="554">
        <f>IF(O42&gt;0,MIN(O42,0.95),IF(_Ver09,0.7,0.75))</f>
        <v>0.75</v>
      </c>
      <c r="AN42" s="1141">
        <f>IF(N42&gt;0,MIN(N42,0.9),)</f>
        <v>0</v>
      </c>
      <c r="AO42" s="63">
        <f>IF(F42&gt;0,H42*F42,H42)</f>
        <v>0</v>
      </c>
      <c r="AP42" s="440">
        <f>$O$30</f>
        <v>30</v>
      </c>
      <c r="AQ42" s="1184" t="b">
        <f>IF(Z42=$AN$5,TRUE,FALSE)</f>
        <v>0</v>
      </c>
      <c r="AR42" s="445">
        <f>IF(AQ42,BU42,1)</f>
        <v>1</v>
      </c>
      <c r="AS42" s="1184" t="b">
        <f>IF(B42=$AN$5,TRUE,FALSE)</f>
        <v>0</v>
      </c>
      <c r="AT42" s="445">
        <f>IF(AS42,MAX(1,F42)*H42,0)</f>
        <v>0</v>
      </c>
      <c r="AU42" s="1151" t="str">
        <f>IF(AND(AO42&gt;0,OR(L42=0,N42=0,X42="",AH42="")),"Nicht alle Eingaben gewählt","")</f>
        <v/>
      </c>
      <c r="AV42" s="199"/>
      <c r="AW42" s="1093">
        <f>AP42</f>
        <v>30</v>
      </c>
      <c r="AX42" s="1094">
        <f>IF(AW42&lt;Tab!$B$78,1,IF(AW42&lt;Tab!$B$79,2,IF(AW42&lt;Tab!$B$80,3,IF(AW42&lt;Tab!$B$81,4,IF(AW42&lt;Tab!$B$82,5,IF(AW42&lt;Tab!$B$83,6,7))))))</f>
        <v>4</v>
      </c>
      <c r="AY42" s="1095">
        <f>INDEX(Tab!$B$77:$B$84,AX42,1)</f>
        <v>30</v>
      </c>
      <c r="AZ42" s="1095">
        <f>INDEX(Tab!$B$77:$B$84,AX42+1,1)</f>
        <v>40</v>
      </c>
      <c r="BA42" s="1106">
        <f>INDEX(Tab!$C$77:$D$84,AX42,1+Ausrichtung)</f>
        <v>0.59</v>
      </c>
      <c r="BB42" s="1106">
        <f>INDEX(Tab!$C$77:$D$84,AX42+1,1+Ausrichtung)</f>
        <v>0.45</v>
      </c>
      <c r="BC42" s="1102">
        <f>MAX(BB42+(BA42-BB42)/(AZ42-AY42)*(AZ42-AW42),INDEX(Tab!$C$84:$D$84,1,1+Ausrichtung))</f>
        <v>0.59</v>
      </c>
      <c r="BD42" s="199"/>
      <c r="BE42" s="1093">
        <f>X42</f>
        <v>0</v>
      </c>
      <c r="BF42" s="1109">
        <f>IF(OR(R42=0,T42=0,),0,ATAN(T42/R42)*180/PI())</f>
        <v>0</v>
      </c>
      <c r="BG42" s="1094">
        <f>IF(BE42&lt;Tab!$B$88,1,IF(BE42&lt;Tab!$B$89,2,IF(BE42&lt;Tab!$B$90,3,IF(BE42&lt;Tab!$B$91,4,5))))</f>
        <v>1</v>
      </c>
      <c r="BH42" s="1095">
        <f>INDEX(Tab!$B$87:$B$92,BG42,1)</f>
        <v>0</v>
      </c>
      <c r="BI42" s="1095">
        <f>INDEX(Tab!$B$87:$B$92,BG42+1,1)</f>
        <v>15</v>
      </c>
      <c r="BJ42" s="1106">
        <f>INDEX(Tab!$C$87:$D$92,BG42,1+Ausrichtung)</f>
        <v>1</v>
      </c>
      <c r="BK42" s="1106">
        <f>INDEX(Tab!$C$87:$D$92,BG42+1,1+Ausrichtung)</f>
        <v>0.95</v>
      </c>
      <c r="BL42" s="1102">
        <f>MAX(BK42+(BJ42-BK42)/(BI42-BH42)*(BI42-BE42),INDEX(Tab!$C$92:$D$92,1,1+Ausrichtung))</f>
        <v>1</v>
      </c>
      <c r="BM42" s="199"/>
      <c r="BN42" s="1093">
        <f>AH42</f>
        <v>0</v>
      </c>
      <c r="BO42" s="1109">
        <f>IF(OR(AB42=0,AD42=0,),0,ATAN(AD42/AB42)*180/PI())</f>
        <v>0</v>
      </c>
      <c r="BP42" s="1094">
        <f>IF(BN42&lt;Tab!$B$98,1,IF(BN42&lt;Tab!$B$99,2,IF(BN42&lt;Tab!$B$100,3,IF(BN42&lt;Tab!$B$101,4,5))))</f>
        <v>1</v>
      </c>
      <c r="BQ42" s="1095">
        <f>INDEX(Tab!$B$97:$B$102,BP42,1)</f>
        <v>0</v>
      </c>
      <c r="BR42" s="1095">
        <f>INDEX(Tab!$B$97:$B$102,BP42+1,1)</f>
        <v>15</v>
      </c>
      <c r="BS42" s="1106">
        <f>INDEX(Tab!$C$97:$D$102,BP42,1+Ausrichtung)</f>
        <v>1</v>
      </c>
      <c r="BT42" s="1106">
        <f>INDEX(Tab!$C$97:$D$102,BP42+1,1+Ausrichtung)</f>
        <v>0.97</v>
      </c>
      <c r="BU42" s="1102">
        <f>MAX(BT42+(BS42-BT42)/(BR42-BQ42)*(BR42-BN42),INDEX(Tab!$C$102:$D$102,1,1+Ausrichtung))</f>
        <v>1</v>
      </c>
    </row>
    <row r="43" spans="1:108" s="1203" customFormat="1" ht="3.6" customHeight="1">
      <c r="A43" s="531"/>
      <c r="B43" s="531"/>
      <c r="C43" s="531"/>
      <c r="D43" s="1197"/>
      <c r="E43" s="4"/>
      <c r="F43" s="1192"/>
      <c r="G43" s="4"/>
      <c r="H43" s="1198"/>
      <c r="I43" s="1113"/>
      <c r="J43" s="434"/>
      <c r="K43" s="1199"/>
      <c r="L43" s="292"/>
      <c r="M43" s="4"/>
      <c r="N43" s="28"/>
      <c r="O43" s="1199"/>
      <c r="P43" s="4"/>
      <c r="Q43" s="1142"/>
      <c r="R43" s="1129"/>
      <c r="S43" s="1205"/>
      <c r="T43" s="1129"/>
      <c r="U43" s="1129"/>
      <c r="V43" s="1129"/>
      <c r="W43" s="1140"/>
      <c r="X43" s="1193"/>
      <c r="Y43" s="118"/>
      <c r="Z43" s="1871"/>
      <c r="AA43" s="30"/>
      <c r="AB43" s="1199"/>
      <c r="AC43" s="1113"/>
      <c r="AD43" s="1199"/>
      <c r="AE43" s="4"/>
      <c r="AF43" s="4"/>
      <c r="AG43" s="4"/>
      <c r="AH43" s="1870"/>
      <c r="AI43" s="57"/>
      <c r="AJ43" s="1142"/>
      <c r="AK43" s="1129"/>
      <c r="AL43" s="1173"/>
      <c r="AM43" s="445"/>
      <c r="AN43" s="445"/>
      <c r="AO43" s="63"/>
      <c r="AP43" s="440"/>
      <c r="AQ43" s="440"/>
      <c r="AR43" s="445"/>
      <c r="AS43" s="445"/>
      <c r="AT43" s="445"/>
      <c r="AU43" s="445"/>
      <c r="AV43" s="30"/>
      <c r="AW43" s="1200"/>
      <c r="AX43" s="305"/>
      <c r="AY43" s="59"/>
      <c r="AZ43" s="59"/>
      <c r="BA43" s="59"/>
      <c r="BB43" s="59"/>
      <c r="BC43" s="1201"/>
      <c r="BD43" s="30"/>
      <c r="BE43" s="1200"/>
      <c r="BF43" s="1202"/>
      <c r="BG43" s="305"/>
      <c r="BH43" s="59"/>
      <c r="BI43" s="59"/>
      <c r="BJ43" s="59"/>
      <c r="BK43" s="59"/>
      <c r="BL43" s="1201"/>
      <c r="BM43" s="30"/>
      <c r="BN43" s="1200"/>
      <c r="BO43" s="1202"/>
      <c r="BP43" s="305"/>
      <c r="BQ43" s="59"/>
      <c r="BR43" s="59"/>
      <c r="BS43" s="59"/>
      <c r="BT43" s="59"/>
      <c r="BU43" s="1201"/>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row>
    <row r="44" spans="1:108" ht="14.45" customHeight="1">
      <c r="A44" s="531"/>
      <c r="B44" s="1509"/>
      <c r="C44" s="2132"/>
      <c r="D44" s="1117"/>
      <c r="E44" s="4"/>
      <c r="F44" s="1120"/>
      <c r="G44" s="4"/>
      <c r="H44" s="618"/>
      <c r="I44" s="1113" t="s">
        <v>1882</v>
      </c>
      <c r="J44" s="360"/>
      <c r="K44" s="264"/>
      <c r="L44" s="292">
        <f>IF(J44&gt;0,IF(K44&gt;0,Fehler1,INDEX(UWert!$BD$7:$BD$41,J44)),K44)</f>
        <v>0</v>
      </c>
      <c r="M44" s="264"/>
      <c r="N44" s="28">
        <f>IF(J44&gt;0,IF(M44&gt;0,Fehler1,INDEX(UWert!$BE$7:$BE$41,J44)),M44)</f>
        <v>0</v>
      </c>
      <c r="O44" s="264"/>
      <c r="P44" s="4"/>
      <c r="Q44" s="1125"/>
      <c r="R44" s="264"/>
      <c r="S44" s="1133" t="s">
        <v>808</v>
      </c>
      <c r="T44" s="264"/>
      <c r="U44" s="1133" t="s">
        <v>808</v>
      </c>
      <c r="V44" s="1110"/>
      <c r="W44" s="1127" t="s">
        <v>1880</v>
      </c>
      <c r="X44" s="1134">
        <f>IF(AND(V44&gt;0,R44&gt;0),Fehler1,IF(V44&gt;0,V44,BF44))</f>
        <v>0</v>
      </c>
      <c r="Y44" s="253"/>
      <c r="Z44" s="1509"/>
      <c r="AA44" s="199"/>
      <c r="AB44" s="1858"/>
      <c r="AC44" s="1113" t="s">
        <v>808</v>
      </c>
      <c r="AD44" s="1858"/>
      <c r="AE44" s="1113" t="s">
        <v>808</v>
      </c>
      <c r="AF44" s="1110"/>
      <c r="AG44" s="273" t="s">
        <v>1880</v>
      </c>
      <c r="AH44" s="1870">
        <f>IF(AND(AF44&gt;0,AB44&gt;0),Fehler1,IF(AF44&gt;0,AF44,BO44))</f>
        <v>0</v>
      </c>
      <c r="AI44" s="514"/>
      <c r="AJ44" s="1125"/>
      <c r="AK44" s="1129">
        <f>BC44*BL44*BU44*AR44</f>
        <v>0.59</v>
      </c>
      <c r="AL44" s="1173"/>
      <c r="AM44" s="554">
        <f>IF(O44&gt;0,MIN(O44,0.95),IF(_Ver09,0.7,0.75))</f>
        <v>0.75</v>
      </c>
      <c r="AN44" s="1141">
        <f>IF(N44&gt;0,MIN(N44,0.9),)</f>
        <v>0</v>
      </c>
      <c r="AO44" s="63">
        <f>IF(F44&gt;0,H44*F44,H44)</f>
        <v>0</v>
      </c>
      <c r="AP44" s="440">
        <f>$O$30</f>
        <v>30</v>
      </c>
      <c r="AQ44" s="1184" t="b">
        <f>IF(Z44=$AN$5,TRUE,FALSE)</f>
        <v>0</v>
      </c>
      <c r="AR44" s="445">
        <f>IF(AQ44,BU44,1)</f>
        <v>1</v>
      </c>
      <c r="AS44" s="1184" t="b">
        <f>IF(B44=$AN$5,TRUE,FALSE)</f>
        <v>0</v>
      </c>
      <c r="AT44" s="445">
        <f>IF(AS44,MAX(1,F44)*H44,0)</f>
        <v>0</v>
      </c>
      <c r="AU44" s="1151" t="str">
        <f>IF(AND(AO44&gt;0,OR(L44=0,N44=0,X44="",AH44="")),"Nicht alle Eingaben gewählt","")</f>
        <v/>
      </c>
      <c r="AV44" s="199"/>
      <c r="AW44" s="1093">
        <f>AP44</f>
        <v>30</v>
      </c>
      <c r="AX44" s="1094">
        <f>IF(AW44&lt;Tab!$B$78,1,IF(AW44&lt;Tab!$B$79,2,IF(AW44&lt;Tab!$B$80,3,IF(AW44&lt;Tab!$B$81,4,IF(AW44&lt;Tab!$B$82,5,IF(AW44&lt;Tab!$B$83,6,7))))))</f>
        <v>4</v>
      </c>
      <c r="AY44" s="1095">
        <f>INDEX(Tab!$B$77:$B$84,AX44,1)</f>
        <v>30</v>
      </c>
      <c r="AZ44" s="1095">
        <f>INDEX(Tab!$B$77:$B$84,AX44+1,1)</f>
        <v>40</v>
      </c>
      <c r="BA44" s="1106">
        <f>INDEX(Tab!$C$77:$D$84,AX44,1+Ausrichtung)</f>
        <v>0.59</v>
      </c>
      <c r="BB44" s="1106">
        <f>INDEX(Tab!$C$77:$D$84,AX44+1,1+Ausrichtung)</f>
        <v>0.45</v>
      </c>
      <c r="BC44" s="1102">
        <f>MAX(BB44+(BA44-BB44)/(AZ44-AY44)*(AZ44-AW44),INDEX(Tab!$C$84:$D$84,1,1+Ausrichtung))</f>
        <v>0.59</v>
      </c>
      <c r="BD44" s="199"/>
      <c r="BE44" s="1093">
        <f>X44</f>
        <v>0</v>
      </c>
      <c r="BF44" s="1109">
        <f>IF(OR(R44=0,T44=0,),0,ATAN(T44/R44)*180/PI())</f>
        <v>0</v>
      </c>
      <c r="BG44" s="1094">
        <f>IF(BE44&lt;Tab!$B$88,1,IF(BE44&lt;Tab!$B$89,2,IF(BE44&lt;Tab!$B$90,3,IF(BE44&lt;Tab!$B$91,4,5))))</f>
        <v>1</v>
      </c>
      <c r="BH44" s="1095">
        <f>INDEX(Tab!$B$87:$B$92,BG44,1)</f>
        <v>0</v>
      </c>
      <c r="BI44" s="1095">
        <f>INDEX(Tab!$B$87:$B$92,BG44+1,1)</f>
        <v>15</v>
      </c>
      <c r="BJ44" s="1106">
        <f>INDEX(Tab!$C$87:$D$92,BG44,1+Ausrichtung)</f>
        <v>1</v>
      </c>
      <c r="BK44" s="1106">
        <f>INDEX(Tab!$C$87:$D$92,BG44+1,1+Ausrichtung)</f>
        <v>0.95</v>
      </c>
      <c r="BL44" s="1102">
        <f>MAX(BK44+(BJ44-BK44)/(BI44-BH44)*(BI44-BE44),INDEX(Tab!$C$92:$D$92,1,1+Ausrichtung))</f>
        <v>1</v>
      </c>
      <c r="BM44" s="199"/>
      <c r="BN44" s="1093">
        <f>AH44</f>
        <v>0</v>
      </c>
      <c r="BO44" s="1109">
        <f>IF(OR(AB44=0,AD44=0,),0,ATAN(AD44/AB44)*180/PI())</f>
        <v>0</v>
      </c>
      <c r="BP44" s="1094">
        <f>IF(BN44&lt;Tab!$B$98,1,IF(BN44&lt;Tab!$B$99,2,IF(BN44&lt;Tab!$B$100,3,IF(BN44&lt;Tab!$B$101,4,5))))</f>
        <v>1</v>
      </c>
      <c r="BQ44" s="1095">
        <f>INDEX(Tab!$B$97:$B$102,BP44,1)</f>
        <v>0</v>
      </c>
      <c r="BR44" s="1095">
        <f>INDEX(Tab!$B$97:$B$102,BP44+1,1)</f>
        <v>15</v>
      </c>
      <c r="BS44" s="1106">
        <f>INDEX(Tab!$C$97:$D$102,BP44,1+Ausrichtung)</f>
        <v>1</v>
      </c>
      <c r="BT44" s="1106">
        <f>INDEX(Tab!$C$97:$D$102,BP44+1,1+Ausrichtung)</f>
        <v>0.97</v>
      </c>
      <c r="BU44" s="1102">
        <f>MAX(BT44+(BS44-BT44)/(BR44-BQ44)*(BR44-BN44),INDEX(Tab!$C$102:$D$102,1,1+Ausrichtung))</f>
        <v>1</v>
      </c>
    </row>
    <row r="45" spans="1:108" s="1203" customFormat="1" ht="3.6" customHeight="1">
      <c r="A45" s="531"/>
      <c r="B45" s="531"/>
      <c r="C45" s="531"/>
      <c r="D45" s="1197"/>
      <c r="E45" s="4"/>
      <c r="F45" s="1192"/>
      <c r="G45" s="4"/>
      <c r="H45" s="1198"/>
      <c r="I45" s="1113"/>
      <c r="J45" s="434"/>
      <c r="K45" s="1199"/>
      <c r="L45" s="292"/>
      <c r="M45" s="4"/>
      <c r="N45" s="28"/>
      <c r="O45" s="1199"/>
      <c r="P45" s="4"/>
      <c r="Q45" s="1142"/>
      <c r="R45" s="1129"/>
      <c r="S45" s="1129"/>
      <c r="T45" s="1129"/>
      <c r="U45" s="1129"/>
      <c r="V45" s="1129"/>
      <c r="W45" s="1140"/>
      <c r="X45" s="1193"/>
      <c r="Y45" s="118"/>
      <c r="Z45" s="1871"/>
      <c r="AA45" s="30"/>
      <c r="AB45" s="1199"/>
      <c r="AC45" s="1113"/>
      <c r="AD45" s="1199"/>
      <c r="AE45" s="4"/>
      <c r="AF45" s="4"/>
      <c r="AG45" s="4"/>
      <c r="AH45" s="1870"/>
      <c r="AI45" s="57"/>
      <c r="AJ45" s="1142"/>
      <c r="AK45" s="1129"/>
      <c r="AL45" s="1173"/>
      <c r="AM45" s="445"/>
      <c r="AN45" s="445"/>
      <c r="AO45" s="63"/>
      <c r="AP45" s="440"/>
      <c r="AQ45" s="440"/>
      <c r="AR45" s="445"/>
      <c r="AS45" s="445"/>
      <c r="AT45" s="445"/>
      <c r="AU45" s="445"/>
      <c r="AV45" s="30"/>
      <c r="AW45" s="1200"/>
      <c r="AX45" s="305"/>
      <c r="AY45" s="59"/>
      <c r="AZ45" s="59"/>
      <c r="BA45" s="59"/>
      <c r="BB45" s="59"/>
      <c r="BC45" s="1201"/>
      <c r="BD45" s="30"/>
      <c r="BE45" s="1200"/>
      <c r="BF45" s="1202"/>
      <c r="BG45" s="305"/>
      <c r="BH45" s="59"/>
      <c r="BI45" s="59"/>
      <c r="BJ45" s="59"/>
      <c r="BK45" s="59"/>
      <c r="BL45" s="1201"/>
      <c r="BM45" s="30"/>
      <c r="BN45" s="1200"/>
      <c r="BO45" s="1202"/>
      <c r="BP45" s="305"/>
      <c r="BQ45" s="59"/>
      <c r="BR45" s="59"/>
      <c r="BS45" s="59"/>
      <c r="BT45" s="59"/>
      <c r="BU45" s="1201"/>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row>
    <row r="46" spans="1:108" ht="14.45" customHeight="1">
      <c r="A46" s="531"/>
      <c r="B46" s="1509"/>
      <c r="C46" s="2132"/>
      <c r="D46" s="1117"/>
      <c r="E46" s="4"/>
      <c r="F46" s="1120"/>
      <c r="G46" s="4"/>
      <c r="H46" s="618"/>
      <c r="I46" s="1113" t="s">
        <v>1882</v>
      </c>
      <c r="J46" s="360"/>
      <c r="K46" s="264"/>
      <c r="L46" s="292">
        <f>IF(J46&gt;0,IF(K46&gt;0,Fehler1,INDEX(UWert!$BD$7:$BD$41,J46)),K46)</f>
        <v>0</v>
      </c>
      <c r="M46" s="264"/>
      <c r="N46" s="28">
        <f>IF(J46&gt;0,IF(M46&gt;0,Fehler1,INDEX(UWert!$BE$7:$BE$41,J46)),M46)</f>
        <v>0</v>
      </c>
      <c r="O46" s="264"/>
      <c r="P46" s="4"/>
      <c r="Q46" s="1125"/>
      <c r="R46" s="264"/>
      <c r="S46" s="1133" t="s">
        <v>808</v>
      </c>
      <c r="T46" s="264"/>
      <c r="U46" s="1133" t="s">
        <v>808</v>
      </c>
      <c r="V46" s="1110"/>
      <c r="W46" s="1127" t="s">
        <v>1880</v>
      </c>
      <c r="X46" s="1134">
        <f>IF(AND(V46&gt;0,R46&gt;0),Fehler1,IF(V46&gt;0,V46,BF46))</f>
        <v>0</v>
      </c>
      <c r="Y46" s="253"/>
      <c r="Z46" s="1509"/>
      <c r="AA46" s="199"/>
      <c r="AB46" s="1858"/>
      <c r="AC46" s="1113" t="s">
        <v>808</v>
      </c>
      <c r="AD46" s="1858"/>
      <c r="AE46" s="1113" t="s">
        <v>808</v>
      </c>
      <c r="AF46" s="1110"/>
      <c r="AG46" s="273" t="s">
        <v>1880</v>
      </c>
      <c r="AH46" s="1870">
        <f>IF(AND(AF46&gt;0,AB46&gt;0),Fehler1,IF(AF46&gt;0,AF46,BO46))</f>
        <v>0</v>
      </c>
      <c r="AI46" s="514"/>
      <c r="AJ46" s="1125"/>
      <c r="AK46" s="1129">
        <f>BC46*BL46*BU46*AR46</f>
        <v>0.59</v>
      </c>
      <c r="AL46" s="1173"/>
      <c r="AM46" s="554">
        <f>IF(O46&gt;0,MIN(O46,0.95),IF(_Ver09,0.7,0.75))</f>
        <v>0.75</v>
      </c>
      <c r="AN46" s="1141">
        <f>IF(N46&gt;0,MIN(N46,0.9),)</f>
        <v>0</v>
      </c>
      <c r="AO46" s="63">
        <f>IF(F46&gt;0,H46*F46,H46)</f>
        <v>0</v>
      </c>
      <c r="AP46" s="440">
        <f>$O$30</f>
        <v>30</v>
      </c>
      <c r="AQ46" s="1184" t="b">
        <f>IF(Z46=$AN$5,TRUE,FALSE)</f>
        <v>0</v>
      </c>
      <c r="AR46" s="445">
        <f>IF(AQ46,BU46,1)</f>
        <v>1</v>
      </c>
      <c r="AS46" s="1184" t="b">
        <f>IF(B46=$AN$5,TRUE,FALSE)</f>
        <v>0</v>
      </c>
      <c r="AT46" s="445">
        <f>IF(AS46,MAX(1,F46)*H46,0)</f>
        <v>0</v>
      </c>
      <c r="AU46" s="1151" t="str">
        <f>IF(AND(AO46&gt;0,OR(L46=0,N46=0,X46="",AH46="")),"Nicht alle Eingaben gewählt","")</f>
        <v/>
      </c>
      <c r="AV46" s="199"/>
      <c r="AW46" s="1090">
        <f>AP46</f>
        <v>30</v>
      </c>
      <c r="AX46" s="1094">
        <f>IF(AW46&lt;Tab!$B$78,1,IF(AW46&lt;Tab!$B$79,2,IF(AW46&lt;Tab!$B$80,3,IF(AW46&lt;Tab!$B$81,4,IF(AW46&lt;Tab!$B$82,5,IF(AW46&lt;Tab!$B$83,6,7))))))</f>
        <v>4</v>
      </c>
      <c r="AY46" s="1095">
        <f>INDEX(Tab!$B$77:$B$84,AX46,1)</f>
        <v>30</v>
      </c>
      <c r="AZ46" s="1095">
        <f>INDEX(Tab!$B$77:$B$84,AX46+1,1)</f>
        <v>40</v>
      </c>
      <c r="BA46" s="1106">
        <f>INDEX(Tab!$C$77:$D$84,AX46,1+Ausrichtung)</f>
        <v>0.59</v>
      </c>
      <c r="BB46" s="1106">
        <f>INDEX(Tab!$C$77:$D$84,AX46+1,1+Ausrichtung)</f>
        <v>0.45</v>
      </c>
      <c r="BC46" s="1102">
        <f>MAX(BB46+(BA46-BB46)/(AZ46-AY46)*(AZ46-AW46),INDEX(Tab!$C$84:$D$84,1,1+Ausrichtung))</f>
        <v>0.59</v>
      </c>
      <c r="BD46" s="199"/>
      <c r="BE46" s="1093">
        <f>X46</f>
        <v>0</v>
      </c>
      <c r="BF46" s="1109">
        <f>IF(OR(R46=0,T46=0,),0,ATAN(T46/R46)*180/PI())</f>
        <v>0</v>
      </c>
      <c r="BG46" s="1094">
        <f>IF(BE46&lt;Tab!$B$88,1,IF(BE46&lt;Tab!$B$89,2,IF(BE46&lt;Tab!$B$90,3,IF(BE46&lt;Tab!$B$91,4,5))))</f>
        <v>1</v>
      </c>
      <c r="BH46" s="1095">
        <f>INDEX(Tab!$B$87:$B$92,BG46,1)</f>
        <v>0</v>
      </c>
      <c r="BI46" s="1095">
        <f>INDEX(Tab!$B$87:$B$92,BG46+1,1)</f>
        <v>15</v>
      </c>
      <c r="BJ46" s="1106">
        <f>INDEX(Tab!$C$87:$D$92,BG46,1+Ausrichtung)</f>
        <v>1</v>
      </c>
      <c r="BK46" s="1106">
        <f>INDEX(Tab!$C$87:$D$92,BG46+1,1+Ausrichtung)</f>
        <v>0.95</v>
      </c>
      <c r="BL46" s="1102">
        <f>MAX(BK46+(BJ46-BK46)/(BI46-BH46)*(BI46-BE46),INDEX(Tab!$C$92:$D$92,1,1+Ausrichtung))</f>
        <v>1</v>
      </c>
      <c r="BM46" s="199"/>
      <c r="BN46" s="1093">
        <f>AH46</f>
        <v>0</v>
      </c>
      <c r="BO46" s="1109">
        <f>IF(OR(AB46=0,AD46=0,),0,ATAN(AD46/AB46)*180/PI())</f>
        <v>0</v>
      </c>
      <c r="BP46" s="1094">
        <f>IF(BN46&lt;Tab!$B$98,1,IF(BN46&lt;Tab!$B$99,2,IF(BN46&lt;Tab!$B$100,3,IF(BN46&lt;Tab!$B$101,4,5))))</f>
        <v>1</v>
      </c>
      <c r="BQ46" s="1095">
        <f>INDEX(Tab!$B$97:$B$102,BP46,1)</f>
        <v>0</v>
      </c>
      <c r="BR46" s="1095">
        <f>INDEX(Tab!$B$97:$B$102,BP46+1,1)</f>
        <v>15</v>
      </c>
      <c r="BS46" s="1106">
        <f>INDEX(Tab!$C$97:$D$102,BP46,1+Ausrichtung)</f>
        <v>1</v>
      </c>
      <c r="BT46" s="1106">
        <f>INDEX(Tab!$C$97:$D$102,BP46+1,1+Ausrichtung)</f>
        <v>0.97</v>
      </c>
      <c r="BU46" s="1102">
        <f>MAX(BT46+(BS46-BT46)/(BR46-BQ46)*(BR46-BN46),INDEX(Tab!$C$102:$D$102,1,1+Ausrichtung))</f>
        <v>1</v>
      </c>
    </row>
    <row r="47" spans="1:108" s="1203" customFormat="1" ht="3.6" customHeight="1">
      <c r="A47" s="531"/>
      <c r="B47" s="531"/>
      <c r="C47" s="531"/>
      <c r="D47" s="1197"/>
      <c r="E47" s="4"/>
      <c r="F47" s="1192"/>
      <c r="G47" s="4"/>
      <c r="H47" s="1198"/>
      <c r="I47" s="1113"/>
      <c r="J47" s="434"/>
      <c r="K47" s="1199"/>
      <c r="L47" s="292"/>
      <c r="M47" s="4"/>
      <c r="N47" s="28"/>
      <c r="O47" s="1199"/>
      <c r="P47" s="4"/>
      <c r="Q47" s="1142"/>
      <c r="R47" s="1129"/>
      <c r="S47" s="1129"/>
      <c r="T47" s="1129"/>
      <c r="U47" s="1129"/>
      <c r="V47" s="1129"/>
      <c r="W47" s="1140"/>
      <c r="X47" s="1193"/>
      <c r="Y47" s="118"/>
      <c r="Z47" s="1871"/>
      <c r="AA47" s="30"/>
      <c r="AB47" s="1199"/>
      <c r="AC47" s="1113"/>
      <c r="AD47" s="1199"/>
      <c r="AE47" s="4"/>
      <c r="AF47" s="4"/>
      <c r="AG47" s="4"/>
      <c r="AH47" s="1870"/>
      <c r="AI47" s="57"/>
      <c r="AJ47" s="1142"/>
      <c r="AK47" s="1129"/>
      <c r="AL47" s="1173"/>
      <c r="AM47" s="445"/>
      <c r="AN47" s="445"/>
      <c r="AO47" s="63"/>
      <c r="AP47" s="440"/>
      <c r="AQ47" s="440"/>
      <c r="AR47" s="445"/>
      <c r="AS47" s="445"/>
      <c r="AT47" s="445"/>
      <c r="AU47" s="445"/>
      <c r="AV47" s="30"/>
      <c r="AW47" s="1200"/>
      <c r="AX47" s="327"/>
      <c r="AY47" s="63"/>
      <c r="AZ47" s="63"/>
      <c r="BA47" s="63"/>
      <c r="BB47" s="63"/>
      <c r="BC47" s="1204"/>
      <c r="BD47" s="30"/>
      <c r="BE47" s="1206"/>
      <c r="BF47" s="1207"/>
      <c r="BG47" s="327"/>
      <c r="BH47" s="63"/>
      <c r="BI47" s="63"/>
      <c r="BJ47" s="63"/>
      <c r="BK47" s="63"/>
      <c r="BL47" s="1204"/>
      <c r="BM47" s="30"/>
      <c r="BN47" s="1200"/>
      <c r="BO47" s="1207"/>
      <c r="BP47" s="327"/>
      <c r="BQ47" s="63"/>
      <c r="BR47" s="63"/>
      <c r="BS47" s="63"/>
      <c r="BT47" s="63"/>
      <c r="BU47" s="1204"/>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row>
    <row r="48" spans="1:108" ht="14.45" customHeight="1">
      <c r="A48" s="531"/>
      <c r="B48" s="1509"/>
      <c r="C48" s="2132"/>
      <c r="D48" s="1117"/>
      <c r="E48" s="4"/>
      <c r="F48" s="1120"/>
      <c r="G48" s="4"/>
      <c r="H48" s="618"/>
      <c r="I48" s="1113" t="s">
        <v>1882</v>
      </c>
      <c r="J48" s="360"/>
      <c r="K48" s="264"/>
      <c r="L48" s="292">
        <f>IF(J48&gt;0,IF(K48&gt;0,Fehler1,INDEX(UWert!$BD$7:$BD$41,J48)),K48)</f>
        <v>0</v>
      </c>
      <c r="M48" s="264"/>
      <c r="N48" s="28">
        <f>IF(J48&gt;0,IF(M48&gt;0,Fehler1,INDEX(UWert!$BE$7:$BE$41,J48)),M48)</f>
        <v>0</v>
      </c>
      <c r="O48" s="264"/>
      <c r="P48" s="4"/>
      <c r="Q48" s="1125"/>
      <c r="R48" s="264"/>
      <c r="S48" s="1133" t="s">
        <v>808</v>
      </c>
      <c r="T48" s="264"/>
      <c r="U48" s="1133" t="s">
        <v>808</v>
      </c>
      <c r="V48" s="1110"/>
      <c r="W48" s="1127" t="s">
        <v>1880</v>
      </c>
      <c r="X48" s="1134">
        <f>IF(AND(V48&gt;0,R48&gt;0),Fehler1,IF(V48&gt;0,V48,BF48))</f>
        <v>0</v>
      </c>
      <c r="Y48" s="253"/>
      <c r="Z48" s="1509"/>
      <c r="AA48" s="199"/>
      <c r="AB48" s="1858"/>
      <c r="AC48" s="1113" t="s">
        <v>808</v>
      </c>
      <c r="AD48" s="1858"/>
      <c r="AE48" s="1113" t="s">
        <v>808</v>
      </c>
      <c r="AF48" s="1110"/>
      <c r="AG48" s="273" t="s">
        <v>1880</v>
      </c>
      <c r="AH48" s="1870">
        <f>IF(AND(AF48&gt;0,AB48&gt;0),Fehler1,IF(AF48&gt;0,AF48,BO48))</f>
        <v>0</v>
      </c>
      <c r="AI48" s="514"/>
      <c r="AJ48" s="1125"/>
      <c r="AK48" s="1129">
        <f>BC48*BL48*BU48*AR48</f>
        <v>0.59</v>
      </c>
      <c r="AL48" s="1173"/>
      <c r="AM48" s="554">
        <f>IF(O48&gt;0,MIN(O48,0.95),IF(_Ver09,0.7,0.75))</f>
        <v>0.75</v>
      </c>
      <c r="AN48" s="1141">
        <f>IF(N48&gt;0,MIN(N48,0.9),)</f>
        <v>0</v>
      </c>
      <c r="AO48" s="63">
        <f>IF(F48&gt;0,H48*F48,H48)</f>
        <v>0</v>
      </c>
      <c r="AP48" s="440">
        <f>$O$30</f>
        <v>30</v>
      </c>
      <c r="AQ48" s="1184" t="b">
        <f>IF(Z48=$AN$5,TRUE,FALSE)</f>
        <v>0</v>
      </c>
      <c r="AR48" s="445">
        <f>IF(AQ48,BU48,1)</f>
        <v>1</v>
      </c>
      <c r="AS48" s="1184" t="b">
        <f>IF(B48=$AN$5,TRUE,FALSE)</f>
        <v>0</v>
      </c>
      <c r="AT48" s="445">
        <f>IF(AS48,MAX(1,F48)*H48,0)</f>
        <v>0</v>
      </c>
      <c r="AU48" s="1151" t="str">
        <f>IF(AND(AO48&gt;0,OR(L48=0,N48=0,X48="",AH48="")),"Nicht alle Eingaben gewählt","")</f>
        <v/>
      </c>
      <c r="AV48" s="199"/>
      <c r="AW48" s="1093">
        <f>AP48</f>
        <v>30</v>
      </c>
      <c r="AX48" s="1094">
        <f>IF(AW48&lt;Tab!$B$78,1,IF(AW48&lt;Tab!$B$79,2,IF(AW48&lt;Tab!$B$80,3,IF(AW48&lt;Tab!$B$81,4,IF(AW48&lt;Tab!$B$82,5,IF(AW48&lt;Tab!$B$83,6,7))))))</f>
        <v>4</v>
      </c>
      <c r="AY48" s="1095">
        <f>INDEX(Tab!$B$77:$B$84,AX48,1)</f>
        <v>30</v>
      </c>
      <c r="AZ48" s="1095">
        <f>INDEX(Tab!$B$77:$B$84,AX48+1,1)</f>
        <v>40</v>
      </c>
      <c r="BA48" s="1106">
        <f>INDEX(Tab!$C$77:$D$84,AX48,1+Ausrichtung)</f>
        <v>0.59</v>
      </c>
      <c r="BB48" s="1106">
        <f>INDEX(Tab!$C$77:$D$84,AX48+1,1+Ausrichtung)</f>
        <v>0.45</v>
      </c>
      <c r="BC48" s="1102">
        <f>MAX(BB48+(BA48-BB48)/(AZ48-AY48)*(AZ48-AW48),INDEX(Tab!$C$84:$D$84,1,1+Ausrichtung))</f>
        <v>0.59</v>
      </c>
      <c r="BD48" s="199"/>
      <c r="BE48" s="1090">
        <f>X48</f>
        <v>0</v>
      </c>
      <c r="BF48" s="1090">
        <f>IF(OR(R48=0,T48=0,),0,ATAN(T48/R48)*180/PI())</f>
        <v>0</v>
      </c>
      <c r="BG48" s="1095">
        <f>IF(BE48&lt;Tab!$B$88,1,IF(BE48&lt;Tab!$B$89,2,IF(BE48&lt;Tab!$B$90,3,IF(BE48&lt;Tab!$B$91,4,5))))</f>
        <v>1</v>
      </c>
      <c r="BH48" s="1095">
        <f>INDEX(Tab!$B$87:$B$92,BG48,1)</f>
        <v>0</v>
      </c>
      <c r="BI48" s="1095">
        <f>INDEX(Tab!$B$87:$B$92,BG48+1,1)</f>
        <v>15</v>
      </c>
      <c r="BJ48" s="1106">
        <f>INDEX(Tab!$C$87:$D$92,BG48,1+Ausrichtung)</f>
        <v>1</v>
      </c>
      <c r="BK48" s="1106">
        <f>INDEX(Tab!$C$87:$D$92,BG48+1,1+Ausrichtung)</f>
        <v>0.95</v>
      </c>
      <c r="BL48" s="1102">
        <f>MAX(BK48+(BJ48-BK48)/(BI48-BH48)*(BI48-BE48),INDEX(Tab!$C$92:$D$92,1,1+Ausrichtung))</f>
        <v>1</v>
      </c>
      <c r="BM48" s="199"/>
      <c r="BN48" s="1093">
        <f>AH48</f>
        <v>0</v>
      </c>
      <c r="BO48" s="1090">
        <f>IF(OR(AB48=0,AD48=0,),0,ATAN(AD48/AB48)*180/PI())</f>
        <v>0</v>
      </c>
      <c r="BP48" s="1095">
        <f>IF(BN48&lt;Tab!$B$98,1,IF(BN48&lt;Tab!$B$99,2,IF(BN48&lt;Tab!$B$100,3,IF(BN48&lt;Tab!$B$101,4,5))))</f>
        <v>1</v>
      </c>
      <c r="BQ48" s="1095">
        <f>INDEX(Tab!$B$97:$B$102,BP48,1)</f>
        <v>0</v>
      </c>
      <c r="BR48" s="1095">
        <f>INDEX(Tab!$B$97:$B$102,BP48+1,1)</f>
        <v>15</v>
      </c>
      <c r="BS48" s="1106">
        <f>INDEX(Tab!$C$97:$D$102,BP48,1+Ausrichtung)</f>
        <v>1</v>
      </c>
      <c r="BT48" s="1106">
        <f>INDEX(Tab!$C$97:$D$102,BP48+1,1+Ausrichtung)</f>
        <v>0.97</v>
      </c>
      <c r="BU48" s="1102">
        <f>MAX(BT48+(BS48-BT48)/(BR48-BQ48)*(BR48-BN48),INDEX(Tab!$C$102:$D$102,1,1+Ausrichtung))</f>
        <v>1</v>
      </c>
    </row>
    <row r="49" spans="1:108" s="1203" customFormat="1" ht="3.6" customHeight="1">
      <c r="A49" s="345"/>
      <c r="B49" s="345"/>
      <c r="C49" s="345"/>
      <c r="D49" s="273"/>
      <c r="E49" s="4"/>
      <c r="F49" s="4"/>
      <c r="G49" s="4"/>
      <c r="H49" s="440"/>
      <c r="I49" s="1113"/>
      <c r="J49" s="1113"/>
      <c r="K49" s="434"/>
      <c r="L49" s="63"/>
      <c r="M49" s="174"/>
      <c r="N49" s="28"/>
      <c r="O49" s="30"/>
      <c r="P49" s="4"/>
      <c r="Q49" s="1142"/>
      <c r="R49" s="1129"/>
      <c r="S49" s="1129"/>
      <c r="T49" s="1129"/>
      <c r="U49" s="1129"/>
      <c r="V49" s="1129"/>
      <c r="W49" s="1140"/>
      <c r="X49" s="1193"/>
      <c r="Y49" s="118"/>
      <c r="Z49" s="30"/>
      <c r="AA49" s="30"/>
      <c r="AB49" s="4"/>
      <c r="AC49" s="1113"/>
      <c r="AD49" s="4"/>
      <c r="AE49" s="1113"/>
      <c r="AF49" s="4"/>
      <c r="AG49" s="4"/>
      <c r="AH49" s="1872"/>
      <c r="AI49" s="57"/>
      <c r="AJ49" s="1140"/>
      <c r="AK49" s="1129"/>
      <c r="AL49" s="1173"/>
      <c r="AM49" s="445"/>
      <c r="AN49" s="445"/>
      <c r="AO49" s="63"/>
      <c r="AP49" s="440"/>
      <c r="AQ49" s="440"/>
      <c r="AR49" s="440"/>
      <c r="AS49" s="440"/>
      <c r="AT49" s="440"/>
      <c r="AU49" s="445"/>
      <c r="AV49" s="30"/>
      <c r="AW49" s="267"/>
      <c r="AX49" s="31"/>
      <c r="AY49" s="31"/>
      <c r="AZ49" s="31"/>
      <c r="BA49" s="31"/>
      <c r="BB49" s="31"/>
      <c r="BC49" s="1208"/>
      <c r="BD49" s="30"/>
      <c r="BE49" s="267"/>
      <c r="BF49" s="267"/>
      <c r="BG49" s="31"/>
      <c r="BH49" s="31"/>
      <c r="BI49" s="31"/>
      <c r="BJ49" s="31"/>
      <c r="BK49" s="31"/>
      <c r="BL49" s="1208"/>
      <c r="BM49" s="30"/>
      <c r="BN49" s="267"/>
      <c r="BO49" s="267"/>
      <c r="BP49" s="31"/>
      <c r="BQ49" s="31"/>
      <c r="BR49" s="31"/>
      <c r="BS49" s="31"/>
      <c r="BT49" s="31"/>
      <c r="BU49" s="1208"/>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row>
    <row r="50" spans="1:108" ht="14.45" customHeight="1">
      <c r="A50" s="1147"/>
      <c r="B50" s="1147"/>
      <c r="C50" s="1147"/>
      <c r="D50" s="434" t="str">
        <f>D27</f>
        <v>total / valeur du milieu:</v>
      </c>
      <c r="E50" s="273"/>
      <c r="F50" s="2">
        <f>SUM(F34:F48)</f>
        <v>0</v>
      </c>
      <c r="G50" s="273"/>
      <c r="H50" s="440">
        <f>AO50</f>
        <v>0</v>
      </c>
      <c r="I50" s="1113" t="s">
        <v>1882</v>
      </c>
      <c r="J50" s="1113"/>
      <c r="K50" s="454"/>
      <c r="L50" s="445">
        <f>IF(Projekt!$AE$3="entech",IF(SUM(AO34:AO48)=0,,SUMPRODUCT(AO34:AO48,L34:L48)/SUM(AO34:AO48)),20)</f>
        <v>20</v>
      </c>
      <c r="M50" s="174"/>
      <c r="N50" s="454">
        <f>IF(Fenstertool,AH51,IF(Projekt!$AE$3="entech",IF((AO50*AK50*O50)=0,,SUMPRODUCT(AO34:AO48,AN34:AN48,AM34:AM48,AK34:AK48)/(AO50*AK50*O50)),))</f>
        <v>0</v>
      </c>
      <c r="O50" s="445">
        <f>IF(SUM(AO34:AO48)=0,,(SUMPRODUCT(AM34:AM48,AO34:AO48))/SUM(AO34:AO48))</f>
        <v>0</v>
      </c>
      <c r="P50" s="4"/>
      <c r="Q50" s="1125"/>
      <c r="R50" s="1168"/>
      <c r="S50" s="1127"/>
      <c r="T50" s="1129"/>
      <c r="U50" s="1127"/>
      <c r="V50" s="1127"/>
      <c r="W50" s="1127"/>
      <c r="X50" s="1128"/>
      <c r="Y50" s="253"/>
      <c r="Z50" s="199"/>
      <c r="AA50" s="199"/>
      <c r="AB50" s="4"/>
      <c r="AC50" s="1113"/>
      <c r="AD50" s="4"/>
      <c r="AE50" s="1113"/>
      <c r="AF50" s="1489" t="str">
        <f>IF(Fenstertool,Uebersetzung!D333,"")</f>
        <v/>
      </c>
      <c r="AG50" s="4"/>
      <c r="AH50" s="1873"/>
      <c r="AI50" s="514"/>
      <c r="AJ50" s="1127"/>
      <c r="AK50" s="1487">
        <f>IF(Fenstertool,AH50,IF(SUM(AO34:AO48)=0,,(SUMPRODUCT(AK34:AK48,AO34:AO48))/SUM(AO34:AO48)))</f>
        <v>0</v>
      </c>
      <c r="AL50" s="1173"/>
      <c r="AM50" s="445"/>
      <c r="AN50" s="445"/>
      <c r="AO50" s="63">
        <f>SUM(AO34:AO48)</f>
        <v>0</v>
      </c>
      <c r="AP50" s="440"/>
      <c r="AQ50" s="798"/>
      <c r="AR50" s="440"/>
      <c r="AS50" s="798"/>
      <c r="AT50" s="440">
        <f>SUM(AT34:AT48)</f>
        <v>0</v>
      </c>
      <c r="AU50" s="445"/>
      <c r="AV50" s="199"/>
      <c r="AW50" s="199"/>
      <c r="AX50" s="199"/>
      <c r="AY50" s="199"/>
      <c r="AZ50" s="199"/>
      <c r="BA50" s="199"/>
      <c r="BB50" s="256" t="s">
        <v>1147</v>
      </c>
      <c r="BC50" s="1364">
        <f>IF($H50&gt;0,(BC34*$AO34+BC36*$AO36+BC38*$AO38+BC40*$AO40+BC42*$AO42+BC44*$AO44+BC46*$AO46+BC48*$AO48)/$H50,)</f>
        <v>0</v>
      </c>
      <c r="BD50" s="199"/>
      <c r="BE50" s="199"/>
      <c r="BF50" s="199"/>
      <c r="BG50" s="199"/>
      <c r="BH50" s="199"/>
      <c r="BI50" s="199"/>
      <c r="BJ50" s="199"/>
      <c r="BK50" s="256" t="s">
        <v>1147</v>
      </c>
      <c r="BL50" s="1363">
        <f>IF($H50&gt;0,(BL34*$AO34+BL36*$AO36+BL38*$AO38+BL40*$AO40+BL42*$AO42+BL44*$AO44+BL46*$AO46+BL48*$AO48)/$H50,)</f>
        <v>0</v>
      </c>
      <c r="BM50" s="199"/>
      <c r="BN50" s="199"/>
      <c r="BO50" s="199"/>
      <c r="BP50" s="199"/>
      <c r="BQ50" s="199"/>
      <c r="BR50" s="199"/>
      <c r="BS50" s="199"/>
      <c r="BT50" s="256" t="s">
        <v>1147</v>
      </c>
      <c r="BU50" s="1363">
        <f>IF($H50&gt;0,(BU34*$AO34+BU36*$AO36+BU38*$AO38+BU40*$AO40+BU42*$AO42+BU44*$AO44+BU46*$AO46+BU48*$AO48)/$H50,)</f>
        <v>0</v>
      </c>
    </row>
    <row r="51" spans="1:108" ht="12.6" customHeight="1">
      <c r="A51" s="1152"/>
      <c r="B51" s="1152"/>
      <c r="C51" s="1152"/>
      <c r="D51" s="1153"/>
      <c r="E51" s="1153"/>
      <c r="F51" s="15"/>
      <c r="G51" s="1153"/>
      <c r="H51" s="555"/>
      <c r="I51" s="1153"/>
      <c r="J51" s="1153"/>
      <c r="K51" s="555"/>
      <c r="L51" s="15"/>
      <c r="M51" s="555"/>
      <c r="N51" s="1092"/>
      <c r="O51" s="555"/>
      <c r="P51" s="15"/>
      <c r="Q51" s="1163"/>
      <c r="R51" s="1164"/>
      <c r="S51" s="1154"/>
      <c r="T51" s="1164"/>
      <c r="U51" s="1154"/>
      <c r="V51" s="1154"/>
      <c r="W51" s="1154"/>
      <c r="X51" s="1162"/>
      <c r="Y51" s="515"/>
      <c r="Z51" s="196"/>
      <c r="AA51" s="196"/>
      <c r="AB51" s="15"/>
      <c r="AC51" s="15"/>
      <c r="AD51" s="15"/>
      <c r="AE51" s="15"/>
      <c r="AF51" s="1488" t="str">
        <f>IF(Fenstertool,Uebersetzung!D332,"")</f>
        <v/>
      </c>
      <c r="AG51" s="15"/>
      <c r="AH51" s="1718"/>
      <c r="AI51" s="518"/>
      <c r="AJ51" s="1154"/>
      <c r="AK51" s="1164"/>
      <c r="AL51" s="1177"/>
      <c r="AM51" s="555"/>
      <c r="AN51" s="555"/>
      <c r="AO51" s="555"/>
      <c r="AP51" s="555"/>
      <c r="AQ51" s="1185"/>
      <c r="AR51" s="555"/>
      <c r="AS51" s="1185"/>
      <c r="AT51" s="555"/>
      <c r="AU51" s="555"/>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1:108">
      <c r="A52" s="2209"/>
      <c r="B52" s="2205" t="str">
        <f>B29</f>
        <v>corps de chauffe</v>
      </c>
      <c r="C52" s="2197" t="str">
        <f>Uebersetzung!D717</f>
        <v>Inclus dans</v>
      </c>
      <c r="D52" s="434"/>
      <c r="E52" s="273"/>
      <c r="F52" s="2"/>
      <c r="G52" s="273"/>
      <c r="H52" s="454"/>
      <c r="I52" s="434"/>
      <c r="J52" s="434"/>
      <c r="K52" s="454"/>
      <c r="L52" s="2"/>
      <c r="M52" s="454"/>
      <c r="N52" s="1091"/>
      <c r="O52" s="454"/>
      <c r="P52" s="2"/>
      <c r="Q52" s="1125"/>
      <c r="R52" s="1129"/>
      <c r="S52" s="1127"/>
      <c r="T52" s="1129"/>
      <c r="U52" s="1127"/>
      <c r="V52" s="1127"/>
      <c r="W52" s="1127"/>
      <c r="X52" s="1128"/>
      <c r="Y52" s="2207"/>
      <c r="Z52" s="2205">
        <f>IF(Ausrichtung=1,Uebersetzung!D325,)</f>
        <v>0</v>
      </c>
      <c r="AA52" s="1851"/>
      <c r="AB52" s="16"/>
      <c r="AC52" s="16"/>
      <c r="AD52" s="16"/>
      <c r="AE52" s="16"/>
      <c r="AF52" s="16"/>
      <c r="AG52" s="16"/>
      <c r="AH52" s="16"/>
      <c r="AI52" s="1869"/>
      <c r="AJ52" s="1158"/>
      <c r="AK52" s="1135"/>
      <c r="AL52" s="1139"/>
      <c r="AM52" s="174"/>
      <c r="AN52" s="174"/>
      <c r="AO52" s="1091"/>
      <c r="AP52" s="1091"/>
      <c r="AQ52" s="1180"/>
      <c r="AR52" s="1091"/>
      <c r="AS52" s="1180"/>
      <c r="AT52" s="1091"/>
      <c r="AU52" s="174"/>
      <c r="AV52" s="174"/>
    </row>
    <row r="53" spans="1:108">
      <c r="A53" s="2210"/>
      <c r="B53" s="2211"/>
      <c r="C53" s="2198"/>
      <c r="D53" s="1179" t="str">
        <f>Bau!V10</f>
        <v>Est</v>
      </c>
      <c r="E53" s="533"/>
      <c r="F53" s="1111" t="str">
        <f>F30</f>
        <v xml:space="preserve">N°  </v>
      </c>
      <c r="G53" s="2"/>
      <c r="H53" s="1170">
        <v>38</v>
      </c>
      <c r="I53" s="2"/>
      <c r="J53" s="2"/>
      <c r="K53" s="1862" t="str">
        <f>K30</f>
        <v xml:space="preserve">     a:</v>
      </c>
      <c r="L53" s="533" t="str">
        <f>L30</f>
        <v>( angle d'hoizont )</v>
      </c>
      <c r="M53" s="536"/>
      <c r="N53" s="260"/>
      <c r="O53" s="264">
        <v>30</v>
      </c>
      <c r="P53" s="4" t="s">
        <v>1880</v>
      </c>
      <c r="Q53" s="1125"/>
      <c r="R53" s="1126"/>
      <c r="S53" s="1127"/>
      <c r="T53" s="1161" t="str">
        <f>T30</f>
        <v>Surplomb</v>
      </c>
      <c r="U53" s="1127"/>
      <c r="V53" s="1127"/>
      <c r="W53" s="1127"/>
      <c r="X53" s="1128"/>
      <c r="Y53" s="2208"/>
      <c r="Z53" s="2206"/>
      <c r="AA53" s="1852"/>
      <c r="AB53" s="4"/>
      <c r="AC53" s="4"/>
      <c r="AD53" s="467" t="str">
        <f>AD30</f>
        <v>Ecran latéral</v>
      </c>
      <c r="AE53" s="4"/>
      <c r="AF53" s="4"/>
      <c r="AG53" s="4"/>
      <c r="AH53" s="4"/>
      <c r="AI53" s="514"/>
      <c r="AJ53" s="1125"/>
      <c r="AK53" s="1165"/>
      <c r="AL53" s="1175"/>
      <c r="AM53" s="2"/>
      <c r="AN53" s="2"/>
      <c r="AO53" s="2"/>
      <c r="AP53" s="2"/>
      <c r="AQ53" s="116"/>
      <c r="AR53" s="2"/>
      <c r="AS53" s="116"/>
      <c r="AT53" s="2"/>
      <c r="AU53" s="2"/>
      <c r="AV53" s="174"/>
    </row>
    <row r="54" spans="1:108" ht="14.45" customHeight="1">
      <c r="A54" s="2210"/>
      <c r="B54" s="2211"/>
      <c r="C54" s="2198"/>
      <c r="D54" s="1233">
        <f>IF(ABS(Bau!T19-Fenster!AO73)&gt;0.5,Uebersetzung!D305,)</f>
        <v>0</v>
      </c>
      <c r="E54" s="533"/>
      <c r="F54" s="1111"/>
      <c r="G54" s="533"/>
      <c r="H54" s="537"/>
      <c r="I54" s="467"/>
      <c r="J54" s="467"/>
      <c r="K54" s="2"/>
      <c r="L54" s="2"/>
      <c r="M54" s="1178" t="str">
        <f>M31</f>
        <v>(au centre de la façade)</v>
      </c>
      <c r="N54" s="1091"/>
      <c r="O54" s="454"/>
      <c r="P54" s="2"/>
      <c r="Q54" s="1125"/>
      <c r="R54" s="1126"/>
      <c r="S54" s="1127"/>
      <c r="T54" s="1126"/>
      <c r="U54" s="1127"/>
      <c r="V54" s="1127"/>
      <c r="W54" s="1127"/>
      <c r="X54" s="1128"/>
      <c r="Y54" s="2208"/>
      <c r="Z54" s="2206"/>
      <c r="AA54" s="1852"/>
      <c r="AB54" s="4"/>
      <c r="AC54" s="4"/>
      <c r="AD54" s="4" t="str">
        <f>IF(Ausrichtung=0,Uebersetzung!D314,)</f>
        <v>(côté sud)</v>
      </c>
      <c r="AE54" s="4"/>
      <c r="AF54" s="4"/>
      <c r="AG54" s="4"/>
      <c r="AH54" s="4"/>
      <c r="AI54" s="514"/>
      <c r="AJ54" s="1125"/>
      <c r="AK54" s="1165"/>
      <c r="AL54" s="1175"/>
      <c r="AM54" s="2"/>
      <c r="AN54" s="2"/>
      <c r="AO54" s="2"/>
      <c r="AP54" s="2"/>
      <c r="AQ54" s="116"/>
      <c r="AR54" s="2"/>
      <c r="AS54" s="116"/>
      <c r="AT54" s="2"/>
      <c r="AU54" s="2"/>
      <c r="AV54" s="174"/>
    </row>
    <row r="55" spans="1:108" ht="25.9" customHeight="1">
      <c r="A55" s="2210"/>
      <c r="B55" s="2211"/>
      <c r="C55" s="2198"/>
      <c r="D55" s="1089" t="str">
        <f>D32</f>
        <v>Description:</v>
      </c>
      <c r="E55" s="1112"/>
      <c r="F55" s="1087" t="str">
        <f>F32</f>
        <v>nombre</v>
      </c>
      <c r="G55" s="1112"/>
      <c r="H55" s="1089" t="str">
        <f>H32</f>
        <v>Surfaces</v>
      </c>
      <c r="I55" s="1087"/>
      <c r="J55" s="1863" t="str">
        <f>J32</f>
        <v xml:space="preserve">N°  </v>
      </c>
      <c r="K55" s="2199" t="str">
        <f>Uebersetzung!D311</f>
        <v>Valeur U
[W/m2K]</v>
      </c>
      <c r="L55" s="2199"/>
      <c r="M55" s="1089" t="str">
        <f>M32</f>
        <v>Valeur g</v>
      </c>
      <c r="N55" s="1091"/>
      <c r="O55" s="2201" t="str">
        <f>O32</f>
        <v>part vitrée
(Val. FF):</v>
      </c>
      <c r="P55" s="2201"/>
      <c r="Q55" s="1125"/>
      <c r="R55" s="1130" t="str">
        <f>R32</f>
        <v>H</v>
      </c>
      <c r="S55" s="1131"/>
      <c r="T55" s="1122" t="str">
        <f>T53</f>
        <v>Surplomb</v>
      </c>
      <c r="U55" s="1127"/>
      <c r="V55" s="1864" t="str">
        <f>V32</f>
        <v>angle</v>
      </c>
      <c r="W55" s="1850"/>
      <c r="X55" s="1865" t="s">
        <v>3155</v>
      </c>
      <c r="Y55" s="2208"/>
      <c r="Z55" s="2206"/>
      <c r="AA55" s="1852"/>
      <c r="AB55" s="1112" t="str">
        <f>AB32</f>
        <v xml:space="preserve">    B</v>
      </c>
      <c r="AC55" s="1113"/>
      <c r="AD55" s="1124" t="str">
        <f>AG32</f>
        <v>écran</v>
      </c>
      <c r="AE55" s="1113"/>
      <c r="AF55" s="533" t="str">
        <f>V55</f>
        <v>angle</v>
      </c>
      <c r="AG55" s="4"/>
      <c r="AH55" s="1866" t="s">
        <v>324</v>
      </c>
      <c r="AI55" s="514"/>
      <c r="AJ55" s="1125"/>
      <c r="AK55" s="1867" t="str">
        <f>AK32</f>
        <v>Valeur  FS</v>
      </c>
      <c r="AL55" s="1171"/>
      <c r="AM55" s="1089" t="s">
        <v>1881</v>
      </c>
      <c r="AN55" s="1089" t="s">
        <v>1883</v>
      </c>
      <c r="AO55" s="1089" t="s">
        <v>1884</v>
      </c>
      <c r="AP55" s="1148" t="s">
        <v>1826</v>
      </c>
      <c r="AQ55" s="1183" t="s">
        <v>1831</v>
      </c>
      <c r="AR55" s="1124" t="s">
        <v>1832</v>
      </c>
      <c r="AS55" s="1190" t="s">
        <v>1975</v>
      </c>
      <c r="AT55" s="1124" t="s">
        <v>1841</v>
      </c>
      <c r="AU55" s="1089"/>
      <c r="AV55" s="174"/>
      <c r="AW55" s="1096" t="s">
        <v>1878</v>
      </c>
      <c r="AX55" s="1097"/>
      <c r="AY55" s="1097"/>
      <c r="AZ55" s="1097" t="s">
        <v>8</v>
      </c>
      <c r="BA55" s="1097"/>
      <c r="BB55" s="1097"/>
      <c r="BC55" s="1098" t="s">
        <v>1879</v>
      </c>
      <c r="BE55" s="1096" t="s">
        <v>7</v>
      </c>
      <c r="BF55" s="1107"/>
      <c r="BG55" s="1097"/>
      <c r="BH55" s="1097"/>
      <c r="BI55" s="1097" t="s">
        <v>8</v>
      </c>
      <c r="BJ55" s="1097"/>
      <c r="BK55" s="1097"/>
      <c r="BL55" s="1098" t="s">
        <v>9</v>
      </c>
      <c r="BN55" s="1096" t="s">
        <v>1875</v>
      </c>
      <c r="BO55" s="1107"/>
      <c r="BP55" s="1097"/>
      <c r="BQ55" s="1097"/>
      <c r="BR55" s="1097" t="s">
        <v>8</v>
      </c>
      <c r="BS55" s="1097"/>
      <c r="BT55" s="1097"/>
      <c r="BU55" s="1098" t="s">
        <v>1876</v>
      </c>
    </row>
    <row r="56" spans="1:108" ht="3.6" customHeight="1">
      <c r="A56" s="1114"/>
      <c r="B56" s="1114"/>
      <c r="C56" s="1114"/>
      <c r="D56" s="434"/>
      <c r="E56" s="273"/>
      <c r="F56" s="2"/>
      <c r="G56" s="273"/>
      <c r="H56" s="447"/>
      <c r="I56" s="2"/>
      <c r="J56" s="2"/>
      <c r="K56" s="2"/>
      <c r="L56" s="2"/>
      <c r="M56" s="434"/>
      <c r="N56" s="28"/>
      <c r="O56" s="174"/>
      <c r="P56" s="2"/>
      <c r="Q56" s="1125"/>
      <c r="R56" s="1132"/>
      <c r="S56" s="1127"/>
      <c r="T56" s="1132"/>
      <c r="U56" s="1127"/>
      <c r="V56" s="1127"/>
      <c r="W56" s="1127"/>
      <c r="X56" s="1128"/>
      <c r="Y56" s="7"/>
      <c r="Z56" s="4"/>
      <c r="AA56" s="4"/>
      <c r="AB56" s="4"/>
      <c r="AC56" s="4"/>
      <c r="AD56" s="4"/>
      <c r="AE56" s="4"/>
      <c r="AF56" s="4"/>
      <c r="AG56" s="4"/>
      <c r="AH56" s="4"/>
      <c r="AI56" s="514"/>
      <c r="AJ56" s="1125"/>
      <c r="AK56" s="1169"/>
      <c r="AL56" s="1176"/>
      <c r="AM56" s="534"/>
      <c r="AN56" s="434"/>
      <c r="AO56" s="470"/>
      <c r="AP56" s="1091"/>
      <c r="AQ56" s="1180"/>
      <c r="AR56" s="445"/>
      <c r="AS56" s="1184"/>
      <c r="AT56" s="445"/>
      <c r="AU56" s="534"/>
      <c r="AV56" s="174"/>
      <c r="AW56" s="1099"/>
      <c r="AX56" s="1100"/>
      <c r="AY56" s="1100"/>
      <c r="AZ56" s="1100"/>
      <c r="BA56" s="1100"/>
      <c r="BB56" s="1100"/>
      <c r="BC56" s="1101"/>
      <c r="BE56" s="1099"/>
      <c r="BF56" s="1108"/>
      <c r="BG56" s="1100"/>
      <c r="BH56" s="1100"/>
      <c r="BI56" s="1100"/>
      <c r="BJ56" s="1100"/>
      <c r="BK56" s="1100"/>
      <c r="BL56" s="1101"/>
      <c r="BN56" s="1099"/>
      <c r="BO56" s="1108"/>
      <c r="BP56" s="1100"/>
      <c r="BQ56" s="1100"/>
      <c r="BR56" s="1100"/>
      <c r="BS56" s="1100"/>
      <c r="BT56" s="1100"/>
      <c r="BU56" s="1101"/>
    </row>
    <row r="57" spans="1:108" ht="14.45" customHeight="1">
      <c r="A57" s="531"/>
      <c r="B57" s="1509"/>
      <c r="C57" s="2132"/>
      <c r="D57" s="1117"/>
      <c r="E57" s="4"/>
      <c r="F57" s="1120"/>
      <c r="G57" s="4"/>
      <c r="H57" s="618"/>
      <c r="I57" s="1088" t="s">
        <v>1882</v>
      </c>
      <c r="J57" s="360"/>
      <c r="K57" s="264"/>
      <c r="L57" s="292">
        <f>IF(J57&gt;0,IF(K57&gt;0,Fehler1,INDEX(UWert!$BD$7:$BD$41,J57)),K57)</f>
        <v>0</v>
      </c>
      <c r="M57" s="264"/>
      <c r="N57" s="28">
        <f>IF(J57&gt;0,IF(M57&gt;0,Fehler1,INDEX(UWert!$BE$7:$BE$41,J57)),M57)</f>
        <v>0</v>
      </c>
      <c r="O57" s="264"/>
      <c r="P57" s="2"/>
      <c r="Q57" s="1125"/>
      <c r="R57" s="264"/>
      <c r="S57" s="1133" t="s">
        <v>808</v>
      </c>
      <c r="T57" s="264"/>
      <c r="U57" s="1133" t="s">
        <v>808</v>
      </c>
      <c r="V57" s="1110"/>
      <c r="W57" s="1127" t="s">
        <v>1880</v>
      </c>
      <c r="X57" s="1134">
        <f>IF(AND(V57&gt;0,R57&gt;0),Fehler1,IF(V57&gt;0,V57,BF57))</f>
        <v>0</v>
      </c>
      <c r="Y57" s="253"/>
      <c r="Z57" s="1509"/>
      <c r="AA57" s="199"/>
      <c r="AB57" s="1858"/>
      <c r="AC57" s="1113" t="s">
        <v>808</v>
      </c>
      <c r="AD57" s="1858"/>
      <c r="AE57" s="1113" t="s">
        <v>808</v>
      </c>
      <c r="AF57" s="1110"/>
      <c r="AG57" s="273" t="s">
        <v>1880</v>
      </c>
      <c r="AH57" s="1870">
        <f>IF(AND(AF57&gt;0,AB57&gt;0),Fehler1,IF(AF57&gt;0,AF57,BO57))</f>
        <v>0</v>
      </c>
      <c r="AI57" s="514"/>
      <c r="AJ57" s="1125"/>
      <c r="AK57" s="1129">
        <f>BC57*BL57*BU57*AR57</f>
        <v>0.68</v>
      </c>
      <c r="AL57" s="1173"/>
      <c r="AM57" s="554">
        <f>IF(O57&gt;0,MIN(O57,0.95),IF(_Ver09,0.7,0.75))</f>
        <v>0.75</v>
      </c>
      <c r="AN57" s="554">
        <f>IF(N57&gt;0,MIN(N57,0.9),)</f>
        <v>0</v>
      </c>
      <c r="AO57" s="63">
        <f>IF(F57&gt;0,H57*F57,H57)</f>
        <v>0</v>
      </c>
      <c r="AP57" s="1155">
        <f>$O$53</f>
        <v>30</v>
      </c>
      <c r="AQ57" s="1184" t="b">
        <f>IF(Z57=$AN$5,TRUE,FALSE)</f>
        <v>0</v>
      </c>
      <c r="AR57" s="445">
        <f>IF(AQ57,BU57,1)</f>
        <v>1</v>
      </c>
      <c r="AS57" s="1184" t="b">
        <f>IF(B57=$AN$5,TRUE,FALSE)</f>
        <v>0</v>
      </c>
      <c r="AT57" s="445">
        <f>IF(AS57,MAX(1,F57)*H57,0)</f>
        <v>0</v>
      </c>
      <c r="AU57" s="626" t="str">
        <f>IF(AND(AO57&gt;0,OR(L57=0,N57=0,X57="",AH57="")),"Nicht alle Eingaben gewählt","")</f>
        <v/>
      </c>
      <c r="AV57" s="174"/>
      <c r="AW57" s="1093">
        <f>AP57</f>
        <v>30</v>
      </c>
      <c r="AX57" s="1094">
        <f>IF(AW57&lt;Tab!$B$78,1,IF(AW57&lt;Tab!$B$79,2,IF(AW57&lt;Tab!$B$80,3,IF(AW57&lt;Tab!$B$81,4,IF(AW57&lt;Tab!$B$82,5,IF(AW57&lt;Tab!$B$83,6,7))))))</f>
        <v>4</v>
      </c>
      <c r="AY57" s="1095">
        <f>INDEX(Tab!$B$77:$B$84,AX57,1)</f>
        <v>30</v>
      </c>
      <c r="AZ57" s="1095">
        <f>INDEX(Tab!$B$77:$B$84,AX57+1,1)</f>
        <v>40</v>
      </c>
      <c r="BA57" s="1106">
        <f>INDEX(Tab!$E$77:$F$84,AX57,1+Ausrichtung)</f>
        <v>0.68</v>
      </c>
      <c r="BB57" s="1106">
        <f>INDEX(Tab!$E$77:$F$84,AX57+1,1+Ausrichtung)</f>
        <v>0.6</v>
      </c>
      <c r="BC57" s="1102">
        <f>MAX(BB57+(BA57-BB57)/(AZ57-AY57)*(AZ57-AW57),INDEX(Tab!$E$84:$F$84,1,1+Ausrichtung))</f>
        <v>0.68</v>
      </c>
      <c r="BE57" s="1090">
        <f>X57</f>
        <v>0</v>
      </c>
      <c r="BF57" s="1109">
        <f>IF(OR(R57=0,T57=0,),0,ATAN(T57/R57)*180/PI())</f>
        <v>0</v>
      </c>
      <c r="BG57" s="1094">
        <f>IF(BE57&lt;Tab!$B$88,1,IF(BE57&lt;Tab!$B$89,2,IF(BE57&lt;Tab!$B$90,3,IF(BE57&lt;Tab!$B$91,4,5))))</f>
        <v>1</v>
      </c>
      <c r="BH57" s="1095">
        <f>INDEX(Tab!$B$87:$B$92,BG57,1)</f>
        <v>0</v>
      </c>
      <c r="BI57" s="1095">
        <f>INDEX(Tab!$B$87:$B$92,BG57+1,1)</f>
        <v>15</v>
      </c>
      <c r="BJ57" s="1106">
        <f>INDEX(Tab!$E$87:$F$92,BG57,1+Ausrichtung)</f>
        <v>1</v>
      </c>
      <c r="BK57" s="1106">
        <f>INDEX(Tab!$E$87:$F$92,BG57+1,1+Ausrichtung)</f>
        <v>0.95</v>
      </c>
      <c r="BL57" s="1102">
        <f>MAX(BK57+(BJ57-BK57)/(BI57-BH57)*(BI57-BE57),INDEX(Tab!$E$92:$F$92,1,1+Ausrichtung))</f>
        <v>1</v>
      </c>
      <c r="BN57" s="1093">
        <f>AH57</f>
        <v>0</v>
      </c>
      <c r="BO57" s="1109">
        <f>IF(OR(AB57=0,AD57=0,),0,ATAN(AD57/AB57)*180/PI())</f>
        <v>0</v>
      </c>
      <c r="BP57" s="1094">
        <f>IF(BN57&lt;Tab!$B$98,1,IF(BN57&lt;Tab!$B$99,2,IF(BN57&lt;Tab!$B$100,3,IF(BN57&lt;Tab!$B$101,4,5))))</f>
        <v>1</v>
      </c>
      <c r="BQ57" s="1095">
        <f>INDEX(Tab!$B$97:$B$102,BP57,1)</f>
        <v>0</v>
      </c>
      <c r="BR57" s="1095">
        <f>INDEX(Tab!$B$97:$B$102,BP57+1,1)</f>
        <v>15</v>
      </c>
      <c r="BS57" s="1106">
        <f>INDEX(Tab!$E$97:$F$102,BP57,1+Ausrichtung)</f>
        <v>1</v>
      </c>
      <c r="BT57" s="1106">
        <f>INDEX(Tab!$E$97:$F$102,BP57+1,1+Ausrichtung)</f>
        <v>0.96</v>
      </c>
      <c r="BU57" s="1102">
        <f>MAX(BT57+(BS57-BT57)/(BR57-BQ57)*(BR57-BN57),INDEX(Tab!$E$102:$F$102,1,1+Ausrichtung))</f>
        <v>1</v>
      </c>
    </row>
    <row r="58" spans="1:108" s="1203" customFormat="1" ht="3.6" customHeight="1">
      <c r="A58" s="531"/>
      <c r="B58" s="531"/>
      <c r="C58" s="2103"/>
      <c r="D58" s="1113"/>
      <c r="E58" s="4"/>
      <c r="F58" s="1192"/>
      <c r="G58" s="4"/>
      <c r="H58" s="440"/>
      <c r="I58" s="1088"/>
      <c r="J58" s="434"/>
      <c r="K58" s="4"/>
      <c r="L58" s="292"/>
      <c r="M58" s="4"/>
      <c r="N58" s="28"/>
      <c r="O58" s="4"/>
      <c r="P58" s="2"/>
      <c r="Q58" s="1142"/>
      <c r="R58" s="1129"/>
      <c r="S58" s="1129"/>
      <c r="T58" s="1129"/>
      <c r="U58" s="1129"/>
      <c r="V58" s="1129"/>
      <c r="W58" s="1140"/>
      <c r="X58" s="1193"/>
      <c r="Y58" s="118"/>
      <c r="Z58" s="1871"/>
      <c r="AA58" s="30"/>
      <c r="AB58" s="4"/>
      <c r="AC58" s="1113"/>
      <c r="AD58" s="4"/>
      <c r="AE58" s="4"/>
      <c r="AF58" s="4"/>
      <c r="AG58" s="273"/>
      <c r="AH58" s="1870"/>
      <c r="AI58" s="57"/>
      <c r="AJ58" s="1142"/>
      <c r="AK58" s="1129"/>
      <c r="AL58" s="1173"/>
      <c r="AM58" s="445"/>
      <c r="AN58" s="445"/>
      <c r="AO58" s="63"/>
      <c r="AP58" s="28"/>
      <c r="AQ58" s="440"/>
      <c r="AR58" s="445"/>
      <c r="AS58" s="445"/>
      <c r="AT58" s="445"/>
      <c r="AU58" s="445"/>
      <c r="AV58" s="27"/>
      <c r="AW58" s="1200"/>
      <c r="AX58" s="305"/>
      <c r="AY58" s="59"/>
      <c r="AZ58" s="59"/>
      <c r="BA58" s="59"/>
      <c r="BB58" s="59"/>
      <c r="BC58" s="1201"/>
      <c r="BD58" s="27"/>
      <c r="BE58" s="1200"/>
      <c r="BF58" s="1202"/>
      <c r="BG58" s="305"/>
      <c r="BH58" s="59"/>
      <c r="BI58" s="59"/>
      <c r="BJ58" s="59"/>
      <c r="BK58" s="59"/>
      <c r="BL58" s="1201"/>
      <c r="BM58" s="27"/>
      <c r="BN58" s="1200"/>
      <c r="BO58" s="1202"/>
      <c r="BP58" s="305"/>
      <c r="BQ58" s="59"/>
      <c r="BR58" s="59"/>
      <c r="BS58" s="59"/>
      <c r="BT58" s="59"/>
      <c r="BU58" s="1201"/>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row>
    <row r="59" spans="1:108" ht="14.45" customHeight="1">
      <c r="A59" s="531"/>
      <c r="B59" s="1509"/>
      <c r="C59" s="2132"/>
      <c r="D59" s="1117"/>
      <c r="E59" s="4"/>
      <c r="F59" s="1120"/>
      <c r="G59" s="4"/>
      <c r="H59" s="618"/>
      <c r="I59" s="1113" t="s">
        <v>1882</v>
      </c>
      <c r="J59" s="360"/>
      <c r="K59" s="264"/>
      <c r="L59" s="292">
        <f>IF(J59&gt;0,IF(K59&gt;0,Fehler1,INDEX(UWert!$BD$7:$BD$41,J59)),K59)</f>
        <v>0</v>
      </c>
      <c r="M59" s="264"/>
      <c r="N59" s="28">
        <f>IF(J59&gt;0,IF(M59&gt;0,Fehler1,INDEX(UWert!$BE$7:$BE$41,J59)),M59)</f>
        <v>0</v>
      </c>
      <c r="O59" s="264"/>
      <c r="P59" s="2"/>
      <c r="Q59" s="1125"/>
      <c r="R59" s="264"/>
      <c r="S59" s="1133" t="s">
        <v>808</v>
      </c>
      <c r="T59" s="264"/>
      <c r="U59" s="1133" t="s">
        <v>808</v>
      </c>
      <c r="V59" s="1110"/>
      <c r="W59" s="1127" t="s">
        <v>1880</v>
      </c>
      <c r="X59" s="1134">
        <f>IF(AND(V59&gt;0,R59&gt;0),Fehler1,IF(V59&gt;0,V59,BF59))</f>
        <v>0</v>
      </c>
      <c r="Y59" s="253"/>
      <c r="Z59" s="1509"/>
      <c r="AA59" s="199"/>
      <c r="AB59" s="1858"/>
      <c r="AC59" s="1113" t="s">
        <v>808</v>
      </c>
      <c r="AD59" s="1858"/>
      <c r="AE59" s="1113" t="s">
        <v>808</v>
      </c>
      <c r="AF59" s="1110"/>
      <c r="AG59" s="273" t="s">
        <v>1880</v>
      </c>
      <c r="AH59" s="1870">
        <f>IF(AND(AF59&gt;0,AB59&gt;0),Fehler1,IF(AF59&gt;0,AF59,BO59))</f>
        <v>0</v>
      </c>
      <c r="AI59" s="514"/>
      <c r="AJ59" s="1125"/>
      <c r="AK59" s="1129">
        <f>BC59*BL59*BU59*AR59</f>
        <v>0.68</v>
      </c>
      <c r="AL59" s="1173"/>
      <c r="AM59" s="554">
        <f>IF(O59&gt;0,MIN(O59,0.95),IF(_Ver09,0.7,0.75))</f>
        <v>0.75</v>
      </c>
      <c r="AN59" s="554">
        <f>IF(N59&gt;0,MIN(N59,0.9),)</f>
        <v>0</v>
      </c>
      <c r="AO59" s="63">
        <f>IF(F59&gt;0,H59*F59,H59)</f>
        <v>0</v>
      </c>
      <c r="AP59" s="1155">
        <f>$O$53</f>
        <v>30</v>
      </c>
      <c r="AQ59" s="1184" t="b">
        <f>IF(Z59=$AN$5,TRUE,FALSE)</f>
        <v>0</v>
      </c>
      <c r="AR59" s="445">
        <f>IF(AQ59,BU59,1)</f>
        <v>1</v>
      </c>
      <c r="AS59" s="1184" t="b">
        <f>IF(B59=$AN$5,TRUE,FALSE)</f>
        <v>0</v>
      </c>
      <c r="AT59" s="445">
        <f>IF(AS59,MAX(1,F59)*H59,0)</f>
        <v>0</v>
      </c>
      <c r="AU59" s="626" t="str">
        <f>IF(AND(AO59&gt;0,OR(L59=0,N59=0,X59="",AH59="")),"Nicht alle Eingaben gewählt","")</f>
        <v/>
      </c>
      <c r="AV59" s="174"/>
      <c r="AW59" s="1093">
        <f>AP59</f>
        <v>30</v>
      </c>
      <c r="AX59" s="1094">
        <f>IF(AW59&lt;Tab!$B$78,1,IF(AW59&lt;Tab!$B$79,2,IF(AW59&lt;Tab!$B$80,3,IF(AW59&lt;Tab!$B$81,4,IF(AW59&lt;Tab!$B$82,5,IF(AW59&lt;Tab!$B$83,6,7))))))</f>
        <v>4</v>
      </c>
      <c r="AY59" s="1095">
        <f>INDEX(Tab!$B$77:$B$84,AX59,1)</f>
        <v>30</v>
      </c>
      <c r="AZ59" s="1095">
        <f>INDEX(Tab!$B$77:$B$84,AX59+1,1)</f>
        <v>40</v>
      </c>
      <c r="BA59" s="1106">
        <f>INDEX(Tab!$E$77:$F$84,AX59,1+Ausrichtung)</f>
        <v>0.68</v>
      </c>
      <c r="BB59" s="1106">
        <f>INDEX(Tab!$E$77:$F$84,AX59+1,1+Ausrichtung)</f>
        <v>0.6</v>
      </c>
      <c r="BC59" s="1102">
        <f>MAX(BB59+(BA59-BB59)/(AZ59-AY59)*(AZ59-AW59),INDEX(Tab!$E$84:$F$84,1,1+Ausrichtung))</f>
        <v>0.68</v>
      </c>
      <c r="BE59" s="1090">
        <f>X59</f>
        <v>0</v>
      </c>
      <c r="BF59" s="1109">
        <f>IF(OR(R59=0,T59=0,),0,ATAN(T59/R59)*180/PI())</f>
        <v>0</v>
      </c>
      <c r="BG59" s="1094">
        <f>IF(BE59&lt;Tab!$B$88,1,IF(BE59&lt;Tab!$B$89,2,IF(BE59&lt;Tab!$B$90,3,IF(BE59&lt;Tab!$B$91,4,5))))</f>
        <v>1</v>
      </c>
      <c r="BH59" s="1095">
        <f>INDEX(Tab!$B$87:$B$92,BG59,1)</f>
        <v>0</v>
      </c>
      <c r="BI59" s="1095">
        <f>INDEX(Tab!$B$87:$B$92,BG59+1,1)</f>
        <v>15</v>
      </c>
      <c r="BJ59" s="1106">
        <f>INDEX(Tab!$E$87:$F$92,BG59,1+Ausrichtung)</f>
        <v>1</v>
      </c>
      <c r="BK59" s="1106">
        <f>INDEX(Tab!$E$87:$F$92,BG59+1,1+Ausrichtung)</f>
        <v>0.95</v>
      </c>
      <c r="BL59" s="1102">
        <f>MAX(BK59+(BJ59-BK59)/(BI59-BH59)*(BI59-BE59),INDEX(Tab!$E$92:$F$92,1,1+Ausrichtung))</f>
        <v>1</v>
      </c>
      <c r="BN59" s="1093">
        <f>AH59</f>
        <v>0</v>
      </c>
      <c r="BO59" s="1109">
        <f>IF(OR(AB59=0,AD59=0,),0,ATAN(AD59/AB59)*180/PI())</f>
        <v>0</v>
      </c>
      <c r="BP59" s="1094">
        <f>IF(BN59&lt;Tab!$B$98,1,IF(BN59&lt;Tab!$B$99,2,IF(BN59&lt;Tab!$B$100,3,IF(BN59&lt;Tab!$B$101,4,5))))</f>
        <v>1</v>
      </c>
      <c r="BQ59" s="1095">
        <f>INDEX(Tab!$B$97:$B$102,BP59,1)</f>
        <v>0</v>
      </c>
      <c r="BR59" s="1095">
        <f>INDEX(Tab!$B$97:$B$102,BP59+1,1)</f>
        <v>15</v>
      </c>
      <c r="BS59" s="1106">
        <f>INDEX(Tab!$E$97:$F$102,BP59,1+Ausrichtung)</f>
        <v>1</v>
      </c>
      <c r="BT59" s="1106">
        <f>INDEX(Tab!$E$97:$F$102,BP59+1,1+Ausrichtung)</f>
        <v>0.96</v>
      </c>
      <c r="BU59" s="1102">
        <f>MAX(BT59+(BS59-BT59)/(BR59-BQ59)*(BR59-BN59),INDEX(Tab!$E$102:$F$102,1,1+Ausrichtung))</f>
        <v>1</v>
      </c>
    </row>
    <row r="60" spans="1:108" s="1203" customFormat="1" ht="3.6" customHeight="1">
      <c r="A60" s="531"/>
      <c r="B60" s="531"/>
      <c r="C60" s="2103"/>
      <c r="D60" s="1197"/>
      <c r="E60" s="4"/>
      <c r="F60" s="1192"/>
      <c r="G60" s="4"/>
      <c r="H60" s="1198"/>
      <c r="I60" s="1088"/>
      <c r="J60" s="434"/>
      <c r="K60" s="1199"/>
      <c r="L60" s="292"/>
      <c r="M60" s="4"/>
      <c r="N60" s="28"/>
      <c r="O60" s="1199"/>
      <c r="P60" s="2"/>
      <c r="Q60" s="1142"/>
      <c r="R60" s="1129"/>
      <c r="S60" s="1129"/>
      <c r="T60" s="1129"/>
      <c r="U60" s="1129"/>
      <c r="V60" s="1129"/>
      <c r="W60" s="1140"/>
      <c r="X60" s="1193"/>
      <c r="Y60" s="118"/>
      <c r="Z60" s="1871"/>
      <c r="AA60" s="30"/>
      <c r="AB60" s="1199"/>
      <c r="AC60" s="1113"/>
      <c r="AD60" s="1199"/>
      <c r="AE60" s="4"/>
      <c r="AF60" s="4"/>
      <c r="AG60" s="273"/>
      <c r="AH60" s="1870"/>
      <c r="AI60" s="57"/>
      <c r="AJ60" s="1142"/>
      <c r="AK60" s="1129"/>
      <c r="AL60" s="1173"/>
      <c r="AM60" s="445"/>
      <c r="AN60" s="445"/>
      <c r="AO60" s="63"/>
      <c r="AP60" s="28"/>
      <c r="AQ60" s="440"/>
      <c r="AR60" s="445"/>
      <c r="AS60" s="445"/>
      <c r="AT60" s="445"/>
      <c r="AU60" s="445"/>
      <c r="AV60" s="27"/>
      <c r="AW60" s="1200"/>
      <c r="AX60" s="305"/>
      <c r="AY60" s="59"/>
      <c r="AZ60" s="59"/>
      <c r="BA60" s="59"/>
      <c r="BB60" s="59"/>
      <c r="BC60" s="1201"/>
      <c r="BD60" s="27"/>
      <c r="BE60" s="1200"/>
      <c r="BF60" s="1202"/>
      <c r="BG60" s="305"/>
      <c r="BH60" s="59"/>
      <c r="BI60" s="59"/>
      <c r="BJ60" s="59"/>
      <c r="BK60" s="59"/>
      <c r="BL60" s="1201"/>
      <c r="BM60" s="27"/>
      <c r="BN60" s="1200"/>
      <c r="BO60" s="1202"/>
      <c r="BP60" s="305"/>
      <c r="BQ60" s="59"/>
      <c r="BR60" s="59"/>
      <c r="BS60" s="59"/>
      <c r="BT60" s="59"/>
      <c r="BU60" s="1201"/>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row>
    <row r="61" spans="1:108" ht="14.45" customHeight="1">
      <c r="A61" s="531"/>
      <c r="B61" s="1509"/>
      <c r="C61" s="2132"/>
      <c r="D61" s="1117"/>
      <c r="E61" s="4"/>
      <c r="F61" s="1120"/>
      <c r="G61" s="4"/>
      <c r="H61" s="618"/>
      <c r="I61" s="1113" t="s">
        <v>1882</v>
      </c>
      <c r="J61" s="360"/>
      <c r="K61" s="264"/>
      <c r="L61" s="292">
        <f>IF(J61&gt;0,IF(K61&gt;0,Fehler1,INDEX(UWert!$BD$7:$BD$41,J61)),K61)</f>
        <v>0</v>
      </c>
      <c r="M61" s="264"/>
      <c r="N61" s="28">
        <f>IF(J61&gt;0,IF(M61&gt;0,Fehler1,INDEX(UWert!$BE$7:$BE$41,J61)),M61)</f>
        <v>0</v>
      </c>
      <c r="O61" s="264"/>
      <c r="P61" s="2"/>
      <c r="Q61" s="1125"/>
      <c r="R61" s="264"/>
      <c r="S61" s="1133" t="s">
        <v>808</v>
      </c>
      <c r="T61" s="264"/>
      <c r="U61" s="1133" t="s">
        <v>808</v>
      </c>
      <c r="V61" s="1110"/>
      <c r="W61" s="1127" t="s">
        <v>1880</v>
      </c>
      <c r="X61" s="1134">
        <f>IF(AND(V61&gt;0,R61&gt;0),Fehler1,IF(V61&gt;0,V61,BF61))</f>
        <v>0</v>
      </c>
      <c r="Y61" s="253"/>
      <c r="Z61" s="1509"/>
      <c r="AA61" s="199"/>
      <c r="AB61" s="1858"/>
      <c r="AC61" s="1113" t="s">
        <v>808</v>
      </c>
      <c r="AD61" s="1858"/>
      <c r="AE61" s="1113" t="s">
        <v>808</v>
      </c>
      <c r="AF61" s="1110"/>
      <c r="AG61" s="273" t="s">
        <v>1880</v>
      </c>
      <c r="AH61" s="1870">
        <f>IF(AND(AF61&gt;0,AB61&gt;0),Fehler1,IF(AF61&gt;0,AF61,BO61))</f>
        <v>0</v>
      </c>
      <c r="AI61" s="514"/>
      <c r="AJ61" s="1125"/>
      <c r="AK61" s="1129">
        <f>BC61*BL61*BU61*AR61</f>
        <v>0.68</v>
      </c>
      <c r="AL61" s="1173"/>
      <c r="AM61" s="554">
        <f>IF(O61&gt;0,MIN(O61,0.95),IF(_Ver09,0.7,0.75))</f>
        <v>0.75</v>
      </c>
      <c r="AN61" s="554">
        <f>IF(N61&gt;0,MIN(N61,0.9),)</f>
        <v>0</v>
      </c>
      <c r="AO61" s="63">
        <f>IF(F61&gt;0,H61*F61,H61)</f>
        <v>0</v>
      </c>
      <c r="AP61" s="1155">
        <f>$O$53</f>
        <v>30</v>
      </c>
      <c r="AQ61" s="1184" t="b">
        <f>IF(Z61=$AN$5,TRUE,FALSE)</f>
        <v>0</v>
      </c>
      <c r="AR61" s="445">
        <f>IF(AQ61,BU61,1)</f>
        <v>1</v>
      </c>
      <c r="AS61" s="1184" t="b">
        <f>IF(B61=$AN$5,TRUE,FALSE)</f>
        <v>0</v>
      </c>
      <c r="AT61" s="445">
        <f>IF(AS61,MAX(1,F61)*H61,0)</f>
        <v>0</v>
      </c>
      <c r="AU61" s="626" t="str">
        <f>IF(AND(AO61&gt;0,OR(L61=0,N61=0,X61="",AH61="")),"Nicht alle Eingaben gewählt","")</f>
        <v/>
      </c>
      <c r="AV61" s="174"/>
      <c r="AW61" s="1093">
        <f>AP61</f>
        <v>30</v>
      </c>
      <c r="AX61" s="1094">
        <f>IF(AW61&lt;Tab!$B$78,1,IF(AW61&lt;Tab!$B$79,2,IF(AW61&lt;Tab!$B$80,3,IF(AW61&lt;Tab!$B$81,4,IF(AW61&lt;Tab!$B$82,5,IF(AW61&lt;Tab!$B$83,6,7))))))</f>
        <v>4</v>
      </c>
      <c r="AY61" s="1095">
        <f>INDEX(Tab!$B$77:$B$84,AX61,1)</f>
        <v>30</v>
      </c>
      <c r="AZ61" s="1095">
        <f>INDEX(Tab!$B$77:$B$84,AX61+1,1)</f>
        <v>40</v>
      </c>
      <c r="BA61" s="1106">
        <f>INDEX(Tab!$E$77:$F$84,AX61,1+Ausrichtung)</f>
        <v>0.68</v>
      </c>
      <c r="BB61" s="1106">
        <f>INDEX(Tab!$E$77:$F$84,AX61+1,1+Ausrichtung)</f>
        <v>0.6</v>
      </c>
      <c r="BC61" s="1102">
        <f>MAX(BB61+(BA61-BB61)/(AZ61-AY61)*(AZ61-AW61),INDEX(Tab!$E$84:$F$84,1,1+Ausrichtung))</f>
        <v>0.68</v>
      </c>
      <c r="BE61" s="1090">
        <f>X61</f>
        <v>0</v>
      </c>
      <c r="BF61" s="1109">
        <f>IF(OR(R61=0,T61=0,),0,ATAN(T61/R61)*180/PI())</f>
        <v>0</v>
      </c>
      <c r="BG61" s="1094">
        <f>IF(BE61&lt;Tab!$B$88,1,IF(BE61&lt;Tab!$B$89,2,IF(BE61&lt;Tab!$B$90,3,IF(BE61&lt;Tab!$B$91,4,5))))</f>
        <v>1</v>
      </c>
      <c r="BH61" s="1095">
        <f>INDEX(Tab!$B$87:$B$92,BG61,1)</f>
        <v>0</v>
      </c>
      <c r="BI61" s="1095">
        <f>INDEX(Tab!$B$87:$B$92,BG61+1,1)</f>
        <v>15</v>
      </c>
      <c r="BJ61" s="1106">
        <f>INDEX(Tab!$E$87:$F$92,BG61,1+Ausrichtung)</f>
        <v>1</v>
      </c>
      <c r="BK61" s="1106">
        <f>INDEX(Tab!$E$87:$F$92,BG61+1,1+Ausrichtung)</f>
        <v>0.95</v>
      </c>
      <c r="BL61" s="1102">
        <f>MAX(BK61+(BJ61-BK61)/(BI61-BH61)*(BI61-BE61),INDEX(Tab!$E$92:$F$92,1,1+Ausrichtung))</f>
        <v>1</v>
      </c>
      <c r="BN61" s="1093">
        <f>AH61</f>
        <v>0</v>
      </c>
      <c r="BO61" s="1109">
        <f>IF(OR(AB61=0,AD61=0,),0,ATAN(AD61/AB61)*180/PI())</f>
        <v>0</v>
      </c>
      <c r="BP61" s="1094">
        <f>IF(BN61&lt;Tab!$B$98,1,IF(BN61&lt;Tab!$B$99,2,IF(BN61&lt;Tab!$B$100,3,IF(BN61&lt;Tab!$B$101,4,5))))</f>
        <v>1</v>
      </c>
      <c r="BQ61" s="1095">
        <f>INDEX(Tab!$B$97:$B$102,BP61,1)</f>
        <v>0</v>
      </c>
      <c r="BR61" s="1095">
        <f>INDEX(Tab!$B$97:$B$102,BP61+1,1)</f>
        <v>15</v>
      </c>
      <c r="BS61" s="1106">
        <f>INDEX(Tab!$E$97:$F$102,BP61,1+Ausrichtung)</f>
        <v>1</v>
      </c>
      <c r="BT61" s="1106">
        <f>INDEX(Tab!$E$97:$F$102,BP61+1,1+Ausrichtung)</f>
        <v>0.96</v>
      </c>
      <c r="BU61" s="1102">
        <f>MAX(BT61+(BS61-BT61)/(BR61-BQ61)*(BR61-BN61),INDEX(Tab!$E$102:$F$102,1,1+Ausrichtung))</f>
        <v>1</v>
      </c>
    </row>
    <row r="62" spans="1:108" s="1203" customFormat="1" ht="3.6" customHeight="1">
      <c r="A62" s="531"/>
      <c r="B62" s="531"/>
      <c r="C62" s="2103"/>
      <c r="D62" s="1197"/>
      <c r="E62" s="4"/>
      <c r="F62" s="1192"/>
      <c r="G62" s="4"/>
      <c r="H62" s="1198"/>
      <c r="I62" s="1088"/>
      <c r="J62" s="434"/>
      <c r="K62" s="1199"/>
      <c r="L62" s="292"/>
      <c r="M62" s="4"/>
      <c r="N62" s="28"/>
      <c r="O62" s="1199"/>
      <c r="P62" s="2"/>
      <c r="Q62" s="1142"/>
      <c r="R62" s="1129"/>
      <c r="S62" s="1129"/>
      <c r="T62" s="1129"/>
      <c r="U62" s="1129"/>
      <c r="V62" s="1129"/>
      <c r="W62" s="1140"/>
      <c r="X62" s="1193"/>
      <c r="Y62" s="118"/>
      <c r="Z62" s="1871"/>
      <c r="AA62" s="30"/>
      <c r="AB62" s="1199"/>
      <c r="AC62" s="1113"/>
      <c r="AD62" s="1199"/>
      <c r="AE62" s="4"/>
      <c r="AF62" s="4"/>
      <c r="AG62" s="273"/>
      <c r="AH62" s="1870"/>
      <c r="AI62" s="57"/>
      <c r="AJ62" s="1142"/>
      <c r="AK62" s="1129"/>
      <c r="AL62" s="1173"/>
      <c r="AM62" s="445"/>
      <c r="AN62" s="445"/>
      <c r="AO62" s="63"/>
      <c r="AP62" s="28"/>
      <c r="AQ62" s="440"/>
      <c r="AR62" s="445"/>
      <c r="AS62" s="445"/>
      <c r="AT62" s="445"/>
      <c r="AU62" s="445"/>
      <c r="AV62" s="27"/>
      <c r="AW62" s="1200"/>
      <c r="AX62" s="305"/>
      <c r="AY62" s="59"/>
      <c r="AZ62" s="59"/>
      <c r="BA62" s="59"/>
      <c r="BB62" s="59"/>
      <c r="BC62" s="1201"/>
      <c r="BD62" s="27"/>
      <c r="BE62" s="1200"/>
      <c r="BF62" s="1202"/>
      <c r="BG62" s="305"/>
      <c r="BH62" s="59"/>
      <c r="BI62" s="59"/>
      <c r="BJ62" s="59"/>
      <c r="BK62" s="59"/>
      <c r="BL62" s="1201"/>
      <c r="BM62" s="27"/>
      <c r="BN62" s="1200"/>
      <c r="BO62" s="1202"/>
      <c r="BP62" s="305"/>
      <c r="BQ62" s="59"/>
      <c r="BR62" s="59"/>
      <c r="BS62" s="59"/>
      <c r="BT62" s="59"/>
      <c r="BU62" s="1201"/>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row>
    <row r="63" spans="1:108" ht="14.45" customHeight="1">
      <c r="A63" s="531"/>
      <c r="B63" s="1509"/>
      <c r="C63" s="2132"/>
      <c r="D63" s="1117"/>
      <c r="E63" s="4"/>
      <c r="F63" s="1120"/>
      <c r="G63" s="4"/>
      <c r="H63" s="618"/>
      <c r="I63" s="1113" t="s">
        <v>1882</v>
      </c>
      <c r="J63" s="360"/>
      <c r="K63" s="264"/>
      <c r="L63" s="292">
        <f>IF(J63&gt;0,IF(K63&gt;0,Fehler1,INDEX(UWert!$BD$7:$BD$41,J63)),K63)</f>
        <v>0</v>
      </c>
      <c r="M63" s="264"/>
      <c r="N63" s="28">
        <f>IF(J63&gt;0,IF(M63&gt;0,Fehler1,INDEX(UWert!$BE$7:$BE$41,J63)),M63)</f>
        <v>0</v>
      </c>
      <c r="O63" s="264"/>
      <c r="P63" s="2"/>
      <c r="Q63" s="1125"/>
      <c r="R63" s="264"/>
      <c r="S63" s="1133" t="s">
        <v>808</v>
      </c>
      <c r="T63" s="264"/>
      <c r="U63" s="1133" t="s">
        <v>808</v>
      </c>
      <c r="V63" s="1110"/>
      <c r="W63" s="1127" t="s">
        <v>1880</v>
      </c>
      <c r="X63" s="1134">
        <f>IF(AND(V63&gt;0,R63&gt;0),Fehler1,IF(V63&gt;0,V63,BF63))</f>
        <v>0</v>
      </c>
      <c r="Y63" s="253"/>
      <c r="Z63" s="1509"/>
      <c r="AA63" s="199"/>
      <c r="AB63" s="1858"/>
      <c r="AC63" s="1113" t="s">
        <v>808</v>
      </c>
      <c r="AD63" s="1858"/>
      <c r="AE63" s="1113" t="s">
        <v>808</v>
      </c>
      <c r="AF63" s="1110"/>
      <c r="AG63" s="273" t="s">
        <v>1880</v>
      </c>
      <c r="AH63" s="1870">
        <f>IF(AND(AF63&gt;0,AB63&gt;0),Fehler1,IF(AF63&gt;0,AF63,BO63))</f>
        <v>0</v>
      </c>
      <c r="AI63" s="514"/>
      <c r="AJ63" s="1125"/>
      <c r="AK63" s="1129">
        <f>BC63*BL63*BU63*AR63</f>
        <v>0.68</v>
      </c>
      <c r="AL63" s="1173"/>
      <c r="AM63" s="554">
        <f>IF(O63&gt;0,MIN(O63,0.95),IF(_Ver09,0.7,0.75))</f>
        <v>0.75</v>
      </c>
      <c r="AN63" s="554">
        <f>IF(N63&gt;0,MIN(N63,0.9),)</f>
        <v>0</v>
      </c>
      <c r="AO63" s="63">
        <f>IF(F63&gt;0,H63*F63,H63)</f>
        <v>0</v>
      </c>
      <c r="AP63" s="1155">
        <f>$O$53</f>
        <v>30</v>
      </c>
      <c r="AQ63" s="1184" t="b">
        <f>IF(Z63=$AN$5,TRUE,FALSE)</f>
        <v>0</v>
      </c>
      <c r="AR63" s="445">
        <f>IF(AQ63,BU63,1)</f>
        <v>1</v>
      </c>
      <c r="AS63" s="1184" t="b">
        <f>IF(B63=$AN$5,TRUE,FALSE)</f>
        <v>0</v>
      </c>
      <c r="AT63" s="445">
        <f>IF(AS63,MAX(1,F63)*H63,0)</f>
        <v>0</v>
      </c>
      <c r="AU63" s="626" t="str">
        <f>IF(AND(AO63&gt;0,OR(L63=0,N63=0,X63="",AH63="")),"Nicht alle Eingaben gewählt","")</f>
        <v/>
      </c>
      <c r="AV63" s="174"/>
      <c r="AW63" s="1090">
        <f>AP63</f>
        <v>30</v>
      </c>
      <c r="AX63" s="1094">
        <f>IF(AW63&lt;Tab!$B$78,1,IF(AW63&lt;Tab!$B$79,2,IF(AW63&lt;Tab!$B$80,3,IF(AW63&lt;Tab!$B$81,4,IF(AW63&lt;Tab!$B$82,5,IF(AW63&lt;Tab!$B$83,6,7))))))</f>
        <v>4</v>
      </c>
      <c r="AY63" s="1095">
        <f>INDEX(Tab!$B$77:$B$84,AX63,1)</f>
        <v>30</v>
      </c>
      <c r="AZ63" s="1095">
        <f>INDEX(Tab!$B$77:$B$84,AX63+1,1)</f>
        <v>40</v>
      </c>
      <c r="BA63" s="1106">
        <f>INDEX(Tab!$E$77:$F$84,AX63,1+Ausrichtung)</f>
        <v>0.68</v>
      </c>
      <c r="BB63" s="1106">
        <f>INDEX(Tab!$E$77:$F$84,AX63+1,1+Ausrichtung)</f>
        <v>0.6</v>
      </c>
      <c r="BC63" s="1102">
        <f>MAX(BB63+(BA63-BB63)/(AZ63-AY63)*(AZ63-AW63),INDEX(Tab!$E$84:$F$84,1,1+Ausrichtung))</f>
        <v>0.68</v>
      </c>
      <c r="BE63" s="1090">
        <f>X63</f>
        <v>0</v>
      </c>
      <c r="BF63" s="1090">
        <f>IF(OR(R63=0,T63=0,),0,ATAN(T63/R63)*180/PI())</f>
        <v>0</v>
      </c>
      <c r="BG63" s="1094">
        <f>IF(BE63&lt;Tab!$B$88,1,IF(BE63&lt;Tab!$B$89,2,IF(BE63&lt;Tab!$B$90,3,IF(BE63&lt;Tab!$B$91,4,5))))</f>
        <v>1</v>
      </c>
      <c r="BH63" s="1095">
        <f>INDEX(Tab!$B$87:$B$92,BG63,1)</f>
        <v>0</v>
      </c>
      <c r="BI63" s="1095">
        <f>INDEX(Tab!$B$87:$B$92,BG63+1,1)</f>
        <v>15</v>
      </c>
      <c r="BJ63" s="1106">
        <f>INDEX(Tab!$E$87:$F$92,BG63,1+Ausrichtung)</f>
        <v>1</v>
      </c>
      <c r="BK63" s="1106">
        <f>INDEX(Tab!$E$87:$F$92,BG63+1,1+Ausrichtung)</f>
        <v>0.95</v>
      </c>
      <c r="BL63" s="1102">
        <f>MAX(BK63+(BJ63-BK63)/(BI63-BH63)*(BI63-BE63),INDEX(Tab!$E$92:$F$92,1,1+Ausrichtung))</f>
        <v>1</v>
      </c>
      <c r="BN63" s="1090">
        <f>AH63</f>
        <v>0</v>
      </c>
      <c r="BO63" s="1090">
        <f>IF(OR(AB63=0,AD63=0,),0,ATAN(AD63/AB63)*180/PI())</f>
        <v>0</v>
      </c>
      <c r="BP63" s="1094">
        <f>IF(BN63&lt;Tab!$B$98,1,IF(BN63&lt;Tab!$B$99,2,IF(BN63&lt;Tab!$B$100,3,IF(BN63&lt;Tab!$B$101,4,5))))</f>
        <v>1</v>
      </c>
      <c r="BQ63" s="1095">
        <f>INDEX(Tab!$B$97:$B$102,BP63,1)</f>
        <v>0</v>
      </c>
      <c r="BR63" s="1095">
        <f>INDEX(Tab!$B$97:$B$102,BP63+1,1)</f>
        <v>15</v>
      </c>
      <c r="BS63" s="1106">
        <f>INDEX(Tab!$E$97:$F$102,BP63,1+Ausrichtung)</f>
        <v>1</v>
      </c>
      <c r="BT63" s="1106">
        <f>INDEX(Tab!$E$97:$F$102,BP63+1,1+Ausrichtung)</f>
        <v>0.96</v>
      </c>
      <c r="BU63" s="1102">
        <f>MAX(BT63+(BS63-BT63)/(BR63-BQ63)*(BR63-BN63),INDEX(Tab!$E$102:$F$102,1,1+Ausrichtung))</f>
        <v>1</v>
      </c>
    </row>
    <row r="64" spans="1:108" s="1203" customFormat="1" ht="3.6" customHeight="1">
      <c r="A64" s="531"/>
      <c r="B64" s="531"/>
      <c r="C64" s="2103"/>
      <c r="D64" s="1113"/>
      <c r="E64" s="4"/>
      <c r="F64" s="1192"/>
      <c r="G64" s="4"/>
      <c r="H64" s="1198"/>
      <c r="I64" s="1088"/>
      <c r="J64" s="434"/>
      <c r="K64" s="4"/>
      <c r="L64" s="292"/>
      <c r="M64" s="4"/>
      <c r="N64" s="28"/>
      <c r="O64" s="4"/>
      <c r="P64" s="2"/>
      <c r="Q64" s="1142"/>
      <c r="R64" s="1129"/>
      <c r="S64" s="1129"/>
      <c r="T64" s="1129"/>
      <c r="U64" s="1129"/>
      <c r="V64" s="1129"/>
      <c r="W64" s="1140"/>
      <c r="X64" s="1193"/>
      <c r="Y64" s="118"/>
      <c r="Z64" s="1871"/>
      <c r="AA64" s="30"/>
      <c r="AB64" s="1199"/>
      <c r="AC64" s="1113"/>
      <c r="AD64" s="1199"/>
      <c r="AE64" s="4"/>
      <c r="AF64" s="4"/>
      <c r="AG64" s="273"/>
      <c r="AH64" s="1870"/>
      <c r="AI64" s="57"/>
      <c r="AJ64" s="1142"/>
      <c r="AK64" s="1129"/>
      <c r="AL64" s="1173"/>
      <c r="AM64" s="445"/>
      <c r="AN64" s="445"/>
      <c r="AO64" s="63"/>
      <c r="AP64" s="28"/>
      <c r="AQ64" s="440"/>
      <c r="AR64" s="445"/>
      <c r="AS64" s="445"/>
      <c r="AT64" s="445"/>
      <c r="AU64" s="445"/>
      <c r="AV64" s="27"/>
      <c r="AW64" s="1200"/>
      <c r="AX64" s="327"/>
      <c r="AY64" s="63"/>
      <c r="AZ64" s="63"/>
      <c r="BA64" s="63"/>
      <c r="BB64" s="63"/>
      <c r="BC64" s="1204"/>
      <c r="BD64" s="27"/>
      <c r="BE64" s="1200"/>
      <c r="BF64" s="1200"/>
      <c r="BG64" s="327"/>
      <c r="BH64" s="63"/>
      <c r="BI64" s="63"/>
      <c r="BJ64" s="63"/>
      <c r="BK64" s="63"/>
      <c r="BL64" s="1204"/>
      <c r="BM64" s="27"/>
      <c r="BN64" s="1200"/>
      <c r="BO64" s="1200"/>
      <c r="BP64" s="327"/>
      <c r="BQ64" s="63"/>
      <c r="BR64" s="63"/>
      <c r="BS64" s="63"/>
      <c r="BT64" s="63"/>
      <c r="BU64" s="1204"/>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row>
    <row r="65" spans="1:108" ht="14.45" customHeight="1">
      <c r="A65" s="531"/>
      <c r="B65" s="1509"/>
      <c r="C65" s="2132"/>
      <c r="D65" s="1117"/>
      <c r="E65" s="4"/>
      <c r="F65" s="1120"/>
      <c r="G65" s="4"/>
      <c r="H65" s="618"/>
      <c r="I65" s="1113" t="s">
        <v>1882</v>
      </c>
      <c r="J65" s="360"/>
      <c r="K65" s="264"/>
      <c r="L65" s="292">
        <f>IF(J65&gt;0,IF(K65&gt;0,Fehler1,INDEX(UWert!$BD$7:$BD$41,J65)),K65)</f>
        <v>0</v>
      </c>
      <c r="M65" s="264"/>
      <c r="N65" s="28">
        <f>IF(J65&gt;0,IF(M65&gt;0,Fehler1,INDEX(UWert!$BE$7:$BE$41,J65)),M65)</f>
        <v>0</v>
      </c>
      <c r="O65" s="264"/>
      <c r="P65" s="2"/>
      <c r="Q65" s="1125"/>
      <c r="R65" s="264"/>
      <c r="S65" s="1133" t="s">
        <v>808</v>
      </c>
      <c r="T65" s="264"/>
      <c r="U65" s="1133" t="s">
        <v>808</v>
      </c>
      <c r="V65" s="1110"/>
      <c r="W65" s="1127" t="s">
        <v>1880</v>
      </c>
      <c r="X65" s="1134">
        <f>IF(AND(V65&gt;0,R65&gt;0),Fehler1,IF(V65&gt;0,V65,BF65))</f>
        <v>0</v>
      </c>
      <c r="Y65" s="253"/>
      <c r="Z65" s="1509"/>
      <c r="AA65" s="199"/>
      <c r="AB65" s="1858"/>
      <c r="AC65" s="1113" t="s">
        <v>808</v>
      </c>
      <c r="AD65" s="1858"/>
      <c r="AE65" s="1113" t="s">
        <v>808</v>
      </c>
      <c r="AF65" s="1110"/>
      <c r="AG65" s="273" t="s">
        <v>1880</v>
      </c>
      <c r="AH65" s="1870">
        <f>IF(AND(AF65&gt;0,AB65&gt;0),Fehler1,IF(AF65&gt;0,AF65,BO65))</f>
        <v>0</v>
      </c>
      <c r="AI65" s="514"/>
      <c r="AJ65" s="1125"/>
      <c r="AK65" s="1129">
        <f>BC65*BL65*BU65*AR65</f>
        <v>0.68</v>
      </c>
      <c r="AL65" s="1173"/>
      <c r="AM65" s="554">
        <f>IF(O65&gt;0,MIN(O65,0.95),IF(_Ver09,0.7,0.75))</f>
        <v>0.75</v>
      </c>
      <c r="AN65" s="554">
        <f>IF(N65&gt;0,MIN(N65,0.9),)</f>
        <v>0</v>
      </c>
      <c r="AO65" s="63">
        <f>IF(F65&gt;0,H65*F65,H65)</f>
        <v>0</v>
      </c>
      <c r="AP65" s="1155">
        <f>$O$53</f>
        <v>30</v>
      </c>
      <c r="AQ65" s="1184" t="b">
        <f>IF(Z65=$AN$5,TRUE,FALSE)</f>
        <v>0</v>
      </c>
      <c r="AR65" s="445">
        <f>IF(AQ65,BU65,1)</f>
        <v>1</v>
      </c>
      <c r="AS65" s="1184" t="b">
        <f>IF(B65=$AN$5,TRUE,FALSE)</f>
        <v>0</v>
      </c>
      <c r="AT65" s="445">
        <f>IF(AS65,MAX(1,F65)*H65,0)</f>
        <v>0</v>
      </c>
      <c r="AU65" s="626" t="str">
        <f>IF(AND(AO65&gt;0,OR(L65=0,N65=0,X65="",AH65="")),"Nicht alle Eingaben gewählt","")</f>
        <v/>
      </c>
      <c r="AV65" s="174"/>
      <c r="AW65" s="1093">
        <f>AP65</f>
        <v>30</v>
      </c>
      <c r="AX65" s="1094">
        <f>IF(AW65&lt;Tab!$B$78,1,IF(AW65&lt;Tab!$B$79,2,IF(AW65&lt;Tab!$B$80,3,IF(AW65&lt;Tab!$B$81,4,IF(AW65&lt;Tab!$B$82,5,IF(AW65&lt;Tab!$B$83,6,7))))))</f>
        <v>4</v>
      </c>
      <c r="AY65" s="1095">
        <f>INDEX(Tab!$B$77:$B$84,AX65,1)</f>
        <v>30</v>
      </c>
      <c r="AZ65" s="1095">
        <f>INDEX(Tab!$B$77:$B$84,AX65+1,1)</f>
        <v>40</v>
      </c>
      <c r="BA65" s="1106">
        <f>INDEX(Tab!$E$77:$F$84,AX65,1+Ausrichtung)</f>
        <v>0.68</v>
      </c>
      <c r="BB65" s="1106">
        <f>INDEX(Tab!$E$77:$F$84,AX65+1,1+Ausrichtung)</f>
        <v>0.6</v>
      </c>
      <c r="BC65" s="1102">
        <f>MAX(BB65+(BA65-BB65)/(AZ65-AY65)*(AZ65-AW65),INDEX(Tab!$E$84:$F$84,1,1+Ausrichtung))</f>
        <v>0.68</v>
      </c>
      <c r="BE65" s="1090">
        <f>X65</f>
        <v>0</v>
      </c>
      <c r="BF65" s="1109">
        <f>IF(OR(R65=0,T65=0,),0,ATAN(T65/R65)*180/PI())</f>
        <v>0</v>
      </c>
      <c r="BG65" s="1094">
        <f>IF(BE65&lt;Tab!$B$88,1,IF(BE65&lt;Tab!$B$89,2,IF(BE65&lt;Tab!$B$90,3,IF(BE65&lt;Tab!$B$91,4,5))))</f>
        <v>1</v>
      </c>
      <c r="BH65" s="1095">
        <f>INDEX(Tab!$B$87:$B$92,BG65,1)</f>
        <v>0</v>
      </c>
      <c r="BI65" s="1095">
        <f>INDEX(Tab!$B$87:$B$92,BG65+1,1)</f>
        <v>15</v>
      </c>
      <c r="BJ65" s="1106">
        <f>INDEX(Tab!$E$87:$F$92,BG65,1+Ausrichtung)</f>
        <v>1</v>
      </c>
      <c r="BK65" s="1106">
        <f>INDEX(Tab!$E$87:$F$92,BG65+1,1+Ausrichtung)</f>
        <v>0.95</v>
      </c>
      <c r="BL65" s="1102">
        <f>MAX(BK65+(BJ65-BK65)/(BI65-BH65)*(BI65-BE65),INDEX(Tab!$E$92:$F$92,1,1+Ausrichtung))</f>
        <v>1</v>
      </c>
      <c r="BN65" s="1093">
        <f>AH65</f>
        <v>0</v>
      </c>
      <c r="BO65" s="1109">
        <f>IF(OR(AB65=0,AD65=0,),0,ATAN(AD65/AB65)*180/PI())</f>
        <v>0</v>
      </c>
      <c r="BP65" s="1094">
        <f>IF(BN65&lt;Tab!$B$98,1,IF(BN65&lt;Tab!$B$99,2,IF(BN65&lt;Tab!$B$100,3,IF(BN65&lt;Tab!$B$101,4,5))))</f>
        <v>1</v>
      </c>
      <c r="BQ65" s="1095">
        <f>INDEX(Tab!$B$97:$B$102,BP65,1)</f>
        <v>0</v>
      </c>
      <c r="BR65" s="1095">
        <f>INDEX(Tab!$B$97:$B$102,BP65+1,1)</f>
        <v>15</v>
      </c>
      <c r="BS65" s="1106">
        <f>INDEX(Tab!$E$97:$F$102,BP65,1+Ausrichtung)</f>
        <v>1</v>
      </c>
      <c r="BT65" s="1106">
        <f>INDEX(Tab!$E$97:$F$102,BP65+1,1+Ausrichtung)</f>
        <v>0.96</v>
      </c>
      <c r="BU65" s="1102">
        <f>MAX(BT65+(BS65-BT65)/(BR65-BQ65)*(BR65-BN65),INDEX(Tab!$E$102:$F$102,1,1+Ausrichtung))</f>
        <v>1</v>
      </c>
    </row>
    <row r="66" spans="1:108" s="1203" customFormat="1" ht="3.6" customHeight="1">
      <c r="A66" s="531"/>
      <c r="B66" s="531"/>
      <c r="C66" s="2103"/>
      <c r="D66" s="1197"/>
      <c r="E66" s="4"/>
      <c r="F66" s="1192"/>
      <c r="G66" s="4"/>
      <c r="H66" s="1198"/>
      <c r="I66" s="1088"/>
      <c r="J66" s="434"/>
      <c r="K66" s="1199"/>
      <c r="L66" s="292"/>
      <c r="M66" s="4"/>
      <c r="N66" s="28"/>
      <c r="O66" s="1199"/>
      <c r="P66" s="2"/>
      <c r="Q66" s="1142"/>
      <c r="R66" s="1129"/>
      <c r="S66" s="1205"/>
      <c r="T66" s="1129"/>
      <c r="U66" s="1129"/>
      <c r="V66" s="1129"/>
      <c r="W66" s="1140"/>
      <c r="X66" s="1193"/>
      <c r="Y66" s="118"/>
      <c r="Z66" s="1871"/>
      <c r="AA66" s="30"/>
      <c r="AB66" s="1199"/>
      <c r="AC66" s="1113"/>
      <c r="AD66" s="1199"/>
      <c r="AE66" s="4"/>
      <c r="AF66" s="4"/>
      <c r="AG66" s="4"/>
      <c r="AH66" s="1870"/>
      <c r="AI66" s="57"/>
      <c r="AJ66" s="1142"/>
      <c r="AK66" s="1129"/>
      <c r="AL66" s="1173"/>
      <c r="AM66" s="445"/>
      <c r="AN66" s="445"/>
      <c r="AO66" s="63"/>
      <c r="AP66" s="28"/>
      <c r="AQ66" s="440"/>
      <c r="AR66" s="445"/>
      <c r="AS66" s="445"/>
      <c r="AT66" s="445"/>
      <c r="AU66" s="445"/>
      <c r="AV66" s="27"/>
      <c r="AW66" s="1200"/>
      <c r="AX66" s="305"/>
      <c r="AY66" s="59"/>
      <c r="AZ66" s="59"/>
      <c r="BA66" s="59"/>
      <c r="BB66" s="59"/>
      <c r="BC66" s="1201"/>
      <c r="BD66" s="27"/>
      <c r="BE66" s="1200"/>
      <c r="BF66" s="1202"/>
      <c r="BG66" s="305"/>
      <c r="BH66" s="59"/>
      <c r="BI66" s="59"/>
      <c r="BJ66" s="59"/>
      <c r="BK66" s="59"/>
      <c r="BL66" s="1201"/>
      <c r="BM66" s="27"/>
      <c r="BN66" s="1200"/>
      <c r="BO66" s="1202"/>
      <c r="BP66" s="305"/>
      <c r="BQ66" s="59"/>
      <c r="BR66" s="59"/>
      <c r="BS66" s="59"/>
      <c r="BT66" s="59"/>
      <c r="BU66" s="1201"/>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row>
    <row r="67" spans="1:108" ht="14.45" customHeight="1">
      <c r="A67" s="531"/>
      <c r="B67" s="1509"/>
      <c r="C67" s="2132"/>
      <c r="D67" s="1117"/>
      <c r="E67" s="4"/>
      <c r="F67" s="1120"/>
      <c r="G67" s="4"/>
      <c r="H67" s="618"/>
      <c r="I67" s="1113" t="s">
        <v>1882</v>
      </c>
      <c r="J67" s="360"/>
      <c r="K67" s="264"/>
      <c r="L67" s="292">
        <f>IF(J67&gt;0,IF(K67&gt;0,Fehler1,INDEX(UWert!$BD$7:$BD$41,J67)),K67)</f>
        <v>0</v>
      </c>
      <c r="M67" s="264"/>
      <c r="N67" s="28">
        <f>IF(J67&gt;0,IF(M67&gt;0,Fehler1,INDEX(UWert!$BE$7:$BE$41,J67)),M67)</f>
        <v>0</v>
      </c>
      <c r="O67" s="264"/>
      <c r="P67" s="2"/>
      <c r="Q67" s="1125"/>
      <c r="R67" s="264"/>
      <c r="S67" s="1133" t="s">
        <v>808</v>
      </c>
      <c r="T67" s="264"/>
      <c r="U67" s="1133" t="s">
        <v>808</v>
      </c>
      <c r="V67" s="1110"/>
      <c r="W67" s="1127" t="s">
        <v>1880</v>
      </c>
      <c r="X67" s="1134">
        <f>IF(AND(V67&gt;0,R67&gt;0),Fehler1,IF(V67&gt;0,V67,BF67))</f>
        <v>0</v>
      </c>
      <c r="Y67" s="253"/>
      <c r="Z67" s="1509"/>
      <c r="AA67" s="199"/>
      <c r="AB67" s="1858"/>
      <c r="AC67" s="1113" t="s">
        <v>808</v>
      </c>
      <c r="AD67" s="1858"/>
      <c r="AE67" s="1113" t="s">
        <v>808</v>
      </c>
      <c r="AF67" s="1110"/>
      <c r="AG67" s="273" t="s">
        <v>1880</v>
      </c>
      <c r="AH67" s="1870">
        <f>IF(AND(AF67&gt;0,AB67&gt;0),Fehler1,IF(AF67&gt;0,AF67,BO67))</f>
        <v>0</v>
      </c>
      <c r="AI67" s="514"/>
      <c r="AJ67" s="1125"/>
      <c r="AK67" s="1129">
        <f>BC67*BL67*BU67*AR67</f>
        <v>0.68</v>
      </c>
      <c r="AL67" s="1173"/>
      <c r="AM67" s="554">
        <f>IF(O67&gt;0,MIN(O67,0.95),IF(_Ver09,0.7,0.75))</f>
        <v>0.75</v>
      </c>
      <c r="AN67" s="554">
        <f>IF(N67&gt;0,MIN(N67,0.9),)</f>
        <v>0</v>
      </c>
      <c r="AO67" s="63">
        <f>IF(F67&gt;0,H67*F67,H67)</f>
        <v>0</v>
      </c>
      <c r="AP67" s="1155">
        <f>$O$53</f>
        <v>30</v>
      </c>
      <c r="AQ67" s="1184" t="b">
        <f>IF(Z67=$AN$5,TRUE,FALSE)</f>
        <v>0</v>
      </c>
      <c r="AR67" s="445">
        <f>IF(AQ67,BU67,1)</f>
        <v>1</v>
      </c>
      <c r="AS67" s="1184" t="b">
        <f>IF(B67=$AN$5,TRUE,FALSE)</f>
        <v>0</v>
      </c>
      <c r="AT67" s="445">
        <f>IF(AS67,MAX(1,F67)*H67,0)</f>
        <v>0</v>
      </c>
      <c r="AU67" s="626" t="str">
        <f>IF(AND(AO67&gt;0,OR(L67=0,N67=0,X67="",AH67="")),"Nicht alle Eingaben gewählt","")</f>
        <v/>
      </c>
      <c r="AV67" s="174"/>
      <c r="AW67" s="1093">
        <f>AP67</f>
        <v>30</v>
      </c>
      <c r="AX67" s="1094">
        <f>IF(AW67&lt;Tab!$B$78,1,IF(AW67&lt;Tab!$B$79,2,IF(AW67&lt;Tab!$B$80,3,IF(AW67&lt;Tab!$B$81,4,IF(AW67&lt;Tab!$B$82,5,IF(AW67&lt;Tab!$B$83,6,7))))))</f>
        <v>4</v>
      </c>
      <c r="AY67" s="1095">
        <f>INDEX(Tab!$B$77:$B$84,AX67,1)</f>
        <v>30</v>
      </c>
      <c r="AZ67" s="1095">
        <f>INDEX(Tab!$B$77:$B$84,AX67+1,1)</f>
        <v>40</v>
      </c>
      <c r="BA67" s="1106">
        <f>INDEX(Tab!$E$77:$F$84,AX67,1+Ausrichtung)</f>
        <v>0.68</v>
      </c>
      <c r="BB67" s="1106">
        <f>INDEX(Tab!$E$77:$F$84,AX67+1,1+Ausrichtung)</f>
        <v>0.6</v>
      </c>
      <c r="BC67" s="1102">
        <f>MAX(BB67+(BA67-BB67)/(AZ67-AY67)*(AZ67-AW67),INDEX(Tab!$E$84:$F$84,1,1+Ausrichtung))</f>
        <v>0.68</v>
      </c>
      <c r="BE67" s="1090">
        <f>X67</f>
        <v>0</v>
      </c>
      <c r="BF67" s="1109">
        <f>IF(OR(R67=0,T67=0,),0,ATAN(T67/R67)*180/PI())</f>
        <v>0</v>
      </c>
      <c r="BG67" s="1094">
        <f>IF(BE67&lt;Tab!$B$88,1,IF(BE67&lt;Tab!$B$89,2,IF(BE67&lt;Tab!$B$90,3,IF(BE67&lt;Tab!$B$91,4,5))))</f>
        <v>1</v>
      </c>
      <c r="BH67" s="1095">
        <f>INDEX(Tab!$B$87:$B$92,BG67,1)</f>
        <v>0</v>
      </c>
      <c r="BI67" s="1095">
        <f>INDEX(Tab!$B$87:$B$92,BG67+1,1)</f>
        <v>15</v>
      </c>
      <c r="BJ67" s="1106">
        <f>INDEX(Tab!$E$87:$F$92,BG67,1+Ausrichtung)</f>
        <v>1</v>
      </c>
      <c r="BK67" s="1106">
        <f>INDEX(Tab!$E$87:$F$92,BG67+1,1+Ausrichtung)</f>
        <v>0.95</v>
      </c>
      <c r="BL67" s="1102">
        <f>MAX(BK67+(BJ67-BK67)/(BI67-BH67)*(BI67-BE67),INDEX(Tab!$E$92:$F$92,1,1+Ausrichtung))</f>
        <v>1</v>
      </c>
      <c r="BN67" s="1093">
        <f>AH67</f>
        <v>0</v>
      </c>
      <c r="BO67" s="1109">
        <f>IF(OR(AB67=0,AD67=0,),0,ATAN(AD67/AB67)*180/PI())</f>
        <v>0</v>
      </c>
      <c r="BP67" s="1094">
        <f>IF(BN67&lt;Tab!$B$98,1,IF(BN67&lt;Tab!$B$99,2,IF(BN67&lt;Tab!$B$100,3,IF(BN67&lt;Tab!$B$101,4,5))))</f>
        <v>1</v>
      </c>
      <c r="BQ67" s="1095">
        <f>INDEX(Tab!$B$97:$B$102,BP67,1)</f>
        <v>0</v>
      </c>
      <c r="BR67" s="1095">
        <f>INDEX(Tab!$B$97:$B$102,BP67+1,1)</f>
        <v>15</v>
      </c>
      <c r="BS67" s="1106">
        <f>INDEX(Tab!$E$97:$F$102,BP67,1+Ausrichtung)</f>
        <v>1</v>
      </c>
      <c r="BT67" s="1106">
        <f>INDEX(Tab!$E$97:$F$102,BP67+1,1+Ausrichtung)</f>
        <v>0.96</v>
      </c>
      <c r="BU67" s="1102">
        <f>MAX(BT67+(BS67-BT67)/(BR67-BQ67)*(BR67-BN67),INDEX(Tab!$E$102:$F$102,1,1+Ausrichtung))</f>
        <v>1</v>
      </c>
    </row>
    <row r="68" spans="1:108" s="1203" customFormat="1" ht="3.6" customHeight="1">
      <c r="A68" s="531"/>
      <c r="B68" s="531"/>
      <c r="C68" s="2103"/>
      <c r="D68" s="1197"/>
      <c r="E68" s="4"/>
      <c r="F68" s="1192"/>
      <c r="G68" s="4"/>
      <c r="H68" s="1198"/>
      <c r="I68" s="1088"/>
      <c r="J68" s="434"/>
      <c r="K68" s="1199"/>
      <c r="L68" s="292"/>
      <c r="M68" s="4"/>
      <c r="N68" s="28"/>
      <c r="O68" s="1199"/>
      <c r="P68" s="2"/>
      <c r="Q68" s="1142"/>
      <c r="R68" s="1129"/>
      <c r="S68" s="1129"/>
      <c r="T68" s="1129"/>
      <c r="U68" s="1129"/>
      <c r="V68" s="1129"/>
      <c r="W68" s="1140"/>
      <c r="X68" s="1193"/>
      <c r="Y68" s="118"/>
      <c r="Z68" s="1871"/>
      <c r="AA68" s="30"/>
      <c r="AB68" s="1199"/>
      <c r="AC68" s="1113"/>
      <c r="AD68" s="1199"/>
      <c r="AE68" s="4"/>
      <c r="AF68" s="4"/>
      <c r="AG68" s="4"/>
      <c r="AH68" s="1870"/>
      <c r="AI68" s="57"/>
      <c r="AJ68" s="1142"/>
      <c r="AK68" s="1129"/>
      <c r="AL68" s="1173"/>
      <c r="AM68" s="445"/>
      <c r="AN68" s="445"/>
      <c r="AO68" s="63"/>
      <c r="AP68" s="28"/>
      <c r="AQ68" s="440"/>
      <c r="AR68" s="445"/>
      <c r="AS68" s="445"/>
      <c r="AT68" s="445"/>
      <c r="AU68" s="445"/>
      <c r="AV68" s="27"/>
      <c r="AW68" s="1200"/>
      <c r="AX68" s="305"/>
      <c r="AY68" s="59"/>
      <c r="AZ68" s="59"/>
      <c r="BA68" s="59"/>
      <c r="BB68" s="59"/>
      <c r="BC68" s="1201"/>
      <c r="BD68" s="27"/>
      <c r="BE68" s="1200"/>
      <c r="BF68" s="1202"/>
      <c r="BG68" s="305"/>
      <c r="BH68" s="59"/>
      <c r="BI68" s="59"/>
      <c r="BJ68" s="59"/>
      <c r="BK68" s="59"/>
      <c r="BL68" s="1201"/>
      <c r="BM68" s="27"/>
      <c r="BN68" s="1200"/>
      <c r="BO68" s="1202"/>
      <c r="BP68" s="305"/>
      <c r="BQ68" s="59"/>
      <c r="BR68" s="59"/>
      <c r="BS68" s="59"/>
      <c r="BT68" s="59"/>
      <c r="BU68" s="1201"/>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row>
    <row r="69" spans="1:108" ht="14.45" customHeight="1">
      <c r="A69" s="531"/>
      <c r="B69" s="1509"/>
      <c r="C69" s="2132"/>
      <c r="D69" s="1117"/>
      <c r="E69" s="4"/>
      <c r="F69" s="1120"/>
      <c r="G69" s="4"/>
      <c r="H69" s="618"/>
      <c r="I69" s="1113" t="s">
        <v>1882</v>
      </c>
      <c r="J69" s="360"/>
      <c r="K69" s="264"/>
      <c r="L69" s="292">
        <f>IF(J69&gt;0,IF(K69&gt;0,Fehler1,INDEX(UWert!$BD$7:$BD$41,J69)),K69)</f>
        <v>0</v>
      </c>
      <c r="M69" s="264"/>
      <c r="N69" s="28">
        <f>IF(J69&gt;0,IF(M69&gt;0,Fehler1,INDEX(UWert!$BE$7:$BE$41,J69)),M69)</f>
        <v>0</v>
      </c>
      <c r="O69" s="264"/>
      <c r="P69" s="2"/>
      <c r="Q69" s="1125"/>
      <c r="R69" s="264"/>
      <c r="S69" s="1133" t="s">
        <v>808</v>
      </c>
      <c r="T69" s="264"/>
      <c r="U69" s="1133" t="s">
        <v>808</v>
      </c>
      <c r="V69" s="1110"/>
      <c r="W69" s="1127" t="s">
        <v>1880</v>
      </c>
      <c r="X69" s="1134">
        <f>IF(AND(V69&gt;0,R69&gt;0),Fehler1,IF(V69&gt;0,V69,BF69))</f>
        <v>0</v>
      </c>
      <c r="Y69" s="253"/>
      <c r="Z69" s="1509"/>
      <c r="AA69" s="199"/>
      <c r="AB69" s="1858"/>
      <c r="AC69" s="1113" t="s">
        <v>808</v>
      </c>
      <c r="AD69" s="1858"/>
      <c r="AE69" s="1113" t="s">
        <v>808</v>
      </c>
      <c r="AF69" s="1110"/>
      <c r="AG69" s="273" t="s">
        <v>1880</v>
      </c>
      <c r="AH69" s="1870">
        <f>IF(AND(AF69&gt;0,AB69&gt;0),Fehler1,IF(AF69&gt;0,AF69,BO69))</f>
        <v>0</v>
      </c>
      <c r="AI69" s="514"/>
      <c r="AJ69" s="1125"/>
      <c r="AK69" s="1129">
        <f>BC69*BL69*BU69*AR69</f>
        <v>0.68</v>
      </c>
      <c r="AL69" s="1173"/>
      <c r="AM69" s="554">
        <f>IF(O69&gt;0,MIN(O69,0.95),IF(_Ver09,0.7,0.75))</f>
        <v>0.75</v>
      </c>
      <c r="AN69" s="554">
        <f>IF(N69&gt;0,MIN(N69,0.9),)</f>
        <v>0</v>
      </c>
      <c r="AO69" s="63">
        <f>IF(F69&gt;0,H69*F69,H69)</f>
        <v>0</v>
      </c>
      <c r="AP69" s="1155">
        <f>$O$53</f>
        <v>30</v>
      </c>
      <c r="AQ69" s="1184" t="b">
        <f>IF(Z69=$AN$5,TRUE,FALSE)</f>
        <v>0</v>
      </c>
      <c r="AR69" s="445">
        <f>IF(AQ69,BU69,1)</f>
        <v>1</v>
      </c>
      <c r="AS69" s="1184" t="b">
        <f>IF(B69=$AN$5,TRUE,FALSE)</f>
        <v>0</v>
      </c>
      <c r="AT69" s="445">
        <f>IF(AS69,MAX(1,F69)*H69,0)</f>
        <v>0</v>
      </c>
      <c r="AU69" s="626" t="str">
        <f>IF(AND(AO69&gt;0,OR(L69=0,N69=0,X69="",AH69="")),"Nicht alle Eingaben gewählt","")</f>
        <v/>
      </c>
      <c r="AV69" s="174"/>
      <c r="AW69" s="1090">
        <f>AP69</f>
        <v>30</v>
      </c>
      <c r="AX69" s="1094">
        <f>IF(AW69&lt;Tab!$B$78,1,IF(AW69&lt;Tab!$B$79,2,IF(AW69&lt;Tab!$B$80,3,IF(AW69&lt;Tab!$B$81,4,IF(AW69&lt;Tab!$B$82,5,IF(AW69&lt;Tab!$B$83,6,7))))))</f>
        <v>4</v>
      </c>
      <c r="AY69" s="1095">
        <f>INDEX(Tab!$B$77:$B$84,AX69,1)</f>
        <v>30</v>
      </c>
      <c r="AZ69" s="1095">
        <f>INDEX(Tab!$B$77:$B$84,AX69+1,1)</f>
        <v>40</v>
      </c>
      <c r="BA69" s="1106">
        <f>INDEX(Tab!$E$77:$F$84,AX69,1+Ausrichtung)</f>
        <v>0.68</v>
      </c>
      <c r="BB69" s="1106">
        <f>INDEX(Tab!$E$77:$F$84,AX69+1,1+Ausrichtung)</f>
        <v>0.6</v>
      </c>
      <c r="BC69" s="1102">
        <f>MAX(BB69+(BA69-BB69)/(AZ69-AY69)*(AZ69-AW69),INDEX(Tab!$E$84:$F$84,1,1+Ausrichtung))</f>
        <v>0.68</v>
      </c>
      <c r="BE69" s="1090">
        <f>X69</f>
        <v>0</v>
      </c>
      <c r="BF69" s="1109">
        <f>IF(OR(R69=0,T69=0,),0,ATAN(T69/R69)*180/PI())</f>
        <v>0</v>
      </c>
      <c r="BG69" s="1094">
        <f>IF(BE69&lt;Tab!$B$88,1,IF(BE69&lt;Tab!$B$89,2,IF(BE69&lt;Tab!$B$90,3,IF(BE69&lt;Tab!$B$91,4,5))))</f>
        <v>1</v>
      </c>
      <c r="BH69" s="1095">
        <f>INDEX(Tab!$B$87:$B$92,BG69,1)</f>
        <v>0</v>
      </c>
      <c r="BI69" s="1095">
        <f>INDEX(Tab!$B$87:$B$92,BG69+1,1)</f>
        <v>15</v>
      </c>
      <c r="BJ69" s="1106">
        <f>INDEX(Tab!$E$87:$F$92,BG69,1+Ausrichtung)</f>
        <v>1</v>
      </c>
      <c r="BK69" s="1106">
        <f>INDEX(Tab!$E$87:$F$92,BG69+1,1+Ausrichtung)</f>
        <v>0.95</v>
      </c>
      <c r="BL69" s="1102">
        <f>MAX(BK69+(BJ69-BK69)/(BI69-BH69)*(BI69-BE69),INDEX(Tab!$E$92:$F$92,1,1+Ausrichtung))</f>
        <v>1</v>
      </c>
      <c r="BN69" s="1093">
        <f>AH69</f>
        <v>0</v>
      </c>
      <c r="BO69" s="1109">
        <f>IF(OR(AB69=0,AD69=0,),0,ATAN(AD69/AB69)*180/PI())</f>
        <v>0</v>
      </c>
      <c r="BP69" s="1094">
        <f>IF(BN69&lt;Tab!$B$98,1,IF(BN69&lt;Tab!$B$99,2,IF(BN69&lt;Tab!$B$100,3,IF(BN69&lt;Tab!$B$101,4,5))))</f>
        <v>1</v>
      </c>
      <c r="BQ69" s="1095">
        <f>INDEX(Tab!$B$97:$B$102,BP69,1)</f>
        <v>0</v>
      </c>
      <c r="BR69" s="1095">
        <f>INDEX(Tab!$B$97:$B$102,BP69+1,1)</f>
        <v>15</v>
      </c>
      <c r="BS69" s="1106">
        <f>INDEX(Tab!$E$97:$F$102,BP69,1+Ausrichtung)</f>
        <v>1</v>
      </c>
      <c r="BT69" s="1106">
        <f>INDEX(Tab!$E$97:$F$102,BP69+1,1+Ausrichtung)</f>
        <v>0.96</v>
      </c>
      <c r="BU69" s="1102">
        <f>MAX(BT69+(BS69-BT69)/(BR69-BQ69)*(BR69-BN69),INDEX(Tab!$E$102:$F$102,1,1+Ausrichtung))</f>
        <v>1</v>
      </c>
    </row>
    <row r="70" spans="1:108" s="1203" customFormat="1" ht="3.6" customHeight="1">
      <c r="A70" s="531"/>
      <c r="B70" s="531"/>
      <c r="C70" s="2103"/>
      <c r="D70" s="1197"/>
      <c r="E70" s="4"/>
      <c r="F70" s="1192"/>
      <c r="G70" s="4"/>
      <c r="H70" s="1198"/>
      <c r="I70" s="1088"/>
      <c r="J70" s="434"/>
      <c r="K70" s="1199"/>
      <c r="L70" s="292"/>
      <c r="M70" s="4"/>
      <c r="N70" s="28"/>
      <c r="O70" s="1199"/>
      <c r="P70" s="2"/>
      <c r="Q70" s="1142"/>
      <c r="R70" s="1129"/>
      <c r="S70" s="1129"/>
      <c r="T70" s="1129"/>
      <c r="U70" s="1129"/>
      <c r="V70" s="1129"/>
      <c r="W70" s="1140"/>
      <c r="X70" s="1193"/>
      <c r="Y70" s="118"/>
      <c r="Z70" s="1871"/>
      <c r="AA70" s="30"/>
      <c r="AB70" s="1199"/>
      <c r="AC70" s="1113"/>
      <c r="AD70" s="1199"/>
      <c r="AE70" s="4"/>
      <c r="AF70" s="4"/>
      <c r="AG70" s="4"/>
      <c r="AH70" s="1870"/>
      <c r="AI70" s="57"/>
      <c r="AJ70" s="1142"/>
      <c r="AK70" s="1129"/>
      <c r="AL70" s="1173"/>
      <c r="AM70" s="445"/>
      <c r="AN70" s="445"/>
      <c r="AO70" s="63"/>
      <c r="AP70" s="28"/>
      <c r="AQ70" s="440"/>
      <c r="AR70" s="445"/>
      <c r="AS70" s="445"/>
      <c r="AT70" s="445"/>
      <c r="AU70" s="445"/>
      <c r="AV70" s="27"/>
      <c r="AW70" s="1200"/>
      <c r="AX70" s="327"/>
      <c r="AY70" s="63"/>
      <c r="AZ70" s="63"/>
      <c r="BA70" s="63"/>
      <c r="BB70" s="63"/>
      <c r="BC70" s="1204"/>
      <c r="BD70" s="27"/>
      <c r="BE70" s="1206"/>
      <c r="BF70" s="1207"/>
      <c r="BG70" s="327"/>
      <c r="BH70" s="63"/>
      <c r="BI70" s="63"/>
      <c r="BJ70" s="63"/>
      <c r="BK70" s="63"/>
      <c r="BL70" s="1204"/>
      <c r="BM70" s="27"/>
      <c r="BN70" s="1200"/>
      <c r="BO70" s="1207"/>
      <c r="BP70" s="327"/>
      <c r="BQ70" s="63"/>
      <c r="BR70" s="63"/>
      <c r="BS70" s="63"/>
      <c r="BT70" s="63"/>
      <c r="BU70" s="1204"/>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row>
    <row r="71" spans="1:108" ht="14.45" customHeight="1">
      <c r="A71" s="531"/>
      <c r="B71" s="1509"/>
      <c r="C71" s="2132"/>
      <c r="D71" s="1117"/>
      <c r="E71" s="4"/>
      <c r="F71" s="1120"/>
      <c r="G71" s="4"/>
      <c r="H71" s="618"/>
      <c r="I71" s="1113" t="s">
        <v>1882</v>
      </c>
      <c r="J71" s="360"/>
      <c r="K71" s="264"/>
      <c r="L71" s="292">
        <f>IF(J71&gt;0,IF(K71&gt;0,Fehler1,INDEX(UWert!$BD$7:$BD$41,J71)),K71)</f>
        <v>0</v>
      </c>
      <c r="M71" s="264"/>
      <c r="N71" s="28">
        <f>IF(J71&gt;0,IF(M71&gt;0,Fehler1,INDEX(UWert!$BE$7:$BE$41,J71)),M71)</f>
        <v>0</v>
      </c>
      <c r="O71" s="264"/>
      <c r="P71" s="2"/>
      <c r="Q71" s="1125"/>
      <c r="R71" s="264"/>
      <c r="S71" s="1133" t="s">
        <v>808</v>
      </c>
      <c r="T71" s="264"/>
      <c r="U71" s="1133" t="s">
        <v>808</v>
      </c>
      <c r="V71" s="1110"/>
      <c r="W71" s="1127" t="s">
        <v>1880</v>
      </c>
      <c r="X71" s="1134">
        <f>IF(AND(V71&gt;0,R71&gt;0),Fehler1,IF(V71&gt;0,V71,BF71))</f>
        <v>0</v>
      </c>
      <c r="Y71" s="253"/>
      <c r="Z71" s="1509"/>
      <c r="AA71" s="199"/>
      <c r="AB71" s="1858"/>
      <c r="AC71" s="1113" t="s">
        <v>808</v>
      </c>
      <c r="AD71" s="1858"/>
      <c r="AE71" s="1113" t="s">
        <v>808</v>
      </c>
      <c r="AF71" s="1110"/>
      <c r="AG71" s="273" t="s">
        <v>1880</v>
      </c>
      <c r="AH71" s="1870">
        <f>IF(AND(AF71&gt;0,AB71&gt;0),Fehler1,IF(AF71&gt;0,AF71,BO71))</f>
        <v>0</v>
      </c>
      <c r="AI71" s="514"/>
      <c r="AJ71" s="1125"/>
      <c r="AK71" s="1129">
        <f>BC71*BL71*BU71*AR71</f>
        <v>0.68</v>
      </c>
      <c r="AL71" s="1173"/>
      <c r="AM71" s="554">
        <f>IF(O71&gt;0,MIN(O71,0.95),IF(_Ver09,0.7,0.75))</f>
        <v>0.75</v>
      </c>
      <c r="AN71" s="554">
        <f>IF(N71&gt;0,MIN(N71,0.9),)</f>
        <v>0</v>
      </c>
      <c r="AO71" s="63">
        <f>IF(F71&gt;0,H71*F71,H71)</f>
        <v>0</v>
      </c>
      <c r="AP71" s="1155">
        <f>$O$53</f>
        <v>30</v>
      </c>
      <c r="AQ71" s="1184" t="b">
        <f>IF(Z71=$AN$5,TRUE,FALSE)</f>
        <v>0</v>
      </c>
      <c r="AR71" s="445">
        <f>IF(AQ71,BU71,1)</f>
        <v>1</v>
      </c>
      <c r="AS71" s="1184" t="b">
        <f>IF(B71=$AN$5,TRUE,FALSE)</f>
        <v>0</v>
      </c>
      <c r="AT71" s="445">
        <f>IF(AS71,MAX(1,F71)*H71,0)</f>
        <v>0</v>
      </c>
      <c r="AU71" s="626" t="str">
        <f>IF(AND(AO71&gt;0,OR(L71=0,N71=0,X71="",AH71="")),"Nicht alle Eingaben gewählt","")</f>
        <v/>
      </c>
      <c r="AV71" s="174"/>
      <c r="AW71" s="1093">
        <f>AP71</f>
        <v>30</v>
      </c>
      <c r="AX71" s="1094">
        <f>IF(AW71&lt;Tab!$B$78,1,IF(AW71&lt;Tab!$B$79,2,IF(AW71&lt;Tab!$B$80,3,IF(AW71&lt;Tab!$B$81,4,IF(AW71&lt;Tab!$B$82,5,IF(AW71&lt;Tab!$B$83,6,7))))))</f>
        <v>4</v>
      </c>
      <c r="AY71" s="1095">
        <f>INDEX(Tab!$B$77:$B$84,AX71,1)</f>
        <v>30</v>
      </c>
      <c r="AZ71" s="1095">
        <f>INDEX(Tab!$B$77:$B$84,AX71+1,1)</f>
        <v>40</v>
      </c>
      <c r="BA71" s="1106">
        <f>INDEX(Tab!$E$77:$F$84,AX71,1+Ausrichtung)</f>
        <v>0.68</v>
      </c>
      <c r="BB71" s="1106">
        <f>INDEX(Tab!$E$77:$F$84,AX71+1,1+Ausrichtung)</f>
        <v>0.6</v>
      </c>
      <c r="BC71" s="1102">
        <f>MAX(BB71+(BA71-BB71)/(AZ71-AY71)*(AZ71-AW71),INDEX(Tab!$E$84:$F$84,1,1+Ausrichtung))</f>
        <v>0.68</v>
      </c>
      <c r="BE71" s="1090">
        <f>X71</f>
        <v>0</v>
      </c>
      <c r="BF71" s="1090">
        <f>IF(OR(R71=0,T71=0,),0,ATAN(T71/R71)*180/PI())</f>
        <v>0</v>
      </c>
      <c r="BG71" s="1095">
        <f>IF(BE71&lt;Tab!$B$88,1,IF(BE71&lt;Tab!$B$89,2,IF(BE71&lt;Tab!$B$90,3,IF(BE71&lt;Tab!$B$91,4,5))))</f>
        <v>1</v>
      </c>
      <c r="BH71" s="1095">
        <f>INDEX(Tab!$B$87:$B$92,BG71,1)</f>
        <v>0</v>
      </c>
      <c r="BI71" s="1095">
        <f>INDEX(Tab!$B$87:$B$92,BG71+1,1)</f>
        <v>15</v>
      </c>
      <c r="BJ71" s="1106">
        <f>INDEX(Tab!$E$87:$F$92,BG71,1+Ausrichtung)</f>
        <v>1</v>
      </c>
      <c r="BK71" s="1106">
        <f>INDEX(Tab!$E$87:$F$92,BG71+1,1+Ausrichtung)</f>
        <v>0.95</v>
      </c>
      <c r="BL71" s="1102">
        <f>MAX(BK71+(BJ71-BK71)/(BI71-BH71)*(BI71-BE71),INDEX(Tab!$E$92:$F$92,1,1+Ausrichtung))</f>
        <v>1</v>
      </c>
      <c r="BN71" s="1093">
        <f>AH71</f>
        <v>0</v>
      </c>
      <c r="BO71" s="1090">
        <f>IF(OR(AB71=0,AD71=0,),0,ATAN(AD71/AB71)*180/PI())</f>
        <v>0</v>
      </c>
      <c r="BP71" s="1095">
        <f>IF(BN71&lt;Tab!$B$98,1,IF(BN71&lt;Tab!$B$99,2,IF(BN71&lt;Tab!$B$100,3,IF(BN71&lt;Tab!$B$101,4,5))))</f>
        <v>1</v>
      </c>
      <c r="BQ71" s="1095">
        <f>INDEX(Tab!$B$97:$B$102,BP71,1)</f>
        <v>0</v>
      </c>
      <c r="BR71" s="1095">
        <f>INDEX(Tab!$B$97:$B$102,BP71+1,1)</f>
        <v>15</v>
      </c>
      <c r="BS71" s="1106">
        <f>INDEX(Tab!$E$97:$F$102,BP71,1+Ausrichtung)</f>
        <v>1</v>
      </c>
      <c r="BT71" s="1106">
        <f>INDEX(Tab!$E$97:$F$102,BP71+1,1+Ausrichtung)</f>
        <v>0.96</v>
      </c>
      <c r="BU71" s="1102">
        <f>MAX(BT71+(BS71-BT71)/(BR71-BQ71)*(BR71-BN71),INDEX(Tab!$E$102:$F$102,1,1+Ausrichtung))</f>
        <v>1</v>
      </c>
    </row>
    <row r="72" spans="1:108" s="1203" customFormat="1" ht="3.6" customHeight="1">
      <c r="A72" s="531"/>
      <c r="B72" s="531"/>
      <c r="C72" s="531"/>
      <c r="D72" s="273"/>
      <c r="E72" s="4"/>
      <c r="F72" s="4"/>
      <c r="G72" s="4"/>
      <c r="H72" s="440"/>
      <c r="I72" s="1088"/>
      <c r="J72" s="1088"/>
      <c r="K72" s="434"/>
      <c r="L72" s="292"/>
      <c r="M72" s="174"/>
      <c r="N72" s="28"/>
      <c r="O72" s="4"/>
      <c r="P72" s="2"/>
      <c r="Q72" s="1142"/>
      <c r="R72" s="1129"/>
      <c r="S72" s="1129"/>
      <c r="T72" s="1129"/>
      <c r="U72" s="1129"/>
      <c r="V72" s="1129"/>
      <c r="W72" s="1140"/>
      <c r="X72" s="1193"/>
      <c r="Y72" s="118"/>
      <c r="Z72" s="30"/>
      <c r="AA72" s="30"/>
      <c r="AB72" s="4"/>
      <c r="AC72" s="1113"/>
      <c r="AD72" s="4"/>
      <c r="AE72" s="1113"/>
      <c r="AF72" s="4"/>
      <c r="AG72" s="4"/>
      <c r="AH72" s="1872"/>
      <c r="AI72" s="57"/>
      <c r="AJ72" s="1140"/>
      <c r="AK72" s="1129"/>
      <c r="AL72" s="1173"/>
      <c r="AM72" s="445"/>
      <c r="AN72" s="445"/>
      <c r="AO72" s="63"/>
      <c r="AP72" s="28"/>
      <c r="AQ72" s="28"/>
      <c r="AR72" s="28"/>
      <c r="AS72" s="28"/>
      <c r="AT72" s="440"/>
      <c r="AU72" s="445"/>
      <c r="AV72" s="27"/>
      <c r="AW72" s="267"/>
      <c r="AX72" s="31"/>
      <c r="AY72" s="31"/>
      <c r="AZ72" s="31"/>
      <c r="BA72" s="31"/>
      <c r="BB72" s="31"/>
      <c r="BC72" s="1208"/>
      <c r="BD72" s="27"/>
      <c r="BE72" s="267"/>
      <c r="BF72" s="267"/>
      <c r="BG72" s="31"/>
      <c r="BH72" s="31"/>
      <c r="BI72" s="31"/>
      <c r="BJ72" s="31"/>
      <c r="BK72" s="31"/>
      <c r="BL72" s="1208"/>
      <c r="BM72" s="27"/>
      <c r="BN72" s="267"/>
      <c r="BO72" s="267"/>
      <c r="BP72" s="31"/>
      <c r="BQ72" s="31"/>
      <c r="BR72" s="31"/>
      <c r="BS72" s="31"/>
      <c r="BT72" s="31"/>
      <c r="BU72" s="1208"/>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row>
    <row r="73" spans="1:108" ht="14.45" customHeight="1">
      <c r="A73" s="531"/>
      <c r="B73" s="531"/>
      <c r="C73" s="531"/>
      <c r="D73" s="434" t="str">
        <f>D50</f>
        <v>total / valeur du milieu:</v>
      </c>
      <c r="E73" s="273"/>
      <c r="F73" s="2">
        <f>SUM(F57:F71)</f>
        <v>0</v>
      </c>
      <c r="G73" s="273"/>
      <c r="H73" s="619">
        <f>AO73</f>
        <v>0</v>
      </c>
      <c r="I73" s="1088" t="s">
        <v>1882</v>
      </c>
      <c r="J73" s="1088"/>
      <c r="K73" s="454"/>
      <c r="L73" s="445">
        <f>IF(Projekt!$AE$3="entech",IF(SUM(AO57:AO71)=0,,SUMPRODUCT(AO57:AO71,L57:L71)/SUM(AO57:AO71)),20)</f>
        <v>20</v>
      </c>
      <c r="M73" s="174"/>
      <c r="N73" s="454">
        <f>IF(Fenstertool,AH74,IF(Projekt!$AE$3="entech",IF((AO73*AK73*O73)=0,,SUMPRODUCT(AO57:AO71,AN57:AN71,AM57:AM71,AK57:AK71)/(AO73*AK73*O73)),))</f>
        <v>0</v>
      </c>
      <c r="O73" s="454">
        <f>IF(SUM(AO57:AO71)=0,,(SUMPRODUCT(AM57:AM71,AO57:AO71))/SUM(AO57:AO71))</f>
        <v>0</v>
      </c>
      <c r="P73" s="2"/>
      <c r="Q73" s="1125"/>
      <c r="R73" s="1168"/>
      <c r="S73" s="1127"/>
      <c r="T73" s="1129"/>
      <c r="U73" s="1127"/>
      <c r="V73" s="1127"/>
      <c r="W73" s="1127"/>
      <c r="X73" s="1128"/>
      <c r="Y73" s="253"/>
      <c r="Z73" s="199"/>
      <c r="AA73" s="199"/>
      <c r="AB73" s="4"/>
      <c r="AC73" s="1113"/>
      <c r="AD73" s="4"/>
      <c r="AE73" s="1113"/>
      <c r="AF73" s="1489" t="str">
        <f>IF(Fenstertool,Uebersetzung!D333,"")</f>
        <v/>
      </c>
      <c r="AG73" s="4"/>
      <c r="AH73" s="1873"/>
      <c r="AI73" s="514"/>
      <c r="AJ73" s="1127"/>
      <c r="AK73" s="1487">
        <f>IF(Fenstertool,AH73,IF(SUM(AO57:AO71)=0,,(SUMPRODUCT(AK57:AK71,AO57:AO71))/SUM(AO57:AO71)))</f>
        <v>0</v>
      </c>
      <c r="AL73" s="1173"/>
      <c r="AM73" s="454"/>
      <c r="AN73" s="454"/>
      <c r="AO73" s="63">
        <f>SUM(AO57:AO71)</f>
        <v>0</v>
      </c>
      <c r="AP73" s="1091"/>
      <c r="AQ73" s="1180"/>
      <c r="AR73" s="1091"/>
      <c r="AS73" s="1180"/>
      <c r="AT73" s="440">
        <f>SUM(AT57:AT71)</f>
        <v>0</v>
      </c>
      <c r="AU73" s="454"/>
      <c r="AV73" s="174"/>
      <c r="BB73" s="256" t="s">
        <v>1147</v>
      </c>
      <c r="BC73" s="1922">
        <f>IF($H73&gt;0,(BC57*$AO57+BC59*$AO59+BC61*$AO61+BC63*$AO63+BC65*$AO65+BC67*$AO67+BC69*$AO69+BC71*$AO71)/$H73,)</f>
        <v>0</v>
      </c>
      <c r="BK73" s="256" t="s">
        <v>1147</v>
      </c>
      <c r="BL73" s="1363">
        <f>IF($H73&gt;0,(BL57*$AO57+BL59*$AO59+BL61*$AO61+BL63*$AO63+BL65*$AO65+BL67*$AO67+BL69*$AO69+BL71*$AO71)/$H73,)</f>
        <v>0</v>
      </c>
      <c r="BT73" s="256" t="s">
        <v>1147</v>
      </c>
      <c r="BU73" s="1363">
        <f>IF($H73&gt;0,(BU57*$AO57+BU59*$AO59+BU61*$AO61+BU63*$AO63+BU65*$AO65+BU67*$AO67+BU69*$AO69+BU71*$AO71)/$H73,)</f>
        <v>0</v>
      </c>
    </row>
    <row r="74" spans="1:108" ht="12.6" customHeight="1">
      <c r="A74" s="1114"/>
      <c r="B74" s="1114"/>
      <c r="C74" s="1114"/>
      <c r="D74" s="434"/>
      <c r="E74" s="273"/>
      <c r="F74" s="2"/>
      <c r="G74" s="273"/>
      <c r="H74" s="454"/>
      <c r="I74" s="434"/>
      <c r="J74" s="434"/>
      <c r="K74" s="454"/>
      <c r="L74" s="2"/>
      <c r="M74" s="454"/>
      <c r="N74" s="1091"/>
      <c r="O74" s="454"/>
      <c r="P74" s="2"/>
      <c r="Q74" s="1163"/>
      <c r="R74" s="1164"/>
      <c r="S74" s="1154"/>
      <c r="T74" s="1164"/>
      <c r="U74" s="1154"/>
      <c r="V74" s="1154"/>
      <c r="W74" s="1154"/>
      <c r="X74" s="1162"/>
      <c r="Y74" s="515"/>
      <c r="Z74" s="196"/>
      <c r="AA74" s="196"/>
      <c r="AB74" s="15"/>
      <c r="AC74" s="15"/>
      <c r="AD74" s="15"/>
      <c r="AE74" s="15"/>
      <c r="AF74" s="1488" t="str">
        <f>IF(Fenstertool,Uebersetzung!D332,"")</f>
        <v/>
      </c>
      <c r="AG74" s="15"/>
      <c r="AH74" s="1718"/>
      <c r="AI74" s="518"/>
      <c r="AJ74" s="1154"/>
      <c r="AK74" s="1164"/>
      <c r="AL74" s="1177"/>
      <c r="AM74" s="174"/>
      <c r="AN74" s="174"/>
      <c r="AO74" s="1091"/>
      <c r="AP74" s="1091"/>
      <c r="AQ74" s="1180"/>
      <c r="AR74" s="1091"/>
      <c r="AS74" s="1180"/>
      <c r="AT74" s="1091"/>
      <c r="AU74" s="174"/>
      <c r="AV74" s="174"/>
    </row>
    <row r="75" spans="1:108" ht="13.15" customHeight="1">
      <c r="A75" s="2209"/>
      <c r="B75" s="2205" t="str">
        <f>B52</f>
        <v>corps de chauffe</v>
      </c>
      <c r="C75" s="2197" t="str">
        <f>Uebersetzung!D717</f>
        <v>Inclus dans</v>
      </c>
      <c r="D75" s="1143"/>
      <c r="E75" s="1143"/>
      <c r="F75" s="16"/>
      <c r="G75" s="1143"/>
      <c r="H75" s="1144"/>
      <c r="I75" s="1143"/>
      <c r="J75" s="1143"/>
      <c r="K75" s="1144"/>
      <c r="L75" s="16"/>
      <c r="M75" s="1144"/>
      <c r="N75" s="1095"/>
      <c r="O75" s="1144"/>
      <c r="P75" s="16"/>
      <c r="Q75" s="1158"/>
      <c r="R75" s="1159"/>
      <c r="S75" s="1145"/>
      <c r="T75" s="1159"/>
      <c r="U75" s="1145"/>
      <c r="V75" s="1145"/>
      <c r="W75" s="1145"/>
      <c r="X75" s="1160"/>
      <c r="Y75" s="174"/>
      <c r="Z75" s="174"/>
      <c r="AA75" s="174"/>
      <c r="AB75" s="4"/>
      <c r="AC75" s="4"/>
      <c r="AD75" s="4"/>
      <c r="AE75" s="4"/>
      <c r="AF75" s="4"/>
      <c r="AG75" s="4"/>
      <c r="AH75" s="4"/>
      <c r="AI75" s="514"/>
      <c r="AJ75" s="1158"/>
      <c r="AK75" s="1145"/>
      <c r="AL75" s="1146"/>
      <c r="AM75" s="197"/>
      <c r="AN75" s="197"/>
      <c r="AO75" s="1095"/>
      <c r="AP75" s="1095"/>
      <c r="AQ75" s="330"/>
      <c r="AR75" s="1095"/>
      <c r="AS75" s="330"/>
      <c r="AT75" s="1095"/>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108">
      <c r="A76" s="2210"/>
      <c r="B76" s="2211"/>
      <c r="C76" s="2198"/>
      <c r="D76" s="1179" t="str">
        <f>Bau!I29</f>
        <v>Ouest</v>
      </c>
      <c r="E76" s="533"/>
      <c r="F76" s="467" t="str">
        <f>F53</f>
        <v xml:space="preserve">N°  </v>
      </c>
      <c r="G76" s="4"/>
      <c r="H76" s="1170">
        <v>39</v>
      </c>
      <c r="I76" s="4"/>
      <c r="J76" s="4"/>
      <c r="K76" s="1862" t="str">
        <f>K53</f>
        <v xml:space="preserve">     a:</v>
      </c>
      <c r="L76" s="533" t="str">
        <f>L53</f>
        <v>( angle d'hoizont )</v>
      </c>
      <c r="M76" s="536"/>
      <c r="N76" s="260"/>
      <c r="O76" s="264">
        <v>30</v>
      </c>
      <c r="P76" s="4" t="s">
        <v>1880</v>
      </c>
      <c r="Q76" s="1125"/>
      <c r="R76" s="1126"/>
      <c r="S76" s="1127"/>
      <c r="T76" s="1161" t="str">
        <f>T53</f>
        <v>Surplomb</v>
      </c>
      <c r="U76" s="1127"/>
      <c r="V76" s="1127"/>
      <c r="W76" s="1127"/>
      <c r="X76" s="1128"/>
      <c r="Y76" s="174"/>
      <c r="Z76" s="174"/>
      <c r="AA76" s="174"/>
      <c r="AB76" s="4"/>
      <c r="AC76" s="4"/>
      <c r="AD76" s="467" t="str">
        <f>AD53</f>
        <v>Ecran latéral</v>
      </c>
      <c r="AE76" s="4"/>
      <c r="AF76" s="4"/>
      <c r="AG76" s="4"/>
      <c r="AH76" s="4"/>
      <c r="AI76" s="514"/>
      <c r="AJ76" s="1125"/>
      <c r="AK76" s="1126"/>
      <c r="AL76" s="1175"/>
      <c r="AM76" s="4"/>
      <c r="AN76" s="4"/>
      <c r="AO76" s="4"/>
      <c r="AP76" s="4"/>
      <c r="AQ76" s="463"/>
      <c r="AR76" s="4"/>
      <c r="AS76" s="463"/>
      <c r="AT76" s="4"/>
      <c r="AU76" s="4"/>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108" ht="14.45" customHeight="1">
      <c r="A77" s="2210"/>
      <c r="B77" s="2211"/>
      <c r="C77" s="2198"/>
      <c r="D77" s="1232">
        <f>IF(ABS(Bau!G38-Fenster!AO96)&gt;0.5,Uebersetzung!D305,)</f>
        <v>0</v>
      </c>
      <c r="E77" s="533"/>
      <c r="F77" s="467"/>
      <c r="G77" s="533"/>
      <c r="H77" s="536"/>
      <c r="I77" s="467"/>
      <c r="J77" s="467"/>
      <c r="K77" s="4"/>
      <c r="L77" s="4"/>
      <c r="M77" s="1178" t="str">
        <f>M54</f>
        <v>(au centre de la façade)</v>
      </c>
      <c r="N77" s="260"/>
      <c r="O77" s="445"/>
      <c r="P77" s="4"/>
      <c r="Q77" s="1125"/>
      <c r="R77" s="1126"/>
      <c r="S77" s="1127"/>
      <c r="T77" s="1126"/>
      <c r="U77" s="1127"/>
      <c r="V77" s="1127"/>
      <c r="W77" s="1127"/>
      <c r="X77" s="1128"/>
      <c r="Y77" s="174"/>
      <c r="Z77" s="174"/>
      <c r="AA77" s="174"/>
      <c r="AB77" s="434"/>
      <c r="AC77" s="434"/>
      <c r="AD77" s="2" t="str">
        <f>IF(Ausrichtung=1,Uebersetzung!D315,Uebersetzung!D314)</f>
        <v>(côté sud)</v>
      </c>
      <c r="AE77" s="434"/>
      <c r="AF77" s="434"/>
      <c r="AG77" s="434"/>
      <c r="AH77" s="434"/>
      <c r="AI77" s="514"/>
      <c r="AJ77" s="1125"/>
      <c r="AK77" s="1126"/>
      <c r="AL77" s="1175"/>
      <c r="AM77" s="4"/>
      <c r="AN77" s="4"/>
      <c r="AO77" s="4"/>
      <c r="AP77" s="4"/>
      <c r="AQ77" s="463"/>
      <c r="AR77" s="4"/>
      <c r="AS77" s="463"/>
      <c r="AT77" s="4"/>
      <c r="AU77" s="4"/>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108" ht="25.9" customHeight="1">
      <c r="A78" s="2210"/>
      <c r="B78" s="2211"/>
      <c r="C78" s="2198"/>
      <c r="D78" s="1112" t="str">
        <f>D55</f>
        <v>Description:</v>
      </c>
      <c r="E78" s="1112"/>
      <c r="F78" s="1124" t="str">
        <f>F55</f>
        <v>nombre</v>
      </c>
      <c r="G78" s="1112"/>
      <c r="H78" s="1112" t="str">
        <f>H55</f>
        <v>Surfaces</v>
      </c>
      <c r="I78" s="1124"/>
      <c r="J78" s="1863" t="str">
        <f>J55</f>
        <v xml:space="preserve">N°  </v>
      </c>
      <c r="K78" s="2199" t="str">
        <f>Uebersetzung!D311</f>
        <v>Valeur U
[W/m2K]</v>
      </c>
      <c r="L78" s="2199"/>
      <c r="M78" s="1089" t="str">
        <f>M55</f>
        <v>Valeur g</v>
      </c>
      <c r="N78" s="260"/>
      <c r="O78" s="2200" t="str">
        <f>O55</f>
        <v>part vitrée
(Val. FF):</v>
      </c>
      <c r="P78" s="2200"/>
      <c r="Q78" s="1125"/>
      <c r="R78" s="1130" t="str">
        <f>R55</f>
        <v>H</v>
      </c>
      <c r="S78" s="1131"/>
      <c r="T78" s="1850" t="str">
        <f>T76</f>
        <v>Surplomb</v>
      </c>
      <c r="U78" s="1127"/>
      <c r="V78" s="1864" t="str">
        <f>V55</f>
        <v>angle</v>
      </c>
      <c r="W78" s="1850"/>
      <c r="X78" s="1868" t="s">
        <v>3155</v>
      </c>
      <c r="Y78" s="174"/>
      <c r="Z78" s="174"/>
      <c r="AA78" s="174"/>
      <c r="AB78" s="1112" t="str">
        <f>AB55</f>
        <v xml:space="preserve">    B</v>
      </c>
      <c r="AC78" s="1088"/>
      <c r="AD78" s="1124" t="str">
        <f>AD55</f>
        <v>écran</v>
      </c>
      <c r="AE78" s="1088"/>
      <c r="AF78" s="533" t="str">
        <f>V78</f>
        <v>angle</v>
      </c>
      <c r="AG78" s="4"/>
      <c r="AH78" s="1866" t="s">
        <v>324</v>
      </c>
      <c r="AI78" s="514"/>
      <c r="AJ78" s="1125"/>
      <c r="AK78" s="1867" t="str">
        <f>AK55</f>
        <v>Valeur  FS</v>
      </c>
      <c r="AL78" s="1171"/>
      <c r="AM78" s="1112" t="s">
        <v>1881</v>
      </c>
      <c r="AN78" s="1112" t="s">
        <v>1883</v>
      </c>
      <c r="AO78" s="1112" t="s">
        <v>1884</v>
      </c>
      <c r="AP78" s="1148" t="s">
        <v>1826</v>
      </c>
      <c r="AQ78" s="1183"/>
      <c r="AR78" s="1148"/>
      <c r="AS78" s="1190" t="s">
        <v>1975</v>
      </c>
      <c r="AT78" s="1124" t="s">
        <v>1841</v>
      </c>
      <c r="AU78" s="1112"/>
      <c r="AV78" s="199"/>
      <c r="AW78" s="1096" t="s">
        <v>1878</v>
      </c>
      <c r="AX78" s="1097"/>
      <c r="AY78" s="1097"/>
      <c r="AZ78" s="1097" t="s">
        <v>8</v>
      </c>
      <c r="BA78" s="1097"/>
      <c r="BB78" s="1097"/>
      <c r="BC78" s="1098" t="s">
        <v>1879</v>
      </c>
      <c r="BD78" s="199"/>
      <c r="BE78" s="1096" t="s">
        <v>7</v>
      </c>
      <c r="BF78" s="1107"/>
      <c r="BG78" s="1097"/>
      <c r="BH78" s="1097"/>
      <c r="BI78" s="1097" t="s">
        <v>8</v>
      </c>
      <c r="BJ78" s="1097"/>
      <c r="BK78" s="1097"/>
      <c r="BL78" s="1098" t="s">
        <v>9</v>
      </c>
      <c r="BM78" s="199"/>
      <c r="BN78" s="1096" t="s">
        <v>1875</v>
      </c>
      <c r="BO78" s="1107"/>
      <c r="BP78" s="1097"/>
      <c r="BQ78" s="1097"/>
      <c r="BR78" s="1097" t="s">
        <v>8</v>
      </c>
      <c r="BS78" s="1097"/>
      <c r="BT78" s="1097"/>
      <c r="BU78" s="1098" t="s">
        <v>1876</v>
      </c>
    </row>
    <row r="79" spans="1:108" s="1203" customFormat="1" ht="3.6" customHeight="1">
      <c r="A79" s="345"/>
      <c r="B79" s="345"/>
      <c r="C79" s="345"/>
      <c r="D79" s="273"/>
      <c r="E79" s="273"/>
      <c r="F79" s="4"/>
      <c r="G79" s="273"/>
      <c r="H79" s="1149"/>
      <c r="I79" s="4"/>
      <c r="J79" s="2"/>
      <c r="K79" s="4"/>
      <c r="L79" s="4"/>
      <c r="M79" s="273"/>
      <c r="N79" s="28"/>
      <c r="O79" s="273"/>
      <c r="P79" s="4"/>
      <c r="Q79" s="1142"/>
      <c r="R79" s="1132"/>
      <c r="S79" s="1140"/>
      <c r="T79" s="1132"/>
      <c r="U79" s="1140"/>
      <c r="V79" s="1140"/>
      <c r="W79" s="1140"/>
      <c r="X79" s="1193"/>
      <c r="Y79" s="27"/>
      <c r="Z79" s="27"/>
      <c r="AA79" s="27"/>
      <c r="AB79" s="30"/>
      <c r="AC79" s="30"/>
      <c r="AD79" s="30"/>
      <c r="AE79" s="30"/>
      <c r="AF79" s="30"/>
      <c r="AG79" s="30"/>
      <c r="AH79" s="30"/>
      <c r="AI79" s="57"/>
      <c r="AJ79" s="1142"/>
      <c r="AK79" s="1168"/>
      <c r="AL79" s="1176"/>
      <c r="AM79" s="1150"/>
      <c r="AN79" s="273"/>
      <c r="AO79" s="274"/>
      <c r="AP79" s="63"/>
      <c r="AQ79" s="63"/>
      <c r="AR79" s="63"/>
      <c r="AS79" s="445"/>
      <c r="AT79" s="445"/>
      <c r="AU79" s="1150"/>
      <c r="AV79" s="30"/>
      <c r="AW79" s="1209"/>
      <c r="AX79" s="1210"/>
      <c r="AY79" s="1210"/>
      <c r="AZ79" s="1210"/>
      <c r="BA79" s="1210"/>
      <c r="BB79" s="1210"/>
      <c r="BC79" s="1211"/>
      <c r="BD79" s="30"/>
      <c r="BE79" s="1209"/>
      <c r="BF79" s="1212"/>
      <c r="BG79" s="1210"/>
      <c r="BH79" s="1210"/>
      <c r="BI79" s="1210"/>
      <c r="BJ79" s="1210"/>
      <c r="BK79" s="1210"/>
      <c r="BL79" s="1211"/>
      <c r="BM79" s="30"/>
      <c r="BN79" s="1209"/>
      <c r="BO79" s="1212"/>
      <c r="BP79" s="1210"/>
      <c r="BQ79" s="1210"/>
      <c r="BR79" s="1210"/>
      <c r="BS79" s="1210"/>
      <c r="BT79" s="1210"/>
      <c r="BU79" s="1211"/>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row>
    <row r="80" spans="1:108" ht="14.45" customHeight="1">
      <c r="A80" s="531"/>
      <c r="B80" s="1509"/>
      <c r="C80" s="2132"/>
      <c r="D80" s="1117"/>
      <c r="E80" s="4"/>
      <c r="F80" s="1120"/>
      <c r="G80" s="4"/>
      <c r="H80" s="618"/>
      <c r="I80" s="1113" t="s">
        <v>1882</v>
      </c>
      <c r="J80" s="360"/>
      <c r="K80" s="264"/>
      <c r="L80" s="292">
        <f>IF(J80&gt;0,IF(K80&gt;0,Fehler1,INDEX(UWert!$BD$7:$BD$41,J80)),K80)</f>
        <v>0</v>
      </c>
      <c r="M80" s="264"/>
      <c r="N80" s="28">
        <f>IF(J80&gt;0,IF(M80&gt;0,Fehler1,INDEX(UWert!$BE$7:$BE$41,J80)),M80)</f>
        <v>0</v>
      </c>
      <c r="O80" s="264"/>
      <c r="P80" s="4"/>
      <c r="Q80" s="1125"/>
      <c r="R80" s="1858"/>
      <c r="S80" s="1133" t="s">
        <v>808</v>
      </c>
      <c r="T80" s="1858"/>
      <c r="U80" s="1133" t="s">
        <v>808</v>
      </c>
      <c r="V80" s="1110"/>
      <c r="W80" s="1127" t="s">
        <v>1880</v>
      </c>
      <c r="X80" s="1134">
        <f>IF(AND(V80&gt;0,R80&gt;0),Fehler1,IF(V80&gt;0,V80,BF80))</f>
        <v>0</v>
      </c>
      <c r="Y80" s="174"/>
      <c r="Z80" s="174"/>
      <c r="AA80" s="174"/>
      <c r="AB80" s="264"/>
      <c r="AC80" s="1088" t="s">
        <v>808</v>
      </c>
      <c r="AD80" s="264"/>
      <c r="AE80" s="1088" t="s">
        <v>808</v>
      </c>
      <c r="AF80" s="1110"/>
      <c r="AG80" s="434" t="s">
        <v>1880</v>
      </c>
      <c r="AH80" s="1167">
        <f>IF(AND(AF80&gt;0,AB80&gt;0),Fehler1,IF(AF80&gt;0,AF80,BO80))</f>
        <v>0</v>
      </c>
      <c r="AI80" s="514"/>
      <c r="AJ80" s="1125"/>
      <c r="AK80" s="1129">
        <f>BC80*BL80*BU80</f>
        <v>0.68</v>
      </c>
      <c r="AL80" s="1173"/>
      <c r="AM80" s="554">
        <f>IF(O80&gt;0,MIN(O80,0.95),IF(_Ver09,0.7,0.75))</f>
        <v>0.75</v>
      </c>
      <c r="AN80" s="1141">
        <f>IF(N80&gt;0,MIN(N80,0.9),)</f>
        <v>0</v>
      </c>
      <c r="AO80" s="63">
        <f>IF(F80&gt;0,H80*F80,H80)</f>
        <v>0</v>
      </c>
      <c r="AP80" s="1156">
        <f>$O$76</f>
        <v>30</v>
      </c>
      <c r="AQ80" s="1186"/>
      <c r="AR80" s="1156"/>
      <c r="AS80" s="1184" t="b">
        <f>IF(B80=$AN$5,TRUE,FALSE)</f>
        <v>0</v>
      </c>
      <c r="AT80" s="445">
        <f>IF(AS80,MAX(1,F80)*H80,0)</f>
        <v>0</v>
      </c>
      <c r="AU80" s="1151" t="str">
        <f>IF(AND(AO80&gt;0,OR(L80=0,N80=0,X80="",AH80="")),"Nicht alle Eingaben gewählt","")</f>
        <v/>
      </c>
      <c r="AV80" s="199"/>
      <c r="AW80" s="1093">
        <f>AP80</f>
        <v>30</v>
      </c>
      <c r="AX80" s="1094">
        <f>IF(AW80&lt;Tab!$B$78,1,IF(AW80&lt;Tab!$B$79,2,IF(AW80&lt;Tab!$B$80,3,IF(AW80&lt;Tab!$B$81,4,IF(AW80&lt;Tab!$B$82,5,IF(AW80&lt;Tab!$B$83,6,7))))))</f>
        <v>4</v>
      </c>
      <c r="AY80" s="1095">
        <f>INDEX(Tab!$B$77:$B$84,AX80,1)</f>
        <v>30</v>
      </c>
      <c r="AZ80" s="1095">
        <f>INDEX(Tab!$B$77:$B$84,AX80+1,1)</f>
        <v>40</v>
      </c>
      <c r="BA80" s="1106">
        <f>INDEX(Tab!$G$77:$H$84,AX80,1+Ausrichtung)</f>
        <v>0.68</v>
      </c>
      <c r="BB80" s="1106">
        <f>INDEX(Tab!$G$77:$H$84,AX80+1,1+Ausrichtung)</f>
        <v>0.6</v>
      </c>
      <c r="BC80" s="1102">
        <f>MAX(BB80+(BA80-BB80)/(AZ80-AY80)*(AZ80-AW80),INDEX(Tab!$G$84:$H$84,1,1+Ausrichtung))</f>
        <v>0.68</v>
      </c>
      <c r="BD80" s="199"/>
      <c r="BE80" s="1090">
        <f>X80</f>
        <v>0</v>
      </c>
      <c r="BF80" s="1109">
        <f>IF(OR(R80=0,T80=0,),0,ATAN(T80/R80)*180/PI())</f>
        <v>0</v>
      </c>
      <c r="BG80" s="1094">
        <f>IF(BE80&lt;Tab!$B$88,1,IF(BE80&lt;Tab!$B$89,2,IF(BE80&lt;Tab!$B$90,3,IF(BE80&lt;Tab!$B$91,4,5))))</f>
        <v>1</v>
      </c>
      <c r="BH80" s="1095">
        <f>INDEX(Tab!$B$87:$B$92,BG80,1)</f>
        <v>0</v>
      </c>
      <c r="BI80" s="1095">
        <f>INDEX(Tab!$B$87:$B$92,BG80+1,1)</f>
        <v>15</v>
      </c>
      <c r="BJ80" s="1106">
        <f>INDEX(Tab!$G$87:$H$92,BG80,1+Ausrichtung)</f>
        <v>1</v>
      </c>
      <c r="BK80" s="1106">
        <f>INDEX(Tab!$G$87:$H$92,BG80+1,1+Ausrichtung)</f>
        <v>0.95</v>
      </c>
      <c r="BL80" s="1102">
        <f>MAX(BK80+(BJ80-BK80)/(BI80-BH80)*(BI80-BE80),INDEX(Tab!$G$92:$H$92,1,1+Ausrichtung))</f>
        <v>1</v>
      </c>
      <c r="BM80" s="199"/>
      <c r="BN80" s="1093">
        <f>AH80</f>
        <v>0</v>
      </c>
      <c r="BO80" s="1109">
        <f>IF(OR(AB80=0,AD80=0,),0,ATAN(AD80/AB80)*180/PI())</f>
        <v>0</v>
      </c>
      <c r="BP80" s="1094">
        <f>IF(BN80&lt;Tab!$B$98,1,IF(BN80&lt;Tab!$B$99,2,IF(BN80&lt;Tab!$B$100,3,IF(BN80&lt;Tab!$B$101,4,5))))</f>
        <v>1</v>
      </c>
      <c r="BQ80" s="1095">
        <f>INDEX(Tab!$B$97:$B$102,BP80,1)</f>
        <v>0</v>
      </c>
      <c r="BR80" s="1095">
        <f>INDEX(Tab!$B$97:$B$102,BP80+1,1)</f>
        <v>15</v>
      </c>
      <c r="BS80" s="1106">
        <f>INDEX(Tab!$G$97:$H$102,BP80,1+Ausrichtung)</f>
        <v>1</v>
      </c>
      <c r="BT80" s="1106">
        <f>INDEX(Tab!$G$97:$H$102,BP80+1,1+Ausrichtung)</f>
        <v>0.96</v>
      </c>
      <c r="BU80" s="1102">
        <f>MAX(BT80+(BS80-BT80)/(BR80-BQ80)*(BR80-BN80),INDEX(Tab!$G$102:$H$102,1,1+Ausrichtung))</f>
        <v>1</v>
      </c>
    </row>
    <row r="81" spans="1:108" s="1203" customFormat="1" ht="3.6" customHeight="1">
      <c r="A81" s="531"/>
      <c r="B81" s="531"/>
      <c r="C81" s="2103"/>
      <c r="D81" s="1113"/>
      <c r="E81" s="4"/>
      <c r="F81" s="1192"/>
      <c r="G81" s="4"/>
      <c r="H81" s="440"/>
      <c r="I81" s="1113"/>
      <c r="J81" s="434"/>
      <c r="K81" s="4"/>
      <c r="L81" s="292"/>
      <c r="M81" s="4"/>
      <c r="N81" s="28"/>
      <c r="O81" s="4"/>
      <c r="P81" s="4"/>
      <c r="Q81" s="1142"/>
      <c r="R81" s="1129"/>
      <c r="S81" s="1129"/>
      <c r="T81" s="1129"/>
      <c r="U81" s="1129"/>
      <c r="V81" s="1129"/>
      <c r="W81" s="1140"/>
      <c r="X81" s="1193"/>
      <c r="Y81" s="27"/>
      <c r="Z81" s="27"/>
      <c r="AA81" s="27"/>
      <c r="AB81" s="4"/>
      <c r="AC81" s="1088"/>
      <c r="AD81" s="4"/>
      <c r="AE81" s="2"/>
      <c r="AF81" s="2"/>
      <c r="AG81" s="434"/>
      <c r="AH81" s="1167"/>
      <c r="AI81" s="57"/>
      <c r="AJ81" s="1142"/>
      <c r="AK81" s="1129"/>
      <c r="AL81" s="1173"/>
      <c r="AM81" s="445"/>
      <c r="AN81" s="445"/>
      <c r="AO81" s="63"/>
      <c r="AP81" s="63"/>
      <c r="AQ81" s="63"/>
      <c r="AR81" s="63"/>
      <c r="AS81" s="445"/>
      <c r="AT81" s="445"/>
      <c r="AU81" s="445"/>
      <c r="AV81" s="30"/>
      <c r="AW81" s="1200"/>
      <c r="AX81" s="305"/>
      <c r="AY81" s="59"/>
      <c r="AZ81" s="59"/>
      <c r="BA81" s="59"/>
      <c r="BB81" s="59"/>
      <c r="BC81" s="1201"/>
      <c r="BD81" s="30"/>
      <c r="BE81" s="1200"/>
      <c r="BF81" s="1202"/>
      <c r="BG81" s="305"/>
      <c r="BH81" s="59"/>
      <c r="BI81" s="59"/>
      <c r="BJ81" s="59"/>
      <c r="BK81" s="59"/>
      <c r="BL81" s="1201"/>
      <c r="BM81" s="30"/>
      <c r="BN81" s="1200"/>
      <c r="BO81" s="1202"/>
      <c r="BP81" s="305"/>
      <c r="BQ81" s="59"/>
      <c r="BR81" s="59"/>
      <c r="BS81" s="59"/>
      <c r="BT81" s="59"/>
      <c r="BU81" s="1201"/>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row>
    <row r="82" spans="1:108" ht="14.45" customHeight="1">
      <c r="A82" s="531"/>
      <c r="B82" s="1509"/>
      <c r="C82" s="2132"/>
      <c r="D82" s="1117"/>
      <c r="E82" s="4"/>
      <c r="F82" s="1120"/>
      <c r="G82" s="4"/>
      <c r="H82" s="618"/>
      <c r="I82" s="1113" t="s">
        <v>1882</v>
      </c>
      <c r="J82" s="360"/>
      <c r="K82" s="264"/>
      <c r="L82" s="292">
        <f>IF(J82&gt;0,IF(K82&gt;0,Fehler1,INDEX(UWert!$BD$7:$BD$41,J82)),K82)</f>
        <v>0</v>
      </c>
      <c r="M82" s="264"/>
      <c r="N82" s="28">
        <f>IF(J82&gt;0,IF(M82&gt;0,Fehler1,INDEX(UWert!$BE$7:$BE$41,J82)),M82)</f>
        <v>0</v>
      </c>
      <c r="O82" s="264"/>
      <c r="P82" s="4"/>
      <c r="Q82" s="1125"/>
      <c r="R82" s="1858"/>
      <c r="S82" s="1133" t="s">
        <v>808</v>
      </c>
      <c r="T82" s="1858"/>
      <c r="U82" s="1133" t="s">
        <v>808</v>
      </c>
      <c r="V82" s="1110"/>
      <c r="W82" s="1127" t="s">
        <v>1880</v>
      </c>
      <c r="X82" s="1134">
        <f>IF(AND(V82&gt;0,R82&gt;0),Fehler1,IF(V82&gt;0,V82,BF82))</f>
        <v>0</v>
      </c>
      <c r="Y82" s="174"/>
      <c r="Z82" s="174"/>
      <c r="AA82" s="174"/>
      <c r="AB82" s="264"/>
      <c r="AC82" s="1088" t="s">
        <v>808</v>
      </c>
      <c r="AD82" s="264"/>
      <c r="AE82" s="1088" t="s">
        <v>808</v>
      </c>
      <c r="AF82" s="1110"/>
      <c r="AG82" s="434" t="s">
        <v>1880</v>
      </c>
      <c r="AH82" s="1167">
        <f>IF(AND(AF82&gt;0,AB82&gt;0),Fehler1,IF(AF82&gt;0,AF82,BO82))</f>
        <v>0</v>
      </c>
      <c r="AI82" s="514"/>
      <c r="AJ82" s="1125"/>
      <c r="AK82" s="1129">
        <f>BC82*BL82*BU82</f>
        <v>0.68</v>
      </c>
      <c r="AL82" s="1173"/>
      <c r="AM82" s="554">
        <f>IF(O82&gt;0,MIN(O82,0.95),IF(_Ver09,0.7,0.75))</f>
        <v>0.75</v>
      </c>
      <c r="AN82" s="1141">
        <f>IF(N82&gt;0,MIN(N82,0.9),)</f>
        <v>0</v>
      </c>
      <c r="AO82" s="63">
        <f>IF(F82&gt;0,H82*F82,H82)</f>
        <v>0</v>
      </c>
      <c r="AP82" s="1156">
        <f>$O$76</f>
        <v>30</v>
      </c>
      <c r="AQ82" s="1186"/>
      <c r="AR82" s="1156"/>
      <c r="AS82" s="1184" t="b">
        <f>IF(B82=$AN$5,TRUE,FALSE)</f>
        <v>0</v>
      </c>
      <c r="AT82" s="445">
        <f>IF(AS82,MAX(1,F82)*H82,0)</f>
        <v>0</v>
      </c>
      <c r="AU82" s="1151" t="str">
        <f>IF(AND(AO82&gt;0,OR(L82=0,N82=0,X82="",AH82="")),"Nicht alle Eingaben gewählt","")</f>
        <v/>
      </c>
      <c r="AV82" s="199"/>
      <c r="AW82" s="1093">
        <f>AP82</f>
        <v>30</v>
      </c>
      <c r="AX82" s="1094">
        <f>IF(AW82&lt;Tab!$B$78,1,IF(AW82&lt;Tab!$B$79,2,IF(AW82&lt;Tab!$B$80,3,IF(AW82&lt;Tab!$B$81,4,IF(AW82&lt;Tab!$B$82,5,IF(AW82&lt;Tab!$B$83,6,7))))))</f>
        <v>4</v>
      </c>
      <c r="AY82" s="1095">
        <f>INDEX(Tab!$B$77:$B$84,AX82,1)</f>
        <v>30</v>
      </c>
      <c r="AZ82" s="1095">
        <f>INDEX(Tab!$B$77:$B$84,AX82+1,1)</f>
        <v>40</v>
      </c>
      <c r="BA82" s="1106">
        <f>INDEX(Tab!$G$77:$H$84,AX82,1+Ausrichtung)</f>
        <v>0.68</v>
      </c>
      <c r="BB82" s="1106">
        <f>INDEX(Tab!$G$77:$H$84,AX82+1,1+Ausrichtung)</f>
        <v>0.6</v>
      </c>
      <c r="BC82" s="1102">
        <f>MAX(BB82+(BA82-BB82)/(AZ82-AY82)*(AZ82-AW82),INDEX(Tab!$G$84:$H$84,1,1+Ausrichtung))</f>
        <v>0.68</v>
      </c>
      <c r="BD82" s="199"/>
      <c r="BE82" s="1090">
        <f>X82</f>
        <v>0</v>
      </c>
      <c r="BF82" s="1109">
        <f>IF(OR(R82=0,T82=0,),0,ATAN(T82/R82)*180/PI())</f>
        <v>0</v>
      </c>
      <c r="BG82" s="1094">
        <f>IF(BE82&lt;Tab!$B$88,1,IF(BE82&lt;Tab!$B$89,2,IF(BE82&lt;Tab!$B$90,3,IF(BE82&lt;Tab!$B$91,4,5))))</f>
        <v>1</v>
      </c>
      <c r="BH82" s="1095">
        <f>INDEX(Tab!$B$87:$B$92,BG82,1)</f>
        <v>0</v>
      </c>
      <c r="BI82" s="1095">
        <f>INDEX(Tab!$B$87:$B$92,BG82+1,1)</f>
        <v>15</v>
      </c>
      <c r="BJ82" s="1106">
        <f>INDEX(Tab!$G$87:$H$92,BG82,1+Ausrichtung)</f>
        <v>1</v>
      </c>
      <c r="BK82" s="1106">
        <f>INDEX(Tab!$G$87:$H$92,BG82+1,1+Ausrichtung)</f>
        <v>0.95</v>
      </c>
      <c r="BL82" s="1102">
        <f>MAX(BK82+(BJ82-BK82)/(BI82-BH82)*(BI82-BE82),INDEX(Tab!$G$92:$H$92,1,1+Ausrichtung))</f>
        <v>1</v>
      </c>
      <c r="BM82" s="199"/>
      <c r="BN82" s="1093">
        <f>AH82</f>
        <v>0</v>
      </c>
      <c r="BO82" s="1109">
        <f>IF(OR(AB82=0,AD82=0,),0,ATAN(AD82/AB82)*180/PI())</f>
        <v>0</v>
      </c>
      <c r="BP82" s="1094">
        <f>IF(BN82&lt;Tab!$B$98,1,IF(BN82&lt;Tab!$B$99,2,IF(BN82&lt;Tab!$B$100,3,IF(BN82&lt;Tab!$B$101,4,5))))</f>
        <v>1</v>
      </c>
      <c r="BQ82" s="1095">
        <f>INDEX(Tab!$B$97:$B$102,BP82,1)</f>
        <v>0</v>
      </c>
      <c r="BR82" s="1095">
        <f>INDEX(Tab!$B$97:$B$102,BP82+1,1)</f>
        <v>15</v>
      </c>
      <c r="BS82" s="1106">
        <f>INDEX(Tab!$G$97:$H$102,BP82,1+Ausrichtung)</f>
        <v>1</v>
      </c>
      <c r="BT82" s="1106">
        <f>INDEX(Tab!$G$97:$H$102,BP82+1,1+Ausrichtung)</f>
        <v>0.96</v>
      </c>
      <c r="BU82" s="1102">
        <f>MAX(BT82+(BS82-BT82)/(BR82-BQ82)*(BR82-BN82),INDEX(Tab!$G$102:$H$102,1,1+Ausrichtung))</f>
        <v>1</v>
      </c>
    </row>
    <row r="83" spans="1:108" s="1203" customFormat="1" ht="3.6" customHeight="1">
      <c r="A83" s="531"/>
      <c r="B83" s="531"/>
      <c r="C83" s="2103"/>
      <c r="D83" s="1197"/>
      <c r="E83" s="4"/>
      <c r="F83" s="1192"/>
      <c r="G83" s="4"/>
      <c r="H83" s="1198"/>
      <c r="I83" s="1113"/>
      <c r="J83" s="434"/>
      <c r="K83" s="1199"/>
      <c r="L83" s="292"/>
      <c r="M83" s="4"/>
      <c r="N83" s="28"/>
      <c r="O83" s="1199"/>
      <c r="P83" s="4"/>
      <c r="Q83" s="1142"/>
      <c r="R83" s="1129"/>
      <c r="S83" s="1129"/>
      <c r="T83" s="1129"/>
      <c r="U83" s="1129"/>
      <c r="V83" s="1129"/>
      <c r="W83" s="1140"/>
      <c r="X83" s="1193"/>
      <c r="Y83" s="27"/>
      <c r="Z83" s="27"/>
      <c r="AA83" s="27"/>
      <c r="AB83" s="1199"/>
      <c r="AC83" s="1088"/>
      <c r="AD83" s="1199"/>
      <c r="AE83" s="2"/>
      <c r="AF83" s="2"/>
      <c r="AG83" s="434"/>
      <c r="AH83" s="1167"/>
      <c r="AI83" s="57"/>
      <c r="AJ83" s="1142"/>
      <c r="AK83" s="1129"/>
      <c r="AL83" s="1173"/>
      <c r="AM83" s="445"/>
      <c r="AN83" s="445"/>
      <c r="AO83" s="63"/>
      <c r="AP83" s="63"/>
      <c r="AQ83" s="63"/>
      <c r="AR83" s="63"/>
      <c r="AS83" s="445"/>
      <c r="AT83" s="445"/>
      <c r="AU83" s="445"/>
      <c r="AV83" s="30"/>
      <c r="AW83" s="1200"/>
      <c r="AX83" s="305"/>
      <c r="AY83" s="59"/>
      <c r="AZ83" s="59"/>
      <c r="BA83" s="59"/>
      <c r="BB83" s="59"/>
      <c r="BC83" s="1201"/>
      <c r="BD83" s="30"/>
      <c r="BE83" s="1200"/>
      <c r="BF83" s="1202"/>
      <c r="BG83" s="305"/>
      <c r="BH83" s="59"/>
      <c r="BI83" s="59"/>
      <c r="BJ83" s="59"/>
      <c r="BK83" s="59"/>
      <c r="BL83" s="1201"/>
      <c r="BM83" s="30"/>
      <c r="BN83" s="1200"/>
      <c r="BO83" s="1202"/>
      <c r="BP83" s="305"/>
      <c r="BQ83" s="59"/>
      <c r="BR83" s="59"/>
      <c r="BS83" s="59"/>
      <c r="BT83" s="59"/>
      <c r="BU83" s="1201"/>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row>
    <row r="84" spans="1:108" ht="14.45" customHeight="1">
      <c r="A84" s="531"/>
      <c r="B84" s="1509"/>
      <c r="C84" s="2132"/>
      <c r="D84" s="1117"/>
      <c r="E84" s="4"/>
      <c r="F84" s="1120"/>
      <c r="G84" s="4"/>
      <c r="H84" s="618"/>
      <c r="I84" s="1113" t="s">
        <v>1882</v>
      </c>
      <c r="J84" s="360"/>
      <c r="K84" s="264"/>
      <c r="L84" s="292">
        <f>IF(J84&gt;0,IF(K84&gt;0,Fehler1,INDEX(UWert!$BD$7:$BD$41,J84)),K84)</f>
        <v>0</v>
      </c>
      <c r="M84" s="264"/>
      <c r="N84" s="28">
        <f>IF(J84&gt;0,IF(M84&gt;0,Fehler1,INDEX(UWert!$BE$7:$BE$41,J84)),M84)</f>
        <v>0</v>
      </c>
      <c r="O84" s="264"/>
      <c r="P84" s="4"/>
      <c r="Q84" s="1125"/>
      <c r="R84" s="1858"/>
      <c r="S84" s="1133" t="s">
        <v>808</v>
      </c>
      <c r="T84" s="1858"/>
      <c r="U84" s="1133" t="s">
        <v>808</v>
      </c>
      <c r="V84" s="1110"/>
      <c r="W84" s="1127" t="s">
        <v>1880</v>
      </c>
      <c r="X84" s="1134">
        <f>IF(AND(V84&gt;0,R84&gt;0),Fehler1,IF(V84&gt;0,V84,BF84))</f>
        <v>0</v>
      </c>
      <c r="Y84" s="174"/>
      <c r="Z84" s="174"/>
      <c r="AA84" s="174"/>
      <c r="AB84" s="264"/>
      <c r="AC84" s="1088" t="s">
        <v>808</v>
      </c>
      <c r="AD84" s="264"/>
      <c r="AE84" s="1088" t="s">
        <v>808</v>
      </c>
      <c r="AF84" s="1110"/>
      <c r="AG84" s="434" t="s">
        <v>1880</v>
      </c>
      <c r="AH84" s="1167">
        <f>IF(AND(AF84&gt;0,AB84&gt;0),Fehler1,IF(AF84&gt;0,AF84,BO84))</f>
        <v>0</v>
      </c>
      <c r="AI84" s="514"/>
      <c r="AJ84" s="1125"/>
      <c r="AK84" s="1129">
        <f>BC84*BL84*BU84</f>
        <v>0.68</v>
      </c>
      <c r="AL84" s="1173"/>
      <c r="AM84" s="554">
        <f>IF(O84&gt;0,MIN(O84,0.95),IF(_Ver09,0.7,0.75))</f>
        <v>0.75</v>
      </c>
      <c r="AN84" s="1141">
        <f>IF(N84&gt;0,MIN(N84,0.9),)</f>
        <v>0</v>
      </c>
      <c r="AO84" s="63">
        <f>IF(F84&gt;0,H84*F84,H84)</f>
        <v>0</v>
      </c>
      <c r="AP84" s="1156">
        <f>$O$76</f>
        <v>30</v>
      </c>
      <c r="AQ84" s="1186"/>
      <c r="AR84" s="1156"/>
      <c r="AS84" s="1184" t="b">
        <f>IF(B84=$AN$5,TRUE,FALSE)</f>
        <v>0</v>
      </c>
      <c r="AT84" s="445">
        <f>IF(AS84,MAX(1,F84)*H84,0)</f>
        <v>0</v>
      </c>
      <c r="AU84" s="1151" t="str">
        <f>IF(AND(AO84&gt;0,OR(L84=0,N84=0,X84="",AH84="")),"Nicht alle Eingaben gewählt","")</f>
        <v/>
      </c>
      <c r="AV84" s="199"/>
      <c r="AW84" s="1093">
        <f>AP84</f>
        <v>30</v>
      </c>
      <c r="AX84" s="1094">
        <f>IF(AW84&lt;Tab!$B$78,1,IF(AW84&lt;Tab!$B$79,2,IF(AW84&lt;Tab!$B$80,3,IF(AW84&lt;Tab!$B$81,4,IF(AW84&lt;Tab!$B$82,5,IF(AW84&lt;Tab!$B$83,6,7))))))</f>
        <v>4</v>
      </c>
      <c r="AY84" s="1095">
        <f>INDEX(Tab!$B$77:$B$84,AX84,1)</f>
        <v>30</v>
      </c>
      <c r="AZ84" s="1095">
        <f>INDEX(Tab!$B$77:$B$84,AX84+1,1)</f>
        <v>40</v>
      </c>
      <c r="BA84" s="1106">
        <f>INDEX(Tab!$G$77:$H$84,AX84,1+Ausrichtung)</f>
        <v>0.68</v>
      </c>
      <c r="BB84" s="1106">
        <f>INDEX(Tab!$G$77:$H$84,AX84+1,1+Ausrichtung)</f>
        <v>0.6</v>
      </c>
      <c r="BC84" s="1102">
        <f>MAX(BB84+(BA84-BB84)/(AZ84-AY84)*(AZ84-AW84),INDEX(Tab!$G$84:$H$84,1,1+Ausrichtung))</f>
        <v>0.68</v>
      </c>
      <c r="BD84" s="199"/>
      <c r="BE84" s="1090">
        <f>X84</f>
        <v>0</v>
      </c>
      <c r="BF84" s="1109">
        <f>IF(OR(R84=0,T84=0,),0,ATAN(T84/R84)*180/PI())</f>
        <v>0</v>
      </c>
      <c r="BG84" s="1094">
        <f>IF(BE84&lt;Tab!$B$88,1,IF(BE84&lt;Tab!$B$89,2,IF(BE84&lt;Tab!$B$90,3,IF(BE84&lt;Tab!$B$91,4,5))))</f>
        <v>1</v>
      </c>
      <c r="BH84" s="1095">
        <f>INDEX(Tab!$B$87:$B$92,BG84,1)</f>
        <v>0</v>
      </c>
      <c r="BI84" s="1095">
        <f>INDEX(Tab!$B$87:$B$92,BG84+1,1)</f>
        <v>15</v>
      </c>
      <c r="BJ84" s="1106">
        <f>INDEX(Tab!$G$87:$H$92,BG84,1+Ausrichtung)</f>
        <v>1</v>
      </c>
      <c r="BK84" s="1106">
        <f>INDEX(Tab!$G$87:$H$92,BG84+1,1+Ausrichtung)</f>
        <v>0.95</v>
      </c>
      <c r="BL84" s="1102">
        <f>MAX(BK84+(BJ84-BK84)/(BI84-BH84)*(BI84-BE84),INDEX(Tab!$G$92:$H$92,1,1+Ausrichtung))</f>
        <v>1</v>
      </c>
      <c r="BM84" s="199"/>
      <c r="BN84" s="1093">
        <f>AH84</f>
        <v>0</v>
      </c>
      <c r="BO84" s="1109">
        <f>IF(OR(AB84=0,AD84=0,),0,ATAN(AD84/AB84)*180/PI())</f>
        <v>0</v>
      </c>
      <c r="BP84" s="1094">
        <f>IF(BN84&lt;Tab!$B$98,1,IF(BN84&lt;Tab!$B$99,2,IF(BN84&lt;Tab!$B$100,3,IF(BN84&lt;Tab!$B$101,4,5))))</f>
        <v>1</v>
      </c>
      <c r="BQ84" s="1095">
        <f>INDEX(Tab!$B$97:$B$102,BP84,1)</f>
        <v>0</v>
      </c>
      <c r="BR84" s="1095">
        <f>INDEX(Tab!$B$97:$B$102,BP84+1,1)</f>
        <v>15</v>
      </c>
      <c r="BS84" s="1106">
        <f>INDEX(Tab!$G$97:$H$102,BP84,1+Ausrichtung)</f>
        <v>1</v>
      </c>
      <c r="BT84" s="1106">
        <f>INDEX(Tab!$G$97:$H$102,BP84+1,1+Ausrichtung)</f>
        <v>0.96</v>
      </c>
      <c r="BU84" s="1102">
        <f>MAX(BT84+(BS84-BT84)/(BR84-BQ84)*(BR84-BN84),INDEX(Tab!$G$102:$H$102,1,1+Ausrichtung))</f>
        <v>1</v>
      </c>
    </row>
    <row r="85" spans="1:108" s="1203" customFormat="1" ht="3.6" customHeight="1">
      <c r="A85" s="531"/>
      <c r="B85" s="531"/>
      <c r="C85" s="2103"/>
      <c r="D85" s="1197"/>
      <c r="E85" s="4"/>
      <c r="F85" s="1192"/>
      <c r="G85" s="4"/>
      <c r="H85" s="1198"/>
      <c r="I85" s="1113"/>
      <c r="J85" s="434"/>
      <c r="K85" s="1199"/>
      <c r="L85" s="292"/>
      <c r="M85" s="4"/>
      <c r="N85" s="28"/>
      <c r="O85" s="1199"/>
      <c r="P85" s="4"/>
      <c r="Q85" s="1142"/>
      <c r="R85" s="1129"/>
      <c r="S85" s="1129"/>
      <c r="T85" s="1129"/>
      <c r="U85" s="1129"/>
      <c r="V85" s="1129"/>
      <c r="W85" s="1140"/>
      <c r="X85" s="1193"/>
      <c r="Y85" s="27"/>
      <c r="Z85" s="27"/>
      <c r="AA85" s="27"/>
      <c r="AB85" s="1199"/>
      <c r="AC85" s="1088"/>
      <c r="AD85" s="1199"/>
      <c r="AE85" s="2"/>
      <c r="AF85" s="2"/>
      <c r="AG85" s="434"/>
      <c r="AH85" s="1167"/>
      <c r="AI85" s="57"/>
      <c r="AJ85" s="1142"/>
      <c r="AK85" s="1129"/>
      <c r="AL85" s="1173"/>
      <c r="AM85" s="445"/>
      <c r="AN85" s="445"/>
      <c r="AO85" s="63"/>
      <c r="AP85" s="63"/>
      <c r="AQ85" s="63"/>
      <c r="AR85" s="63"/>
      <c r="AS85" s="445"/>
      <c r="AT85" s="445"/>
      <c r="AU85" s="445"/>
      <c r="AV85" s="30"/>
      <c r="AW85" s="1200"/>
      <c r="AX85" s="305"/>
      <c r="AY85" s="59"/>
      <c r="AZ85" s="59"/>
      <c r="BA85" s="59"/>
      <c r="BB85" s="59"/>
      <c r="BC85" s="1201"/>
      <c r="BD85" s="30"/>
      <c r="BE85" s="1200"/>
      <c r="BF85" s="1202"/>
      <c r="BG85" s="305"/>
      <c r="BH85" s="59"/>
      <c r="BI85" s="59"/>
      <c r="BJ85" s="59"/>
      <c r="BK85" s="59"/>
      <c r="BL85" s="1201"/>
      <c r="BM85" s="30"/>
      <c r="BN85" s="1200"/>
      <c r="BO85" s="1202"/>
      <c r="BP85" s="305"/>
      <c r="BQ85" s="59"/>
      <c r="BR85" s="59"/>
      <c r="BS85" s="59"/>
      <c r="BT85" s="59"/>
      <c r="BU85" s="1201"/>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row>
    <row r="86" spans="1:108" ht="14.45" customHeight="1">
      <c r="A86" s="531"/>
      <c r="B86" s="1509"/>
      <c r="C86" s="2132"/>
      <c r="D86" s="1117"/>
      <c r="E86" s="4"/>
      <c r="F86" s="1120"/>
      <c r="G86" s="4"/>
      <c r="H86" s="618"/>
      <c r="I86" s="1113" t="s">
        <v>1882</v>
      </c>
      <c r="J86" s="360"/>
      <c r="K86" s="264"/>
      <c r="L86" s="292">
        <f>IF(J86&gt;0,IF(K86&gt;0,Fehler1,INDEX(UWert!$BD$7:$BD$41,J86)),K86)</f>
        <v>0</v>
      </c>
      <c r="M86" s="264"/>
      <c r="N86" s="28">
        <f>IF(J86&gt;0,IF(M86&gt;0,Fehler1,INDEX(UWert!$BE$7:$BE$41,J86)),M86)</f>
        <v>0</v>
      </c>
      <c r="O86" s="264"/>
      <c r="P86" s="4"/>
      <c r="Q86" s="1125"/>
      <c r="R86" s="1858"/>
      <c r="S86" s="1133" t="s">
        <v>808</v>
      </c>
      <c r="T86" s="1858"/>
      <c r="U86" s="1133" t="s">
        <v>808</v>
      </c>
      <c r="V86" s="1110"/>
      <c r="W86" s="1127" t="s">
        <v>1880</v>
      </c>
      <c r="X86" s="1134">
        <f>IF(AND(V86&gt;0,R86&gt;0),Fehler1,IF(V86&gt;0,V86,BF86))</f>
        <v>0</v>
      </c>
      <c r="Y86" s="174"/>
      <c r="Z86" s="174"/>
      <c r="AA86" s="174"/>
      <c r="AB86" s="264"/>
      <c r="AC86" s="1088" t="s">
        <v>808</v>
      </c>
      <c r="AD86" s="264"/>
      <c r="AE86" s="1088" t="s">
        <v>808</v>
      </c>
      <c r="AF86" s="1110"/>
      <c r="AG86" s="434" t="s">
        <v>1880</v>
      </c>
      <c r="AH86" s="1167">
        <f>IF(AND(AF86&gt;0,AB86&gt;0),Fehler1,IF(AF86&gt;0,AF86,BO86))</f>
        <v>0</v>
      </c>
      <c r="AI86" s="514"/>
      <c r="AJ86" s="1125"/>
      <c r="AK86" s="1129">
        <f>BC86*BL86*BU86</f>
        <v>0.68</v>
      </c>
      <c r="AL86" s="1173"/>
      <c r="AM86" s="554">
        <f>IF(O86&gt;0,MIN(O86,0.95),IF(_Ver09,0.7,0.75))</f>
        <v>0.75</v>
      </c>
      <c r="AN86" s="1141">
        <f>IF(N86&gt;0,MIN(N86,0.9),)</f>
        <v>0</v>
      </c>
      <c r="AO86" s="63">
        <f>IF(F86&gt;0,H86*F86,H86)</f>
        <v>0</v>
      </c>
      <c r="AP86" s="1156">
        <f>$O$76</f>
        <v>30</v>
      </c>
      <c r="AQ86" s="1186"/>
      <c r="AR86" s="1156"/>
      <c r="AS86" s="1184" t="b">
        <f>IF(B86=$AN$5,TRUE,FALSE)</f>
        <v>0</v>
      </c>
      <c r="AT86" s="445">
        <f>IF(AS86,MAX(1,F86)*H86,0)</f>
        <v>0</v>
      </c>
      <c r="AU86" s="1151" t="str">
        <f>IF(AND(AO86&gt;0,OR(L86=0,N86=0,X86="",AH86="")),"Nicht alle Eingaben gewählt","")</f>
        <v/>
      </c>
      <c r="AV86" s="199"/>
      <c r="AW86" s="1090">
        <f>AP86</f>
        <v>30</v>
      </c>
      <c r="AX86" s="1094">
        <f>IF(AW86&lt;Tab!$B$78,1,IF(AW86&lt;Tab!$B$79,2,IF(AW86&lt;Tab!$B$80,3,IF(AW86&lt;Tab!$B$81,4,IF(AW86&lt;Tab!$B$82,5,IF(AW86&lt;Tab!$B$83,6,7))))))</f>
        <v>4</v>
      </c>
      <c r="AY86" s="1095">
        <f>INDEX(Tab!$B$77:$B$84,AX86,1)</f>
        <v>30</v>
      </c>
      <c r="AZ86" s="1095">
        <f>INDEX(Tab!$B$77:$B$84,AX86+1,1)</f>
        <v>40</v>
      </c>
      <c r="BA86" s="1106">
        <f>INDEX(Tab!$G$77:$H$84,AX86,1+Ausrichtung)</f>
        <v>0.68</v>
      </c>
      <c r="BB86" s="1106">
        <f>INDEX(Tab!$G$77:$H$84,AX86+1,1+Ausrichtung)</f>
        <v>0.6</v>
      </c>
      <c r="BC86" s="1102">
        <f>MAX(BB86+(BA86-BB86)/(AZ86-AY86)*(AZ86-AW86),INDEX(Tab!$G$84:$H$84,1,1+Ausrichtung))</f>
        <v>0.68</v>
      </c>
      <c r="BD86" s="199"/>
      <c r="BE86" s="1090">
        <f>X86</f>
        <v>0</v>
      </c>
      <c r="BF86" s="1090">
        <f>IF(OR(R86=0,T86=0,),0,ATAN(T86/R86)*180/PI())</f>
        <v>0</v>
      </c>
      <c r="BG86" s="1094">
        <f>IF(BE86&lt;Tab!$B$88,1,IF(BE86&lt;Tab!$B$89,2,IF(BE86&lt;Tab!$B$90,3,IF(BE86&lt;Tab!$B$91,4,5))))</f>
        <v>1</v>
      </c>
      <c r="BH86" s="1095">
        <f>INDEX(Tab!$B$87:$B$92,BG86,1)</f>
        <v>0</v>
      </c>
      <c r="BI86" s="1095">
        <f>INDEX(Tab!$B$87:$B$92,BG86+1,1)</f>
        <v>15</v>
      </c>
      <c r="BJ86" s="1106">
        <f>INDEX(Tab!$G$87:$H$92,BG86,1+Ausrichtung)</f>
        <v>1</v>
      </c>
      <c r="BK86" s="1106">
        <f>INDEX(Tab!$G$87:$H$92,BG86+1,1+Ausrichtung)</f>
        <v>0.95</v>
      </c>
      <c r="BL86" s="1102">
        <f>MAX(BK86+(BJ86-BK86)/(BI86-BH86)*(BI86-BE86),INDEX(Tab!$G$92:$H$92,1,1+Ausrichtung))</f>
        <v>1</v>
      </c>
      <c r="BM86" s="199"/>
      <c r="BN86" s="1093">
        <f>AH86</f>
        <v>0</v>
      </c>
      <c r="BO86" s="1090">
        <f>IF(OR(AB86=0,AD86=0,),0,ATAN(AD86/AB86)*180/PI())</f>
        <v>0</v>
      </c>
      <c r="BP86" s="1094">
        <f>IF(BN86&lt;Tab!$B$98,1,IF(BN86&lt;Tab!$B$99,2,IF(BN86&lt;Tab!$B$100,3,IF(BN86&lt;Tab!$B$101,4,5))))</f>
        <v>1</v>
      </c>
      <c r="BQ86" s="1095">
        <f>INDEX(Tab!$B$97:$B$102,BP86,1)</f>
        <v>0</v>
      </c>
      <c r="BR86" s="1095">
        <f>INDEX(Tab!$B$97:$B$102,BP86+1,1)</f>
        <v>15</v>
      </c>
      <c r="BS86" s="1106">
        <f>INDEX(Tab!$G$97:$H$102,BP86,1+Ausrichtung)</f>
        <v>1</v>
      </c>
      <c r="BT86" s="1106">
        <f>INDEX(Tab!$G$97:$H$102,BP86+1,1+Ausrichtung)</f>
        <v>0.96</v>
      </c>
      <c r="BU86" s="1102">
        <f>MAX(BT86+(BS86-BT86)/(BR86-BQ86)*(BR86-BN86),INDEX(Tab!$G$102:$H$102,1,1+Ausrichtung))</f>
        <v>1</v>
      </c>
    </row>
    <row r="87" spans="1:108" s="1203" customFormat="1" ht="3.6" customHeight="1">
      <c r="A87" s="531"/>
      <c r="B87" s="531"/>
      <c r="C87" s="2103"/>
      <c r="D87" s="1113"/>
      <c r="E87" s="4"/>
      <c r="F87" s="1192"/>
      <c r="G87" s="4"/>
      <c r="H87" s="1198"/>
      <c r="I87" s="1113"/>
      <c r="J87" s="434"/>
      <c r="K87" s="4"/>
      <c r="L87" s="292"/>
      <c r="M87" s="4"/>
      <c r="N87" s="28"/>
      <c r="O87" s="4"/>
      <c r="P87" s="4"/>
      <c r="Q87" s="1142"/>
      <c r="R87" s="1129"/>
      <c r="S87" s="1129"/>
      <c r="T87" s="1129"/>
      <c r="U87" s="1129"/>
      <c r="V87" s="1129"/>
      <c r="W87" s="1140"/>
      <c r="X87" s="1193"/>
      <c r="Y87" s="27"/>
      <c r="Z87" s="27"/>
      <c r="AA87" s="27"/>
      <c r="AB87" s="1199"/>
      <c r="AC87" s="1088"/>
      <c r="AD87" s="1199"/>
      <c r="AE87" s="2"/>
      <c r="AF87" s="2"/>
      <c r="AG87" s="434"/>
      <c r="AH87" s="1167"/>
      <c r="AI87" s="57"/>
      <c r="AJ87" s="1142"/>
      <c r="AK87" s="1129"/>
      <c r="AL87" s="1173"/>
      <c r="AM87" s="445"/>
      <c r="AN87" s="445"/>
      <c r="AO87" s="63"/>
      <c r="AP87" s="63"/>
      <c r="AQ87" s="63"/>
      <c r="AR87" s="63"/>
      <c r="AS87" s="445"/>
      <c r="AT87" s="445"/>
      <c r="AU87" s="445"/>
      <c r="AV87" s="30"/>
      <c r="AW87" s="1200"/>
      <c r="AX87" s="327"/>
      <c r="AY87" s="63"/>
      <c r="AZ87" s="63"/>
      <c r="BA87" s="63"/>
      <c r="BB87" s="63"/>
      <c r="BC87" s="1204"/>
      <c r="BD87" s="30"/>
      <c r="BE87" s="1200"/>
      <c r="BF87" s="1200"/>
      <c r="BG87" s="327"/>
      <c r="BH87" s="63"/>
      <c r="BI87" s="63"/>
      <c r="BJ87" s="63"/>
      <c r="BK87" s="63"/>
      <c r="BL87" s="1204"/>
      <c r="BM87" s="30"/>
      <c r="BN87" s="1200"/>
      <c r="BO87" s="1200"/>
      <c r="BP87" s="327"/>
      <c r="BQ87" s="63"/>
      <c r="BR87" s="63"/>
      <c r="BS87" s="63"/>
      <c r="BT87" s="63"/>
      <c r="BU87" s="1204"/>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row>
    <row r="88" spans="1:108" ht="14.45" customHeight="1">
      <c r="A88" s="531"/>
      <c r="B88" s="1509"/>
      <c r="C88" s="2132"/>
      <c r="D88" s="1117"/>
      <c r="E88" s="4"/>
      <c r="F88" s="1120"/>
      <c r="G88" s="4"/>
      <c r="H88" s="618"/>
      <c r="I88" s="1113" t="s">
        <v>1882</v>
      </c>
      <c r="J88" s="360"/>
      <c r="K88" s="264"/>
      <c r="L88" s="292">
        <f>IF(J88&gt;0,IF(K88&gt;0,Fehler1,INDEX(UWert!$BD$7:$BD$41,J88)),K88)</f>
        <v>0</v>
      </c>
      <c r="M88" s="264"/>
      <c r="N88" s="28">
        <f>IF(J88&gt;0,IF(M88&gt;0,Fehler1,INDEX(UWert!$BE$7:$BE$41,J88)),M88)</f>
        <v>0</v>
      </c>
      <c r="O88" s="264"/>
      <c r="P88" s="4"/>
      <c r="Q88" s="1125"/>
      <c r="R88" s="1858"/>
      <c r="S88" s="1133" t="s">
        <v>808</v>
      </c>
      <c r="T88" s="1858"/>
      <c r="U88" s="1133" t="s">
        <v>808</v>
      </c>
      <c r="V88" s="1110"/>
      <c r="W88" s="1127" t="s">
        <v>1880</v>
      </c>
      <c r="X88" s="1134">
        <f>IF(AND(V88&gt;0,R88&gt;0),Fehler1,IF(V88&gt;0,V88,BF88))</f>
        <v>0</v>
      </c>
      <c r="Y88" s="174"/>
      <c r="Z88" s="174"/>
      <c r="AA88" s="174"/>
      <c r="AB88" s="264"/>
      <c r="AC88" s="1088" t="s">
        <v>808</v>
      </c>
      <c r="AD88" s="264"/>
      <c r="AE88" s="1088" t="s">
        <v>808</v>
      </c>
      <c r="AF88" s="1110"/>
      <c r="AG88" s="434" t="s">
        <v>1880</v>
      </c>
      <c r="AH88" s="1167">
        <f>IF(AND(AF88&gt;0,AB88&gt;0),Fehler1,IF(AF88&gt;0,AF88,BO88))</f>
        <v>0</v>
      </c>
      <c r="AI88" s="514"/>
      <c r="AJ88" s="1125"/>
      <c r="AK88" s="1129">
        <f>BC88*BL88*BU88</f>
        <v>0.68</v>
      </c>
      <c r="AL88" s="1173"/>
      <c r="AM88" s="554">
        <f>IF(O88&gt;0,MIN(O88,0.95),IF(_Ver09,0.7,0.75))</f>
        <v>0.75</v>
      </c>
      <c r="AN88" s="1141">
        <f>IF(N88&gt;0,MIN(N88,0.9),)</f>
        <v>0</v>
      </c>
      <c r="AO88" s="63">
        <f>IF(F88&gt;0,H88*F88,H88)</f>
        <v>0</v>
      </c>
      <c r="AP88" s="1156">
        <f>$O$76</f>
        <v>30</v>
      </c>
      <c r="AQ88" s="1186"/>
      <c r="AR88" s="1156"/>
      <c r="AS88" s="1184" t="b">
        <f>IF(B88=$AN$5,TRUE,FALSE)</f>
        <v>0</v>
      </c>
      <c r="AT88" s="445">
        <f>IF(AS88,MAX(1,F88)*H88,0)</f>
        <v>0</v>
      </c>
      <c r="AU88" s="1151" t="str">
        <f>IF(AND(AO88&gt;0,OR(L88=0,N88=0,X88="",AH88="")),"Nicht alle Eingaben gewählt","")</f>
        <v/>
      </c>
      <c r="AV88" s="199"/>
      <c r="AW88" s="1093">
        <f>AP88</f>
        <v>30</v>
      </c>
      <c r="AX88" s="1094">
        <f>IF(AW88&lt;Tab!$B$78,1,IF(AW88&lt;Tab!$B$79,2,IF(AW88&lt;Tab!$B$80,3,IF(AW88&lt;Tab!$B$81,4,IF(AW88&lt;Tab!$B$82,5,IF(AW88&lt;Tab!$B$83,6,7))))))</f>
        <v>4</v>
      </c>
      <c r="AY88" s="1095">
        <f>INDEX(Tab!$B$77:$B$84,AX88,1)</f>
        <v>30</v>
      </c>
      <c r="AZ88" s="1095">
        <f>INDEX(Tab!$B$77:$B$84,AX88+1,1)</f>
        <v>40</v>
      </c>
      <c r="BA88" s="1106">
        <f>INDEX(Tab!$G$77:$H$84,AX88,1+Ausrichtung)</f>
        <v>0.68</v>
      </c>
      <c r="BB88" s="1106">
        <f>INDEX(Tab!$G$77:$H$84,AX88+1,1+Ausrichtung)</f>
        <v>0.6</v>
      </c>
      <c r="BC88" s="1102">
        <f>MAX(BB88+(BA88-BB88)/(AZ88-AY88)*(AZ88-AW88),INDEX(Tab!$G$84:$H$84,1,1+Ausrichtung))</f>
        <v>0.68</v>
      </c>
      <c r="BD88" s="199"/>
      <c r="BE88" s="1090">
        <f>X88</f>
        <v>0</v>
      </c>
      <c r="BF88" s="1109">
        <f>IF(OR(R88=0,T88=0,),0,ATAN(T88/R88)*180/PI())</f>
        <v>0</v>
      </c>
      <c r="BG88" s="1094">
        <f>IF(BE88&lt;Tab!$B$88,1,IF(BE88&lt;Tab!$B$89,2,IF(BE88&lt;Tab!$B$90,3,IF(BE88&lt;Tab!$B$91,4,5))))</f>
        <v>1</v>
      </c>
      <c r="BH88" s="1095">
        <f>INDEX(Tab!$B$87:$B$92,BG88,1)</f>
        <v>0</v>
      </c>
      <c r="BI88" s="1095">
        <f>INDEX(Tab!$B$87:$B$92,BG88+1,1)</f>
        <v>15</v>
      </c>
      <c r="BJ88" s="1106">
        <f>INDEX(Tab!$G$87:$H$92,BG88,1+Ausrichtung)</f>
        <v>1</v>
      </c>
      <c r="BK88" s="1106">
        <f>INDEX(Tab!$G$87:$H$92,BG88+1,1+Ausrichtung)</f>
        <v>0.95</v>
      </c>
      <c r="BL88" s="1102">
        <f>MAX(BK88+(BJ88-BK88)/(BI88-BH88)*(BI88-BE88),INDEX(Tab!$G$92:$H$92,1,1+Ausrichtung))</f>
        <v>1</v>
      </c>
      <c r="BM88" s="199"/>
      <c r="BN88" s="1093">
        <f>AH88</f>
        <v>0</v>
      </c>
      <c r="BO88" s="1109">
        <f>IF(OR(AB88=0,AD88=0,),0,ATAN(AD88/AB88)*180/PI())</f>
        <v>0</v>
      </c>
      <c r="BP88" s="1094">
        <f>IF(BN88&lt;Tab!$B$98,1,IF(BN88&lt;Tab!$B$99,2,IF(BN88&lt;Tab!$B$100,3,IF(BN88&lt;Tab!$B$101,4,5))))</f>
        <v>1</v>
      </c>
      <c r="BQ88" s="1095">
        <f>INDEX(Tab!$B$97:$B$102,BP88,1)</f>
        <v>0</v>
      </c>
      <c r="BR88" s="1095">
        <f>INDEX(Tab!$B$97:$B$102,BP88+1,1)</f>
        <v>15</v>
      </c>
      <c r="BS88" s="1106">
        <f>INDEX(Tab!$G$97:$H$102,BP88,1+Ausrichtung)</f>
        <v>1</v>
      </c>
      <c r="BT88" s="1106">
        <f>INDEX(Tab!$G$97:$H$102,BP88+1,1+Ausrichtung)</f>
        <v>0.96</v>
      </c>
      <c r="BU88" s="1102">
        <f>MAX(BT88+(BS88-BT88)/(BR88-BQ88)*(BR88-BN88),INDEX(Tab!$G$102:$H$102,1,1+Ausrichtung))</f>
        <v>1</v>
      </c>
    </row>
    <row r="89" spans="1:108" s="1203" customFormat="1" ht="3.6" customHeight="1">
      <c r="A89" s="531"/>
      <c r="B89" s="531"/>
      <c r="C89" s="2103"/>
      <c r="D89" s="1197"/>
      <c r="E89" s="4"/>
      <c r="F89" s="1192"/>
      <c r="G89" s="4"/>
      <c r="H89" s="1198"/>
      <c r="I89" s="1113"/>
      <c r="J89" s="434"/>
      <c r="K89" s="1199"/>
      <c r="L89" s="292"/>
      <c r="M89" s="4"/>
      <c r="N89" s="28"/>
      <c r="O89" s="1199"/>
      <c r="P89" s="4"/>
      <c r="Q89" s="1142"/>
      <c r="R89" s="1129"/>
      <c r="S89" s="1205"/>
      <c r="T89" s="1129"/>
      <c r="U89" s="1129"/>
      <c r="V89" s="1129"/>
      <c r="W89" s="1140"/>
      <c r="X89" s="1193"/>
      <c r="Y89" s="27"/>
      <c r="Z89" s="27"/>
      <c r="AA89" s="27"/>
      <c r="AB89" s="1199"/>
      <c r="AC89" s="1088"/>
      <c r="AD89" s="1199"/>
      <c r="AE89" s="2"/>
      <c r="AF89" s="2"/>
      <c r="AG89" s="2"/>
      <c r="AH89" s="1167"/>
      <c r="AI89" s="57"/>
      <c r="AJ89" s="1142"/>
      <c r="AK89" s="1129"/>
      <c r="AL89" s="1173"/>
      <c r="AM89" s="445"/>
      <c r="AN89" s="445"/>
      <c r="AO89" s="63"/>
      <c r="AP89" s="63"/>
      <c r="AQ89" s="63"/>
      <c r="AR89" s="63"/>
      <c r="AS89" s="445"/>
      <c r="AT89" s="445"/>
      <c r="AU89" s="445"/>
      <c r="AV89" s="30"/>
      <c r="AW89" s="1200"/>
      <c r="AX89" s="305"/>
      <c r="AY89" s="59"/>
      <c r="AZ89" s="59"/>
      <c r="BA89" s="59"/>
      <c r="BB89" s="59"/>
      <c r="BC89" s="1201"/>
      <c r="BD89" s="30"/>
      <c r="BE89" s="1200"/>
      <c r="BF89" s="1202"/>
      <c r="BG89" s="305"/>
      <c r="BH89" s="59"/>
      <c r="BI89" s="59"/>
      <c r="BJ89" s="59"/>
      <c r="BK89" s="59"/>
      <c r="BL89" s="1201"/>
      <c r="BM89" s="30"/>
      <c r="BN89" s="1200"/>
      <c r="BO89" s="1202"/>
      <c r="BP89" s="305"/>
      <c r="BQ89" s="59"/>
      <c r="BR89" s="59"/>
      <c r="BS89" s="59"/>
      <c r="BT89" s="59"/>
      <c r="BU89" s="1201"/>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row>
    <row r="90" spans="1:108" ht="14.45" customHeight="1">
      <c r="A90" s="531"/>
      <c r="B90" s="1509"/>
      <c r="C90" s="2132"/>
      <c r="D90" s="1117"/>
      <c r="E90" s="4"/>
      <c r="F90" s="1120"/>
      <c r="G90" s="4"/>
      <c r="H90" s="618"/>
      <c r="I90" s="1113" t="s">
        <v>1882</v>
      </c>
      <c r="J90" s="360"/>
      <c r="K90" s="264"/>
      <c r="L90" s="292">
        <f>IF(J90&gt;0,IF(K90&gt;0,Fehler1,INDEX(UWert!$BD$7:$BD$41,J90)),K90)</f>
        <v>0</v>
      </c>
      <c r="M90" s="264"/>
      <c r="N90" s="28">
        <f>IF(J90&gt;0,IF(M90&gt;0,Fehler1,INDEX(UWert!$BE$7:$BE$41,J90)),M90)</f>
        <v>0</v>
      </c>
      <c r="O90" s="264"/>
      <c r="P90" s="4"/>
      <c r="Q90" s="1125"/>
      <c r="R90" s="1858"/>
      <c r="S90" s="1133" t="s">
        <v>808</v>
      </c>
      <c r="T90" s="1858"/>
      <c r="U90" s="1133" t="s">
        <v>808</v>
      </c>
      <c r="V90" s="1110"/>
      <c r="W90" s="1127" t="s">
        <v>1880</v>
      </c>
      <c r="X90" s="1134">
        <f>IF(AND(V90&gt;0,R90&gt;0),Fehler1,IF(V90&gt;0,V90,BF90))</f>
        <v>0</v>
      </c>
      <c r="Y90" s="174"/>
      <c r="Z90" s="174"/>
      <c r="AA90" s="174"/>
      <c r="AB90" s="264"/>
      <c r="AC90" s="1088" t="s">
        <v>808</v>
      </c>
      <c r="AD90" s="264"/>
      <c r="AE90" s="1088" t="s">
        <v>808</v>
      </c>
      <c r="AF90" s="1110"/>
      <c r="AG90" s="434" t="s">
        <v>1880</v>
      </c>
      <c r="AH90" s="1167">
        <f>IF(AND(AF90&gt;0,AB90&gt;0),Fehler1,IF(AF90&gt;0,AF90,BO90))</f>
        <v>0</v>
      </c>
      <c r="AI90" s="514"/>
      <c r="AJ90" s="1125"/>
      <c r="AK90" s="1129">
        <f>BC90*BL90*BU90</f>
        <v>0.68</v>
      </c>
      <c r="AL90" s="1173"/>
      <c r="AM90" s="554">
        <f>IF(O90&gt;0,MIN(O90,0.95),IF(_Ver09,0.7,0.75))</f>
        <v>0.75</v>
      </c>
      <c r="AN90" s="1141">
        <f>IF(N90&gt;0,MIN(N90,0.9),)</f>
        <v>0</v>
      </c>
      <c r="AO90" s="63">
        <f>IF(F90&gt;0,H90*F90,H90)</f>
        <v>0</v>
      </c>
      <c r="AP90" s="1156">
        <f>$O$76</f>
        <v>30</v>
      </c>
      <c r="AQ90" s="1186"/>
      <c r="AR90" s="1156"/>
      <c r="AS90" s="1184" t="b">
        <f>IF(B90=$AN$5,TRUE,FALSE)</f>
        <v>0</v>
      </c>
      <c r="AT90" s="445">
        <f>IF(AS90,MAX(1,F90)*H90,0)</f>
        <v>0</v>
      </c>
      <c r="AU90" s="1151" t="str">
        <f>IF(AND(AO90&gt;0,OR(L90=0,N90=0,X90="",AH90="")),"Nicht alle Eingaben gewählt","")</f>
        <v/>
      </c>
      <c r="AV90" s="199"/>
      <c r="AW90" s="1093">
        <f>AP90</f>
        <v>30</v>
      </c>
      <c r="AX90" s="1094">
        <f>IF(AW90&lt;Tab!$B$78,1,IF(AW90&lt;Tab!$B$79,2,IF(AW90&lt;Tab!$B$80,3,IF(AW90&lt;Tab!$B$81,4,IF(AW90&lt;Tab!$B$82,5,IF(AW90&lt;Tab!$B$83,6,7))))))</f>
        <v>4</v>
      </c>
      <c r="AY90" s="1095">
        <f>INDEX(Tab!$B$77:$B$84,AX90,1)</f>
        <v>30</v>
      </c>
      <c r="AZ90" s="1095">
        <f>INDEX(Tab!$B$77:$B$84,AX90+1,1)</f>
        <v>40</v>
      </c>
      <c r="BA90" s="1106">
        <f>INDEX(Tab!$G$77:$H$84,AX90,1+Ausrichtung)</f>
        <v>0.68</v>
      </c>
      <c r="BB90" s="1106">
        <f>INDEX(Tab!$G$77:$H$84,AX90+1,1+Ausrichtung)</f>
        <v>0.6</v>
      </c>
      <c r="BC90" s="1102">
        <f>MAX(BB90+(BA90-BB90)/(AZ90-AY90)*(AZ90-AW90),INDEX(Tab!$G$84:$H$84,1,1+Ausrichtung))</f>
        <v>0.68</v>
      </c>
      <c r="BD90" s="199"/>
      <c r="BE90" s="1090">
        <f>X90</f>
        <v>0</v>
      </c>
      <c r="BF90" s="1109">
        <f>IF(OR(R90=0,T90=0,),0,ATAN(T90/R90)*180/PI())</f>
        <v>0</v>
      </c>
      <c r="BG90" s="1094">
        <f>IF(BE90&lt;Tab!$B$88,1,IF(BE90&lt;Tab!$B$89,2,IF(BE90&lt;Tab!$B$90,3,IF(BE90&lt;Tab!$B$91,4,5))))</f>
        <v>1</v>
      </c>
      <c r="BH90" s="1095">
        <f>INDEX(Tab!$B$87:$B$92,BG90,1)</f>
        <v>0</v>
      </c>
      <c r="BI90" s="1095">
        <f>INDEX(Tab!$B$87:$B$92,BG90+1,1)</f>
        <v>15</v>
      </c>
      <c r="BJ90" s="1106">
        <f>INDEX(Tab!$G$87:$H$92,BG90,1+Ausrichtung)</f>
        <v>1</v>
      </c>
      <c r="BK90" s="1106">
        <f>INDEX(Tab!$G$87:$H$92,BG90+1,1+Ausrichtung)</f>
        <v>0.95</v>
      </c>
      <c r="BL90" s="1102">
        <f>MAX(BK90+(BJ90-BK90)/(BI90-BH90)*(BI90-BE90),INDEX(Tab!$G$92:$H$92,1,1+Ausrichtung))</f>
        <v>1</v>
      </c>
      <c r="BM90" s="199"/>
      <c r="BN90" s="1093">
        <f>AH90</f>
        <v>0</v>
      </c>
      <c r="BO90" s="1109">
        <f>IF(OR(AB90=0,AD90=0,),0,ATAN(AD90/AB90)*180/PI())</f>
        <v>0</v>
      </c>
      <c r="BP90" s="1094">
        <f>IF(BN90&lt;Tab!$B$98,1,IF(BN90&lt;Tab!$B$99,2,IF(BN90&lt;Tab!$B$100,3,IF(BN90&lt;Tab!$B$101,4,5))))</f>
        <v>1</v>
      </c>
      <c r="BQ90" s="1095">
        <f>INDEX(Tab!$B$97:$B$102,BP90,1)</f>
        <v>0</v>
      </c>
      <c r="BR90" s="1095">
        <f>INDEX(Tab!$B$97:$B$102,BP90+1,1)</f>
        <v>15</v>
      </c>
      <c r="BS90" s="1106">
        <f>INDEX(Tab!$G$97:$H$102,BP90,1+Ausrichtung)</f>
        <v>1</v>
      </c>
      <c r="BT90" s="1106">
        <f>INDEX(Tab!$G$97:$H$102,BP90+1,1+Ausrichtung)</f>
        <v>0.96</v>
      </c>
      <c r="BU90" s="1102">
        <f>MAX(BT90+(BS90-BT90)/(BR90-BQ90)*(BR90-BN90),INDEX(Tab!$G$102:$H$102,1,1+Ausrichtung))</f>
        <v>1</v>
      </c>
    </row>
    <row r="91" spans="1:108" s="1203" customFormat="1" ht="3.6" customHeight="1">
      <c r="A91" s="531"/>
      <c r="B91" s="531"/>
      <c r="C91" s="2103"/>
      <c r="D91" s="1197"/>
      <c r="E91" s="4"/>
      <c r="F91" s="1192"/>
      <c r="G91" s="4"/>
      <c r="H91" s="1198"/>
      <c r="I91" s="1113"/>
      <c r="J91" s="434"/>
      <c r="K91" s="1199"/>
      <c r="L91" s="292"/>
      <c r="M91" s="4"/>
      <c r="N91" s="28"/>
      <c r="O91" s="1199"/>
      <c r="P91" s="4"/>
      <c r="Q91" s="1142"/>
      <c r="R91" s="1129"/>
      <c r="S91" s="1129"/>
      <c r="T91" s="1129"/>
      <c r="U91" s="1129"/>
      <c r="V91" s="1129"/>
      <c r="W91" s="1140"/>
      <c r="X91" s="1193"/>
      <c r="Y91" s="27"/>
      <c r="Z91" s="27"/>
      <c r="AA91" s="27"/>
      <c r="AB91" s="1199"/>
      <c r="AC91" s="1088"/>
      <c r="AD91" s="1199"/>
      <c r="AE91" s="2"/>
      <c r="AF91" s="2"/>
      <c r="AG91" s="2"/>
      <c r="AH91" s="1167"/>
      <c r="AI91" s="57"/>
      <c r="AJ91" s="1142"/>
      <c r="AK91" s="1129"/>
      <c r="AL91" s="1173"/>
      <c r="AM91" s="445"/>
      <c r="AN91" s="445"/>
      <c r="AO91" s="63"/>
      <c r="AP91" s="63"/>
      <c r="AQ91" s="63"/>
      <c r="AR91" s="63"/>
      <c r="AS91" s="445"/>
      <c r="AT91" s="445"/>
      <c r="AU91" s="445"/>
      <c r="AV91" s="30"/>
      <c r="AW91" s="1200"/>
      <c r="AX91" s="305"/>
      <c r="AY91" s="59"/>
      <c r="AZ91" s="59"/>
      <c r="BA91" s="59"/>
      <c r="BB91" s="59"/>
      <c r="BC91" s="1201"/>
      <c r="BD91" s="30"/>
      <c r="BE91" s="1200"/>
      <c r="BF91" s="1202"/>
      <c r="BG91" s="305"/>
      <c r="BH91" s="59"/>
      <c r="BI91" s="59"/>
      <c r="BJ91" s="59"/>
      <c r="BK91" s="59"/>
      <c r="BL91" s="1201"/>
      <c r="BM91" s="30"/>
      <c r="BN91" s="1200"/>
      <c r="BO91" s="1202"/>
      <c r="BP91" s="305"/>
      <c r="BQ91" s="59"/>
      <c r="BR91" s="59"/>
      <c r="BS91" s="59"/>
      <c r="BT91" s="59"/>
      <c r="BU91" s="1201"/>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row>
    <row r="92" spans="1:108" ht="14.45" customHeight="1">
      <c r="A92" s="531"/>
      <c r="B92" s="1509"/>
      <c r="C92" s="2132"/>
      <c r="D92" s="1117"/>
      <c r="E92" s="4"/>
      <c r="F92" s="1120"/>
      <c r="G92" s="4"/>
      <c r="H92" s="618"/>
      <c r="I92" s="1113" t="s">
        <v>1882</v>
      </c>
      <c r="J92" s="360"/>
      <c r="K92" s="264"/>
      <c r="L92" s="292">
        <f>IF(J92&gt;0,IF(K92&gt;0,Fehler1,INDEX(UWert!$BD$7:$BD$41,J92)),K92)</f>
        <v>0</v>
      </c>
      <c r="M92" s="264"/>
      <c r="N92" s="28">
        <f>IF(J92&gt;0,IF(M92&gt;0,Fehler1,INDEX(UWert!$BE$7:$BE$41,J92)),M92)</f>
        <v>0</v>
      </c>
      <c r="O92" s="264"/>
      <c r="P92" s="4"/>
      <c r="Q92" s="1125"/>
      <c r="R92" s="1858"/>
      <c r="S92" s="1133" t="s">
        <v>808</v>
      </c>
      <c r="T92" s="1858"/>
      <c r="U92" s="1133" t="s">
        <v>808</v>
      </c>
      <c r="V92" s="1110"/>
      <c r="W92" s="1127" t="s">
        <v>1880</v>
      </c>
      <c r="X92" s="1134">
        <f>IF(AND(V92&gt;0,R92&gt;0),Fehler1,IF(V92&gt;0,V92,BF92))</f>
        <v>0</v>
      </c>
      <c r="Y92" s="174"/>
      <c r="Z92" s="174"/>
      <c r="AA92" s="174"/>
      <c r="AB92" s="264"/>
      <c r="AC92" s="1088" t="s">
        <v>808</v>
      </c>
      <c r="AD92" s="264"/>
      <c r="AE92" s="1088" t="s">
        <v>808</v>
      </c>
      <c r="AF92" s="1110"/>
      <c r="AG92" s="434" t="s">
        <v>1880</v>
      </c>
      <c r="AH92" s="1167">
        <f>IF(AND(AF92&gt;0,AB92&gt;0),Fehler1,IF(AF92&gt;0,AF92,BO92))</f>
        <v>0</v>
      </c>
      <c r="AI92" s="514"/>
      <c r="AJ92" s="1125"/>
      <c r="AK92" s="1129">
        <f>BC92*BL92*BU92</f>
        <v>0.68</v>
      </c>
      <c r="AL92" s="1173"/>
      <c r="AM92" s="554">
        <f>IF(O92&gt;0,MIN(O92,0.95),IF(_Ver09,0.7,0.75))</f>
        <v>0.75</v>
      </c>
      <c r="AN92" s="1141">
        <f>IF(N92&gt;0,MIN(N92,0.9),)</f>
        <v>0</v>
      </c>
      <c r="AO92" s="63">
        <f>IF(F92&gt;0,H92*F92,H92)</f>
        <v>0</v>
      </c>
      <c r="AP92" s="1156">
        <f>$O$76</f>
        <v>30</v>
      </c>
      <c r="AQ92" s="1186"/>
      <c r="AR92" s="1156"/>
      <c r="AS92" s="1184" t="b">
        <f>IF(B92=$AN$5,TRUE,FALSE)</f>
        <v>0</v>
      </c>
      <c r="AT92" s="445">
        <f>IF(AS92,MAX(1,F92)*H92,0)</f>
        <v>0</v>
      </c>
      <c r="AU92" s="1151" t="str">
        <f>IF(AND(AO92&gt;0,OR(L92=0,N92=0,X92="",AH92="")),"Nicht alle Eingaben gewählt","")</f>
        <v/>
      </c>
      <c r="AV92" s="199"/>
      <c r="AW92" s="1090">
        <f>AP92</f>
        <v>30</v>
      </c>
      <c r="AX92" s="1094">
        <f>IF(AW92&lt;Tab!$B$78,1,IF(AW92&lt;Tab!$B$79,2,IF(AW92&lt;Tab!$B$80,3,IF(AW92&lt;Tab!$B$81,4,IF(AW92&lt;Tab!$B$82,5,IF(AW92&lt;Tab!$B$83,6,7))))))</f>
        <v>4</v>
      </c>
      <c r="AY92" s="1095">
        <f>INDEX(Tab!$B$77:$B$84,AX92,1)</f>
        <v>30</v>
      </c>
      <c r="AZ92" s="1095">
        <f>INDEX(Tab!$B$77:$B$84,AX92+1,1)</f>
        <v>40</v>
      </c>
      <c r="BA92" s="1106">
        <f>INDEX(Tab!$G$77:$H$84,AX92,1+Ausrichtung)</f>
        <v>0.68</v>
      </c>
      <c r="BB92" s="1106">
        <f>INDEX(Tab!$G$77:$H$84,AX92+1,1+Ausrichtung)</f>
        <v>0.6</v>
      </c>
      <c r="BC92" s="1102">
        <f>MAX(BB92+(BA92-BB92)/(AZ92-AY92)*(AZ92-AW92),INDEX(Tab!$G$84:$H$84,1,1+Ausrichtung))</f>
        <v>0.68</v>
      </c>
      <c r="BD92" s="199"/>
      <c r="BE92" s="1090">
        <f>X92</f>
        <v>0</v>
      </c>
      <c r="BF92" s="1109">
        <f>IF(OR(R92=0,T92=0,),0,ATAN(T92/R92)*180/PI())</f>
        <v>0</v>
      </c>
      <c r="BG92" s="1094">
        <f>IF(BE92&lt;Tab!$B$88,1,IF(BE92&lt;Tab!$B$89,2,IF(BE92&lt;Tab!$B$90,3,IF(BE92&lt;Tab!$B$91,4,5))))</f>
        <v>1</v>
      </c>
      <c r="BH92" s="1095">
        <f>INDEX(Tab!$B$87:$B$92,BG92,1)</f>
        <v>0</v>
      </c>
      <c r="BI92" s="1095">
        <f>INDEX(Tab!$B$87:$B$92,BG92+1,1)</f>
        <v>15</v>
      </c>
      <c r="BJ92" s="1106">
        <f>INDEX(Tab!$G$87:$H$92,BG92,1+Ausrichtung)</f>
        <v>1</v>
      </c>
      <c r="BK92" s="1106">
        <f>INDEX(Tab!$G$87:$H$92,BG92+1,1+Ausrichtung)</f>
        <v>0.95</v>
      </c>
      <c r="BL92" s="1102">
        <f>MAX(BK92+(BJ92-BK92)/(BI92-BH92)*(BI92-BE92),INDEX(Tab!$G$92:$H$92,1,1+Ausrichtung))</f>
        <v>1</v>
      </c>
      <c r="BM92" s="199"/>
      <c r="BN92" s="1093">
        <f>AH92</f>
        <v>0</v>
      </c>
      <c r="BO92" s="1109">
        <f>IF(OR(AB92=0,AD92=0,),0,ATAN(AD92/AB92)*180/PI())</f>
        <v>0</v>
      </c>
      <c r="BP92" s="1094">
        <f>IF(BN92&lt;Tab!$B$98,1,IF(BN92&lt;Tab!$B$99,2,IF(BN92&lt;Tab!$B$100,3,IF(BN92&lt;Tab!$B$101,4,5))))</f>
        <v>1</v>
      </c>
      <c r="BQ92" s="1095">
        <f>INDEX(Tab!$B$97:$B$102,BP92,1)</f>
        <v>0</v>
      </c>
      <c r="BR92" s="1095">
        <f>INDEX(Tab!$B$97:$B$102,BP92+1,1)</f>
        <v>15</v>
      </c>
      <c r="BS92" s="1106">
        <f>INDEX(Tab!$G$97:$H$102,BP92,1+Ausrichtung)</f>
        <v>1</v>
      </c>
      <c r="BT92" s="1106">
        <f>INDEX(Tab!$G$97:$H$102,BP92+1,1+Ausrichtung)</f>
        <v>0.96</v>
      </c>
      <c r="BU92" s="1102">
        <f>MAX(BT92+(BS92-BT92)/(BR92-BQ92)*(BR92-BN92),INDEX(Tab!$G$102:$H$102,1,1+Ausrichtung))</f>
        <v>1</v>
      </c>
    </row>
    <row r="93" spans="1:108" s="1203" customFormat="1" ht="3.6" customHeight="1">
      <c r="A93" s="531"/>
      <c r="B93" s="531"/>
      <c r="C93" s="2103"/>
      <c r="D93" s="1197"/>
      <c r="E93" s="4"/>
      <c r="F93" s="1192"/>
      <c r="G93" s="4"/>
      <c r="H93" s="1198"/>
      <c r="I93" s="1113"/>
      <c r="J93" s="434"/>
      <c r="K93" s="1199"/>
      <c r="L93" s="292"/>
      <c r="M93" s="4"/>
      <c r="N93" s="28"/>
      <c r="O93" s="1199"/>
      <c r="P93" s="4"/>
      <c r="Q93" s="1142"/>
      <c r="R93" s="1129"/>
      <c r="S93" s="1129"/>
      <c r="T93" s="1129"/>
      <c r="U93" s="1129"/>
      <c r="V93" s="1129"/>
      <c r="W93" s="1140"/>
      <c r="X93" s="1193"/>
      <c r="Y93" s="27"/>
      <c r="Z93" s="27"/>
      <c r="AA93" s="27"/>
      <c r="AB93" s="1199"/>
      <c r="AC93" s="1088"/>
      <c r="AD93" s="1199"/>
      <c r="AE93" s="2"/>
      <c r="AF93" s="2"/>
      <c r="AG93" s="2"/>
      <c r="AH93" s="1167"/>
      <c r="AI93" s="57"/>
      <c r="AJ93" s="1142"/>
      <c r="AK93" s="1129"/>
      <c r="AL93" s="1173"/>
      <c r="AM93" s="445"/>
      <c r="AN93" s="445"/>
      <c r="AO93" s="63"/>
      <c r="AP93" s="63"/>
      <c r="AQ93" s="63"/>
      <c r="AR93" s="63"/>
      <c r="AS93" s="445"/>
      <c r="AT93" s="445"/>
      <c r="AU93" s="445"/>
      <c r="AV93" s="30"/>
      <c r="AW93" s="1200"/>
      <c r="AX93" s="327"/>
      <c r="AY93" s="63"/>
      <c r="AZ93" s="63"/>
      <c r="BA93" s="63"/>
      <c r="BB93" s="63"/>
      <c r="BC93" s="1204"/>
      <c r="BD93" s="30"/>
      <c r="BE93" s="1206"/>
      <c r="BF93" s="1207"/>
      <c r="BG93" s="327"/>
      <c r="BH93" s="63"/>
      <c r="BI93" s="63"/>
      <c r="BJ93" s="63"/>
      <c r="BK93" s="63"/>
      <c r="BL93" s="1204"/>
      <c r="BM93" s="30"/>
      <c r="BN93" s="1200"/>
      <c r="BO93" s="1207"/>
      <c r="BP93" s="327"/>
      <c r="BQ93" s="63"/>
      <c r="BR93" s="63"/>
      <c r="BS93" s="63"/>
      <c r="BT93" s="63"/>
      <c r="BU93" s="1204"/>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row>
    <row r="94" spans="1:108" ht="14.45" customHeight="1">
      <c r="A94" s="531"/>
      <c r="B94" s="1509"/>
      <c r="C94" s="2132"/>
      <c r="D94" s="1117"/>
      <c r="E94" s="4"/>
      <c r="F94" s="1120"/>
      <c r="G94" s="4"/>
      <c r="H94" s="618"/>
      <c r="I94" s="1113" t="s">
        <v>1882</v>
      </c>
      <c r="J94" s="360"/>
      <c r="K94" s="264"/>
      <c r="L94" s="292">
        <f>IF(J94&gt;0,IF(K94&gt;0,Fehler1,INDEX(UWert!$BD$7:$BD$41,J94)),K94)</f>
        <v>0</v>
      </c>
      <c r="M94" s="264"/>
      <c r="N94" s="28">
        <f>IF(J94&gt;0,IF(M94&gt;0,Fehler1,INDEX(UWert!$BE$7:$BE$41,J94)),M94)</f>
        <v>0</v>
      </c>
      <c r="O94" s="264"/>
      <c r="P94" s="4"/>
      <c r="Q94" s="1125"/>
      <c r="R94" s="1858"/>
      <c r="S94" s="1133" t="s">
        <v>808</v>
      </c>
      <c r="T94" s="1858"/>
      <c r="U94" s="1133" t="s">
        <v>808</v>
      </c>
      <c r="V94" s="1110"/>
      <c r="W94" s="1127" t="s">
        <v>1880</v>
      </c>
      <c r="X94" s="1134">
        <f>IF(AND(V94&gt;0,R94&gt;0),Fehler1,IF(V94&gt;0,V94,BF94))</f>
        <v>0</v>
      </c>
      <c r="Y94" s="174"/>
      <c r="Z94" s="174"/>
      <c r="AA94" s="174"/>
      <c r="AB94" s="264"/>
      <c r="AC94" s="1088" t="s">
        <v>808</v>
      </c>
      <c r="AD94" s="264"/>
      <c r="AE94" s="1088" t="s">
        <v>808</v>
      </c>
      <c r="AF94" s="1110"/>
      <c r="AG94" s="434" t="s">
        <v>1880</v>
      </c>
      <c r="AH94" s="1167">
        <f>IF(AND(AF94&gt;0,AB94&gt;0),Fehler1,IF(AF94&gt;0,AF94,BO94))</f>
        <v>0</v>
      </c>
      <c r="AI94" s="514"/>
      <c r="AJ94" s="1125"/>
      <c r="AK94" s="1129">
        <f>BC94*BL94*BU94</f>
        <v>0.68</v>
      </c>
      <c r="AL94" s="1173"/>
      <c r="AM94" s="554">
        <f>IF(O94&gt;0,MIN(O94,0.95),IF(_Ver09,0.7,0.75))</f>
        <v>0.75</v>
      </c>
      <c r="AN94" s="1141">
        <f>IF(N94&gt;0,MIN(N94,0.9),)</f>
        <v>0</v>
      </c>
      <c r="AO94" s="63">
        <f>IF(F94&gt;0,H94*F94,H94)</f>
        <v>0</v>
      </c>
      <c r="AP94" s="1156">
        <f>$O$76</f>
        <v>30</v>
      </c>
      <c r="AQ94" s="1186"/>
      <c r="AR94" s="1156"/>
      <c r="AS94" s="1184" t="b">
        <f>IF(B94=$AN$5,TRUE,FALSE)</f>
        <v>0</v>
      </c>
      <c r="AT94" s="445">
        <f>IF(AS94,MAX(1,F94)*H94,0)</f>
        <v>0</v>
      </c>
      <c r="AU94" s="1151" t="str">
        <f>IF(AND(AO94&gt;0,OR(L94=0,N94=0,X94="",AH94="")),"Nicht alle Eingaben gewählt","")</f>
        <v/>
      </c>
      <c r="AV94" s="199"/>
      <c r="AW94" s="1093">
        <f>AP94</f>
        <v>30</v>
      </c>
      <c r="AX94" s="1094">
        <f>IF(AW94&lt;Tab!$B$78,1,IF(AW94&lt;Tab!$B$79,2,IF(AW94&lt;Tab!$B$80,3,IF(AW94&lt;Tab!$B$81,4,IF(AW94&lt;Tab!$B$82,5,IF(AW94&lt;Tab!$B$83,6,7))))))</f>
        <v>4</v>
      </c>
      <c r="AY94" s="1095">
        <f>INDEX(Tab!$B$77:$B$84,AX94,1)</f>
        <v>30</v>
      </c>
      <c r="AZ94" s="1095">
        <f>INDEX(Tab!$B$77:$B$84,AX94+1,1)</f>
        <v>40</v>
      </c>
      <c r="BA94" s="1106">
        <f>INDEX(Tab!$G$77:$H$84,AX94,1+Ausrichtung)</f>
        <v>0.68</v>
      </c>
      <c r="BB94" s="1106">
        <f>INDEX(Tab!$G$77:$H$84,AX94+1,1+Ausrichtung)</f>
        <v>0.6</v>
      </c>
      <c r="BC94" s="1102">
        <f>MAX(BB94+(BA94-BB94)/(AZ94-AY94)*(AZ94-AW94),INDEX(Tab!$G$84:$H$84,1,1+Ausrichtung))</f>
        <v>0.68</v>
      </c>
      <c r="BD94" s="199"/>
      <c r="BE94" s="1090">
        <f>X94</f>
        <v>0</v>
      </c>
      <c r="BF94" s="1090">
        <f>IF(OR(R94=0,T94=0,),0,ATAN(T94/R94)*180/PI())</f>
        <v>0</v>
      </c>
      <c r="BG94" s="1095">
        <f>IF(BE94&lt;Tab!$B$88,1,IF(BE94&lt;Tab!$B$89,2,IF(BE94&lt;Tab!$B$90,3,IF(BE94&lt;Tab!$B$91,4,5))))</f>
        <v>1</v>
      </c>
      <c r="BH94" s="1095">
        <f>INDEX(Tab!$B$87:$B$92,BG94,1)</f>
        <v>0</v>
      </c>
      <c r="BI94" s="1095">
        <f>INDEX(Tab!$B$87:$B$92,BG94+1,1)</f>
        <v>15</v>
      </c>
      <c r="BJ94" s="1106">
        <f>INDEX(Tab!$G$87:$H$92,BG94,1+Ausrichtung)</f>
        <v>1</v>
      </c>
      <c r="BK94" s="1106">
        <f>INDEX(Tab!$G$87:$H$92,BG94+1,1+Ausrichtung)</f>
        <v>0.95</v>
      </c>
      <c r="BL94" s="1102">
        <f>MAX(BK94+(BJ94-BK94)/(BI94-BH94)*(BI94-BE94),INDEX(Tab!$G$92:$H$92,1,1+Ausrichtung))</f>
        <v>1</v>
      </c>
      <c r="BM94" s="199"/>
      <c r="BN94" s="1093">
        <f>AH94</f>
        <v>0</v>
      </c>
      <c r="BO94" s="1090">
        <f>IF(OR(AB94=0,AD94=0,),0,ATAN(AD94/AB94)*180/PI())</f>
        <v>0</v>
      </c>
      <c r="BP94" s="1095">
        <f>IF(BN94&lt;Tab!$B$98,1,IF(BN94&lt;Tab!$B$99,2,IF(BN94&lt;Tab!$B$100,3,IF(BN94&lt;Tab!$B$101,4,5))))</f>
        <v>1</v>
      </c>
      <c r="BQ94" s="1095">
        <f>INDEX(Tab!$B$97:$B$102,BP94,1)</f>
        <v>0</v>
      </c>
      <c r="BR94" s="1095">
        <f>INDEX(Tab!$B$97:$B$102,BP94+1,1)</f>
        <v>15</v>
      </c>
      <c r="BS94" s="1106">
        <f>INDEX(Tab!$G$97:$H$102,BP94,1+Ausrichtung)</f>
        <v>1</v>
      </c>
      <c r="BT94" s="1106">
        <f>INDEX(Tab!$G$97:$H$102,BP94+1,1+Ausrichtung)</f>
        <v>0.96</v>
      </c>
      <c r="BU94" s="1102">
        <f>MAX(BT94+(BS94-BT94)/(BR94-BQ94)*(BR94-BN94),INDEX(Tab!$G$102:$H$102,1,1+Ausrichtung))</f>
        <v>1</v>
      </c>
    </row>
    <row r="95" spans="1:108" s="1203" customFormat="1" ht="3.6" customHeight="1">
      <c r="A95" s="531"/>
      <c r="B95" s="531"/>
      <c r="C95" s="531"/>
      <c r="D95" s="273"/>
      <c r="E95" s="4"/>
      <c r="F95" s="4"/>
      <c r="G95" s="4"/>
      <c r="H95" s="440"/>
      <c r="I95" s="1113"/>
      <c r="J95" s="1113"/>
      <c r="K95" s="434"/>
      <c r="L95" s="292"/>
      <c r="M95" s="174"/>
      <c r="N95" s="28"/>
      <c r="O95" s="4"/>
      <c r="P95" s="4"/>
      <c r="Q95" s="1142"/>
      <c r="R95" s="1129"/>
      <c r="S95" s="1129"/>
      <c r="T95" s="1129"/>
      <c r="U95" s="1129"/>
      <c r="V95" s="1129"/>
      <c r="W95" s="1140"/>
      <c r="X95" s="1193"/>
      <c r="Y95" s="27"/>
      <c r="Z95" s="27"/>
      <c r="AA95" s="27"/>
      <c r="AB95" s="2"/>
      <c r="AC95" s="1088"/>
      <c r="AD95" s="2"/>
      <c r="AE95" s="1088"/>
      <c r="AF95" s="2"/>
      <c r="AG95" s="2"/>
      <c r="AH95" s="1166"/>
      <c r="AI95" s="57"/>
      <c r="AJ95" s="1140"/>
      <c r="AK95" s="1129"/>
      <c r="AL95" s="1173"/>
      <c r="AM95" s="445"/>
      <c r="AN95" s="445"/>
      <c r="AO95" s="63"/>
      <c r="AP95" s="63"/>
      <c r="AQ95" s="63"/>
      <c r="AR95" s="63"/>
      <c r="AS95" s="63"/>
      <c r="AT95" s="440"/>
      <c r="AU95" s="445"/>
      <c r="AV95" s="30"/>
      <c r="AW95" s="267"/>
      <c r="AX95" s="31"/>
      <c r="AY95" s="31"/>
      <c r="AZ95" s="31"/>
      <c r="BA95" s="31"/>
      <c r="BB95" s="31"/>
      <c r="BC95" s="1208"/>
      <c r="BD95" s="30"/>
      <c r="BE95" s="267"/>
      <c r="BF95" s="267"/>
      <c r="BG95" s="31"/>
      <c r="BH95" s="31"/>
      <c r="BI95" s="31"/>
      <c r="BJ95" s="31"/>
      <c r="BK95" s="31"/>
      <c r="BL95" s="1208"/>
      <c r="BM95" s="30"/>
      <c r="BN95" s="267"/>
      <c r="BO95" s="267"/>
      <c r="BP95" s="31"/>
      <c r="BQ95" s="31"/>
      <c r="BR95" s="31"/>
      <c r="BS95" s="31"/>
      <c r="BT95" s="31"/>
      <c r="BU95" s="1208"/>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row>
    <row r="96" spans="1:108" ht="14.45" customHeight="1">
      <c r="A96" s="531"/>
      <c r="B96" s="531"/>
      <c r="C96" s="531"/>
      <c r="D96" s="434" t="str">
        <f>D73</f>
        <v>total / valeur du milieu:</v>
      </c>
      <c r="E96" s="273"/>
      <c r="F96" s="2">
        <f>SUM(F80:F94)</f>
        <v>0</v>
      </c>
      <c r="G96" s="273"/>
      <c r="H96" s="440">
        <f>AO96</f>
        <v>0</v>
      </c>
      <c r="I96" s="1113" t="s">
        <v>1882</v>
      </c>
      <c r="J96" s="1113"/>
      <c r="K96" s="454"/>
      <c r="L96" s="445">
        <f>IF(Projekt!$AE$3="entech",IF(SUM(AO80:AO94)=0,,SUMPRODUCT(AO80:AO94,L80:L94)/SUM(AO80:AO94)),20)</f>
        <v>20</v>
      </c>
      <c r="M96" s="174"/>
      <c r="N96" s="454">
        <f>IF(Fenstertool,AH97,IF(Projekt!$AE$3="entech",IF((AO96*AK96*O96)=0,,SUMPRODUCT(AO80:AO94,AN80:AN94,AM80:AM94,AK80:AK94)/(AO96*AK96*O96)),))</f>
        <v>0</v>
      </c>
      <c r="O96" s="445">
        <f>IF(SUM(AO80:AO94)=0,,(SUMPRODUCT(AM80:AM94,AO80:AO94))/SUM(AO80:AO94))</f>
        <v>0</v>
      </c>
      <c r="P96" s="4"/>
      <c r="Q96" s="1125"/>
      <c r="R96" s="1168"/>
      <c r="S96" s="1127"/>
      <c r="T96" s="1129"/>
      <c r="U96" s="1127"/>
      <c r="V96" s="1127"/>
      <c r="W96" s="1127"/>
      <c r="X96" s="1128"/>
      <c r="Y96" s="174"/>
      <c r="Z96" s="174"/>
      <c r="AA96" s="174"/>
      <c r="AB96" s="2"/>
      <c r="AC96" s="1088"/>
      <c r="AD96" s="2"/>
      <c r="AE96" s="1088"/>
      <c r="AF96" s="1489" t="str">
        <f>IF(Fenstertool,Uebersetzung!D333,"")</f>
        <v/>
      </c>
      <c r="AG96" s="2"/>
      <c r="AH96" s="1719"/>
      <c r="AI96" s="514"/>
      <c r="AJ96" s="1127"/>
      <c r="AK96" s="1487">
        <f>IF(Fenstertool,AH96,IF(SUM(AO80:AO94)=0,,(SUMPRODUCT(AK80:AK94,AO80:AO94))/SUM(AO80:AO94)))</f>
        <v>0</v>
      </c>
      <c r="AL96" s="1173"/>
      <c r="AM96" s="445"/>
      <c r="AN96" s="445"/>
      <c r="AO96" s="63">
        <f>SUM(AO80:AO94)</f>
        <v>0</v>
      </c>
      <c r="AP96" s="63"/>
      <c r="AQ96" s="190"/>
      <c r="AR96" s="63"/>
      <c r="AS96" s="190"/>
      <c r="AT96" s="440">
        <f>SUM(AT80:AT94)</f>
        <v>0</v>
      </c>
      <c r="AU96" s="445"/>
      <c r="AV96" s="199"/>
      <c r="AW96" s="199"/>
      <c r="AX96" s="199"/>
      <c r="AY96" s="199"/>
      <c r="AZ96" s="199"/>
      <c r="BA96" s="199"/>
      <c r="BB96" s="256" t="s">
        <v>1147</v>
      </c>
      <c r="BC96" s="1363">
        <f>IF($H96&gt;0,(BC80*$AO80+BC82*$AO82+BC84*$AO84+BC86*$AO86+BC88*$AO88+BC90*$AO90+BC92*$AO92+BC94*$AO94)/$H96,)</f>
        <v>0</v>
      </c>
      <c r="BD96" s="199"/>
      <c r="BE96" s="199"/>
      <c r="BF96" s="199"/>
      <c r="BG96" s="199"/>
      <c r="BH96" s="199"/>
      <c r="BI96" s="199"/>
      <c r="BJ96" s="199"/>
      <c r="BK96" s="256" t="s">
        <v>1147</v>
      </c>
      <c r="BL96" s="1363">
        <f>IF($H96&gt;0,(BL80*$AO80+BL82*$AO82+BL84*$AO84+BL86*$AO86+BL88*$AO88+BL90*$AO90+BL92*$AO92+BL94*$AO94)/$H96,)</f>
        <v>0</v>
      </c>
      <c r="BM96" s="199"/>
      <c r="BN96" s="199"/>
      <c r="BO96" s="199"/>
      <c r="BP96" s="199"/>
      <c r="BQ96" s="199"/>
      <c r="BR96" s="199"/>
      <c r="BS96" s="199"/>
      <c r="BT96" s="256" t="s">
        <v>1147</v>
      </c>
      <c r="BU96" s="1363">
        <f>IF($H96&gt;0,(BU80*$AO80+BU82*$AO82+BU84*$AO84+BU86*$AO86+BU88*$AO88+BU90*$AO90+BU92*$AO92+BU94*$AO94)/$H96,)</f>
        <v>0</v>
      </c>
    </row>
    <row r="97" spans="1:108" ht="12" customHeight="1">
      <c r="A97" s="1152"/>
      <c r="B97" s="1152"/>
      <c r="C97" s="1152"/>
      <c r="D97" s="1153"/>
      <c r="E97" s="1153"/>
      <c r="F97" s="15"/>
      <c r="G97" s="1153"/>
      <c r="H97" s="555"/>
      <c r="I97" s="1153"/>
      <c r="J97" s="1153"/>
      <c r="K97" s="555"/>
      <c r="L97" s="15"/>
      <c r="M97" s="555"/>
      <c r="N97" s="1092"/>
      <c r="O97" s="555"/>
      <c r="P97" s="15"/>
      <c r="Q97" s="1163"/>
      <c r="R97" s="1164"/>
      <c r="S97" s="1154"/>
      <c r="T97" s="1164"/>
      <c r="U97" s="1154"/>
      <c r="V97" s="1154"/>
      <c r="W97" s="1154"/>
      <c r="X97" s="1162"/>
      <c r="Y97" s="196"/>
      <c r="Z97" s="196"/>
      <c r="AA97" s="196"/>
      <c r="AB97" s="15"/>
      <c r="AC97" s="15"/>
      <c r="AD97" s="15"/>
      <c r="AE97" s="15"/>
      <c r="AF97" s="1488" t="str">
        <f>IF(Fenstertool,Uebersetzung!D332,"")</f>
        <v/>
      </c>
      <c r="AG97" s="15"/>
      <c r="AH97" s="1718"/>
      <c r="AI97" s="518"/>
      <c r="AJ97" s="1154"/>
      <c r="AK97" s="1164"/>
      <c r="AL97" s="1177"/>
      <c r="AM97" s="555"/>
      <c r="AN97" s="555"/>
      <c r="AO97" s="555"/>
      <c r="AP97" s="555"/>
      <c r="AQ97" s="1185"/>
      <c r="AR97" s="555"/>
      <c r="AS97" s="1185"/>
      <c r="AT97" s="555"/>
      <c r="AU97" s="555"/>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row>
    <row r="98" spans="1:108">
      <c r="A98" s="2209"/>
      <c r="B98" s="2205" t="str">
        <f>B75</f>
        <v>corps de chauffe</v>
      </c>
      <c r="C98" s="2197" t="str">
        <f>Uebersetzung!D717</f>
        <v>Inclus dans</v>
      </c>
      <c r="D98" s="434"/>
      <c r="E98" s="273"/>
      <c r="F98" s="2"/>
      <c r="G98" s="273"/>
      <c r="H98" s="454"/>
      <c r="I98" s="434"/>
      <c r="J98" s="434"/>
      <c r="K98" s="454"/>
      <c r="L98" s="2"/>
      <c r="M98" s="454"/>
      <c r="N98" s="1091"/>
      <c r="O98" s="454"/>
      <c r="P98" s="2"/>
      <c r="Q98" s="1125"/>
      <c r="R98" s="1129"/>
      <c r="S98" s="1127"/>
      <c r="T98" s="1129"/>
      <c r="U98" s="1127"/>
      <c r="V98" s="1127"/>
      <c r="W98" s="1127"/>
      <c r="X98" s="1128"/>
      <c r="Y98" s="1245"/>
      <c r="Z98" s="199"/>
      <c r="AA98" s="199"/>
      <c r="AB98" s="2"/>
      <c r="AC98" s="2"/>
      <c r="AD98" s="2"/>
      <c r="AE98" s="2"/>
      <c r="AF98" s="2"/>
      <c r="AG98" s="2"/>
      <c r="AH98" s="2"/>
      <c r="AI98" s="514"/>
      <c r="AJ98" s="1158"/>
      <c r="AK98" s="1145"/>
      <c r="AL98" s="1139"/>
      <c r="AM98" s="174"/>
      <c r="AN98" s="174"/>
      <c r="AO98" s="1091"/>
      <c r="AP98" s="1091"/>
      <c r="AQ98" s="1180"/>
      <c r="AR98" s="1091"/>
      <c r="AS98" s="1180"/>
      <c r="AT98" s="1091"/>
      <c r="AU98" s="174"/>
      <c r="AV98" s="174"/>
    </row>
    <row r="99" spans="1:108">
      <c r="A99" s="2210"/>
      <c r="B99" s="2211"/>
      <c r="C99" s="2198"/>
      <c r="D99" s="1179" t="str">
        <f>Bau!I10</f>
        <v>Nord</v>
      </c>
      <c r="E99" s="533"/>
      <c r="F99" s="1111" t="str">
        <f>F76</f>
        <v xml:space="preserve">N°  </v>
      </c>
      <c r="G99" s="2"/>
      <c r="H99" s="1170">
        <v>40</v>
      </c>
      <c r="I99" s="2"/>
      <c r="J99" s="2"/>
      <c r="K99" s="1862" t="str">
        <f>K76</f>
        <v xml:space="preserve">     a:</v>
      </c>
      <c r="L99" s="533" t="str">
        <f>L76</f>
        <v>( angle d'hoizont )</v>
      </c>
      <c r="M99" s="536"/>
      <c r="N99" s="260"/>
      <c r="O99" s="264">
        <v>30</v>
      </c>
      <c r="P99" s="4" t="s">
        <v>1880</v>
      </c>
      <c r="Q99" s="1125"/>
      <c r="R99" s="1126"/>
      <c r="S99" s="1127"/>
      <c r="T99" s="1161" t="str">
        <f>T76</f>
        <v>Surplomb</v>
      </c>
      <c r="U99" s="1127"/>
      <c r="V99" s="1127"/>
      <c r="W99" s="1127"/>
      <c r="X99" s="1128"/>
      <c r="Y99" s="253"/>
      <c r="Z99" s="199"/>
      <c r="AA99" s="199"/>
      <c r="AB99" s="4"/>
      <c r="AC99" s="4"/>
      <c r="AD99" s="467">
        <f>IF(Ausrichtung=1,Uebersetzung!D313,)</f>
        <v>0</v>
      </c>
      <c r="AE99" s="4"/>
      <c r="AF99" s="4"/>
      <c r="AG99" s="4"/>
      <c r="AH99" s="4"/>
      <c r="AI99" s="514"/>
      <c r="AJ99" s="1125"/>
      <c r="AK99" s="1126"/>
      <c r="AL99" s="1175"/>
      <c r="AM99" s="2"/>
      <c r="AN99" s="2"/>
      <c r="AO99" s="2"/>
      <c r="AP99" s="2"/>
      <c r="AQ99" s="116"/>
      <c r="AR99" s="2"/>
      <c r="AS99" s="116"/>
      <c r="AT99" s="2"/>
      <c r="AU99" s="2"/>
      <c r="AV99" s="174"/>
    </row>
    <row r="100" spans="1:108" ht="14.45" customHeight="1">
      <c r="A100" s="2210"/>
      <c r="B100" s="2211"/>
      <c r="C100" s="2198"/>
      <c r="D100" s="1233">
        <f>IF(ABS(Bau!G19-Fenster!AO119)&gt;0.5,Uebersetzung!D305,)</f>
        <v>0</v>
      </c>
      <c r="E100" s="533"/>
      <c r="F100" s="1111"/>
      <c r="G100" s="533"/>
      <c r="H100" s="537"/>
      <c r="I100" s="467"/>
      <c r="J100" s="467"/>
      <c r="K100" s="2"/>
      <c r="L100" s="2"/>
      <c r="M100" s="1178" t="str">
        <f>M77</f>
        <v>(au centre de la façade)</v>
      </c>
      <c r="N100" s="1091"/>
      <c r="O100" s="454"/>
      <c r="P100" s="2"/>
      <c r="Q100" s="1125"/>
      <c r="R100" s="1126"/>
      <c r="S100" s="1127"/>
      <c r="T100" s="1126"/>
      <c r="U100" s="1127"/>
      <c r="V100" s="1127"/>
      <c r="W100" s="1127"/>
      <c r="X100" s="1128"/>
      <c r="Y100" s="253"/>
      <c r="Z100" s="199"/>
      <c r="AA100" s="199"/>
      <c r="AB100" s="2"/>
      <c r="AC100" s="2"/>
      <c r="AD100" s="2" t="str">
        <f>IF(Ausrichtung=1,Uebersetzung!D326,"")</f>
        <v/>
      </c>
      <c r="AE100" s="2"/>
      <c r="AF100" s="2"/>
      <c r="AG100" s="2"/>
      <c r="AH100" s="2"/>
      <c r="AI100" s="514"/>
      <c r="AJ100" s="1125"/>
      <c r="AK100" s="1126"/>
      <c r="AL100" s="1175"/>
      <c r="AM100" s="2"/>
      <c r="AN100" s="2"/>
      <c r="AO100" s="2"/>
      <c r="AP100" s="2"/>
      <c r="AQ100" s="116"/>
      <c r="AR100" s="2"/>
      <c r="AS100" s="116"/>
      <c r="AT100" s="2"/>
      <c r="AU100" s="2"/>
      <c r="AV100" s="174"/>
    </row>
    <row r="101" spans="1:108" ht="25.9" customHeight="1">
      <c r="A101" s="2210"/>
      <c r="B101" s="2211"/>
      <c r="C101" s="2198"/>
      <c r="D101" s="1089" t="str">
        <f>D78</f>
        <v>Description:</v>
      </c>
      <c r="E101" s="1112"/>
      <c r="F101" s="1087" t="str">
        <f>F78</f>
        <v>nombre</v>
      </c>
      <c r="G101" s="1112"/>
      <c r="H101" s="1089" t="str">
        <f>H78</f>
        <v>Surfaces</v>
      </c>
      <c r="I101" s="1087"/>
      <c r="J101" s="1863" t="str">
        <f>J78</f>
        <v xml:space="preserve">N°  </v>
      </c>
      <c r="K101" s="2199" t="str">
        <f>Uebersetzung!D311</f>
        <v>Valeur U
[W/m2K]</v>
      </c>
      <c r="L101" s="2199"/>
      <c r="M101" s="1089" t="str">
        <f>M78</f>
        <v>Valeur g</v>
      </c>
      <c r="N101" s="1116"/>
      <c r="O101" s="2201" t="str">
        <f>O78</f>
        <v>part vitrée
(Val. FF):</v>
      </c>
      <c r="P101" s="2201"/>
      <c r="Q101" s="1125"/>
      <c r="R101" s="1130" t="str">
        <f>R78</f>
        <v>H</v>
      </c>
      <c r="S101" s="1131"/>
      <c r="T101" s="1122" t="str">
        <f>T99</f>
        <v>Surplomb</v>
      </c>
      <c r="U101" s="1127"/>
      <c r="V101" s="1864" t="str">
        <f>V78</f>
        <v>angle</v>
      </c>
      <c r="W101" s="1850"/>
      <c r="X101" s="1865" t="s">
        <v>3155</v>
      </c>
      <c r="Y101" s="253"/>
      <c r="Z101" s="199"/>
      <c r="AA101" s="199"/>
      <c r="AB101" s="1112">
        <f>IF(Ausrichtung=1,Uebersetzung!D327,)</f>
        <v>0</v>
      </c>
      <c r="AC101" s="1088"/>
      <c r="AD101" s="1124">
        <f>IF(Ausrichtung=1,Uebersetzung!D328,)</f>
        <v>0</v>
      </c>
      <c r="AE101" s="1088"/>
      <c r="AF101" s="1853">
        <f>IF(Ausrichtung=1,Uebersetzung!D323,)</f>
        <v>0</v>
      </c>
      <c r="AG101" s="4"/>
      <c r="AH101" s="1874">
        <f>IF(Ausrichtung=1,AH78,)</f>
        <v>0</v>
      </c>
      <c r="AI101" s="514"/>
      <c r="AJ101" s="1125"/>
      <c r="AK101" s="1867" t="str">
        <f>AK78</f>
        <v>Valeur  FS</v>
      </c>
      <c r="AL101" s="1171"/>
      <c r="AM101" s="1089" t="s">
        <v>1881</v>
      </c>
      <c r="AN101" s="1089" t="s">
        <v>1883</v>
      </c>
      <c r="AO101" s="1089" t="s">
        <v>1884</v>
      </c>
      <c r="AP101" s="1148" t="s">
        <v>1826</v>
      </c>
      <c r="AQ101" s="1183"/>
      <c r="AR101" s="1148"/>
      <c r="AS101" s="1190" t="s">
        <v>1975</v>
      </c>
      <c r="AT101" s="1124" t="s">
        <v>1841</v>
      </c>
      <c r="AU101" s="1089"/>
      <c r="AV101" s="174"/>
      <c r="AW101" s="1096" t="s">
        <v>1878</v>
      </c>
      <c r="AX101" s="1097"/>
      <c r="AY101" s="1097"/>
      <c r="AZ101" s="1097" t="s">
        <v>8</v>
      </c>
      <c r="BA101" s="1097"/>
      <c r="BB101" s="1097"/>
      <c r="BC101" s="1098" t="s">
        <v>1879</v>
      </c>
      <c r="BE101" s="1096" t="s">
        <v>7</v>
      </c>
      <c r="BF101" s="1107"/>
      <c r="BG101" s="1097"/>
      <c r="BH101" s="1097"/>
      <c r="BI101" s="1097" t="s">
        <v>8</v>
      </c>
      <c r="BJ101" s="1097"/>
      <c r="BK101" s="1097"/>
      <c r="BL101" s="1098" t="s">
        <v>9</v>
      </c>
      <c r="BN101" s="1096" t="s">
        <v>1875</v>
      </c>
      <c r="BO101" s="1107"/>
      <c r="BP101" s="1097"/>
      <c r="BQ101" s="1097"/>
      <c r="BR101" s="1097" t="s">
        <v>8</v>
      </c>
      <c r="BS101" s="1097"/>
      <c r="BT101" s="1097"/>
      <c r="BU101" s="1098" t="s">
        <v>1876</v>
      </c>
    </row>
    <row r="102" spans="1:108" s="1203" customFormat="1" ht="3.6" customHeight="1">
      <c r="A102" s="531"/>
      <c r="B102" s="531"/>
      <c r="C102" s="531"/>
      <c r="D102" s="434"/>
      <c r="E102" s="273"/>
      <c r="F102" s="2"/>
      <c r="G102" s="273"/>
      <c r="H102" s="447"/>
      <c r="I102" s="2"/>
      <c r="J102" s="2"/>
      <c r="K102" s="2"/>
      <c r="L102" s="2"/>
      <c r="M102" s="434"/>
      <c r="N102" s="28"/>
      <c r="O102" s="434"/>
      <c r="P102" s="2"/>
      <c r="Q102" s="1142"/>
      <c r="R102" s="1132"/>
      <c r="S102" s="1140"/>
      <c r="T102" s="1132"/>
      <c r="U102" s="1140"/>
      <c r="V102" s="1140"/>
      <c r="W102" s="1140"/>
      <c r="X102" s="1193"/>
      <c r="Y102" s="118"/>
      <c r="Z102" s="30"/>
      <c r="AA102" s="30"/>
      <c r="AB102" s="30"/>
      <c r="AC102" s="30"/>
      <c r="AD102" s="30"/>
      <c r="AE102" s="30"/>
      <c r="AF102" s="30"/>
      <c r="AG102" s="30"/>
      <c r="AH102" s="30"/>
      <c r="AI102" s="57"/>
      <c r="AJ102" s="1142"/>
      <c r="AK102" s="1168"/>
      <c r="AL102" s="1176"/>
      <c r="AM102" s="534"/>
      <c r="AN102" s="434"/>
      <c r="AO102" s="470"/>
      <c r="AP102" s="454"/>
      <c r="AQ102" s="454"/>
      <c r="AR102" s="454"/>
      <c r="AS102" s="445"/>
      <c r="AT102" s="445"/>
      <c r="AU102" s="534"/>
      <c r="AV102" s="27"/>
      <c r="AW102" s="1209"/>
      <c r="AX102" s="1210"/>
      <c r="AY102" s="1210"/>
      <c r="AZ102" s="1210"/>
      <c r="BA102" s="1210"/>
      <c r="BB102" s="1210"/>
      <c r="BC102" s="1211"/>
      <c r="BD102" s="27"/>
      <c r="BE102" s="1209"/>
      <c r="BF102" s="1212"/>
      <c r="BG102" s="1210"/>
      <c r="BH102" s="1210"/>
      <c r="BI102" s="1210"/>
      <c r="BJ102" s="1210"/>
      <c r="BK102" s="1210"/>
      <c r="BL102" s="1211"/>
      <c r="BM102" s="27"/>
      <c r="BN102" s="1209"/>
      <c r="BO102" s="1212"/>
      <c r="BP102" s="1210"/>
      <c r="BQ102" s="1210"/>
      <c r="BR102" s="1210"/>
      <c r="BS102" s="1210"/>
      <c r="BT102" s="1210"/>
      <c r="BU102" s="1211"/>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row>
    <row r="103" spans="1:108" ht="14.45" customHeight="1">
      <c r="A103" s="531"/>
      <c r="B103" s="1509"/>
      <c r="C103" s="2132"/>
      <c r="D103" s="1117"/>
      <c r="E103" s="4"/>
      <c r="F103" s="1120"/>
      <c r="G103" s="4"/>
      <c r="H103" s="618"/>
      <c r="I103" s="1088" t="s">
        <v>1882</v>
      </c>
      <c r="J103" s="360"/>
      <c r="K103" s="264"/>
      <c r="L103" s="292">
        <f>IF(J103&gt;0,IF(K103&gt;0,Fehler1,INDEX(UWert!$BD$7:$BD$41,J103)),K103)</f>
        <v>0</v>
      </c>
      <c r="M103" s="264"/>
      <c r="N103" s="28">
        <f>IF(J103&gt;0,IF(M103&gt;0,Fehler1,INDEX(UWert!$BE$7:$BE$41,J103)),M103)</f>
        <v>0</v>
      </c>
      <c r="O103" s="264"/>
      <c r="P103" s="2"/>
      <c r="Q103" s="1125"/>
      <c r="R103" s="264"/>
      <c r="S103" s="1133" t="s">
        <v>808</v>
      </c>
      <c r="T103" s="264"/>
      <c r="U103" s="1133" t="s">
        <v>808</v>
      </c>
      <c r="V103" s="1110"/>
      <c r="W103" s="1127" t="s">
        <v>1880</v>
      </c>
      <c r="X103" s="1134">
        <f>IF(AND(V103&gt;0,R103&gt;0),Fehler1,IF(V103&gt;0,V103,BF103))</f>
        <v>0</v>
      </c>
      <c r="Y103" s="253"/>
      <c r="Z103" s="199"/>
      <c r="AA103" s="199"/>
      <c r="AB103" s="264"/>
      <c r="AC103" s="1088">
        <f>IF(Ausrichtung=1,"m",)</f>
        <v>0</v>
      </c>
      <c r="AD103" s="264"/>
      <c r="AE103" s="1088">
        <f>IF(Ausrichtung=1,"m",)</f>
        <v>0</v>
      </c>
      <c r="AF103" s="1110"/>
      <c r="AG103" s="434">
        <f>IF(Ausrichtung=1,"°",)</f>
        <v>0</v>
      </c>
      <c r="AH103" s="1167">
        <f>IF(Ausrichtung=1,IF(AND(AF103&gt;0,AB103&gt;0),Fehler1,IF(AF103&gt;0,AF103,BO103)),0)</f>
        <v>0</v>
      </c>
      <c r="AI103" s="514"/>
      <c r="AJ103" s="1125"/>
      <c r="AK103" s="1129">
        <f>BC103*BL103*BU103</f>
        <v>0.94</v>
      </c>
      <c r="AL103" s="1173"/>
      <c r="AM103" s="554">
        <f>IF(O103&gt;0,MIN(O103,0.95),IF(_Ver09,0.7,0.75))</f>
        <v>0.75</v>
      </c>
      <c r="AN103" s="554">
        <f>IF(N103&gt;0,MIN(N103,0.9),)</f>
        <v>0</v>
      </c>
      <c r="AO103" s="63">
        <f>IF(F103&gt;0,H103*F103,H103)</f>
        <v>0</v>
      </c>
      <c r="AP103" s="619">
        <f>$O$99</f>
        <v>30</v>
      </c>
      <c r="AQ103" s="1187"/>
      <c r="AR103" s="619"/>
      <c r="AS103" s="1184" t="b">
        <f>IF(B103=$AN$5,TRUE,FALSE)</f>
        <v>0</v>
      </c>
      <c r="AT103" s="445">
        <f>IF(AS103,MAX(1,F103)*H103,0)</f>
        <v>0</v>
      </c>
      <c r="AU103" s="626" t="str">
        <f>IF(AND(AO103&gt;0,OR(L103=0,N103=0,X103="",AH103="")),"Nicht alle Eingaben gewählt","")</f>
        <v/>
      </c>
      <c r="AV103" s="174"/>
      <c r="AW103" s="1093">
        <f>AP103</f>
        <v>30</v>
      </c>
      <c r="AX103" s="1094">
        <f>IF(AW103&lt;Tab!$B$78,1,IF(AW103&lt;Tab!$B$79,2,IF(AW103&lt;Tab!$B$80,3,IF(AW103&lt;Tab!$B$81,4,IF(AW103&lt;Tab!$B$82,5,IF(AW103&lt;Tab!$B$83,6,7))))))</f>
        <v>4</v>
      </c>
      <c r="AY103" s="1095">
        <f>INDEX(Tab!$B$77:$B$84,AX103,1)</f>
        <v>30</v>
      </c>
      <c r="AZ103" s="1095">
        <f>INDEX(Tab!$B$77:$B$84,AX103+1,1)</f>
        <v>40</v>
      </c>
      <c r="BA103" s="1106">
        <f>INDEX(Tab!$I$77:$J$84,AX103,1+Ausrichtung)</f>
        <v>0.94</v>
      </c>
      <c r="BB103" s="1106">
        <f>INDEX(Tab!$I$77:$J$84,AX103+1,1+Ausrichtung)</f>
        <v>0.9</v>
      </c>
      <c r="BC103" s="1102">
        <f>MAX(BB103+(BA103-BB103)/(AZ103-AY103)*(AZ103-AW103),INDEX(Tab!$I$84:$J$84,1,1+Ausrichtung))</f>
        <v>0.94</v>
      </c>
      <c r="BE103" s="1090">
        <f>X103</f>
        <v>0</v>
      </c>
      <c r="BF103" s="1109">
        <f>IF(OR(R103=0,T103=0,),0,ATAN(T103/R103)*180/PI())</f>
        <v>0</v>
      </c>
      <c r="BG103" s="1094">
        <f>IF(BE103&lt;Tab!$B$88,1,IF(BE103&lt;Tab!$B$89,2,IF(BE103&lt;Tab!$B$90,3,IF(BE103&lt;Tab!$B$91,4,5))))</f>
        <v>1</v>
      </c>
      <c r="BH103" s="1095">
        <f>INDEX(Tab!$B$87:$B$92,BG103,1)</f>
        <v>0</v>
      </c>
      <c r="BI103" s="1095">
        <f>INDEX(Tab!$B$87:$B$92,BG103+1,1)</f>
        <v>15</v>
      </c>
      <c r="BJ103" s="1106">
        <f>INDEX(Tab!$I$87:$J$92,BG103,1+Ausrichtung)</f>
        <v>1</v>
      </c>
      <c r="BK103" s="1106">
        <f>INDEX(Tab!$I$87:$J$92,BG103+1,1+Ausrichtung)</f>
        <v>0.96</v>
      </c>
      <c r="BL103" s="1102">
        <f>MAX(BK103+(BJ103-BK103)/(BI103-BH103)*(BI103-BE103),INDEX(Tab!$I$92:$J$92,1,1+Ausrichtung))</f>
        <v>1</v>
      </c>
      <c r="BN103" s="1093">
        <f>AH103</f>
        <v>0</v>
      </c>
      <c r="BO103" s="1109">
        <f>IF(OR(AB103=0,AD103=0,),0,ATAN(AD103/AB103)*180/PI())</f>
        <v>0</v>
      </c>
      <c r="BP103" s="1094">
        <f>IF(BN103&lt;Tab!$B$98,1,IF(BN103&lt;Tab!$B$99,2,IF(BN103&lt;Tab!$B$100,3,IF(BN103&lt;Tab!$B$101,4,5))))</f>
        <v>1</v>
      </c>
      <c r="BQ103" s="1095">
        <f>INDEX(Tab!$B$97:$B$102,BP103,1)</f>
        <v>0</v>
      </c>
      <c r="BR103" s="1095">
        <f>INDEX(Tab!$B$97:$B$102,BP103+1,1)</f>
        <v>15</v>
      </c>
      <c r="BS103" s="1106">
        <f>INDEX(Tab!$I$97:$J$102,BP103,1+Ausrichtung)</f>
        <v>1</v>
      </c>
      <c r="BT103" s="1106">
        <f>INDEX(Tab!$I$97:$J$102,BP103+1,1+Ausrichtung)</f>
        <v>1</v>
      </c>
      <c r="BU103" s="1923">
        <f>MAX(BT103+(BS103-BT103)/(BR103-BQ103)*(BR103-BN103),INDEX(Tab!$I$102:$J$102,1,1+Ausrichtung))</f>
        <v>1</v>
      </c>
    </row>
    <row r="104" spans="1:108" s="1203" customFormat="1" ht="3.6" customHeight="1">
      <c r="A104" s="531"/>
      <c r="B104" s="531"/>
      <c r="C104" s="2103"/>
      <c r="D104" s="1113"/>
      <c r="E104" s="4"/>
      <c r="F104" s="1192"/>
      <c r="G104" s="4"/>
      <c r="H104" s="440"/>
      <c r="I104" s="1088"/>
      <c r="J104" s="434"/>
      <c r="K104" s="4"/>
      <c r="L104" s="292"/>
      <c r="M104" s="4"/>
      <c r="N104" s="28"/>
      <c r="O104" s="4"/>
      <c r="P104" s="2"/>
      <c r="Q104" s="1142"/>
      <c r="R104" s="1129"/>
      <c r="S104" s="1129"/>
      <c r="T104" s="1129"/>
      <c r="U104" s="1129"/>
      <c r="V104" s="1129"/>
      <c r="W104" s="1140"/>
      <c r="X104" s="1193"/>
      <c r="Y104" s="118"/>
      <c r="Z104" s="30"/>
      <c r="AA104" s="30"/>
      <c r="AB104" s="4"/>
      <c r="AC104" s="30"/>
      <c r="AD104" s="4"/>
      <c r="AE104" s="30"/>
      <c r="AF104" s="2"/>
      <c r="AG104" s="434"/>
      <c r="AH104" s="1167"/>
      <c r="AI104" s="57"/>
      <c r="AJ104" s="1142"/>
      <c r="AK104" s="1129"/>
      <c r="AL104" s="1173"/>
      <c r="AM104" s="445"/>
      <c r="AN104" s="445"/>
      <c r="AO104" s="63"/>
      <c r="AP104" s="454"/>
      <c r="AQ104" s="454"/>
      <c r="AR104" s="454"/>
      <c r="AS104" s="445"/>
      <c r="AT104" s="445"/>
      <c r="AU104" s="445"/>
      <c r="AV104" s="27"/>
      <c r="AW104" s="1200"/>
      <c r="AX104" s="305"/>
      <c r="AY104" s="59"/>
      <c r="AZ104" s="59"/>
      <c r="BA104" s="59"/>
      <c r="BB104" s="59"/>
      <c r="BC104" s="1201"/>
      <c r="BD104" s="27"/>
      <c r="BE104" s="1200"/>
      <c r="BF104" s="1202"/>
      <c r="BG104" s="305"/>
      <c r="BH104" s="59"/>
      <c r="BI104" s="59"/>
      <c r="BJ104" s="59"/>
      <c r="BK104" s="59"/>
      <c r="BL104" s="1201"/>
      <c r="BM104" s="27"/>
      <c r="BN104" s="1200"/>
      <c r="BO104" s="1202"/>
      <c r="BP104" s="305"/>
      <c r="BQ104" s="59"/>
      <c r="BR104" s="59"/>
      <c r="BS104" s="59"/>
      <c r="BT104" s="59"/>
      <c r="BU104" s="1201"/>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row>
    <row r="105" spans="1:108" ht="14.45" customHeight="1">
      <c r="A105" s="531"/>
      <c r="B105" s="1509"/>
      <c r="C105" s="2132"/>
      <c r="D105" s="1117"/>
      <c r="E105" s="4"/>
      <c r="F105" s="1120"/>
      <c r="G105" s="4"/>
      <c r="H105" s="618"/>
      <c r="I105" s="1113" t="s">
        <v>1882</v>
      </c>
      <c r="J105" s="360"/>
      <c r="K105" s="264"/>
      <c r="L105" s="292">
        <f>IF(J105&gt;0,IF(K105&gt;0,Fehler1,INDEX(UWert!$BD$7:$BD$41,J105)),K105)</f>
        <v>0</v>
      </c>
      <c r="M105" s="264"/>
      <c r="N105" s="28">
        <f>IF(J105&gt;0,IF(M105&gt;0,Fehler1,INDEX(UWert!$BE$7:$BE$41,J105)),M105)</f>
        <v>0</v>
      </c>
      <c r="O105" s="264"/>
      <c r="P105" s="2"/>
      <c r="Q105" s="1125"/>
      <c r="R105" s="264"/>
      <c r="S105" s="1133" t="s">
        <v>808</v>
      </c>
      <c r="T105" s="264"/>
      <c r="U105" s="1133" t="s">
        <v>808</v>
      </c>
      <c r="V105" s="1110"/>
      <c r="W105" s="1127" t="s">
        <v>1880</v>
      </c>
      <c r="X105" s="1134">
        <f>IF(AND(V105&gt;0,R105&gt;0),Fehler1,IF(V105&gt;0,V105,BF105))</f>
        <v>0</v>
      </c>
      <c r="Y105" s="253"/>
      <c r="Z105" s="199"/>
      <c r="AA105" s="199"/>
      <c r="AB105" s="1518"/>
      <c r="AC105" s="1088">
        <f>IF(Ausrichtung=1,"m",)</f>
        <v>0</v>
      </c>
      <c r="AD105" s="264"/>
      <c r="AE105" s="1088">
        <f>IF(Ausrichtung=1,"m",)</f>
        <v>0</v>
      </c>
      <c r="AF105" s="1110"/>
      <c r="AG105" s="434">
        <f>IF(Ausrichtung=1,"°",)</f>
        <v>0</v>
      </c>
      <c r="AH105" s="1167">
        <f>IF(Ausrichtung=1,IF(AND(AF105&gt;0,AB105&gt;0),Fehler1,IF(AF105&gt;0,AF105,BO105)),0)</f>
        <v>0</v>
      </c>
      <c r="AI105" s="514"/>
      <c r="AJ105" s="1125"/>
      <c r="AK105" s="1129">
        <f>BC105*BL105*BU105</f>
        <v>0.94</v>
      </c>
      <c r="AL105" s="1173"/>
      <c r="AM105" s="554">
        <f>IF(O105&gt;0,MIN(O105,0.95),IF(_Ver09,0.7,0.75))</f>
        <v>0.75</v>
      </c>
      <c r="AN105" s="554">
        <f>IF(N105&gt;0,MIN(N105,0.9),)</f>
        <v>0</v>
      </c>
      <c r="AO105" s="63">
        <f>IF(F105&gt;0,H105*F105,H105)</f>
        <v>0</v>
      </c>
      <c r="AP105" s="619">
        <f>$O$99</f>
        <v>30</v>
      </c>
      <c r="AQ105" s="1187"/>
      <c r="AR105" s="619"/>
      <c r="AS105" s="1184" t="b">
        <f>IF(B105=$AN$5,TRUE,FALSE)</f>
        <v>0</v>
      </c>
      <c r="AT105" s="445">
        <f>IF(AS105,MAX(1,F105)*H105,0)</f>
        <v>0</v>
      </c>
      <c r="AU105" s="626" t="str">
        <f>IF(AND(AO105&gt;0,OR(L105=0,N105=0,X105="",AH105="")),"Nicht alle Eingaben gewählt","")</f>
        <v/>
      </c>
      <c r="AV105" s="174"/>
      <c r="AW105" s="1093">
        <f>AP105</f>
        <v>30</v>
      </c>
      <c r="AX105" s="1094">
        <f>IF(AW105&lt;Tab!$B$78,1,IF(AW105&lt;Tab!$B$79,2,IF(AW105&lt;Tab!$B$80,3,IF(AW105&lt;Tab!$B$81,4,IF(AW105&lt;Tab!$B$82,5,IF(AW105&lt;Tab!$B$83,6,7))))))</f>
        <v>4</v>
      </c>
      <c r="AY105" s="1095">
        <f>INDEX(Tab!$B$77:$B$84,AX105,1)</f>
        <v>30</v>
      </c>
      <c r="AZ105" s="1095">
        <f>INDEX(Tab!$B$77:$B$84,AX105+1,1)</f>
        <v>40</v>
      </c>
      <c r="BA105" s="1106">
        <f>INDEX(Tab!$I$77:$J$84,AX105,1+Ausrichtung)</f>
        <v>0.94</v>
      </c>
      <c r="BB105" s="1106">
        <f>INDEX(Tab!$I$77:$J$84,AX105+1,1+Ausrichtung)</f>
        <v>0.9</v>
      </c>
      <c r="BC105" s="1102">
        <f>MAX(BB105+(BA105-BB105)/(AZ105-AY105)*(AZ105-AW105),INDEX(Tab!$I$84:$J$84,1,1+Ausrichtung))</f>
        <v>0.94</v>
      </c>
      <c r="BE105" s="1090">
        <f>X105</f>
        <v>0</v>
      </c>
      <c r="BF105" s="1109">
        <f>IF(OR(R105=0,T105=0,),0,ATAN(T105/R105)*180/PI())</f>
        <v>0</v>
      </c>
      <c r="BG105" s="1094">
        <f>IF(BE105&lt;Tab!$B$88,1,IF(BE105&lt;Tab!$B$89,2,IF(BE105&lt;Tab!$B$90,3,IF(BE105&lt;Tab!$B$91,4,5))))</f>
        <v>1</v>
      </c>
      <c r="BH105" s="1095">
        <f>INDEX(Tab!$B$87:$B$92,BG105,1)</f>
        <v>0</v>
      </c>
      <c r="BI105" s="1095">
        <f>INDEX(Tab!$B$87:$B$92,BG105+1,1)</f>
        <v>15</v>
      </c>
      <c r="BJ105" s="1106">
        <f>INDEX(Tab!$I$87:$J$92,BG105,1+Ausrichtung)</f>
        <v>1</v>
      </c>
      <c r="BK105" s="1106">
        <f>INDEX(Tab!$I$87:$J$92,BG105+1,1+Ausrichtung)</f>
        <v>0.96</v>
      </c>
      <c r="BL105" s="1102">
        <f>MAX(BK105+(BJ105-BK105)/(BI105-BH105)*(BI105-BE105),INDEX(Tab!$I$92:$J$92,1,1+Ausrichtung))</f>
        <v>1</v>
      </c>
      <c r="BN105" s="1093">
        <f>AH105</f>
        <v>0</v>
      </c>
      <c r="BO105" s="1109">
        <f>IF(OR(AB105=0,AD105=0,),0,ATAN(AD105/AB105)*180/PI())</f>
        <v>0</v>
      </c>
      <c r="BP105" s="1094">
        <f>IF(BN105&lt;Tab!$B$98,1,IF(BN105&lt;Tab!$B$99,2,IF(BN105&lt;Tab!$B$100,3,IF(BN105&lt;Tab!$B$101,4,5))))</f>
        <v>1</v>
      </c>
      <c r="BQ105" s="1095">
        <f>INDEX(Tab!$B$97:$B$102,BP105,1)</f>
        <v>0</v>
      </c>
      <c r="BR105" s="1095">
        <f>INDEX(Tab!$B$97:$B$102,BP105+1,1)</f>
        <v>15</v>
      </c>
      <c r="BS105" s="1106">
        <f>INDEX(Tab!$I$97:$J$102,BP105,1+Ausrichtung)</f>
        <v>1</v>
      </c>
      <c r="BT105" s="1106">
        <f>INDEX(Tab!$I$97:$J$102,BP105+1,1+Ausrichtung)</f>
        <v>1</v>
      </c>
      <c r="BU105" s="1923">
        <f>MAX(BT105+(BS105-BT105)/(BR105-BQ105)*(BR105-BN105),INDEX(Tab!$I$102:$J$102,1,1+Ausrichtung))</f>
        <v>1</v>
      </c>
    </row>
    <row r="106" spans="1:108" s="1203" customFormat="1" ht="3.6" customHeight="1">
      <c r="A106" s="531"/>
      <c r="B106" s="531"/>
      <c r="C106" s="2103"/>
      <c r="D106" s="1197"/>
      <c r="E106" s="4"/>
      <c r="F106" s="1192"/>
      <c r="G106" s="4"/>
      <c r="H106" s="1198"/>
      <c r="I106" s="1088"/>
      <c r="J106" s="434"/>
      <c r="K106" s="1199"/>
      <c r="L106" s="292"/>
      <c r="M106" s="4"/>
      <c r="N106" s="28"/>
      <c r="O106" s="1199"/>
      <c r="P106" s="2"/>
      <c r="Q106" s="1142"/>
      <c r="R106" s="1129"/>
      <c r="S106" s="1129"/>
      <c r="T106" s="1129"/>
      <c r="U106" s="1129"/>
      <c r="V106" s="1129"/>
      <c r="W106" s="1140"/>
      <c r="X106" s="1193"/>
      <c r="Y106" s="118"/>
      <c r="Z106" s="30"/>
      <c r="AA106" s="30"/>
      <c r="AB106" s="4"/>
      <c r="AC106" s="30"/>
      <c r="AD106" s="4"/>
      <c r="AE106" s="30"/>
      <c r="AF106" s="2"/>
      <c r="AG106" s="434"/>
      <c r="AH106" s="1167"/>
      <c r="AI106" s="57"/>
      <c r="AJ106" s="1142"/>
      <c r="AK106" s="1129"/>
      <c r="AL106" s="1173"/>
      <c r="AM106" s="445"/>
      <c r="AN106" s="445"/>
      <c r="AO106" s="63"/>
      <c r="AP106" s="454"/>
      <c r="AQ106" s="454"/>
      <c r="AR106" s="454"/>
      <c r="AS106" s="445"/>
      <c r="AT106" s="445"/>
      <c r="AU106" s="445"/>
      <c r="AV106" s="27"/>
      <c r="AW106" s="1200"/>
      <c r="AX106" s="305"/>
      <c r="AY106" s="59"/>
      <c r="AZ106" s="59"/>
      <c r="BA106" s="59"/>
      <c r="BB106" s="59"/>
      <c r="BC106" s="1201"/>
      <c r="BD106" s="27"/>
      <c r="BE106" s="1200"/>
      <c r="BF106" s="1202"/>
      <c r="BG106" s="305"/>
      <c r="BH106" s="59"/>
      <c r="BI106" s="59"/>
      <c r="BJ106" s="59"/>
      <c r="BK106" s="59"/>
      <c r="BL106" s="1201"/>
      <c r="BM106" s="27"/>
      <c r="BN106" s="1200"/>
      <c r="BO106" s="1202"/>
      <c r="BP106" s="305"/>
      <c r="BQ106" s="59"/>
      <c r="BR106" s="59"/>
      <c r="BS106" s="59"/>
      <c r="BT106" s="59"/>
      <c r="BU106" s="1201"/>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row>
    <row r="107" spans="1:108" ht="14.45" customHeight="1">
      <c r="A107" s="531"/>
      <c r="B107" s="1509"/>
      <c r="C107" s="2132"/>
      <c r="D107" s="1117"/>
      <c r="E107" s="4"/>
      <c r="F107" s="1120"/>
      <c r="G107" s="4"/>
      <c r="H107" s="618"/>
      <c r="I107" s="1113" t="s">
        <v>1882</v>
      </c>
      <c r="J107" s="360"/>
      <c r="K107" s="264"/>
      <c r="L107" s="292">
        <f>IF(J107&gt;0,IF(K107&gt;0,Fehler1,INDEX(UWert!$BD$7:$BD$41,J107)),K107)</f>
        <v>0</v>
      </c>
      <c r="M107" s="264"/>
      <c r="N107" s="28">
        <f>IF(J107&gt;0,IF(M107&gt;0,Fehler1,INDEX(UWert!$BE$7:$BE$41,J107)),M107)</f>
        <v>0</v>
      </c>
      <c r="O107" s="264"/>
      <c r="P107" s="2"/>
      <c r="Q107" s="1125"/>
      <c r="R107" s="264"/>
      <c r="S107" s="1133" t="s">
        <v>808</v>
      </c>
      <c r="T107" s="264"/>
      <c r="U107" s="1133" t="s">
        <v>808</v>
      </c>
      <c r="V107" s="1110"/>
      <c r="W107" s="1127" t="s">
        <v>1880</v>
      </c>
      <c r="X107" s="1134">
        <f>IF(AND(V107&gt;0,R107&gt;0),Fehler1,IF(V107&gt;0,V107,BF107))</f>
        <v>0</v>
      </c>
      <c r="Y107" s="253"/>
      <c r="Z107" s="199"/>
      <c r="AA107" s="199"/>
      <c r="AB107" s="264"/>
      <c r="AC107" s="1088">
        <f>IF(Ausrichtung=1,"m",)</f>
        <v>0</v>
      </c>
      <c r="AD107" s="264"/>
      <c r="AE107" s="1088">
        <f>IF(Ausrichtung=1,"m",)</f>
        <v>0</v>
      </c>
      <c r="AF107" s="1110"/>
      <c r="AG107" s="434">
        <f>IF(Ausrichtung=1,"°",)</f>
        <v>0</v>
      </c>
      <c r="AH107" s="1167">
        <f>IF(Ausrichtung=1,IF(AND(AF107&gt;0,AB107&gt;0),Fehler1,IF(AF107&gt;0,AF107,BO107)),0)</f>
        <v>0</v>
      </c>
      <c r="AI107" s="514"/>
      <c r="AJ107" s="1125"/>
      <c r="AK107" s="1129">
        <f>BC107*BL107*BU107</f>
        <v>0.94</v>
      </c>
      <c r="AL107" s="1173"/>
      <c r="AM107" s="554">
        <f>IF(O107&gt;0,MIN(O107,0.95),IF(_Ver09,0.7,0.75))</f>
        <v>0.75</v>
      </c>
      <c r="AN107" s="554">
        <f>IF(N107&gt;0,MIN(N107,0.9),)</f>
        <v>0</v>
      </c>
      <c r="AO107" s="63">
        <f>IF(F107&gt;0,H107*F107,H107)</f>
        <v>0</v>
      </c>
      <c r="AP107" s="619">
        <f>$O$99</f>
        <v>30</v>
      </c>
      <c r="AQ107" s="1187"/>
      <c r="AR107" s="619"/>
      <c r="AS107" s="1184" t="b">
        <f>IF(B107=$AN$5,TRUE,FALSE)</f>
        <v>0</v>
      </c>
      <c r="AT107" s="445">
        <f>IF(AS107,MAX(1,F107)*H107,0)</f>
        <v>0</v>
      </c>
      <c r="AU107" s="626" t="str">
        <f>IF(AND(AO107&gt;0,OR(L107=0,N107=0,X107="",AH107="")),"Nicht alle Eingaben gewählt","")</f>
        <v/>
      </c>
      <c r="AV107" s="174"/>
      <c r="AW107" s="1093">
        <f>AP107</f>
        <v>30</v>
      </c>
      <c r="AX107" s="1094">
        <f>IF(AW107&lt;Tab!$B$78,1,IF(AW107&lt;Tab!$B$79,2,IF(AW107&lt;Tab!$B$80,3,IF(AW107&lt;Tab!$B$81,4,IF(AW107&lt;Tab!$B$82,5,IF(AW107&lt;Tab!$B$83,6,7))))))</f>
        <v>4</v>
      </c>
      <c r="AY107" s="1095">
        <f>INDEX(Tab!$B$77:$B$84,AX107,1)</f>
        <v>30</v>
      </c>
      <c r="AZ107" s="1095">
        <f>INDEX(Tab!$B$77:$B$84,AX107+1,1)</f>
        <v>40</v>
      </c>
      <c r="BA107" s="1106">
        <f>INDEX(Tab!$I$77:$J$84,AX107,1+Ausrichtung)</f>
        <v>0.94</v>
      </c>
      <c r="BB107" s="1106">
        <f>INDEX(Tab!$I$77:$J$84,AX107+1,1+Ausrichtung)</f>
        <v>0.9</v>
      </c>
      <c r="BC107" s="1102">
        <f>MAX(BB107+(BA107-BB107)/(AZ107-AY107)*(AZ107-AW107),INDEX(Tab!$I$84:$J$84,1,1+Ausrichtung))</f>
        <v>0.94</v>
      </c>
      <c r="BE107" s="1090">
        <f>X107</f>
        <v>0</v>
      </c>
      <c r="BF107" s="1109">
        <f>IF(OR(R107=0,T107=0,),0,ATAN(T107/R107)*180/PI())</f>
        <v>0</v>
      </c>
      <c r="BG107" s="1094">
        <f>IF(BE107&lt;Tab!$B$88,1,IF(BE107&lt;Tab!$B$89,2,IF(BE107&lt;Tab!$B$90,3,IF(BE107&lt;Tab!$B$91,4,5))))</f>
        <v>1</v>
      </c>
      <c r="BH107" s="1095">
        <f>INDEX(Tab!$B$87:$B$92,BG107,1)</f>
        <v>0</v>
      </c>
      <c r="BI107" s="1095">
        <f>INDEX(Tab!$B$87:$B$92,BG107+1,1)</f>
        <v>15</v>
      </c>
      <c r="BJ107" s="1106">
        <f>INDEX(Tab!$I$87:$J$92,BG107,1+Ausrichtung)</f>
        <v>1</v>
      </c>
      <c r="BK107" s="1106">
        <f>INDEX(Tab!$I$87:$J$92,BG107+1,1+Ausrichtung)</f>
        <v>0.96</v>
      </c>
      <c r="BL107" s="1102">
        <f>MAX(BK107+(BJ107-BK107)/(BI107-BH107)*(BI107-BE107),INDEX(Tab!$I$92:$J$92,1,1+Ausrichtung))</f>
        <v>1</v>
      </c>
      <c r="BN107" s="1093">
        <f>AH107</f>
        <v>0</v>
      </c>
      <c r="BO107" s="1109">
        <f>IF(OR(AB107=0,AD107=0,),0,ATAN(AD107/AB107)*180/PI())</f>
        <v>0</v>
      </c>
      <c r="BP107" s="1094">
        <f>IF(BN107&lt;Tab!$B$98,1,IF(BN107&lt;Tab!$B$99,2,IF(BN107&lt;Tab!$B$100,3,IF(BN107&lt;Tab!$B$101,4,5))))</f>
        <v>1</v>
      </c>
      <c r="BQ107" s="1095">
        <f>INDEX(Tab!$B$97:$B$102,BP107,1)</f>
        <v>0</v>
      </c>
      <c r="BR107" s="1095">
        <f>INDEX(Tab!$B$97:$B$102,BP107+1,1)</f>
        <v>15</v>
      </c>
      <c r="BS107" s="1106">
        <f>INDEX(Tab!$I$97:$J$102,BP107,1+Ausrichtung)</f>
        <v>1</v>
      </c>
      <c r="BT107" s="1106">
        <f>INDEX(Tab!$I$97:$J$102,BP107+1,1+Ausrichtung)</f>
        <v>1</v>
      </c>
      <c r="BU107" s="1923">
        <f>MAX(BT107+(BS107-BT107)/(BR107-BQ107)*(BR107-BN107),INDEX(Tab!$I$102:$J$102,1,1+Ausrichtung))</f>
        <v>1</v>
      </c>
    </row>
    <row r="108" spans="1:108" s="1203" customFormat="1" ht="3.6" customHeight="1">
      <c r="A108" s="531"/>
      <c r="B108" s="531"/>
      <c r="C108" s="2103"/>
      <c r="D108" s="1197"/>
      <c r="E108" s="4"/>
      <c r="F108" s="1192"/>
      <c r="G108" s="4"/>
      <c r="H108" s="1198"/>
      <c r="I108" s="1088"/>
      <c r="J108" s="434"/>
      <c r="K108" s="1199"/>
      <c r="L108" s="292"/>
      <c r="M108" s="4"/>
      <c r="N108" s="28"/>
      <c r="O108" s="1199"/>
      <c r="P108" s="2"/>
      <c r="Q108" s="1142"/>
      <c r="R108" s="1129"/>
      <c r="S108" s="1129"/>
      <c r="T108" s="1129"/>
      <c r="U108" s="1129"/>
      <c r="V108" s="1129"/>
      <c r="W108" s="1140"/>
      <c r="X108" s="1193"/>
      <c r="Y108" s="118"/>
      <c r="Z108" s="30"/>
      <c r="AA108" s="30"/>
      <c r="AB108" s="4"/>
      <c r="AC108" s="30"/>
      <c r="AD108" s="4"/>
      <c r="AE108" s="30"/>
      <c r="AF108" s="2"/>
      <c r="AG108" s="434"/>
      <c r="AH108" s="1167"/>
      <c r="AI108" s="57"/>
      <c r="AJ108" s="1142"/>
      <c r="AK108" s="1129"/>
      <c r="AL108" s="1173"/>
      <c r="AM108" s="445"/>
      <c r="AN108" s="445"/>
      <c r="AO108" s="63"/>
      <c r="AP108" s="454"/>
      <c r="AQ108" s="454"/>
      <c r="AR108" s="454"/>
      <c r="AS108" s="445"/>
      <c r="AT108" s="445"/>
      <c r="AU108" s="445"/>
      <c r="AV108" s="27"/>
      <c r="AW108" s="1200"/>
      <c r="AX108" s="305"/>
      <c r="AY108" s="59"/>
      <c r="AZ108" s="59"/>
      <c r="BA108" s="59"/>
      <c r="BB108" s="59"/>
      <c r="BC108" s="1201"/>
      <c r="BD108" s="27"/>
      <c r="BE108" s="1200"/>
      <c r="BF108" s="1202"/>
      <c r="BG108" s="305"/>
      <c r="BH108" s="59"/>
      <c r="BI108" s="59"/>
      <c r="BJ108" s="59"/>
      <c r="BK108" s="59"/>
      <c r="BL108" s="1201"/>
      <c r="BM108" s="27"/>
      <c r="BN108" s="1200"/>
      <c r="BO108" s="1202"/>
      <c r="BP108" s="305"/>
      <c r="BQ108" s="59"/>
      <c r="BR108" s="59"/>
      <c r="BS108" s="59"/>
      <c r="BT108" s="59"/>
      <c r="BU108" s="1201"/>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row>
    <row r="109" spans="1:108" ht="14.45" customHeight="1">
      <c r="A109" s="531"/>
      <c r="B109" s="1509"/>
      <c r="C109" s="2132"/>
      <c r="D109" s="1117"/>
      <c r="E109" s="4"/>
      <c r="F109" s="1120"/>
      <c r="G109" s="4"/>
      <c r="H109" s="618"/>
      <c r="I109" s="1113" t="s">
        <v>1882</v>
      </c>
      <c r="J109" s="360"/>
      <c r="K109" s="264"/>
      <c r="L109" s="292">
        <f>IF(J109&gt;0,IF(K109&gt;0,Fehler1,INDEX(UWert!$BD$7:$BD$41,J109)),K109)</f>
        <v>0</v>
      </c>
      <c r="M109" s="264"/>
      <c r="N109" s="28">
        <f>IF(J109&gt;0,IF(M109&gt;0,Fehler1,INDEX(UWert!$BE$7:$BE$41,J109)),M109)</f>
        <v>0</v>
      </c>
      <c r="O109" s="264"/>
      <c r="P109" s="2"/>
      <c r="Q109" s="1125"/>
      <c r="R109" s="264"/>
      <c r="S109" s="1133" t="s">
        <v>808</v>
      </c>
      <c r="T109" s="264"/>
      <c r="U109" s="1133" t="s">
        <v>808</v>
      </c>
      <c r="V109" s="1110"/>
      <c r="W109" s="1127" t="s">
        <v>1880</v>
      </c>
      <c r="X109" s="1134">
        <f>IF(AND(V109&gt;0,R109&gt;0),Fehler1,IF(V109&gt;0,V109,BF109))</f>
        <v>0</v>
      </c>
      <c r="Y109" s="253"/>
      <c r="Z109" s="199"/>
      <c r="AA109" s="199"/>
      <c r="AB109" s="264"/>
      <c r="AC109" s="1088">
        <f>IF(Ausrichtung=1,"m",)</f>
        <v>0</v>
      </c>
      <c r="AD109" s="264"/>
      <c r="AE109" s="1088">
        <f>IF(Ausrichtung=1,"m",)</f>
        <v>0</v>
      </c>
      <c r="AF109" s="1110"/>
      <c r="AG109" s="434">
        <f>IF(Ausrichtung=1,"°",)</f>
        <v>0</v>
      </c>
      <c r="AH109" s="1167">
        <f>IF(Ausrichtung=1,IF(AND(AF109&gt;0,AB109&gt;0),Fehler1,IF(AF109&gt;0,AF109,BO109)),0)</f>
        <v>0</v>
      </c>
      <c r="AI109" s="514"/>
      <c r="AJ109" s="1125"/>
      <c r="AK109" s="1129">
        <f>BC109*BL109*BU109</f>
        <v>0.94</v>
      </c>
      <c r="AL109" s="1173"/>
      <c r="AM109" s="554">
        <f>IF(O109&gt;0,MIN(O109,0.95),IF(_Ver09,0.7,0.75))</f>
        <v>0.75</v>
      </c>
      <c r="AN109" s="554">
        <f>IF(N109&gt;0,MIN(N109,0.9),)</f>
        <v>0</v>
      </c>
      <c r="AO109" s="63">
        <f>IF(F109&gt;0,H109*F109,H109)</f>
        <v>0</v>
      </c>
      <c r="AP109" s="619">
        <f>$O$99</f>
        <v>30</v>
      </c>
      <c r="AQ109" s="1187"/>
      <c r="AR109" s="619"/>
      <c r="AS109" s="1184" t="b">
        <f>IF(B109=$AN$5,TRUE,FALSE)</f>
        <v>0</v>
      </c>
      <c r="AT109" s="445">
        <f>IF(AS109,MAX(1,F109)*H109,0)</f>
        <v>0</v>
      </c>
      <c r="AU109" s="626" t="str">
        <f>IF(AND(AO109&gt;0,OR(L109=0,N109=0,X109="",AH109="")),"Nicht alle Eingaben gewählt","")</f>
        <v/>
      </c>
      <c r="AV109" s="174"/>
      <c r="AW109" s="1090">
        <f>AP109</f>
        <v>30</v>
      </c>
      <c r="AX109" s="1094">
        <f>IF(AW109&lt;Tab!$B$78,1,IF(AW109&lt;Tab!$B$79,2,IF(AW109&lt;Tab!$B$80,3,IF(AW109&lt;Tab!$B$81,4,IF(AW109&lt;Tab!$B$82,5,IF(AW109&lt;Tab!$B$83,6,7))))))</f>
        <v>4</v>
      </c>
      <c r="AY109" s="1095">
        <f>INDEX(Tab!$B$77:$B$84,AX109,1)</f>
        <v>30</v>
      </c>
      <c r="AZ109" s="1095">
        <f>INDEX(Tab!$B$77:$B$84,AX109+1,1)</f>
        <v>40</v>
      </c>
      <c r="BA109" s="1106">
        <f>INDEX(Tab!$I$77:$J$84,AX109,1+Ausrichtung)</f>
        <v>0.94</v>
      </c>
      <c r="BB109" s="1106">
        <f>INDEX(Tab!$I$77:$J$84,AX109+1,1+Ausrichtung)</f>
        <v>0.9</v>
      </c>
      <c r="BC109" s="1102">
        <f>MAX(BB109+(BA109-BB109)/(AZ109-AY109)*(AZ109-AW109),INDEX(Tab!$I$84:$J$84,1,1+Ausrichtung))</f>
        <v>0.94</v>
      </c>
      <c r="BE109" s="1090">
        <f>X109</f>
        <v>0</v>
      </c>
      <c r="BF109" s="1090">
        <f>IF(OR(R109=0,T109=0,),0,ATAN(T109/R109)*180/PI())</f>
        <v>0</v>
      </c>
      <c r="BG109" s="1094">
        <f>IF(BE109&lt;Tab!$B$88,1,IF(BE109&lt;Tab!$B$89,2,IF(BE109&lt;Tab!$B$90,3,IF(BE109&lt;Tab!$B$91,4,5))))</f>
        <v>1</v>
      </c>
      <c r="BH109" s="1095">
        <f>INDEX(Tab!$B$87:$B$92,BG109,1)</f>
        <v>0</v>
      </c>
      <c r="BI109" s="1095">
        <f>INDEX(Tab!$B$87:$B$92,BG109+1,1)</f>
        <v>15</v>
      </c>
      <c r="BJ109" s="1106">
        <f>INDEX(Tab!$I$87:$J$92,BG109,1+Ausrichtung)</f>
        <v>1</v>
      </c>
      <c r="BK109" s="1106">
        <f>INDEX(Tab!$I$87:$J$92,BG109+1,1+Ausrichtung)</f>
        <v>0.96</v>
      </c>
      <c r="BL109" s="1102">
        <f>MAX(BK109+(BJ109-BK109)/(BI109-BH109)*(BI109-BE109),INDEX(Tab!$I$92:$J$92,1,1+Ausrichtung))</f>
        <v>1</v>
      </c>
      <c r="BN109" s="1093">
        <f>AH109</f>
        <v>0</v>
      </c>
      <c r="BO109" s="1090">
        <f>IF(OR(AB109=0,AD109=0,),0,ATAN(AD109/AB109)*180/PI())</f>
        <v>0</v>
      </c>
      <c r="BP109" s="1094">
        <f>IF(BN109&lt;Tab!$B$98,1,IF(BN109&lt;Tab!$B$99,2,IF(BN109&lt;Tab!$B$100,3,IF(BN109&lt;Tab!$B$101,4,5))))</f>
        <v>1</v>
      </c>
      <c r="BQ109" s="1095">
        <f>INDEX(Tab!$B$97:$B$102,BP109,1)</f>
        <v>0</v>
      </c>
      <c r="BR109" s="1095">
        <f>INDEX(Tab!$B$97:$B$102,BP109+1,1)</f>
        <v>15</v>
      </c>
      <c r="BS109" s="1106">
        <f>INDEX(Tab!$I$97:$J$102,BP109,1+Ausrichtung)</f>
        <v>1</v>
      </c>
      <c r="BT109" s="1106">
        <f>INDEX(Tab!$I$97:$J$102,BP109+1,1+Ausrichtung)</f>
        <v>1</v>
      </c>
      <c r="BU109" s="1923">
        <f>MAX(BT109+(BS109-BT109)/(BR109-BQ109)*(BR109-BN109),INDEX(Tab!$I$102:$J$102,1,1+Ausrichtung))</f>
        <v>1</v>
      </c>
    </row>
    <row r="110" spans="1:108" s="1203" customFormat="1" ht="3.6" customHeight="1">
      <c r="A110" s="531"/>
      <c r="B110" s="531"/>
      <c r="C110" s="2103"/>
      <c r="D110" s="1197"/>
      <c r="E110" s="4"/>
      <c r="F110" s="1192"/>
      <c r="G110" s="4"/>
      <c r="H110" s="1198"/>
      <c r="I110" s="1088"/>
      <c r="J110" s="434"/>
      <c r="K110" s="4"/>
      <c r="L110" s="292"/>
      <c r="M110" s="4"/>
      <c r="N110" s="28"/>
      <c r="O110" s="1199"/>
      <c r="P110" s="2"/>
      <c r="Q110" s="1142"/>
      <c r="R110" s="1129"/>
      <c r="S110" s="1129"/>
      <c r="T110" s="1129"/>
      <c r="U110" s="1129"/>
      <c r="V110" s="1129"/>
      <c r="W110" s="1140"/>
      <c r="X110" s="1193"/>
      <c r="Y110" s="118"/>
      <c r="Z110" s="30"/>
      <c r="AA110" s="30"/>
      <c r="AB110" s="4"/>
      <c r="AC110" s="30"/>
      <c r="AD110" s="4"/>
      <c r="AE110" s="30"/>
      <c r="AF110" s="2"/>
      <c r="AG110" s="434"/>
      <c r="AH110" s="1167"/>
      <c r="AI110" s="57"/>
      <c r="AJ110" s="1142"/>
      <c r="AK110" s="1129"/>
      <c r="AL110" s="1173"/>
      <c r="AM110" s="445"/>
      <c r="AN110" s="445"/>
      <c r="AO110" s="63"/>
      <c r="AP110" s="454"/>
      <c r="AQ110" s="454"/>
      <c r="AR110" s="454"/>
      <c r="AS110" s="445"/>
      <c r="AT110" s="445"/>
      <c r="AU110" s="445"/>
      <c r="AV110" s="27"/>
      <c r="AW110" s="1200"/>
      <c r="AX110" s="327"/>
      <c r="AY110" s="63"/>
      <c r="AZ110" s="63"/>
      <c r="BA110" s="63"/>
      <c r="BB110" s="63"/>
      <c r="BC110" s="1204"/>
      <c r="BD110" s="27"/>
      <c r="BE110" s="1200"/>
      <c r="BF110" s="1200"/>
      <c r="BG110" s="327"/>
      <c r="BH110" s="63"/>
      <c r="BI110" s="63"/>
      <c r="BJ110" s="63"/>
      <c r="BK110" s="63"/>
      <c r="BL110" s="1204"/>
      <c r="BM110" s="27"/>
      <c r="BN110" s="1200"/>
      <c r="BO110" s="1200"/>
      <c r="BP110" s="327"/>
      <c r="BQ110" s="63"/>
      <c r="BR110" s="63"/>
      <c r="BS110" s="63"/>
      <c r="BT110" s="63"/>
      <c r="BU110" s="1204"/>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row>
    <row r="111" spans="1:108" ht="14.45" customHeight="1">
      <c r="A111" s="531"/>
      <c r="B111" s="1509"/>
      <c r="C111" s="2132"/>
      <c r="D111" s="1117"/>
      <c r="E111" s="4"/>
      <c r="F111" s="1120"/>
      <c r="G111" s="4"/>
      <c r="H111" s="618"/>
      <c r="I111" s="1113" t="s">
        <v>1882</v>
      </c>
      <c r="J111" s="360"/>
      <c r="K111" s="264"/>
      <c r="L111" s="292">
        <f>IF(J111&gt;0,IF(K111&gt;0,Fehler1,INDEX(UWert!$BD$7:$BD$41,J111)),K111)</f>
        <v>0</v>
      </c>
      <c r="M111" s="264"/>
      <c r="N111" s="28">
        <f>IF(J111&gt;0,IF(M111&gt;0,Fehler1,INDEX(UWert!$BE$7:$BE$41,J111)),M111)</f>
        <v>0</v>
      </c>
      <c r="O111" s="264"/>
      <c r="P111" s="2"/>
      <c r="Q111" s="1125"/>
      <c r="R111" s="264"/>
      <c r="S111" s="1133" t="s">
        <v>808</v>
      </c>
      <c r="T111" s="264"/>
      <c r="U111" s="1133" t="s">
        <v>808</v>
      </c>
      <c r="V111" s="1110"/>
      <c r="W111" s="1127" t="s">
        <v>1880</v>
      </c>
      <c r="X111" s="1134">
        <f>IF(AND(V111&gt;0,R111&gt;0),Fehler1,IF(V111&gt;0,V111,BF111))</f>
        <v>0</v>
      </c>
      <c r="Y111" s="253"/>
      <c r="Z111" s="199"/>
      <c r="AA111" s="199"/>
      <c r="AB111" s="264"/>
      <c r="AC111" s="1088">
        <f>IF(Ausrichtung=1,"m",)</f>
        <v>0</v>
      </c>
      <c r="AD111" s="264"/>
      <c r="AE111" s="1088">
        <f>IF(Ausrichtung=1,"m",)</f>
        <v>0</v>
      </c>
      <c r="AF111" s="1110"/>
      <c r="AG111" s="434">
        <f>IF(Ausrichtung=1,"°",)</f>
        <v>0</v>
      </c>
      <c r="AH111" s="1167">
        <f>IF(Ausrichtung=1,IF(AND(AF111&gt;0,AB111&gt;0),Fehler1,IF(AF111&gt;0,AF111,BO111)),0)</f>
        <v>0</v>
      </c>
      <c r="AI111" s="514"/>
      <c r="AJ111" s="1125"/>
      <c r="AK111" s="1129">
        <f>BC111*BL111*BU111</f>
        <v>0.94</v>
      </c>
      <c r="AL111" s="1173"/>
      <c r="AM111" s="554">
        <f>IF(O111&gt;0,MIN(O111,0.95),IF(_Ver09,0.7,0.75))</f>
        <v>0.75</v>
      </c>
      <c r="AN111" s="554">
        <f>IF(N111&gt;0,MIN(N111,0.9),)</f>
        <v>0</v>
      </c>
      <c r="AO111" s="63">
        <f>IF(F111&gt;0,H111*F111,H111)</f>
        <v>0</v>
      </c>
      <c r="AP111" s="619">
        <f>$O$99</f>
        <v>30</v>
      </c>
      <c r="AQ111" s="1187"/>
      <c r="AR111" s="619"/>
      <c r="AS111" s="1184" t="b">
        <f>IF(B111=$AN$5,TRUE,FALSE)</f>
        <v>0</v>
      </c>
      <c r="AT111" s="445">
        <f>IF(AS111,MAX(1,F111)*H111,0)</f>
        <v>0</v>
      </c>
      <c r="AU111" s="626" t="str">
        <f>IF(AND(AO111&gt;0,OR(L111=0,N111=0,X111="",AH111="")),"Nicht alle Eingaben gewählt","")</f>
        <v/>
      </c>
      <c r="AV111" s="174"/>
      <c r="AW111" s="1093">
        <f>AP111</f>
        <v>30</v>
      </c>
      <c r="AX111" s="1094">
        <f>IF(AW111&lt;Tab!$B$78,1,IF(AW111&lt;Tab!$B$79,2,IF(AW111&lt;Tab!$B$80,3,IF(AW111&lt;Tab!$B$81,4,IF(AW111&lt;Tab!$B$82,5,IF(AW111&lt;Tab!$B$83,6,7))))))</f>
        <v>4</v>
      </c>
      <c r="AY111" s="1095">
        <f>INDEX(Tab!$B$77:$B$84,AX111,1)</f>
        <v>30</v>
      </c>
      <c r="AZ111" s="1095">
        <f>INDEX(Tab!$B$77:$B$84,AX111+1,1)</f>
        <v>40</v>
      </c>
      <c r="BA111" s="1106">
        <f>INDEX(Tab!$I$77:$J$84,AX111,1+Ausrichtung)</f>
        <v>0.94</v>
      </c>
      <c r="BB111" s="1106">
        <f>INDEX(Tab!$I$77:$J$84,AX111+1,1+Ausrichtung)</f>
        <v>0.9</v>
      </c>
      <c r="BC111" s="1102">
        <f>MAX(BB111+(BA111-BB111)/(AZ111-AY111)*(AZ111-AW111),INDEX(Tab!$I$84:$J$84,1,1+Ausrichtung))</f>
        <v>0.94</v>
      </c>
      <c r="BE111" s="1090">
        <f>X111</f>
        <v>0</v>
      </c>
      <c r="BF111" s="1109">
        <f>IF(OR(R111=0,T111=0,),0,ATAN(T111/R111)*180/PI())</f>
        <v>0</v>
      </c>
      <c r="BG111" s="1094">
        <f>IF(BE111&lt;Tab!$B$88,1,IF(BE111&lt;Tab!$B$89,2,IF(BE111&lt;Tab!$B$90,3,IF(BE111&lt;Tab!$B$91,4,5))))</f>
        <v>1</v>
      </c>
      <c r="BH111" s="1095">
        <f>INDEX(Tab!$B$87:$B$92,BG111,1)</f>
        <v>0</v>
      </c>
      <c r="BI111" s="1095">
        <f>INDEX(Tab!$B$87:$B$92,BG111+1,1)</f>
        <v>15</v>
      </c>
      <c r="BJ111" s="1106">
        <f>INDEX(Tab!$I$87:$J$92,BG111,1+Ausrichtung)</f>
        <v>1</v>
      </c>
      <c r="BK111" s="1106">
        <f>INDEX(Tab!$I$87:$J$92,BG111+1,1+Ausrichtung)</f>
        <v>0.96</v>
      </c>
      <c r="BL111" s="1102">
        <f>MAX(BK111+(BJ111-BK111)/(BI111-BH111)*(BI111-BE111),INDEX(Tab!$I$92:$J$92,1,1+Ausrichtung))</f>
        <v>1</v>
      </c>
      <c r="BN111" s="1093">
        <f>AH111</f>
        <v>0</v>
      </c>
      <c r="BO111" s="1109">
        <f>IF(OR(AB111=0,AD111=0,),0,ATAN(AD111/AB111)*180/PI())</f>
        <v>0</v>
      </c>
      <c r="BP111" s="1094">
        <f>IF(BN111&lt;Tab!$B$98,1,IF(BN111&lt;Tab!$B$99,2,IF(BN111&lt;Tab!$B$100,3,IF(BN111&lt;Tab!$B$101,4,5))))</f>
        <v>1</v>
      </c>
      <c r="BQ111" s="1095">
        <f>INDEX(Tab!$B$97:$B$102,BP111,1)</f>
        <v>0</v>
      </c>
      <c r="BR111" s="1095">
        <f>INDEX(Tab!$B$97:$B$102,BP111+1,1)</f>
        <v>15</v>
      </c>
      <c r="BS111" s="1106">
        <f>INDEX(Tab!$I$97:$J$102,BP111,1+Ausrichtung)</f>
        <v>1</v>
      </c>
      <c r="BT111" s="1106">
        <f>INDEX(Tab!$I$97:$J$102,BP111+1,1+Ausrichtung)</f>
        <v>1</v>
      </c>
      <c r="BU111" s="1923">
        <f>MAX(BT111+(BS111-BT111)/(BR111-BQ111)*(BR111-BN111),INDEX(Tab!$I$102:$J$102,1,1+Ausrichtung))</f>
        <v>1</v>
      </c>
    </row>
    <row r="112" spans="1:108" s="1203" customFormat="1" ht="3.6" customHeight="1">
      <c r="A112" s="531"/>
      <c r="B112" s="531"/>
      <c r="C112" s="2103"/>
      <c r="D112" s="1197"/>
      <c r="E112" s="4"/>
      <c r="F112" s="1192"/>
      <c r="G112" s="4"/>
      <c r="H112" s="1198"/>
      <c r="I112" s="1088"/>
      <c r="J112" s="434"/>
      <c r="K112" s="1199"/>
      <c r="L112" s="292"/>
      <c r="M112" s="4"/>
      <c r="N112" s="28"/>
      <c r="O112" s="1199"/>
      <c r="P112" s="2"/>
      <c r="Q112" s="1142"/>
      <c r="R112" s="1129"/>
      <c r="S112" s="1205"/>
      <c r="T112" s="1129"/>
      <c r="U112" s="1129"/>
      <c r="V112" s="1129"/>
      <c r="W112" s="1140"/>
      <c r="X112" s="1193"/>
      <c r="Y112" s="118"/>
      <c r="Z112" s="30"/>
      <c r="AA112" s="30"/>
      <c r="AB112" s="4"/>
      <c r="AC112" s="30"/>
      <c r="AD112" s="4"/>
      <c r="AE112" s="30"/>
      <c r="AF112" s="2"/>
      <c r="AG112" s="434"/>
      <c r="AH112" s="1167"/>
      <c r="AI112" s="57"/>
      <c r="AJ112" s="1142"/>
      <c r="AK112" s="1129"/>
      <c r="AL112" s="1173"/>
      <c r="AM112" s="445"/>
      <c r="AN112" s="445"/>
      <c r="AO112" s="63"/>
      <c r="AP112" s="454"/>
      <c r="AQ112" s="454"/>
      <c r="AR112" s="454"/>
      <c r="AS112" s="445"/>
      <c r="AT112" s="445"/>
      <c r="AU112" s="445"/>
      <c r="AV112" s="27"/>
      <c r="AW112" s="1200"/>
      <c r="AX112" s="305"/>
      <c r="AY112" s="59"/>
      <c r="AZ112" s="59"/>
      <c r="BA112" s="59"/>
      <c r="BB112" s="59"/>
      <c r="BC112" s="1201"/>
      <c r="BD112" s="27"/>
      <c r="BE112" s="1200"/>
      <c r="BF112" s="1202"/>
      <c r="BG112" s="305"/>
      <c r="BH112" s="59"/>
      <c r="BI112" s="59"/>
      <c r="BJ112" s="59"/>
      <c r="BK112" s="59"/>
      <c r="BL112" s="1201"/>
      <c r="BM112" s="27"/>
      <c r="BN112" s="1200"/>
      <c r="BO112" s="1202"/>
      <c r="BP112" s="305"/>
      <c r="BQ112" s="59"/>
      <c r="BR112" s="59"/>
      <c r="BS112" s="59"/>
      <c r="BT112" s="59"/>
      <c r="BU112" s="1201"/>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row>
    <row r="113" spans="1:108" ht="14.45" customHeight="1">
      <c r="A113" s="531"/>
      <c r="B113" s="1509"/>
      <c r="C113" s="2132"/>
      <c r="D113" s="1117"/>
      <c r="E113" s="4"/>
      <c r="F113" s="1120"/>
      <c r="G113" s="4"/>
      <c r="H113" s="618"/>
      <c r="I113" s="1113" t="s">
        <v>1882</v>
      </c>
      <c r="J113" s="360"/>
      <c r="K113" s="264"/>
      <c r="L113" s="292">
        <f>IF(J113&gt;0,IF(K113&gt;0,Fehler1,INDEX(UWert!$BD$7:$BD$41,J113)),K113)</f>
        <v>0</v>
      </c>
      <c r="M113" s="264"/>
      <c r="N113" s="28">
        <f>IF(J113&gt;0,IF(M113&gt;0,Fehler1,INDEX(UWert!$BE$7:$BE$41,J113)),M113)</f>
        <v>0</v>
      </c>
      <c r="O113" s="264"/>
      <c r="P113" s="2"/>
      <c r="Q113" s="1125"/>
      <c r="R113" s="264"/>
      <c r="S113" s="1133" t="s">
        <v>808</v>
      </c>
      <c r="T113" s="264"/>
      <c r="U113" s="1133" t="s">
        <v>808</v>
      </c>
      <c r="V113" s="1110"/>
      <c r="W113" s="1127" t="s">
        <v>1880</v>
      </c>
      <c r="X113" s="1134">
        <f>IF(AND(V113&gt;0,R113&gt;0),Fehler1,IF(V113&gt;0,V113,BF113))</f>
        <v>0</v>
      </c>
      <c r="Y113" s="253"/>
      <c r="Z113" s="199"/>
      <c r="AA113" s="199"/>
      <c r="AB113" s="264"/>
      <c r="AC113" s="1088">
        <f>IF(Ausrichtung=1,"m",)</f>
        <v>0</v>
      </c>
      <c r="AD113" s="264"/>
      <c r="AE113" s="1088">
        <f>IF(Ausrichtung=1,"m",)</f>
        <v>0</v>
      </c>
      <c r="AF113" s="1110"/>
      <c r="AG113" s="434">
        <f>IF(Ausrichtung=1,"°",)</f>
        <v>0</v>
      </c>
      <c r="AH113" s="1167">
        <f>IF(Ausrichtung=1,IF(AND(AF113&gt;0,AB113&gt;0),Fehler1,IF(AF113&gt;0,AF113,BO113)),0)</f>
        <v>0</v>
      </c>
      <c r="AI113" s="514"/>
      <c r="AJ113" s="1125"/>
      <c r="AK113" s="1129">
        <f>BC113*BL113*BU113</f>
        <v>0.94</v>
      </c>
      <c r="AL113" s="1173"/>
      <c r="AM113" s="554">
        <f>IF(O113&gt;0,MIN(O113,0.95),IF(_Ver09,0.7,0.75))</f>
        <v>0.75</v>
      </c>
      <c r="AN113" s="554">
        <f>IF(N113&gt;0,MIN(N113,0.9),)</f>
        <v>0</v>
      </c>
      <c r="AO113" s="63">
        <f>IF(F113&gt;0,H113*F113,H113)</f>
        <v>0</v>
      </c>
      <c r="AP113" s="619">
        <f>$O$99</f>
        <v>30</v>
      </c>
      <c r="AQ113" s="1187"/>
      <c r="AR113" s="619"/>
      <c r="AS113" s="1184" t="b">
        <f>IF(B113=$AN$5,TRUE,FALSE)</f>
        <v>0</v>
      </c>
      <c r="AT113" s="445">
        <f>IF(AS113,MAX(1,F113)*H113,0)</f>
        <v>0</v>
      </c>
      <c r="AU113" s="626" t="str">
        <f>IF(AND(AO113&gt;0,OR(L113=0,N113=0,X113="",AH113="")),"Nicht alle Eingaben gewählt","")</f>
        <v/>
      </c>
      <c r="AV113" s="174"/>
      <c r="AW113" s="1093">
        <f>AP113</f>
        <v>30</v>
      </c>
      <c r="AX113" s="1094">
        <f>IF(AW113&lt;Tab!$B$78,1,IF(AW113&lt;Tab!$B$79,2,IF(AW113&lt;Tab!$B$80,3,IF(AW113&lt;Tab!$B$81,4,IF(AW113&lt;Tab!$B$82,5,IF(AW113&lt;Tab!$B$83,6,7))))))</f>
        <v>4</v>
      </c>
      <c r="AY113" s="1095">
        <f>INDEX(Tab!$B$77:$B$84,AX113,1)</f>
        <v>30</v>
      </c>
      <c r="AZ113" s="1095">
        <f>INDEX(Tab!$B$77:$B$84,AX113+1,1)</f>
        <v>40</v>
      </c>
      <c r="BA113" s="1106">
        <f>INDEX(Tab!$I$77:$J$84,AX113,1+Ausrichtung)</f>
        <v>0.94</v>
      </c>
      <c r="BB113" s="1106">
        <f>INDEX(Tab!$I$77:$J$84,AX113+1,1+Ausrichtung)</f>
        <v>0.9</v>
      </c>
      <c r="BC113" s="1102">
        <f>MAX(BB113+(BA113-BB113)/(AZ113-AY113)*(AZ113-AW113),INDEX(Tab!$I$84:$J$84,1,1+Ausrichtung))</f>
        <v>0.94</v>
      </c>
      <c r="BE113" s="1090">
        <f>X113</f>
        <v>0</v>
      </c>
      <c r="BF113" s="1109">
        <f>IF(OR(R113=0,T113=0,),0,ATAN(T113/R113)*180/PI())</f>
        <v>0</v>
      </c>
      <c r="BG113" s="1094">
        <f>IF(BE113&lt;Tab!$B$88,1,IF(BE113&lt;Tab!$B$89,2,IF(BE113&lt;Tab!$B$90,3,IF(BE113&lt;Tab!$B$91,4,5))))</f>
        <v>1</v>
      </c>
      <c r="BH113" s="1095">
        <f>INDEX(Tab!$B$87:$B$92,BG113,1)</f>
        <v>0</v>
      </c>
      <c r="BI113" s="1095">
        <f>INDEX(Tab!$B$87:$B$92,BG113+1,1)</f>
        <v>15</v>
      </c>
      <c r="BJ113" s="1106">
        <f>INDEX(Tab!$I$87:$J$92,BG113,1+Ausrichtung)</f>
        <v>1</v>
      </c>
      <c r="BK113" s="1106">
        <f>INDEX(Tab!$I$87:$J$92,BG113+1,1+Ausrichtung)</f>
        <v>0.96</v>
      </c>
      <c r="BL113" s="1102">
        <f>MAX(BK113+(BJ113-BK113)/(BI113-BH113)*(BI113-BE113),INDEX(Tab!$I$92:$J$92,1,1+Ausrichtung))</f>
        <v>1</v>
      </c>
      <c r="BN113" s="1093">
        <f>AH113</f>
        <v>0</v>
      </c>
      <c r="BO113" s="1109">
        <f>IF(OR(AB113=0,AD113=0,),0,ATAN(AD113/AB113)*180/PI())</f>
        <v>0</v>
      </c>
      <c r="BP113" s="1094">
        <f>IF(BN113&lt;Tab!$B$98,1,IF(BN113&lt;Tab!$B$99,2,IF(BN113&lt;Tab!$B$100,3,IF(BN113&lt;Tab!$B$101,4,5))))</f>
        <v>1</v>
      </c>
      <c r="BQ113" s="1095">
        <f>INDEX(Tab!$B$97:$B$102,BP113,1)</f>
        <v>0</v>
      </c>
      <c r="BR113" s="1095">
        <f>INDEX(Tab!$B$97:$B$102,BP113+1,1)</f>
        <v>15</v>
      </c>
      <c r="BS113" s="1106">
        <f>INDEX(Tab!$I$97:$J$102,BP113,1+Ausrichtung)</f>
        <v>1</v>
      </c>
      <c r="BT113" s="1106">
        <f>INDEX(Tab!$I$97:$J$102,BP113+1,1+Ausrichtung)</f>
        <v>1</v>
      </c>
      <c r="BU113" s="1923">
        <f>MAX(BT113+(BS113-BT113)/(BR113-BQ113)*(BR113-BN113),INDEX(Tab!$I$102:$J$102,1,1+Ausrichtung))</f>
        <v>1</v>
      </c>
    </row>
    <row r="114" spans="1:108" s="1203" customFormat="1" ht="3.6" customHeight="1">
      <c r="A114" s="531"/>
      <c r="B114" s="531"/>
      <c r="C114" s="2103"/>
      <c r="D114" s="1197"/>
      <c r="E114" s="4"/>
      <c r="F114" s="1192"/>
      <c r="G114" s="4"/>
      <c r="H114" s="1198"/>
      <c r="I114" s="1088"/>
      <c r="J114" s="434"/>
      <c r="K114" s="1199"/>
      <c r="L114" s="292"/>
      <c r="M114" s="4"/>
      <c r="N114" s="28"/>
      <c r="O114" s="1199"/>
      <c r="P114" s="2"/>
      <c r="Q114" s="1142"/>
      <c r="R114" s="1129"/>
      <c r="S114" s="1129"/>
      <c r="T114" s="1129"/>
      <c r="U114" s="1129"/>
      <c r="V114" s="1129"/>
      <c r="W114" s="1140"/>
      <c r="X114" s="1193"/>
      <c r="Y114" s="118"/>
      <c r="Z114" s="30"/>
      <c r="AA114" s="30"/>
      <c r="AB114" s="4"/>
      <c r="AC114" s="30"/>
      <c r="AD114" s="4"/>
      <c r="AE114" s="30"/>
      <c r="AF114" s="2"/>
      <c r="AG114" s="434"/>
      <c r="AH114" s="1167"/>
      <c r="AI114" s="57"/>
      <c r="AJ114" s="1142"/>
      <c r="AK114" s="1129"/>
      <c r="AL114" s="1173"/>
      <c r="AM114" s="445"/>
      <c r="AN114" s="445"/>
      <c r="AO114" s="63"/>
      <c r="AP114" s="454"/>
      <c r="AQ114" s="454"/>
      <c r="AR114" s="454"/>
      <c r="AS114" s="445"/>
      <c r="AT114" s="445"/>
      <c r="AU114" s="445"/>
      <c r="AV114" s="27"/>
      <c r="AW114" s="1200"/>
      <c r="AX114" s="305"/>
      <c r="AY114" s="59"/>
      <c r="AZ114" s="59"/>
      <c r="BA114" s="59"/>
      <c r="BB114" s="59"/>
      <c r="BC114" s="1201"/>
      <c r="BD114" s="27"/>
      <c r="BE114" s="1200"/>
      <c r="BF114" s="1202"/>
      <c r="BG114" s="305"/>
      <c r="BH114" s="59"/>
      <c r="BI114" s="59"/>
      <c r="BJ114" s="59"/>
      <c r="BK114" s="59"/>
      <c r="BL114" s="1201"/>
      <c r="BM114" s="27"/>
      <c r="BN114" s="1200"/>
      <c r="BO114" s="1202"/>
      <c r="BP114" s="305"/>
      <c r="BQ114" s="59"/>
      <c r="BR114" s="59"/>
      <c r="BS114" s="59"/>
      <c r="BT114" s="59"/>
      <c r="BU114" s="1201"/>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row>
    <row r="115" spans="1:108" ht="14.45" customHeight="1">
      <c r="A115" s="531"/>
      <c r="B115" s="1509"/>
      <c r="C115" s="2132"/>
      <c r="D115" s="1117"/>
      <c r="E115" s="4"/>
      <c r="F115" s="1120"/>
      <c r="G115" s="4"/>
      <c r="H115" s="618"/>
      <c r="I115" s="1113" t="s">
        <v>1882</v>
      </c>
      <c r="J115" s="360"/>
      <c r="K115" s="264"/>
      <c r="L115" s="292">
        <f>IF(J115&gt;0,IF(K115&gt;0,Fehler1,INDEX(UWert!$BD$7:$BD$41,J115)),K115)</f>
        <v>0</v>
      </c>
      <c r="M115" s="264"/>
      <c r="N115" s="28">
        <f>IF(J115&gt;0,IF(M115&gt;0,Fehler1,INDEX(UWert!$BE$7:$BE$41,J115)),M115)</f>
        <v>0</v>
      </c>
      <c r="O115" s="264"/>
      <c r="P115" s="2"/>
      <c r="Q115" s="1125"/>
      <c r="R115" s="264"/>
      <c r="S115" s="1133" t="s">
        <v>808</v>
      </c>
      <c r="T115" s="264"/>
      <c r="U115" s="1133" t="s">
        <v>808</v>
      </c>
      <c r="V115" s="1110"/>
      <c r="W115" s="1127" t="s">
        <v>1880</v>
      </c>
      <c r="X115" s="1134">
        <f>IF(AND(V115&gt;0,R115&gt;0),Fehler1,IF(V115&gt;0,V115,BF115))</f>
        <v>0</v>
      </c>
      <c r="Y115" s="253"/>
      <c r="Z115" s="199"/>
      <c r="AA115" s="199"/>
      <c r="AB115" s="264"/>
      <c r="AC115" s="1088">
        <f>IF(Ausrichtung=1,"m",)</f>
        <v>0</v>
      </c>
      <c r="AD115" s="264"/>
      <c r="AE115" s="1088">
        <f>IF(Ausrichtung=1,"m",)</f>
        <v>0</v>
      </c>
      <c r="AF115" s="1110"/>
      <c r="AG115" s="434">
        <f>IF(Ausrichtung=1,"°",)</f>
        <v>0</v>
      </c>
      <c r="AH115" s="1167">
        <f>IF(Ausrichtung=1,IF(AND(AF115&gt;0,AB115&gt;0),Fehler1,IF(AF115&gt;0,AF115,BO115)),0)</f>
        <v>0</v>
      </c>
      <c r="AI115" s="514"/>
      <c r="AJ115" s="1125"/>
      <c r="AK115" s="1129">
        <f>BC115*BL115*BU115</f>
        <v>0.94</v>
      </c>
      <c r="AL115" s="1173"/>
      <c r="AM115" s="554">
        <f>IF(O115&gt;0,MIN(O115,0.95),IF(_Ver09,0.7,0.75))</f>
        <v>0.75</v>
      </c>
      <c r="AN115" s="554">
        <f>IF(N115&gt;0,MIN(N115,0.9),)</f>
        <v>0</v>
      </c>
      <c r="AO115" s="63">
        <f>IF(F115&gt;0,H115*F115,H115)</f>
        <v>0</v>
      </c>
      <c r="AP115" s="619">
        <f>$O$99</f>
        <v>30</v>
      </c>
      <c r="AQ115" s="1187"/>
      <c r="AR115" s="619"/>
      <c r="AS115" s="1184" t="b">
        <f>IF(B115=$AN$5,TRUE,FALSE)</f>
        <v>0</v>
      </c>
      <c r="AT115" s="445">
        <f>IF(AS115,MAX(1,F115)*H115,0)</f>
        <v>0</v>
      </c>
      <c r="AU115" s="626" t="str">
        <f>IF(AND(AO115&gt;0,OR(L115=0,N115=0,X115="",AH115="")),"Nicht alle Eingaben gewählt","")</f>
        <v/>
      </c>
      <c r="AV115" s="174"/>
      <c r="AW115" s="1090">
        <f>AP115</f>
        <v>30</v>
      </c>
      <c r="AX115" s="1094">
        <f>IF(AW115&lt;Tab!$B$78,1,IF(AW115&lt;Tab!$B$79,2,IF(AW115&lt;Tab!$B$80,3,IF(AW115&lt;Tab!$B$81,4,IF(AW115&lt;Tab!$B$82,5,IF(AW115&lt;Tab!$B$83,6,7))))))</f>
        <v>4</v>
      </c>
      <c r="AY115" s="1095">
        <f>INDEX(Tab!$B$77:$B$84,AX115,1)</f>
        <v>30</v>
      </c>
      <c r="AZ115" s="1095">
        <f>INDEX(Tab!$B$77:$B$84,AX115+1,1)</f>
        <v>40</v>
      </c>
      <c r="BA115" s="1106">
        <f>INDEX(Tab!$I$77:$J$84,AX115,1+Ausrichtung)</f>
        <v>0.94</v>
      </c>
      <c r="BB115" s="1106">
        <f>INDEX(Tab!$I$77:$J$84,AX115+1,1+Ausrichtung)</f>
        <v>0.9</v>
      </c>
      <c r="BC115" s="1102">
        <f>MAX(BB115+(BA115-BB115)/(AZ115-AY115)*(AZ115-AW115),INDEX(Tab!$I$84:$J$84,1,1+Ausrichtung))</f>
        <v>0.94</v>
      </c>
      <c r="BE115" s="1090">
        <f>X115</f>
        <v>0</v>
      </c>
      <c r="BF115" s="1109">
        <f>IF(OR(R115=0,T115=0,),0,ATAN(T115/R115)*180/PI())</f>
        <v>0</v>
      </c>
      <c r="BG115" s="1094">
        <f>IF(BE115&lt;Tab!$B$88,1,IF(BE115&lt;Tab!$B$89,2,IF(BE115&lt;Tab!$B$90,3,IF(BE115&lt;Tab!$B$91,4,5))))</f>
        <v>1</v>
      </c>
      <c r="BH115" s="1095">
        <f>INDEX(Tab!$B$87:$B$92,BG115,1)</f>
        <v>0</v>
      </c>
      <c r="BI115" s="1095">
        <f>INDEX(Tab!$B$87:$B$92,BG115+1,1)</f>
        <v>15</v>
      </c>
      <c r="BJ115" s="1106">
        <f>INDEX(Tab!$I$87:$J$92,BG115,1+Ausrichtung)</f>
        <v>1</v>
      </c>
      <c r="BK115" s="1106">
        <f>INDEX(Tab!$I$87:$J$92,BG115+1,1+Ausrichtung)</f>
        <v>0.96</v>
      </c>
      <c r="BL115" s="1102">
        <f>MAX(BK115+(BJ115-BK115)/(BI115-BH115)*(BI115-BE115),INDEX(Tab!$I$92:$J$92,1,1+Ausrichtung))</f>
        <v>1</v>
      </c>
      <c r="BN115" s="1093">
        <f>AH115</f>
        <v>0</v>
      </c>
      <c r="BO115" s="1109">
        <f>IF(OR(AB115=0,AD115=0,),0,ATAN(AD115/AB115)*180/PI())</f>
        <v>0</v>
      </c>
      <c r="BP115" s="1094">
        <f>IF(BN115&lt;Tab!$B$98,1,IF(BN115&lt;Tab!$B$99,2,IF(BN115&lt;Tab!$B$100,3,IF(BN115&lt;Tab!$B$101,4,5))))</f>
        <v>1</v>
      </c>
      <c r="BQ115" s="1095">
        <f>INDEX(Tab!$B$97:$B$102,BP115,1)</f>
        <v>0</v>
      </c>
      <c r="BR115" s="1095">
        <f>INDEX(Tab!$B$97:$B$102,BP115+1,1)</f>
        <v>15</v>
      </c>
      <c r="BS115" s="1106">
        <f>INDEX(Tab!$I$97:$J$102,BP115,1+Ausrichtung)</f>
        <v>1</v>
      </c>
      <c r="BT115" s="1106">
        <f>INDEX(Tab!$I$97:$J$102,BP115+1,1+Ausrichtung)</f>
        <v>1</v>
      </c>
      <c r="BU115" s="1923">
        <f>MAX(BT115+(BS115-BT115)/(BR115-BQ115)*(BR115-BN115),INDEX(Tab!$I$102:$J$102,1,1+Ausrichtung))</f>
        <v>1</v>
      </c>
    </row>
    <row r="116" spans="1:108" s="1203" customFormat="1" ht="3.6" customHeight="1">
      <c r="A116" s="531"/>
      <c r="B116" s="531"/>
      <c r="C116" s="2103"/>
      <c r="D116" s="1197"/>
      <c r="E116" s="4"/>
      <c r="F116" s="1192"/>
      <c r="G116" s="4"/>
      <c r="H116" s="1198"/>
      <c r="I116" s="1088"/>
      <c r="J116" s="434"/>
      <c r="K116" s="1199"/>
      <c r="L116" s="292"/>
      <c r="M116" s="4"/>
      <c r="N116" s="28"/>
      <c r="O116" s="1199"/>
      <c r="P116" s="2"/>
      <c r="Q116" s="1142"/>
      <c r="R116" s="1129"/>
      <c r="S116" s="1129"/>
      <c r="T116" s="1129"/>
      <c r="U116" s="1129"/>
      <c r="V116" s="1129"/>
      <c r="W116" s="1140"/>
      <c r="X116" s="1193"/>
      <c r="Y116" s="118"/>
      <c r="Z116" s="30"/>
      <c r="AA116" s="30"/>
      <c r="AB116" s="4"/>
      <c r="AC116" s="30"/>
      <c r="AD116" s="4"/>
      <c r="AE116" s="30"/>
      <c r="AF116" s="2"/>
      <c r="AG116" s="434"/>
      <c r="AH116" s="1167"/>
      <c r="AI116" s="57"/>
      <c r="AJ116" s="1142"/>
      <c r="AK116" s="1129"/>
      <c r="AL116" s="1173"/>
      <c r="AM116" s="445"/>
      <c r="AN116" s="445"/>
      <c r="AO116" s="63"/>
      <c r="AP116" s="454"/>
      <c r="AQ116" s="454"/>
      <c r="AR116" s="454"/>
      <c r="AS116" s="445"/>
      <c r="AT116" s="445"/>
      <c r="AU116" s="445"/>
      <c r="AV116" s="27"/>
      <c r="AW116" s="1200"/>
      <c r="AX116" s="327"/>
      <c r="AY116" s="63"/>
      <c r="AZ116" s="63"/>
      <c r="BA116" s="63"/>
      <c r="BB116" s="63"/>
      <c r="BC116" s="1204"/>
      <c r="BD116" s="27"/>
      <c r="BE116" s="1206"/>
      <c r="BF116" s="1207"/>
      <c r="BG116" s="327"/>
      <c r="BH116" s="63"/>
      <c r="BI116" s="63"/>
      <c r="BJ116" s="63"/>
      <c r="BK116" s="63"/>
      <c r="BL116" s="1204"/>
      <c r="BM116" s="27"/>
      <c r="BN116" s="1200"/>
      <c r="BO116" s="1207"/>
      <c r="BP116" s="327"/>
      <c r="BQ116" s="63"/>
      <c r="BR116" s="63"/>
      <c r="BS116" s="63"/>
      <c r="BT116" s="63"/>
      <c r="BU116" s="1204"/>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row>
    <row r="117" spans="1:108" ht="14.45" customHeight="1">
      <c r="A117" s="531"/>
      <c r="B117" s="1509"/>
      <c r="C117" s="2132"/>
      <c r="D117" s="1117"/>
      <c r="E117" s="4"/>
      <c r="F117" s="1120"/>
      <c r="G117" s="4"/>
      <c r="H117" s="618"/>
      <c r="I117" s="1113" t="s">
        <v>1882</v>
      </c>
      <c r="J117" s="360"/>
      <c r="K117" s="264"/>
      <c r="L117" s="292">
        <f>IF(J117&gt;0,IF(K117&gt;0,Fehler1,INDEX(UWert!$BD$7:$BD$41,J117)),K117)</f>
        <v>0</v>
      </c>
      <c r="M117" s="264"/>
      <c r="N117" s="28">
        <f>IF(J117&gt;0,IF(M117&gt;0,Fehler1,INDEX(UWert!$BE$7:$BE$41,J117)),M117)</f>
        <v>0</v>
      </c>
      <c r="O117" s="264"/>
      <c r="P117" s="2"/>
      <c r="Q117" s="1125"/>
      <c r="R117" s="264"/>
      <c r="S117" s="1133" t="s">
        <v>808</v>
      </c>
      <c r="T117" s="264"/>
      <c r="U117" s="1133" t="s">
        <v>808</v>
      </c>
      <c r="V117" s="1110"/>
      <c r="W117" s="1127" t="s">
        <v>1880</v>
      </c>
      <c r="X117" s="1134">
        <f>IF(AND(V117&gt;0,R117&gt;0),Fehler1,IF(V117&gt;0,V117,BF117))</f>
        <v>0</v>
      </c>
      <c r="Y117" s="253"/>
      <c r="Z117" s="199"/>
      <c r="AA117" s="199"/>
      <c r="AB117" s="264"/>
      <c r="AC117" s="1088">
        <f>IF(Ausrichtung=1,"m",)</f>
        <v>0</v>
      </c>
      <c r="AD117" s="264"/>
      <c r="AE117" s="1088">
        <f>IF(Ausrichtung=1,"m",)</f>
        <v>0</v>
      </c>
      <c r="AF117" s="1110"/>
      <c r="AG117" s="434">
        <f>IF(Ausrichtung=1,"°",)</f>
        <v>0</v>
      </c>
      <c r="AH117" s="1167">
        <f>IF(Ausrichtung=1,IF(AND(AF117&gt;0,AB117&gt;0),Fehler1,IF(AF117&gt;0,AF117,BO117)),0)</f>
        <v>0</v>
      </c>
      <c r="AI117" s="514"/>
      <c r="AJ117" s="1125"/>
      <c r="AK117" s="1129">
        <f>BC117*BL117*BU117</f>
        <v>0.94</v>
      </c>
      <c r="AL117" s="1173"/>
      <c r="AM117" s="554">
        <f>IF(O117&gt;0,MIN(O117,0.95),IF(_Ver09,0.7,0.75))</f>
        <v>0.75</v>
      </c>
      <c r="AN117" s="554">
        <f>IF(N117&gt;0,MIN(N117,0.9),)</f>
        <v>0</v>
      </c>
      <c r="AO117" s="63">
        <f>IF(F117&gt;0,H117*F117,H117)</f>
        <v>0</v>
      </c>
      <c r="AP117" s="619">
        <f>$O$99</f>
        <v>30</v>
      </c>
      <c r="AQ117" s="1187"/>
      <c r="AR117" s="619"/>
      <c r="AS117" s="1184" t="b">
        <f>IF(B117=$AN$5,TRUE,FALSE)</f>
        <v>0</v>
      </c>
      <c r="AT117" s="445">
        <f>IF(AS117,MAX(1,F117)*H117,0)</f>
        <v>0</v>
      </c>
      <c r="AU117" s="626" t="str">
        <f>IF(AND(AO117&gt;0,OR(L117=0,N117=0,X117="",AH117="")),"Nicht alle Eingaben gewählt","")</f>
        <v/>
      </c>
      <c r="AV117" s="174"/>
      <c r="AW117" s="1093">
        <f>AP117</f>
        <v>30</v>
      </c>
      <c r="AX117" s="1094">
        <f>IF(AW117&lt;Tab!$B$78,1,IF(AW117&lt;Tab!$B$79,2,IF(AW117&lt;Tab!$B$80,3,IF(AW117&lt;Tab!$B$81,4,IF(AW117&lt;Tab!$B$82,5,IF(AW117&lt;Tab!$B$83,6,7))))))</f>
        <v>4</v>
      </c>
      <c r="AY117" s="1095">
        <f>INDEX(Tab!$B$77:$B$84,AX117,1)</f>
        <v>30</v>
      </c>
      <c r="AZ117" s="1095">
        <f>INDEX(Tab!$B$77:$B$84,AX117+1,1)</f>
        <v>40</v>
      </c>
      <c r="BA117" s="1106">
        <f>INDEX(Tab!$I$77:$J$84,AX117,1+Ausrichtung)</f>
        <v>0.94</v>
      </c>
      <c r="BB117" s="1106">
        <f>INDEX(Tab!$I$77:$J$84,AX117+1,1+Ausrichtung)</f>
        <v>0.9</v>
      </c>
      <c r="BC117" s="1102">
        <f>MAX(BB117+(BA117-BB117)/(AZ117-AY117)*(AZ117-AW117),INDEX(Tab!$I$84:$J$84,1,1+Ausrichtung))</f>
        <v>0.94</v>
      </c>
      <c r="BE117" s="1090">
        <f>X117</f>
        <v>0</v>
      </c>
      <c r="BF117" s="1090">
        <f>IF(OR(R117=0,T117=0,),0,ATAN(T117/R117)*180/PI())</f>
        <v>0</v>
      </c>
      <c r="BG117" s="1094">
        <f>IF(BE117&lt;Tab!$B$88,1,IF(BE117&lt;Tab!$B$89,2,IF(BE117&lt;Tab!$B$90,3,IF(BE117&lt;Tab!$B$91,4,5))))</f>
        <v>1</v>
      </c>
      <c r="BH117" s="1095">
        <f>INDEX(Tab!$B$87:$B$92,BG117,1)</f>
        <v>0</v>
      </c>
      <c r="BI117" s="1095">
        <f>INDEX(Tab!$B$87:$B$92,BG117+1,1)</f>
        <v>15</v>
      </c>
      <c r="BJ117" s="1106">
        <f>INDEX(Tab!$I$87:$J$92,BG117,1+Ausrichtung)</f>
        <v>1</v>
      </c>
      <c r="BK117" s="1106">
        <f>INDEX(Tab!$I$87:$J$92,BG117+1,1+Ausrichtung)</f>
        <v>0.96</v>
      </c>
      <c r="BL117" s="1102">
        <f>MAX(BK117+(BJ117-BK117)/(BI117-BH117)*(BI117-BE117),INDEX(Tab!$I$92:$J$92,1,1+Ausrichtung))</f>
        <v>1</v>
      </c>
      <c r="BN117" s="1093">
        <f>AH117</f>
        <v>0</v>
      </c>
      <c r="BO117" s="1090">
        <f>IF(OR(AB117=0,AD117=0,),0,ATAN(AD117/AB117)*180/PI())</f>
        <v>0</v>
      </c>
      <c r="BP117" s="1094">
        <f>IF(BN117&lt;Tab!$B$98,1,IF(BN117&lt;Tab!$B$99,2,IF(BN117&lt;Tab!$B$100,3,IF(BN117&lt;Tab!$B$101,4,5))))</f>
        <v>1</v>
      </c>
      <c r="BQ117" s="1095">
        <f>INDEX(Tab!$B$97:$B$102,BP117,1)</f>
        <v>0</v>
      </c>
      <c r="BR117" s="1095">
        <f>INDEX(Tab!$B$97:$B$102,BP117+1,1)</f>
        <v>15</v>
      </c>
      <c r="BS117" s="1106">
        <f>INDEX(Tab!$I$97:$J$102,BP117,1+Ausrichtung)</f>
        <v>1</v>
      </c>
      <c r="BT117" s="1106">
        <f>INDEX(Tab!$I$97:$J$102,BP117+1,1+Ausrichtung)</f>
        <v>1</v>
      </c>
      <c r="BU117" s="1923">
        <f>MAX(BT117+(BS117-BT117)/(BR117-BQ117)*(BR117-BN117),INDEX(Tab!$I$102:$J$102,1,1+Ausrichtung))</f>
        <v>1</v>
      </c>
    </row>
    <row r="118" spans="1:108" s="1203" customFormat="1" ht="3.6" customHeight="1">
      <c r="A118" s="531"/>
      <c r="B118" s="531"/>
      <c r="C118" s="531"/>
      <c r="D118" s="273"/>
      <c r="E118" s="4"/>
      <c r="F118" s="4"/>
      <c r="G118" s="4"/>
      <c r="H118" s="440"/>
      <c r="I118" s="1088"/>
      <c r="J118" s="1088"/>
      <c r="K118" s="434"/>
      <c r="L118" s="292"/>
      <c r="M118" s="174"/>
      <c r="N118" s="28"/>
      <c r="O118" s="4"/>
      <c r="P118" s="2"/>
      <c r="Q118" s="1142"/>
      <c r="R118" s="1129"/>
      <c r="S118" s="1129"/>
      <c r="T118" s="1129"/>
      <c r="U118" s="1129"/>
      <c r="V118" s="1129"/>
      <c r="W118" s="1140"/>
      <c r="X118" s="1193"/>
      <c r="Y118" s="27"/>
      <c r="Z118" s="27"/>
      <c r="AA118" s="27"/>
      <c r="AB118" s="2"/>
      <c r="AC118" s="1088"/>
      <c r="AD118" s="2"/>
      <c r="AE118" s="1088"/>
      <c r="AF118" s="2"/>
      <c r="AG118" s="2"/>
      <c r="AH118" s="1166"/>
      <c r="AI118" s="57"/>
      <c r="AJ118" s="1140"/>
      <c r="AK118" s="1129"/>
      <c r="AL118" s="1173"/>
      <c r="AM118" s="445"/>
      <c r="AN118" s="445"/>
      <c r="AO118" s="63"/>
      <c r="AP118" s="454"/>
      <c r="AQ118" s="454"/>
      <c r="AR118" s="454"/>
      <c r="AS118" s="454"/>
      <c r="AT118" s="440"/>
      <c r="AU118" s="445"/>
      <c r="AV118" s="27"/>
      <c r="AW118" s="267"/>
      <c r="AX118" s="31"/>
      <c r="AY118" s="31"/>
      <c r="AZ118" s="31"/>
      <c r="BA118" s="31"/>
      <c r="BB118" s="31"/>
      <c r="BC118" s="1208"/>
      <c r="BD118" s="27"/>
      <c r="BE118" s="267"/>
      <c r="BF118" s="267"/>
      <c r="BG118" s="31"/>
      <c r="BH118" s="31"/>
      <c r="BI118" s="31"/>
      <c r="BJ118" s="31"/>
      <c r="BK118" s="31"/>
      <c r="BL118" s="1208"/>
      <c r="BM118" s="27"/>
      <c r="BN118" s="267"/>
      <c r="BO118" s="267"/>
      <c r="BP118" s="31"/>
      <c r="BQ118" s="31"/>
      <c r="BR118" s="31"/>
      <c r="BS118" s="31"/>
      <c r="BT118" s="31"/>
      <c r="BU118" s="1208"/>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row>
    <row r="119" spans="1:108" ht="14.45" customHeight="1">
      <c r="A119" s="531"/>
      <c r="B119" s="531"/>
      <c r="C119" s="531"/>
      <c r="D119" s="434" t="str">
        <f>D96</f>
        <v>total / valeur du milieu:</v>
      </c>
      <c r="E119" s="273"/>
      <c r="F119" s="2">
        <f>SUM(F103:F117)</f>
        <v>0</v>
      </c>
      <c r="G119" s="273"/>
      <c r="H119" s="619">
        <f>AO119</f>
        <v>0</v>
      </c>
      <c r="I119" s="1088" t="s">
        <v>1882</v>
      </c>
      <c r="J119" s="1088"/>
      <c r="K119" s="454"/>
      <c r="L119" s="445">
        <f>IF(Projekt!$AE$3="entech",IF(SUM(AO103:AO117)=0,,SUMPRODUCT(AO103:AO117,L103:L117)/SUM(AO103:AO117)),20)</f>
        <v>20</v>
      </c>
      <c r="M119" s="174"/>
      <c r="N119" s="454">
        <f>IF(Fenstertool,AH120,IF(Projekt!$AE$3="entech",IF((AO119*AK119*O119)=0,,SUMPRODUCT(AO103:AO117,AN103:AN117,AM103:AM117,AK103:AK117)/(AO119*AK119*O119)),))</f>
        <v>0</v>
      </c>
      <c r="O119" s="454">
        <f>IF(SUM(AO103:AO117)=0,,(SUMPRODUCT(AM103:AM117,AO103:AO117))/SUM(AO103:AO117))</f>
        <v>0</v>
      </c>
      <c r="P119" s="2"/>
      <c r="Q119" s="1125"/>
      <c r="R119" s="1168"/>
      <c r="S119" s="1127"/>
      <c r="T119" s="1129"/>
      <c r="U119" s="1127"/>
      <c r="V119" s="1127"/>
      <c r="W119" s="1127"/>
      <c r="X119" s="1128"/>
      <c r="Y119" s="174"/>
      <c r="Z119" s="174"/>
      <c r="AA119" s="174"/>
      <c r="AB119" s="2"/>
      <c r="AC119" s="1088"/>
      <c r="AD119" s="2"/>
      <c r="AE119" s="1088"/>
      <c r="AF119" s="1489" t="str">
        <f>IF(Fenstertool,Uebersetzung!D333,"")</f>
        <v/>
      </c>
      <c r="AG119" s="2"/>
      <c r="AH119" s="1719"/>
      <c r="AI119" s="514"/>
      <c r="AJ119" s="1127"/>
      <c r="AK119" s="1487">
        <f>IF(Fenstertool,AH119,IF(SUM(AO103:AO117)=0,,(SUMPRODUCT(AK103:AK117,AO103:AO117))/SUM(AO103:AO117)))</f>
        <v>0</v>
      </c>
      <c r="AL119" s="1173"/>
      <c r="AM119" s="454"/>
      <c r="AN119" s="454"/>
      <c r="AO119" s="63">
        <f>SUM(AO103:AO117)</f>
        <v>0</v>
      </c>
      <c r="AP119" s="454"/>
      <c r="AQ119" s="1181"/>
      <c r="AR119" s="454"/>
      <c r="AS119" s="1181"/>
      <c r="AT119" s="440">
        <f>SUM(AT103:AT117)</f>
        <v>0</v>
      </c>
      <c r="AU119" s="454"/>
      <c r="AV119" s="174"/>
      <c r="BB119" s="256" t="s">
        <v>1147</v>
      </c>
      <c r="BC119" s="1363">
        <f>IF($H119&gt;0,(BC103*$AO103+BC105*$AO105+BC107*$AO107+BC109*$AO109+BC111*$AO111+BC113*$AO113+BC115*$AO115+BC117*$AO117)/$H119,)</f>
        <v>0</v>
      </c>
      <c r="BK119" s="256" t="s">
        <v>1147</v>
      </c>
      <c r="BL119" s="1363">
        <f>IF($H119&gt;0,(BL103*$AO103+BL105*$AO105+BL107*$AO107+BL109*$AO109+BL111*$AO111+BL113*$AO113+BL115*$AO115+BL117*$AO117)/$H119,)</f>
        <v>0</v>
      </c>
      <c r="BT119" s="256" t="s">
        <v>1147</v>
      </c>
      <c r="BU119" s="1363">
        <f>IF($H119&gt;0,(BU103*$AO103+BU105*$AO105+BU107*$AO107+BU109*$AO109+BU111*$AO111+BU113*$AO113+BU115*$AO115+BU117*$AO117)/$H119,)</f>
        <v>0</v>
      </c>
    </row>
    <row r="120" spans="1:108">
      <c r="A120" s="1152"/>
      <c r="B120" s="1152"/>
      <c r="C120" s="1152"/>
      <c r="D120" s="1157"/>
      <c r="E120" s="31"/>
      <c r="F120" s="1092"/>
      <c r="G120" s="31"/>
      <c r="H120" s="196"/>
      <c r="I120" s="196"/>
      <c r="J120" s="196"/>
      <c r="K120" s="196"/>
      <c r="L120" s="1092"/>
      <c r="M120" s="196"/>
      <c r="N120" s="1092"/>
      <c r="O120" s="196"/>
      <c r="P120" s="196"/>
      <c r="Q120" s="1163"/>
      <c r="R120" s="1164"/>
      <c r="S120" s="1154"/>
      <c r="T120" s="1164"/>
      <c r="U120" s="1154"/>
      <c r="V120" s="1154"/>
      <c r="W120" s="1154"/>
      <c r="X120" s="1162"/>
      <c r="Y120" s="196"/>
      <c r="Z120" s="196"/>
      <c r="AA120" s="196"/>
      <c r="AB120" s="15"/>
      <c r="AC120" s="15"/>
      <c r="AD120" s="15"/>
      <c r="AE120" s="15"/>
      <c r="AF120" s="1488" t="str">
        <f>IF(Fenstertool,Uebersetzung!D332,"")</f>
        <v/>
      </c>
      <c r="AG120" s="15"/>
      <c r="AH120" s="1718"/>
      <c r="AI120" s="518"/>
      <c r="AJ120" s="1154"/>
      <c r="AK120" s="1164"/>
      <c r="AL120" s="1177"/>
      <c r="AM120" s="196"/>
      <c r="AN120" s="196"/>
      <c r="AO120" s="1092"/>
      <c r="AP120" s="1092"/>
      <c r="AQ120" s="331"/>
      <c r="AR120" s="1092"/>
      <c r="AS120" s="331"/>
      <c r="AT120" s="1092"/>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row>
    <row r="121" spans="1:108">
      <c r="A121" s="1114"/>
      <c r="B121" s="1114"/>
      <c r="C121" s="1114"/>
      <c r="D121" s="554"/>
      <c r="E121" s="30"/>
      <c r="F121" s="1091"/>
      <c r="G121" s="30"/>
      <c r="H121" s="174"/>
      <c r="I121" s="174"/>
      <c r="J121" s="174"/>
      <c r="K121" s="174"/>
      <c r="L121" s="1091"/>
      <c r="M121" s="174"/>
      <c r="N121" s="1091"/>
      <c r="O121" s="174"/>
      <c r="P121" s="174"/>
      <c r="Q121" s="174"/>
      <c r="R121" s="174"/>
      <c r="S121" s="174"/>
      <c r="T121" s="174"/>
      <c r="U121" s="174"/>
      <c r="V121" s="174"/>
      <c r="W121" s="174"/>
      <c r="X121" s="554"/>
      <c r="Y121" s="174"/>
      <c r="Z121" s="174"/>
      <c r="AA121" s="174"/>
      <c r="AB121" s="174"/>
      <c r="AC121" s="174"/>
      <c r="AD121" s="174"/>
      <c r="AE121" s="174"/>
      <c r="AF121" s="174"/>
      <c r="AG121" s="174"/>
      <c r="AH121" s="554"/>
      <c r="AI121" s="174"/>
      <c r="AJ121" s="174"/>
      <c r="AK121" s="174"/>
      <c r="AL121" s="174"/>
      <c r="AM121" s="174"/>
      <c r="AN121" s="174"/>
      <c r="AO121" s="1091"/>
      <c r="AP121" s="1091"/>
      <c r="AQ121" s="1180"/>
      <c r="AR121" s="1091"/>
      <c r="AS121" s="1180"/>
      <c r="AT121" s="1091"/>
      <c r="AU121" s="174"/>
      <c r="AV121" s="174"/>
    </row>
    <row r="122" spans="1:108">
      <c r="A122" s="1114"/>
      <c r="B122" s="1114"/>
      <c r="C122" s="1114"/>
      <c r="D122" s="554"/>
      <c r="E122" s="30"/>
      <c r="F122" s="1091"/>
      <c r="G122" s="30"/>
      <c r="H122" s="174"/>
      <c r="I122" s="174"/>
      <c r="J122" s="174"/>
      <c r="K122" s="174"/>
      <c r="L122" s="1091"/>
      <c r="M122" s="174"/>
      <c r="N122" s="1091"/>
      <c r="O122" s="174"/>
      <c r="P122" s="174"/>
      <c r="Q122" s="174"/>
      <c r="R122" s="174"/>
      <c r="S122" s="174"/>
      <c r="T122" s="174"/>
      <c r="U122" s="174"/>
      <c r="V122" s="174"/>
      <c r="W122" s="174"/>
      <c r="X122" s="554"/>
      <c r="Y122" s="174"/>
      <c r="Z122" s="174"/>
      <c r="AA122" s="174"/>
      <c r="AB122" s="174"/>
      <c r="AC122" s="174"/>
      <c r="AD122" s="174"/>
      <c r="AE122" s="174"/>
      <c r="AF122" s="174"/>
      <c r="AG122" s="174"/>
      <c r="AH122" s="554"/>
      <c r="AI122" s="174"/>
      <c r="AJ122" s="174"/>
      <c r="AK122" s="174"/>
      <c r="AL122" s="174"/>
      <c r="AM122" s="174"/>
      <c r="AN122" s="174"/>
      <c r="AO122" s="1091"/>
      <c r="AP122" s="1091"/>
      <c r="AQ122" s="1180"/>
      <c r="AR122" s="1091"/>
      <c r="AS122" s="1180"/>
      <c r="AT122" s="1091"/>
      <c r="AU122" s="174"/>
      <c r="AV122" s="174"/>
    </row>
    <row r="123" spans="1:108">
      <c r="A123" s="1114"/>
      <c r="B123" s="1114"/>
      <c r="C123" s="1114"/>
      <c r="D123" s="554"/>
      <c r="E123" s="30"/>
      <c r="F123" s="1091"/>
      <c r="G123" s="30"/>
      <c r="H123" s="174"/>
      <c r="I123" s="174"/>
      <c r="J123" s="174"/>
      <c r="K123" s="174"/>
      <c r="L123" s="1091"/>
      <c r="M123" s="174"/>
      <c r="N123" s="1091"/>
      <c r="O123" s="174"/>
      <c r="P123" s="174"/>
      <c r="Q123" s="174"/>
      <c r="R123" s="174"/>
      <c r="S123" s="174"/>
      <c r="T123" s="174"/>
      <c r="U123" s="174"/>
      <c r="V123" s="174"/>
      <c r="W123" s="174"/>
      <c r="X123" s="554"/>
      <c r="Y123" s="174"/>
      <c r="Z123" s="174"/>
      <c r="AA123" s="174"/>
      <c r="AB123" s="174"/>
      <c r="AC123" s="174"/>
      <c r="AD123" s="174"/>
      <c r="AE123" s="174"/>
      <c r="AF123" s="174"/>
      <c r="AG123" s="174"/>
      <c r="AH123" s="554"/>
      <c r="AI123" s="174"/>
      <c r="AJ123" s="174"/>
      <c r="AK123" s="174"/>
      <c r="AL123" s="174"/>
      <c r="AM123" s="174"/>
      <c r="AN123" s="174"/>
      <c r="AO123" s="1091"/>
      <c r="AP123" s="1091"/>
      <c r="AQ123" s="1180"/>
      <c r="AR123" s="1091"/>
      <c r="AS123" s="1180"/>
      <c r="AT123" s="1091"/>
      <c r="AU123" s="174"/>
      <c r="AV123" s="174"/>
    </row>
    <row r="124" spans="1:108">
      <c r="A124" s="1114"/>
      <c r="B124" s="1114"/>
      <c r="C124" s="1114"/>
      <c r="D124" s="554"/>
      <c r="E124" s="30"/>
      <c r="F124" s="1091"/>
      <c r="G124" s="30"/>
      <c r="H124" s="174"/>
      <c r="I124" s="174"/>
      <c r="J124" s="174"/>
      <c r="K124" s="174"/>
      <c r="L124" s="1091"/>
      <c r="M124" s="174"/>
      <c r="N124" s="1091"/>
      <c r="O124" s="174"/>
      <c r="P124" s="174"/>
      <c r="Q124" s="174"/>
      <c r="R124" s="174"/>
      <c r="S124" s="174"/>
      <c r="T124" s="174"/>
      <c r="U124" s="174"/>
      <c r="V124" s="174"/>
      <c r="W124" s="174"/>
      <c r="X124" s="554"/>
      <c r="Y124" s="174"/>
      <c r="Z124" s="174"/>
      <c r="AA124" s="174"/>
      <c r="AB124" s="174"/>
      <c r="AC124" s="174"/>
      <c r="AD124" s="174"/>
      <c r="AE124" s="174"/>
      <c r="AF124" s="174"/>
      <c r="AG124" s="174"/>
      <c r="AH124" s="554"/>
      <c r="AI124" s="174"/>
      <c r="AJ124" s="174"/>
      <c r="AK124" s="174"/>
      <c r="AL124" s="174"/>
      <c r="AM124" s="174"/>
      <c r="AN124" s="174"/>
      <c r="AO124" s="1091"/>
      <c r="AP124" s="1091"/>
      <c r="AQ124" s="1180"/>
      <c r="AR124" s="1091"/>
      <c r="AS124" s="1180"/>
      <c r="AT124" s="1091"/>
      <c r="AU124" s="174"/>
      <c r="AV124" s="174"/>
    </row>
    <row r="125" spans="1:108">
      <c r="A125" s="1114"/>
      <c r="B125" s="1114"/>
      <c r="C125" s="1114"/>
      <c r="D125" s="554"/>
      <c r="E125" s="30"/>
      <c r="F125" s="1091"/>
      <c r="G125" s="30"/>
      <c r="H125" s="174"/>
      <c r="I125" s="174"/>
      <c r="J125" s="174"/>
      <c r="K125" s="174"/>
      <c r="L125" s="1091"/>
      <c r="M125" s="174"/>
      <c r="N125" s="1091"/>
      <c r="O125" s="174"/>
      <c r="P125" s="174"/>
      <c r="Q125" s="174"/>
      <c r="R125" s="174"/>
      <c r="S125" s="174"/>
      <c r="T125" s="174"/>
      <c r="U125" s="174"/>
      <c r="V125" s="174"/>
      <c r="W125" s="174"/>
      <c r="X125" s="554"/>
      <c r="Y125" s="174"/>
      <c r="Z125" s="174"/>
      <c r="AA125" s="174"/>
      <c r="AB125" s="174"/>
      <c r="AC125" s="174"/>
      <c r="AD125" s="174"/>
      <c r="AE125" s="174"/>
      <c r="AF125" s="174"/>
      <c r="AG125" s="174"/>
      <c r="AH125" s="554"/>
      <c r="AI125" s="174"/>
      <c r="AJ125" s="174"/>
      <c r="AK125" s="174"/>
      <c r="AL125" s="174"/>
      <c r="AM125" s="174"/>
      <c r="AN125" s="174"/>
      <c r="AO125" s="1091"/>
      <c r="AP125" s="1091"/>
      <c r="AQ125" s="1180"/>
      <c r="AR125" s="1091"/>
      <c r="AS125" s="1180"/>
      <c r="AT125" s="1091"/>
      <c r="AU125" s="174"/>
      <c r="AV125" s="174"/>
    </row>
    <row r="126" spans="1:108">
      <c r="A126" s="1114"/>
      <c r="B126" s="1114"/>
      <c r="C126" s="1114"/>
      <c r="D126" s="554"/>
      <c r="E126" s="30"/>
      <c r="F126" s="1091"/>
      <c r="G126" s="30"/>
      <c r="H126" s="174"/>
      <c r="I126" s="174"/>
      <c r="J126" s="174"/>
      <c r="K126" s="174"/>
      <c r="L126" s="1091"/>
      <c r="M126" s="174"/>
      <c r="N126" s="1091"/>
      <c r="O126" s="174"/>
      <c r="P126" s="174"/>
      <c r="Q126" s="174"/>
      <c r="R126" s="174"/>
      <c r="S126" s="174"/>
      <c r="T126" s="174"/>
      <c r="U126" s="174"/>
      <c r="V126" s="174"/>
      <c r="W126" s="174"/>
      <c r="X126" s="554"/>
      <c r="Y126" s="174"/>
      <c r="Z126" s="174"/>
      <c r="AA126" s="174"/>
      <c r="AB126" s="174"/>
      <c r="AC126" s="174"/>
      <c r="AD126" s="174"/>
      <c r="AE126" s="174"/>
      <c r="AF126" s="174"/>
      <c r="AG126" s="174"/>
      <c r="AH126" s="554"/>
      <c r="AI126" s="174"/>
      <c r="AJ126" s="174"/>
      <c r="AK126" s="174"/>
      <c r="AL126" s="174"/>
      <c r="AM126" s="174"/>
      <c r="AN126" s="174"/>
      <c r="AO126" s="1091"/>
      <c r="AP126" s="1091"/>
      <c r="AQ126" s="1180"/>
      <c r="AR126" s="1091"/>
      <c r="AS126" s="1180"/>
      <c r="AT126" s="1091"/>
      <c r="AU126" s="174"/>
      <c r="AV126" s="174"/>
    </row>
    <row r="127" spans="1:108">
      <c r="A127" s="1114"/>
      <c r="B127" s="1114"/>
      <c r="C127" s="1114"/>
      <c r="D127" s="554"/>
      <c r="E127" s="30"/>
      <c r="F127" s="1091"/>
      <c r="G127" s="30"/>
      <c r="H127" s="174"/>
      <c r="I127" s="174"/>
      <c r="J127" s="174"/>
      <c r="K127" s="174"/>
      <c r="L127" s="1091"/>
      <c r="M127" s="174"/>
      <c r="N127" s="1091"/>
      <c r="O127" s="174"/>
      <c r="P127" s="174"/>
      <c r="Q127" s="174"/>
      <c r="R127" s="174"/>
      <c r="S127" s="174"/>
      <c r="T127" s="174"/>
      <c r="U127" s="174"/>
      <c r="V127" s="174"/>
      <c r="W127" s="174"/>
      <c r="X127" s="554"/>
      <c r="Y127" s="174"/>
      <c r="Z127" s="174"/>
      <c r="AA127" s="174"/>
      <c r="AB127" s="174"/>
      <c r="AC127" s="174"/>
      <c r="AD127" s="174"/>
      <c r="AE127" s="174"/>
      <c r="AF127" s="174"/>
      <c r="AG127" s="174"/>
      <c r="AH127" s="554"/>
      <c r="AI127" s="174"/>
      <c r="AJ127" s="174"/>
      <c r="AK127" s="174"/>
      <c r="AL127" s="174"/>
      <c r="AM127" s="174"/>
      <c r="AN127" s="174"/>
      <c r="AO127" s="1091"/>
      <c r="AP127" s="1091"/>
      <c r="AQ127" s="1180"/>
      <c r="AR127" s="1091"/>
      <c r="AS127" s="1180"/>
      <c r="AT127" s="1091"/>
      <c r="AU127" s="174"/>
      <c r="AV127" s="174"/>
    </row>
    <row r="128" spans="1:108">
      <c r="A128" s="1114"/>
      <c r="B128" s="1114"/>
      <c r="C128" s="1114"/>
      <c r="D128" s="554"/>
      <c r="E128" s="30"/>
      <c r="F128" s="1091"/>
      <c r="G128" s="30"/>
      <c r="H128" s="174"/>
      <c r="I128" s="174"/>
      <c r="J128" s="174"/>
      <c r="K128" s="174"/>
      <c r="L128" s="1091"/>
      <c r="M128" s="174"/>
      <c r="N128" s="1091"/>
      <c r="O128" s="174"/>
      <c r="P128" s="174"/>
      <c r="Q128" s="174"/>
      <c r="R128" s="174"/>
      <c r="S128" s="174"/>
      <c r="T128" s="174"/>
      <c r="U128" s="174"/>
      <c r="V128" s="174"/>
      <c r="W128" s="174"/>
      <c r="X128" s="554"/>
      <c r="Y128" s="174"/>
      <c r="Z128" s="174"/>
      <c r="AA128" s="174"/>
      <c r="AB128" s="174"/>
      <c r="AC128" s="174"/>
      <c r="AD128" s="174"/>
      <c r="AE128" s="174"/>
      <c r="AF128" s="174"/>
      <c r="AG128" s="174"/>
      <c r="AH128" s="554"/>
      <c r="AI128" s="174"/>
      <c r="AJ128" s="174"/>
      <c r="AK128" s="174"/>
      <c r="AL128" s="174"/>
      <c r="AM128" s="174"/>
      <c r="AN128" s="174"/>
      <c r="AO128" s="1091"/>
      <c r="AP128" s="1091"/>
      <c r="AQ128" s="1180"/>
      <c r="AR128" s="1091"/>
      <c r="AS128" s="1180"/>
      <c r="AT128" s="1091"/>
      <c r="AU128" s="174"/>
      <c r="AV128" s="174"/>
    </row>
    <row r="129" spans="1:48">
      <c r="A129" s="1114"/>
      <c r="B129" s="1114"/>
      <c r="C129" s="1114"/>
      <c r="D129" s="554"/>
      <c r="E129" s="30"/>
      <c r="F129" s="1091"/>
      <c r="G129" s="30"/>
      <c r="H129" s="174"/>
      <c r="I129" s="174"/>
      <c r="J129" s="174"/>
      <c r="K129" s="174"/>
      <c r="L129" s="1091"/>
      <c r="M129" s="174"/>
      <c r="N129" s="1091"/>
      <c r="O129" s="174"/>
      <c r="P129" s="174"/>
      <c r="Q129" s="174"/>
      <c r="R129" s="174"/>
      <c r="S129" s="174"/>
      <c r="T129" s="174"/>
      <c r="U129" s="174"/>
      <c r="V129" s="174"/>
      <c r="W129" s="174"/>
      <c r="X129" s="554"/>
      <c r="Y129" s="174"/>
      <c r="Z129" s="174"/>
      <c r="AA129" s="174"/>
      <c r="AB129" s="174"/>
      <c r="AC129" s="174"/>
      <c r="AD129" s="174"/>
      <c r="AE129" s="174"/>
      <c r="AF129" s="174"/>
      <c r="AG129" s="174"/>
      <c r="AH129" s="554"/>
      <c r="AI129" s="174"/>
      <c r="AJ129" s="174"/>
      <c r="AK129" s="174"/>
      <c r="AL129" s="174"/>
      <c r="AM129" s="174"/>
      <c r="AN129" s="174"/>
      <c r="AO129" s="1091"/>
      <c r="AP129" s="1091"/>
      <c r="AQ129" s="1180"/>
      <c r="AR129" s="1091"/>
      <c r="AS129" s="1180"/>
      <c r="AT129" s="1091"/>
      <c r="AU129" s="174"/>
      <c r="AV129" s="174"/>
    </row>
    <row r="130" spans="1:48">
      <c r="A130" s="1114"/>
      <c r="B130" s="1114"/>
      <c r="C130" s="1114"/>
      <c r="D130" s="554"/>
      <c r="E130" s="30"/>
      <c r="F130" s="1091"/>
      <c r="G130" s="30"/>
      <c r="H130" s="174"/>
      <c r="I130" s="174"/>
      <c r="J130" s="174"/>
      <c r="K130" s="174"/>
      <c r="L130" s="1091"/>
      <c r="M130" s="174"/>
      <c r="N130" s="1091"/>
      <c r="O130" s="174"/>
      <c r="P130" s="174"/>
      <c r="Q130" s="174"/>
      <c r="R130" s="174"/>
      <c r="S130" s="174"/>
      <c r="T130" s="174"/>
      <c r="U130" s="174"/>
      <c r="V130" s="174"/>
      <c r="W130" s="174"/>
      <c r="X130" s="554"/>
      <c r="Y130" s="174"/>
      <c r="Z130" s="174"/>
      <c r="AA130" s="174"/>
      <c r="AB130" s="174"/>
      <c r="AC130" s="174"/>
      <c r="AD130" s="174"/>
      <c r="AE130" s="174"/>
      <c r="AF130" s="174"/>
      <c r="AG130" s="174"/>
      <c r="AH130" s="554"/>
      <c r="AI130" s="174"/>
      <c r="AJ130" s="174"/>
      <c r="AK130" s="174"/>
      <c r="AL130" s="174"/>
      <c r="AM130" s="174"/>
      <c r="AN130" s="174"/>
      <c r="AO130" s="1091"/>
      <c r="AP130" s="1091"/>
      <c r="AQ130" s="1180"/>
      <c r="AR130" s="1091"/>
      <c r="AS130" s="1180"/>
      <c r="AT130" s="1091"/>
      <c r="AU130" s="174"/>
      <c r="AV130" s="174"/>
    </row>
    <row r="131" spans="1:48">
      <c r="A131" s="1114"/>
      <c r="B131" s="1114"/>
      <c r="C131" s="1114"/>
      <c r="D131" s="554"/>
      <c r="E131" s="30"/>
      <c r="F131" s="1091"/>
      <c r="G131" s="30"/>
      <c r="H131" s="174"/>
      <c r="I131" s="174"/>
      <c r="J131" s="174"/>
      <c r="K131" s="174"/>
      <c r="L131" s="1091"/>
      <c r="M131" s="174"/>
      <c r="N131" s="1091"/>
      <c r="O131" s="174"/>
      <c r="P131" s="174"/>
      <c r="Q131" s="174"/>
      <c r="R131" s="174"/>
      <c r="S131" s="174"/>
      <c r="T131" s="174"/>
      <c r="U131" s="174"/>
      <c r="V131" s="174"/>
      <c r="W131" s="174"/>
      <c r="X131" s="554"/>
      <c r="Y131" s="174"/>
      <c r="Z131" s="174"/>
      <c r="AA131" s="174"/>
      <c r="AB131" s="174"/>
      <c r="AC131" s="174"/>
      <c r="AD131" s="174"/>
      <c r="AE131" s="174"/>
      <c r="AF131" s="174"/>
      <c r="AG131" s="174"/>
      <c r="AH131" s="554"/>
      <c r="AI131" s="174"/>
      <c r="AJ131" s="174"/>
      <c r="AK131" s="174"/>
      <c r="AL131" s="174"/>
      <c r="AM131" s="174"/>
      <c r="AN131" s="174"/>
      <c r="AO131" s="1091"/>
      <c r="AP131" s="1091"/>
      <c r="AQ131" s="1180"/>
      <c r="AR131" s="1091"/>
      <c r="AS131" s="1180"/>
      <c r="AT131" s="1091"/>
      <c r="AU131" s="174"/>
      <c r="AV131" s="174"/>
    </row>
    <row r="132" spans="1:48">
      <c r="A132" s="1114"/>
      <c r="B132" s="1114"/>
      <c r="C132" s="1114"/>
      <c r="D132" s="554"/>
      <c r="E132" s="30"/>
      <c r="F132" s="1091"/>
      <c r="G132" s="30"/>
      <c r="H132" s="174"/>
      <c r="I132" s="174"/>
      <c r="J132" s="174"/>
      <c r="K132" s="174"/>
      <c r="L132" s="1091"/>
      <c r="M132" s="174"/>
      <c r="N132" s="1091"/>
      <c r="O132" s="174"/>
      <c r="P132" s="174"/>
      <c r="Q132" s="174"/>
      <c r="R132" s="174"/>
      <c r="S132" s="174"/>
      <c r="T132" s="174"/>
      <c r="U132" s="174"/>
      <c r="V132" s="174"/>
      <c r="W132" s="174"/>
      <c r="X132" s="554"/>
      <c r="Y132" s="174"/>
      <c r="Z132" s="174"/>
      <c r="AA132" s="174"/>
      <c r="AB132" s="174"/>
      <c r="AC132" s="174"/>
      <c r="AD132" s="174"/>
      <c r="AE132" s="174"/>
      <c r="AF132" s="174"/>
      <c r="AG132" s="174"/>
      <c r="AH132" s="554"/>
      <c r="AI132" s="174"/>
      <c r="AJ132" s="174"/>
      <c r="AK132" s="174"/>
      <c r="AL132" s="174"/>
      <c r="AM132" s="174"/>
      <c r="AN132" s="174"/>
      <c r="AO132" s="1091"/>
      <c r="AP132" s="1091"/>
      <c r="AQ132" s="1180"/>
      <c r="AR132" s="1091"/>
      <c r="AS132" s="1180"/>
      <c r="AT132" s="1091"/>
      <c r="AU132" s="174"/>
      <c r="AV132" s="174"/>
    </row>
    <row r="133" spans="1:48">
      <c r="A133" s="1114"/>
      <c r="B133" s="1114"/>
      <c r="C133" s="1114"/>
      <c r="D133" s="554"/>
      <c r="E133" s="30"/>
      <c r="F133" s="1091"/>
      <c r="G133" s="30"/>
      <c r="H133" s="174"/>
      <c r="I133" s="174"/>
      <c r="J133" s="174"/>
      <c r="K133" s="174"/>
      <c r="L133" s="1091"/>
      <c r="M133" s="174"/>
      <c r="N133" s="1091"/>
      <c r="O133" s="174"/>
      <c r="P133" s="174"/>
      <c r="Q133" s="174"/>
      <c r="R133" s="174"/>
      <c r="S133" s="174"/>
      <c r="T133" s="174"/>
      <c r="U133" s="174"/>
      <c r="V133" s="174"/>
      <c r="W133" s="174"/>
      <c r="X133" s="554"/>
      <c r="Y133" s="174"/>
      <c r="Z133" s="174"/>
      <c r="AA133" s="174"/>
      <c r="AB133" s="174"/>
      <c r="AC133" s="174"/>
      <c r="AD133" s="174"/>
      <c r="AE133" s="174"/>
      <c r="AF133" s="174"/>
      <c r="AG133" s="174"/>
      <c r="AH133" s="554"/>
      <c r="AI133" s="174"/>
      <c r="AJ133" s="174"/>
      <c r="AK133" s="174"/>
      <c r="AL133" s="174"/>
      <c r="AM133" s="174"/>
      <c r="AN133" s="174"/>
      <c r="AO133" s="1091"/>
      <c r="AP133" s="1091"/>
      <c r="AQ133" s="1180"/>
      <c r="AR133" s="1091"/>
      <c r="AS133" s="1180"/>
      <c r="AT133" s="1091"/>
      <c r="AU133" s="174"/>
      <c r="AV133" s="174"/>
    </row>
    <row r="134" spans="1:48">
      <c r="A134" s="1114"/>
      <c r="B134" s="1114"/>
      <c r="C134" s="1114"/>
      <c r="D134" s="554"/>
      <c r="E134" s="30"/>
      <c r="F134" s="1091"/>
      <c r="G134" s="30"/>
      <c r="H134" s="174"/>
      <c r="I134" s="174"/>
      <c r="J134" s="174"/>
      <c r="K134" s="174"/>
      <c r="L134" s="1091"/>
      <c r="M134" s="174"/>
      <c r="N134" s="1091"/>
      <c r="O134" s="174"/>
      <c r="P134" s="174"/>
      <c r="Q134" s="174"/>
      <c r="R134" s="174"/>
      <c r="S134" s="174"/>
      <c r="T134" s="174"/>
      <c r="U134" s="174"/>
      <c r="V134" s="174"/>
      <c r="W134" s="174"/>
      <c r="X134" s="554"/>
      <c r="Y134" s="174"/>
      <c r="Z134" s="174"/>
      <c r="AA134" s="174"/>
      <c r="AB134" s="174"/>
      <c r="AC134" s="174"/>
      <c r="AD134" s="174"/>
      <c r="AE134" s="174"/>
      <c r="AF134" s="174"/>
      <c r="AG134" s="174"/>
      <c r="AH134" s="554"/>
      <c r="AI134" s="174"/>
      <c r="AJ134" s="174"/>
      <c r="AK134" s="174"/>
      <c r="AL134" s="174"/>
      <c r="AM134" s="174"/>
      <c r="AN134" s="174"/>
      <c r="AO134" s="1091"/>
      <c r="AP134" s="1091"/>
      <c r="AQ134" s="1180"/>
      <c r="AR134" s="1091"/>
      <c r="AS134" s="1180"/>
      <c r="AT134" s="1091"/>
      <c r="AU134" s="174"/>
      <c r="AV134" s="174"/>
    </row>
    <row r="135" spans="1:48">
      <c r="A135" s="1114"/>
      <c r="B135" s="1114"/>
      <c r="C135" s="1114"/>
      <c r="D135" s="554"/>
      <c r="E135" s="30"/>
      <c r="F135" s="1091"/>
      <c r="G135" s="30"/>
      <c r="H135" s="174"/>
      <c r="I135" s="174"/>
      <c r="J135" s="174"/>
      <c r="K135" s="174"/>
      <c r="L135" s="1091"/>
      <c r="M135" s="174"/>
      <c r="N135" s="1091"/>
      <c r="O135" s="174"/>
      <c r="P135" s="174"/>
      <c r="Q135" s="174"/>
      <c r="R135" s="174"/>
      <c r="S135" s="174"/>
      <c r="T135" s="174"/>
      <c r="U135" s="174"/>
      <c r="V135" s="174"/>
      <c r="W135" s="174"/>
      <c r="X135" s="554"/>
      <c r="Y135" s="174"/>
      <c r="Z135" s="174"/>
      <c r="AA135" s="174"/>
      <c r="AB135" s="174"/>
      <c r="AC135" s="174"/>
      <c r="AD135" s="174"/>
      <c r="AE135" s="174"/>
      <c r="AF135" s="174"/>
      <c r="AG135" s="174"/>
      <c r="AH135" s="554"/>
      <c r="AI135" s="174"/>
      <c r="AJ135" s="174"/>
      <c r="AK135" s="174"/>
      <c r="AL135" s="174"/>
      <c r="AM135" s="174"/>
      <c r="AN135" s="174"/>
      <c r="AO135" s="1091"/>
      <c r="AP135" s="1091"/>
      <c r="AQ135" s="1180"/>
      <c r="AR135" s="1091"/>
      <c r="AS135" s="1180"/>
      <c r="AT135" s="1091"/>
      <c r="AU135" s="174"/>
      <c r="AV135" s="174"/>
    </row>
    <row r="136" spans="1:48">
      <c r="A136" s="1114"/>
      <c r="B136" s="1114"/>
      <c r="C136" s="1114"/>
      <c r="D136" s="554"/>
      <c r="E136" s="30"/>
      <c r="F136" s="1091"/>
      <c r="G136" s="30"/>
      <c r="H136" s="174"/>
      <c r="I136" s="174"/>
      <c r="J136" s="174"/>
      <c r="K136" s="174"/>
      <c r="L136" s="1091"/>
      <c r="M136" s="174"/>
      <c r="N136" s="1091"/>
      <c r="O136" s="174"/>
      <c r="P136" s="174"/>
      <c r="Q136" s="174"/>
      <c r="R136" s="174"/>
      <c r="S136" s="174"/>
      <c r="T136" s="174"/>
      <c r="U136" s="174"/>
      <c r="V136" s="174"/>
      <c r="W136" s="174"/>
      <c r="X136" s="554"/>
      <c r="Y136" s="174"/>
      <c r="Z136" s="174"/>
      <c r="AA136" s="174"/>
      <c r="AB136" s="174"/>
      <c r="AC136" s="174"/>
      <c r="AD136" s="174"/>
      <c r="AE136" s="174"/>
      <c r="AF136" s="174"/>
      <c r="AG136" s="174"/>
      <c r="AH136" s="554"/>
      <c r="AI136" s="174"/>
      <c r="AJ136" s="174"/>
      <c r="AK136" s="174"/>
      <c r="AL136" s="174"/>
      <c r="AM136" s="174"/>
      <c r="AN136" s="174"/>
      <c r="AO136" s="1091"/>
      <c r="AP136" s="1091"/>
      <c r="AQ136" s="1180"/>
      <c r="AR136" s="1091"/>
      <c r="AS136" s="1180"/>
      <c r="AT136" s="1091"/>
      <c r="AU136" s="174"/>
      <c r="AV136" s="174"/>
    </row>
    <row r="137" spans="1:48">
      <c r="A137" s="1114"/>
      <c r="B137" s="1114"/>
      <c r="C137" s="1114"/>
      <c r="D137" s="554"/>
      <c r="E137" s="30"/>
      <c r="F137" s="1091"/>
      <c r="G137" s="30"/>
      <c r="H137" s="174"/>
      <c r="I137" s="174"/>
      <c r="J137" s="174"/>
      <c r="K137" s="174"/>
      <c r="L137" s="1091"/>
      <c r="M137" s="174"/>
      <c r="N137" s="1091"/>
      <c r="O137" s="174"/>
      <c r="P137" s="174"/>
      <c r="Q137" s="174"/>
      <c r="R137" s="174"/>
      <c r="S137" s="174"/>
      <c r="T137" s="174"/>
      <c r="U137" s="174"/>
      <c r="V137" s="174"/>
      <c r="W137" s="174"/>
      <c r="X137" s="554"/>
      <c r="Y137" s="174"/>
      <c r="Z137" s="174"/>
      <c r="AA137" s="174"/>
      <c r="AB137" s="174"/>
      <c r="AC137" s="174"/>
      <c r="AD137" s="174"/>
      <c r="AE137" s="174"/>
      <c r="AF137" s="174"/>
      <c r="AG137" s="174"/>
      <c r="AH137" s="554"/>
      <c r="AI137" s="174"/>
      <c r="AJ137" s="174"/>
      <c r="AK137" s="174"/>
      <c r="AL137" s="174"/>
      <c r="AM137" s="174"/>
      <c r="AN137" s="174"/>
      <c r="AO137" s="1091"/>
      <c r="AP137" s="1091"/>
      <c r="AQ137" s="1180"/>
      <c r="AR137" s="1091"/>
      <c r="AS137" s="1180"/>
      <c r="AT137" s="1091"/>
      <c r="AU137" s="174"/>
      <c r="AV137" s="174"/>
    </row>
    <row r="138" spans="1:48">
      <c r="A138" s="1114"/>
      <c r="B138" s="1114"/>
      <c r="C138" s="1114"/>
      <c r="D138" s="554"/>
      <c r="E138" s="30"/>
      <c r="F138" s="1091"/>
      <c r="G138" s="30"/>
      <c r="H138" s="174"/>
      <c r="I138" s="174"/>
      <c r="J138" s="174"/>
      <c r="K138" s="174"/>
      <c r="L138" s="1091"/>
      <c r="M138" s="174"/>
      <c r="N138" s="1091"/>
      <c r="O138" s="174"/>
      <c r="P138" s="174"/>
      <c r="Q138" s="174"/>
      <c r="R138" s="174"/>
      <c r="S138" s="174"/>
      <c r="T138" s="174"/>
      <c r="U138" s="174"/>
      <c r="V138" s="174"/>
      <c r="W138" s="174"/>
      <c r="X138" s="554"/>
      <c r="Y138" s="174"/>
      <c r="Z138" s="174"/>
      <c r="AA138" s="174"/>
      <c r="AB138" s="174"/>
      <c r="AC138" s="174"/>
      <c r="AD138" s="174"/>
      <c r="AE138" s="174"/>
      <c r="AF138" s="174"/>
      <c r="AG138" s="174"/>
      <c r="AH138" s="554"/>
      <c r="AI138" s="174"/>
      <c r="AJ138" s="174"/>
      <c r="AK138" s="174"/>
      <c r="AL138" s="174"/>
      <c r="AM138" s="174"/>
      <c r="AN138" s="174"/>
      <c r="AO138" s="1091"/>
      <c r="AP138" s="1091"/>
      <c r="AQ138" s="1180"/>
      <c r="AR138" s="1091"/>
      <c r="AS138" s="1180"/>
      <c r="AT138" s="1091"/>
      <c r="AU138" s="174"/>
      <c r="AV138" s="174"/>
    </row>
    <row r="139" spans="1:48">
      <c r="A139" s="1114"/>
      <c r="B139" s="1114"/>
      <c r="C139" s="1114"/>
      <c r="D139" s="554"/>
      <c r="E139" s="30"/>
      <c r="F139" s="1091"/>
      <c r="G139" s="30"/>
      <c r="H139" s="174"/>
      <c r="I139" s="174"/>
      <c r="J139" s="174"/>
      <c r="K139" s="174"/>
      <c r="L139" s="1091"/>
      <c r="M139" s="174"/>
      <c r="N139" s="1091"/>
      <c r="O139" s="174"/>
      <c r="P139" s="174"/>
      <c r="Q139" s="174"/>
      <c r="R139" s="174"/>
      <c r="S139" s="174"/>
      <c r="T139" s="174"/>
      <c r="U139" s="174"/>
      <c r="V139" s="174"/>
      <c r="W139" s="174"/>
      <c r="X139" s="554"/>
      <c r="Y139" s="174"/>
      <c r="Z139" s="174"/>
      <c r="AA139" s="174"/>
      <c r="AB139" s="174"/>
      <c r="AC139" s="174"/>
      <c r="AD139" s="174"/>
      <c r="AE139" s="174"/>
      <c r="AF139" s="174"/>
      <c r="AG139" s="174"/>
      <c r="AH139" s="554"/>
      <c r="AI139" s="174"/>
      <c r="AJ139" s="174"/>
      <c r="AK139" s="174"/>
      <c r="AL139" s="174"/>
      <c r="AM139" s="174"/>
      <c r="AN139" s="174"/>
      <c r="AO139" s="1091"/>
      <c r="AP139" s="1091"/>
      <c r="AQ139" s="1180"/>
      <c r="AR139" s="1091"/>
      <c r="AS139" s="1180"/>
      <c r="AT139" s="1091"/>
      <c r="AU139" s="174"/>
      <c r="AV139" s="174"/>
    </row>
    <row r="140" spans="1:48">
      <c r="A140" s="1114"/>
      <c r="B140" s="1114"/>
      <c r="C140" s="1114"/>
      <c r="D140" s="554"/>
      <c r="E140" s="30"/>
      <c r="F140" s="1091"/>
      <c r="G140" s="30"/>
      <c r="H140" s="174"/>
      <c r="I140" s="174"/>
      <c r="J140" s="174"/>
      <c r="K140" s="174"/>
      <c r="L140" s="1091"/>
      <c r="M140" s="174"/>
      <c r="N140" s="1091"/>
      <c r="O140" s="174"/>
      <c r="P140" s="174"/>
      <c r="Q140" s="174"/>
      <c r="R140" s="174"/>
      <c r="S140" s="174"/>
      <c r="T140" s="174"/>
      <c r="U140" s="174"/>
      <c r="V140" s="174"/>
      <c r="W140" s="174"/>
      <c r="X140" s="554"/>
      <c r="Y140" s="174"/>
      <c r="Z140" s="174"/>
      <c r="AA140" s="174"/>
      <c r="AB140" s="174"/>
      <c r="AC140" s="174"/>
      <c r="AD140" s="174"/>
      <c r="AE140" s="174"/>
      <c r="AF140" s="174"/>
      <c r="AG140" s="174"/>
      <c r="AH140" s="554"/>
      <c r="AI140" s="174"/>
      <c r="AJ140" s="174"/>
      <c r="AK140" s="174"/>
      <c r="AL140" s="174"/>
      <c r="AM140" s="174"/>
      <c r="AN140" s="174"/>
      <c r="AO140" s="1091"/>
      <c r="AP140" s="1091"/>
      <c r="AQ140" s="1180"/>
      <c r="AR140" s="1091"/>
      <c r="AS140" s="1180"/>
      <c r="AT140" s="1091"/>
      <c r="AU140" s="174"/>
      <c r="AV140" s="174"/>
    </row>
    <row r="141" spans="1:48">
      <c r="A141" s="1114"/>
      <c r="B141" s="1114"/>
      <c r="C141" s="1114"/>
      <c r="D141" s="554"/>
      <c r="E141" s="30"/>
      <c r="F141" s="1091"/>
      <c r="G141" s="30"/>
      <c r="H141" s="174"/>
      <c r="I141" s="174"/>
      <c r="J141" s="174"/>
      <c r="K141" s="174"/>
      <c r="L141" s="1091"/>
      <c r="M141" s="174"/>
      <c r="N141" s="1091"/>
      <c r="O141" s="174"/>
      <c r="P141" s="174"/>
      <c r="Q141" s="174"/>
      <c r="R141" s="174"/>
      <c r="S141" s="174"/>
      <c r="T141" s="174"/>
      <c r="U141" s="174"/>
      <c r="V141" s="174"/>
      <c r="W141" s="174"/>
      <c r="X141" s="554"/>
      <c r="Y141" s="174"/>
      <c r="Z141" s="174"/>
      <c r="AA141" s="174"/>
      <c r="AB141" s="174"/>
      <c r="AC141" s="174"/>
      <c r="AD141" s="174"/>
      <c r="AE141" s="174"/>
      <c r="AF141" s="174"/>
      <c r="AG141" s="174"/>
      <c r="AH141" s="554"/>
      <c r="AI141" s="174"/>
      <c r="AJ141" s="174"/>
      <c r="AK141" s="174"/>
      <c r="AL141" s="174"/>
      <c r="AM141" s="174"/>
      <c r="AN141" s="174"/>
      <c r="AO141" s="1091"/>
      <c r="AP141" s="1091"/>
      <c r="AQ141" s="1180"/>
      <c r="AR141" s="1091"/>
      <c r="AS141" s="1180"/>
      <c r="AT141" s="1091"/>
      <c r="AU141" s="174"/>
      <c r="AV141" s="174"/>
    </row>
    <row r="142" spans="1:48">
      <c r="A142" s="1114"/>
      <c r="B142" s="1114"/>
      <c r="C142" s="1114"/>
      <c r="D142" s="554"/>
      <c r="E142" s="30"/>
      <c r="F142" s="1091"/>
      <c r="G142" s="30"/>
      <c r="H142" s="174"/>
      <c r="I142" s="174"/>
      <c r="J142" s="174"/>
      <c r="K142" s="174"/>
      <c r="L142" s="1091"/>
      <c r="M142" s="174"/>
      <c r="N142" s="1091"/>
      <c r="O142" s="174"/>
      <c r="P142" s="174"/>
      <c r="Q142" s="174"/>
      <c r="R142" s="174"/>
      <c r="S142" s="174"/>
      <c r="T142" s="174"/>
      <c r="U142" s="174"/>
      <c r="V142" s="174"/>
      <c r="W142" s="174"/>
      <c r="X142" s="554"/>
      <c r="Y142" s="174"/>
      <c r="Z142" s="174"/>
      <c r="AA142" s="174"/>
      <c r="AB142" s="174"/>
      <c r="AC142" s="174"/>
      <c r="AD142" s="174"/>
      <c r="AE142" s="174"/>
      <c r="AF142" s="174"/>
      <c r="AG142" s="174"/>
      <c r="AH142" s="554"/>
      <c r="AI142" s="174"/>
      <c r="AJ142" s="174"/>
      <c r="AK142" s="174"/>
      <c r="AL142" s="174"/>
      <c r="AM142" s="174"/>
      <c r="AN142" s="174"/>
      <c r="AO142" s="1091"/>
      <c r="AP142" s="1091"/>
      <c r="AQ142" s="1180"/>
      <c r="AR142" s="1091"/>
      <c r="AS142" s="1180"/>
      <c r="AT142" s="1091"/>
      <c r="AU142" s="174"/>
      <c r="AV142" s="174"/>
    </row>
    <row r="143" spans="1:48">
      <c r="A143" s="1114"/>
      <c r="B143" s="1114"/>
      <c r="C143" s="1114"/>
      <c r="D143" s="554"/>
      <c r="E143" s="30"/>
      <c r="F143" s="1091"/>
      <c r="G143" s="30"/>
      <c r="H143" s="174"/>
      <c r="I143" s="174"/>
      <c r="J143" s="174"/>
      <c r="K143" s="174"/>
      <c r="L143" s="1091"/>
      <c r="M143" s="174"/>
      <c r="N143" s="1091"/>
      <c r="O143" s="174"/>
      <c r="P143" s="174"/>
      <c r="Q143" s="174"/>
      <c r="R143" s="174"/>
      <c r="S143" s="174"/>
      <c r="T143" s="174"/>
      <c r="U143" s="174"/>
      <c r="V143" s="174"/>
      <c r="W143" s="174"/>
      <c r="X143" s="554"/>
      <c r="Y143" s="174"/>
      <c r="Z143" s="174"/>
      <c r="AA143" s="174"/>
      <c r="AB143" s="174"/>
      <c r="AC143" s="174"/>
      <c r="AD143" s="174"/>
      <c r="AE143" s="174"/>
      <c r="AF143" s="174"/>
      <c r="AG143" s="174"/>
      <c r="AH143" s="554"/>
      <c r="AI143" s="174"/>
      <c r="AJ143" s="174"/>
      <c r="AK143" s="174"/>
      <c r="AL143" s="174"/>
      <c r="AM143" s="174"/>
      <c r="AN143" s="174"/>
      <c r="AO143" s="1091"/>
      <c r="AP143" s="1091"/>
      <c r="AQ143" s="1180"/>
      <c r="AR143" s="1091"/>
      <c r="AS143" s="1180"/>
      <c r="AT143" s="1091"/>
      <c r="AU143" s="174"/>
      <c r="AV143" s="174"/>
    </row>
    <row r="144" spans="1:48">
      <c r="A144" s="1114"/>
      <c r="B144" s="1114"/>
      <c r="C144" s="1114"/>
      <c r="D144" s="554"/>
      <c r="E144" s="30"/>
      <c r="F144" s="1091"/>
      <c r="G144" s="30"/>
      <c r="H144" s="174"/>
      <c r="I144" s="174"/>
      <c r="J144" s="174"/>
      <c r="K144" s="174"/>
      <c r="L144" s="1091"/>
      <c r="M144" s="174"/>
      <c r="N144" s="1091"/>
      <c r="O144" s="174"/>
      <c r="P144" s="174"/>
      <c r="Q144" s="174"/>
      <c r="R144" s="174"/>
      <c r="S144" s="174"/>
      <c r="T144" s="174"/>
      <c r="U144" s="174"/>
      <c r="V144" s="174"/>
      <c r="W144" s="174"/>
      <c r="X144" s="554"/>
      <c r="Y144" s="174"/>
      <c r="Z144" s="174"/>
      <c r="AA144" s="174"/>
      <c r="AB144" s="174"/>
      <c r="AC144" s="174"/>
      <c r="AD144" s="174"/>
      <c r="AE144" s="174"/>
      <c r="AF144" s="174"/>
      <c r="AG144" s="174"/>
      <c r="AH144" s="554"/>
      <c r="AI144" s="174"/>
      <c r="AJ144" s="174"/>
      <c r="AK144" s="174"/>
      <c r="AL144" s="174"/>
      <c r="AM144" s="174"/>
      <c r="AN144" s="174"/>
      <c r="AO144" s="1091"/>
      <c r="AP144" s="1091"/>
      <c r="AQ144" s="1180"/>
      <c r="AR144" s="1091"/>
      <c r="AS144" s="1180"/>
      <c r="AT144" s="1091"/>
      <c r="AU144" s="174"/>
      <c r="AV144" s="174"/>
    </row>
    <row r="145" spans="1:46" s="174" customFormat="1">
      <c r="A145" s="1114"/>
      <c r="B145" s="1114"/>
      <c r="C145" s="1114"/>
      <c r="D145" s="554"/>
      <c r="E145" s="30"/>
      <c r="F145" s="1091"/>
      <c r="G145" s="30"/>
      <c r="L145" s="1091"/>
      <c r="N145" s="1091"/>
      <c r="X145" s="554"/>
      <c r="AH145" s="554"/>
      <c r="AO145" s="1091"/>
      <c r="AP145" s="1091"/>
      <c r="AQ145" s="1180"/>
      <c r="AR145" s="1091"/>
      <c r="AS145" s="1180"/>
      <c r="AT145" s="1091"/>
    </row>
    <row r="146" spans="1:46" s="174" customFormat="1">
      <c r="A146" s="1114"/>
      <c r="B146" s="1114"/>
      <c r="C146" s="1114"/>
      <c r="D146" s="554"/>
      <c r="E146" s="30"/>
      <c r="F146" s="1091"/>
      <c r="G146" s="30"/>
      <c r="L146" s="1091"/>
      <c r="N146" s="1091"/>
      <c r="X146" s="554"/>
      <c r="AH146" s="554"/>
      <c r="AO146" s="1091"/>
      <c r="AP146" s="1091"/>
      <c r="AQ146" s="1180"/>
      <c r="AR146" s="1091"/>
      <c r="AS146" s="1180"/>
      <c r="AT146" s="1091"/>
    </row>
    <row r="147" spans="1:46" s="174" customFormat="1">
      <c r="A147" s="1114"/>
      <c r="B147" s="1114"/>
      <c r="C147" s="1114"/>
      <c r="D147" s="554"/>
      <c r="E147" s="30"/>
      <c r="F147" s="1091"/>
      <c r="G147" s="30"/>
      <c r="L147" s="1091"/>
      <c r="N147" s="1091"/>
      <c r="X147" s="554"/>
      <c r="AH147" s="554"/>
      <c r="AO147" s="1091"/>
      <c r="AP147" s="1091"/>
      <c r="AQ147" s="1180"/>
      <c r="AR147" s="1091"/>
      <c r="AS147" s="1180"/>
      <c r="AT147" s="1091"/>
    </row>
    <row r="148" spans="1:46" s="174" customFormat="1">
      <c r="A148" s="1114"/>
      <c r="B148" s="1114"/>
      <c r="C148" s="1114"/>
      <c r="D148" s="554"/>
      <c r="E148" s="30"/>
      <c r="F148" s="1091"/>
      <c r="G148" s="30"/>
      <c r="L148" s="1091"/>
      <c r="N148" s="1091"/>
      <c r="X148" s="554"/>
      <c r="AH148" s="554"/>
      <c r="AO148" s="1091"/>
      <c r="AP148" s="1091"/>
      <c r="AQ148" s="1180"/>
      <c r="AR148" s="1091"/>
      <c r="AS148" s="1180"/>
      <c r="AT148" s="1091"/>
    </row>
    <row r="149" spans="1:46" s="174" customFormat="1">
      <c r="A149" s="1114"/>
      <c r="B149" s="1114"/>
      <c r="C149" s="1114"/>
      <c r="D149" s="554"/>
      <c r="E149" s="30"/>
      <c r="F149" s="1091"/>
      <c r="G149" s="30"/>
      <c r="L149" s="1091"/>
      <c r="N149" s="1091"/>
      <c r="X149" s="554"/>
      <c r="AH149" s="554"/>
      <c r="AO149" s="1091"/>
      <c r="AP149" s="1091"/>
      <c r="AQ149" s="1180"/>
      <c r="AR149" s="1091"/>
      <c r="AS149" s="1180"/>
      <c r="AT149" s="1091"/>
    </row>
    <row r="150" spans="1:46" s="174" customFormat="1">
      <c r="A150" s="1114"/>
      <c r="B150" s="1114"/>
      <c r="C150" s="1114"/>
      <c r="D150" s="554"/>
      <c r="E150" s="30"/>
      <c r="F150" s="1091"/>
      <c r="G150" s="30"/>
      <c r="L150" s="1091"/>
      <c r="N150" s="1091"/>
      <c r="X150" s="554"/>
      <c r="AH150" s="554"/>
      <c r="AO150" s="1091"/>
      <c r="AP150" s="1091"/>
      <c r="AQ150" s="1180"/>
      <c r="AR150" s="1091"/>
      <c r="AS150" s="1180"/>
      <c r="AT150" s="1091"/>
    </row>
    <row r="151" spans="1:46" s="174" customFormat="1">
      <c r="A151" s="1114"/>
      <c r="B151" s="1114"/>
      <c r="C151" s="1114"/>
      <c r="D151" s="554"/>
      <c r="E151" s="30"/>
      <c r="F151" s="1091"/>
      <c r="G151" s="30"/>
      <c r="L151" s="1091"/>
      <c r="N151" s="1091"/>
      <c r="X151" s="554"/>
      <c r="AH151" s="554"/>
      <c r="AO151" s="1091"/>
      <c r="AP151" s="1091"/>
      <c r="AQ151" s="1180"/>
      <c r="AR151" s="1091"/>
      <c r="AS151" s="1180"/>
      <c r="AT151" s="1091"/>
    </row>
    <row r="152" spans="1:46" s="174" customFormat="1">
      <c r="A152" s="1114"/>
      <c r="B152" s="1114"/>
      <c r="C152" s="1114"/>
      <c r="D152" s="554"/>
      <c r="E152" s="30"/>
      <c r="F152" s="1091"/>
      <c r="G152" s="30"/>
      <c r="L152" s="1091"/>
      <c r="N152" s="1091"/>
      <c r="X152" s="554"/>
      <c r="AH152" s="554"/>
      <c r="AO152" s="1091"/>
      <c r="AP152" s="1091"/>
      <c r="AQ152" s="1180"/>
      <c r="AR152" s="1091"/>
      <c r="AS152" s="1180"/>
      <c r="AT152" s="1091"/>
    </row>
    <row r="153" spans="1:46" s="174" customFormat="1">
      <c r="A153" s="1114"/>
      <c r="B153" s="1114"/>
      <c r="C153" s="1114"/>
      <c r="D153" s="554"/>
      <c r="E153" s="30"/>
      <c r="F153" s="1091"/>
      <c r="G153" s="30"/>
      <c r="L153" s="1091"/>
      <c r="N153" s="1091"/>
      <c r="X153" s="554"/>
      <c r="AH153" s="554"/>
      <c r="AO153" s="1091"/>
      <c r="AP153" s="1091"/>
      <c r="AQ153" s="1180"/>
      <c r="AR153" s="1091"/>
      <c r="AS153" s="1180"/>
      <c r="AT153" s="1091"/>
    </row>
    <row r="154" spans="1:46" s="174" customFormat="1">
      <c r="A154" s="1114"/>
      <c r="B154" s="1114"/>
      <c r="C154" s="1114"/>
      <c r="D154" s="554"/>
      <c r="E154" s="30"/>
      <c r="F154" s="1091"/>
      <c r="G154" s="30"/>
      <c r="L154" s="1091"/>
      <c r="N154" s="1091"/>
      <c r="X154" s="554"/>
      <c r="AH154" s="554"/>
      <c r="AO154" s="1091"/>
      <c r="AP154" s="1091"/>
      <c r="AQ154" s="1180"/>
      <c r="AR154" s="1091"/>
      <c r="AS154" s="1180"/>
      <c r="AT154" s="1091"/>
    </row>
    <row r="155" spans="1:46" s="174" customFormat="1">
      <c r="A155" s="1114"/>
      <c r="B155" s="1114"/>
      <c r="C155" s="1114"/>
      <c r="D155" s="554"/>
      <c r="E155" s="30"/>
      <c r="F155" s="1091"/>
      <c r="G155" s="30"/>
      <c r="L155" s="1091"/>
      <c r="N155" s="1091"/>
      <c r="X155" s="554"/>
      <c r="AH155" s="554"/>
      <c r="AO155" s="1091"/>
      <c r="AP155" s="1091"/>
      <c r="AQ155" s="1180"/>
      <c r="AR155" s="1091"/>
      <c r="AS155" s="1180"/>
      <c r="AT155" s="1091"/>
    </row>
    <row r="156" spans="1:46" s="174" customFormat="1">
      <c r="A156" s="1114"/>
      <c r="B156" s="1114"/>
      <c r="C156" s="1114"/>
      <c r="D156" s="554"/>
      <c r="E156" s="30"/>
      <c r="F156" s="1091"/>
      <c r="G156" s="30"/>
      <c r="L156" s="1091"/>
      <c r="N156" s="1091"/>
      <c r="X156" s="554"/>
      <c r="AH156" s="554"/>
      <c r="AO156" s="1091"/>
      <c r="AP156" s="1091"/>
      <c r="AQ156" s="1180"/>
      <c r="AR156" s="1091"/>
      <c r="AS156" s="1180"/>
      <c r="AT156" s="1091"/>
    </row>
    <row r="157" spans="1:46" s="174" customFormat="1">
      <c r="A157" s="1114"/>
      <c r="B157" s="1114"/>
      <c r="C157" s="1114"/>
      <c r="D157" s="554"/>
      <c r="E157" s="30"/>
      <c r="F157" s="1091"/>
      <c r="G157" s="30"/>
      <c r="L157" s="1091"/>
      <c r="N157" s="1091"/>
      <c r="X157" s="554"/>
      <c r="AH157" s="554"/>
      <c r="AO157" s="1091"/>
      <c r="AP157" s="1091"/>
      <c r="AQ157" s="1180"/>
      <c r="AR157" s="1091"/>
      <c r="AS157" s="1180"/>
      <c r="AT157" s="1091"/>
    </row>
    <row r="158" spans="1:46" s="174" customFormat="1">
      <c r="A158" s="1114"/>
      <c r="B158" s="1114"/>
      <c r="C158" s="1114"/>
      <c r="D158" s="554"/>
      <c r="E158" s="30"/>
      <c r="F158" s="1091"/>
      <c r="G158" s="30"/>
      <c r="L158" s="1091"/>
      <c r="N158" s="1091"/>
      <c r="X158" s="554"/>
      <c r="AH158" s="554"/>
      <c r="AO158" s="1091"/>
      <c r="AP158" s="1091"/>
      <c r="AQ158" s="1180"/>
      <c r="AR158" s="1091"/>
      <c r="AS158" s="1180"/>
      <c r="AT158" s="1091"/>
    </row>
    <row r="159" spans="1:46" s="174" customFormat="1">
      <c r="A159" s="1114"/>
      <c r="B159" s="1114"/>
      <c r="C159" s="1114"/>
      <c r="D159" s="554"/>
      <c r="E159" s="30"/>
      <c r="F159" s="1091"/>
      <c r="G159" s="30"/>
      <c r="L159" s="1091"/>
      <c r="N159" s="1091"/>
      <c r="X159" s="554"/>
      <c r="AH159" s="554"/>
      <c r="AO159" s="1091"/>
      <c r="AP159" s="1091"/>
      <c r="AQ159" s="1180"/>
      <c r="AR159" s="1091"/>
      <c r="AS159" s="1180"/>
      <c r="AT159" s="1091"/>
    </row>
    <row r="160" spans="1:46" s="174" customFormat="1">
      <c r="A160" s="1114"/>
      <c r="B160" s="1114"/>
      <c r="C160" s="1114"/>
      <c r="D160" s="554"/>
      <c r="E160" s="30"/>
      <c r="F160" s="1091"/>
      <c r="G160" s="30"/>
      <c r="L160" s="1091"/>
      <c r="N160" s="1091"/>
      <c r="X160" s="554"/>
      <c r="AH160" s="554"/>
      <c r="AO160" s="1091"/>
      <c r="AP160" s="1091"/>
      <c r="AQ160" s="1180"/>
      <c r="AR160" s="1091"/>
      <c r="AS160" s="1180"/>
      <c r="AT160" s="1091"/>
    </row>
    <row r="161" spans="1:46" s="174" customFormat="1">
      <c r="A161" s="1114"/>
      <c r="B161" s="1114"/>
      <c r="C161" s="1114"/>
      <c r="D161" s="554"/>
      <c r="E161" s="30"/>
      <c r="F161" s="1091"/>
      <c r="G161" s="30"/>
      <c r="L161" s="1091"/>
      <c r="N161" s="1091"/>
      <c r="X161" s="554"/>
      <c r="AH161" s="554"/>
      <c r="AO161" s="1091"/>
      <c r="AP161" s="1091"/>
      <c r="AQ161" s="1180"/>
      <c r="AR161" s="1091"/>
      <c r="AS161" s="1180"/>
      <c r="AT161" s="1091"/>
    </row>
    <row r="162" spans="1:46" s="174" customFormat="1">
      <c r="A162" s="1114"/>
      <c r="B162" s="1114"/>
      <c r="C162" s="1114"/>
      <c r="D162" s="554"/>
      <c r="E162" s="30"/>
      <c r="F162" s="1091"/>
      <c r="G162" s="30"/>
      <c r="L162" s="1091"/>
      <c r="N162" s="1091"/>
      <c r="X162" s="554"/>
      <c r="AH162" s="554"/>
      <c r="AO162" s="1091"/>
      <c r="AP162" s="1091"/>
      <c r="AQ162" s="1180"/>
      <c r="AR162" s="1091"/>
      <c r="AS162" s="1180"/>
      <c r="AT162" s="1091"/>
    </row>
    <row r="163" spans="1:46" s="174" customFormat="1">
      <c r="A163" s="1114"/>
      <c r="B163" s="1114"/>
      <c r="C163" s="1114"/>
      <c r="D163" s="554"/>
      <c r="E163" s="30"/>
      <c r="F163" s="1091"/>
      <c r="G163" s="30"/>
      <c r="L163" s="1091"/>
      <c r="N163" s="1091"/>
      <c r="X163" s="554"/>
      <c r="AH163" s="554"/>
      <c r="AO163" s="1091"/>
      <c r="AP163" s="1091"/>
      <c r="AQ163" s="1180"/>
      <c r="AR163" s="1091"/>
      <c r="AS163" s="1180"/>
      <c r="AT163" s="1091"/>
    </row>
    <row r="164" spans="1:46" s="174" customFormat="1">
      <c r="A164" s="1114"/>
      <c r="B164" s="1114"/>
      <c r="C164" s="1114"/>
      <c r="D164" s="554"/>
      <c r="E164" s="30"/>
      <c r="F164" s="1091"/>
      <c r="G164" s="30"/>
      <c r="L164" s="1091"/>
      <c r="N164" s="1091"/>
      <c r="X164" s="554"/>
      <c r="AH164" s="554"/>
      <c r="AO164" s="1091"/>
      <c r="AP164" s="1091"/>
      <c r="AQ164" s="1180"/>
      <c r="AR164" s="1091"/>
      <c r="AS164" s="1180"/>
      <c r="AT164" s="1091"/>
    </row>
    <row r="165" spans="1:46" s="174" customFormat="1">
      <c r="A165" s="1114"/>
      <c r="B165" s="1114"/>
      <c r="C165" s="1114"/>
      <c r="D165" s="554"/>
      <c r="E165" s="30"/>
      <c r="F165" s="1091"/>
      <c r="G165" s="30"/>
      <c r="L165" s="1091"/>
      <c r="N165" s="1091"/>
      <c r="X165" s="554"/>
      <c r="AH165" s="554"/>
      <c r="AO165" s="1091"/>
      <c r="AP165" s="1091"/>
      <c r="AQ165" s="1180"/>
      <c r="AR165" s="1091"/>
      <c r="AS165" s="1180"/>
      <c r="AT165" s="1091"/>
    </row>
    <row r="166" spans="1:46" s="174" customFormat="1">
      <c r="A166" s="1114"/>
      <c r="B166" s="1114"/>
      <c r="C166" s="1114"/>
      <c r="D166" s="554"/>
      <c r="E166" s="30"/>
      <c r="F166" s="1091"/>
      <c r="G166" s="30"/>
      <c r="L166" s="1091"/>
      <c r="N166" s="1091"/>
      <c r="X166" s="554"/>
      <c r="AH166" s="554"/>
      <c r="AO166" s="1091"/>
      <c r="AP166" s="1091"/>
      <c r="AQ166" s="1180"/>
      <c r="AR166" s="1091"/>
      <c r="AS166" s="1180"/>
      <c r="AT166" s="1091"/>
    </row>
    <row r="167" spans="1:46" s="174" customFormat="1">
      <c r="A167" s="1114"/>
      <c r="B167" s="1114"/>
      <c r="C167" s="1114"/>
      <c r="D167" s="554"/>
      <c r="E167" s="30"/>
      <c r="F167" s="1091"/>
      <c r="G167" s="30"/>
      <c r="L167" s="1091"/>
      <c r="N167" s="1091"/>
      <c r="X167" s="554"/>
      <c r="AH167" s="554"/>
      <c r="AO167" s="1091"/>
      <c r="AP167" s="1091"/>
      <c r="AQ167" s="1180"/>
      <c r="AR167" s="1091"/>
      <c r="AS167" s="1180"/>
      <c r="AT167" s="1091"/>
    </row>
    <row r="168" spans="1:46" s="174" customFormat="1">
      <c r="A168" s="1114"/>
      <c r="B168" s="1114"/>
      <c r="C168" s="1114"/>
      <c r="D168" s="554"/>
      <c r="E168" s="30"/>
      <c r="F168" s="1091"/>
      <c r="G168" s="30"/>
      <c r="L168" s="1091"/>
      <c r="N168" s="1091"/>
      <c r="X168" s="554"/>
      <c r="AH168" s="554"/>
      <c r="AO168" s="1091"/>
      <c r="AP168" s="1091"/>
      <c r="AQ168" s="1180"/>
      <c r="AR168" s="1091"/>
      <c r="AS168" s="1180"/>
      <c r="AT168" s="1091"/>
    </row>
    <row r="169" spans="1:46" s="174" customFormat="1">
      <c r="A169" s="1114"/>
      <c r="B169" s="1114"/>
      <c r="C169" s="1114"/>
      <c r="D169" s="554"/>
      <c r="E169" s="30"/>
      <c r="F169" s="1091"/>
      <c r="G169" s="30"/>
      <c r="L169" s="1091"/>
      <c r="N169" s="1091"/>
      <c r="X169" s="554"/>
      <c r="AH169" s="554"/>
      <c r="AO169" s="1091"/>
      <c r="AP169" s="1091"/>
      <c r="AQ169" s="1180"/>
      <c r="AR169" s="1091"/>
      <c r="AS169" s="1180"/>
      <c r="AT169" s="1091"/>
    </row>
    <row r="170" spans="1:46" s="174" customFormat="1">
      <c r="A170" s="1114"/>
      <c r="B170" s="1114"/>
      <c r="C170" s="1114"/>
      <c r="D170" s="554"/>
      <c r="E170" s="30"/>
      <c r="F170" s="1091"/>
      <c r="G170" s="30"/>
      <c r="L170" s="1091"/>
      <c r="N170" s="1091"/>
      <c r="X170" s="554"/>
      <c r="AH170" s="554"/>
      <c r="AO170" s="1091"/>
      <c r="AP170" s="1091"/>
      <c r="AQ170" s="1180"/>
      <c r="AR170" s="1091"/>
      <c r="AS170" s="1180"/>
      <c r="AT170" s="1091"/>
    </row>
    <row r="171" spans="1:46" s="174" customFormat="1">
      <c r="A171" s="1114"/>
      <c r="B171" s="1114"/>
      <c r="C171" s="1114"/>
      <c r="D171" s="554"/>
      <c r="E171" s="30"/>
      <c r="F171" s="1091"/>
      <c r="G171" s="30"/>
      <c r="L171" s="1091"/>
      <c r="N171" s="1091"/>
      <c r="X171" s="554"/>
      <c r="AH171" s="554"/>
      <c r="AO171" s="1091"/>
      <c r="AP171" s="1091"/>
      <c r="AQ171" s="1180"/>
      <c r="AR171" s="1091"/>
      <c r="AS171" s="1180"/>
      <c r="AT171" s="1091"/>
    </row>
    <row r="172" spans="1:46" s="174" customFormat="1">
      <c r="A172" s="1114"/>
      <c r="B172" s="1114"/>
      <c r="C172" s="1114"/>
      <c r="D172" s="554"/>
      <c r="E172" s="30"/>
      <c r="F172" s="1091"/>
      <c r="G172" s="30"/>
      <c r="L172" s="1091"/>
      <c r="N172" s="1091"/>
      <c r="X172" s="554"/>
      <c r="AH172" s="554"/>
      <c r="AO172" s="1091"/>
      <c r="AP172" s="1091"/>
      <c r="AQ172" s="1180"/>
      <c r="AR172" s="1091"/>
      <c r="AS172" s="1180"/>
      <c r="AT172" s="1091"/>
    </row>
    <row r="173" spans="1:46" s="174" customFormat="1">
      <c r="A173" s="1114"/>
      <c r="B173" s="1114"/>
      <c r="C173" s="1114"/>
      <c r="D173" s="554"/>
      <c r="E173" s="30"/>
      <c r="F173" s="1091"/>
      <c r="G173" s="30"/>
      <c r="L173" s="1091"/>
      <c r="N173" s="1091"/>
      <c r="X173" s="554"/>
      <c r="AH173" s="554"/>
      <c r="AO173" s="1091"/>
      <c r="AP173" s="1091"/>
      <c r="AQ173" s="1180"/>
      <c r="AR173" s="1091"/>
      <c r="AS173" s="1180"/>
      <c r="AT173" s="1091"/>
    </row>
    <row r="174" spans="1:46" s="174" customFormat="1">
      <c r="A174" s="1114"/>
      <c r="B174" s="1114"/>
      <c r="C174" s="1114"/>
      <c r="D174" s="554"/>
      <c r="E174" s="30"/>
      <c r="F174" s="1091"/>
      <c r="G174" s="30"/>
      <c r="L174" s="1091"/>
      <c r="N174" s="1091"/>
      <c r="X174" s="554"/>
      <c r="AH174" s="554"/>
      <c r="AO174" s="1091"/>
      <c r="AP174" s="1091"/>
      <c r="AQ174" s="1180"/>
      <c r="AR174" s="1091"/>
      <c r="AS174" s="1180"/>
      <c r="AT174" s="1091"/>
    </row>
    <row r="175" spans="1:46" s="174" customFormat="1">
      <c r="A175" s="1114"/>
      <c r="B175" s="1114"/>
      <c r="C175" s="1114"/>
      <c r="D175" s="554"/>
      <c r="E175" s="30"/>
      <c r="F175" s="1091"/>
      <c r="G175" s="30"/>
      <c r="L175" s="1091"/>
      <c r="N175" s="1091"/>
      <c r="X175" s="554"/>
      <c r="AH175" s="554"/>
      <c r="AO175" s="1091"/>
      <c r="AP175" s="1091"/>
      <c r="AQ175" s="1180"/>
      <c r="AR175" s="1091"/>
      <c r="AS175" s="1180"/>
      <c r="AT175" s="1091"/>
    </row>
    <row r="176" spans="1:46" s="174" customFormat="1">
      <c r="A176" s="1114"/>
      <c r="B176" s="1114"/>
      <c r="C176" s="1114"/>
      <c r="D176" s="554"/>
      <c r="E176" s="30"/>
      <c r="F176" s="1091"/>
      <c r="G176" s="30"/>
      <c r="L176" s="1091"/>
      <c r="N176" s="1091"/>
      <c r="X176" s="554"/>
      <c r="AH176" s="554"/>
      <c r="AO176" s="1091"/>
      <c r="AP176" s="1091"/>
      <c r="AQ176" s="1180"/>
      <c r="AR176" s="1091"/>
      <c r="AS176" s="1180"/>
      <c r="AT176" s="1091"/>
    </row>
    <row r="177" spans="1:46" s="174" customFormat="1">
      <c r="A177" s="1114"/>
      <c r="B177" s="1114"/>
      <c r="C177" s="1114"/>
      <c r="D177" s="554"/>
      <c r="E177" s="30"/>
      <c r="F177" s="1091"/>
      <c r="G177" s="30"/>
      <c r="L177" s="1091"/>
      <c r="N177" s="1091"/>
      <c r="X177" s="554"/>
      <c r="AH177" s="554"/>
      <c r="AO177" s="1091"/>
      <c r="AP177" s="1091"/>
      <c r="AQ177" s="1180"/>
      <c r="AR177" s="1091"/>
      <c r="AS177" s="1180"/>
      <c r="AT177" s="1091"/>
    </row>
    <row r="178" spans="1:46" s="174" customFormat="1">
      <c r="A178" s="1114"/>
      <c r="B178" s="1114"/>
      <c r="C178" s="1114"/>
      <c r="D178" s="554"/>
      <c r="E178" s="30"/>
      <c r="F178" s="1091"/>
      <c r="G178" s="30"/>
      <c r="L178" s="1091"/>
      <c r="N178" s="1091"/>
      <c r="X178" s="554"/>
      <c r="AH178" s="554"/>
      <c r="AO178" s="1091"/>
      <c r="AP178" s="1091"/>
      <c r="AQ178" s="1180"/>
      <c r="AR178" s="1091"/>
      <c r="AS178" s="1180"/>
      <c r="AT178" s="1091"/>
    </row>
    <row r="179" spans="1:46" s="174" customFormat="1">
      <c r="A179" s="1114"/>
      <c r="B179" s="1114"/>
      <c r="C179" s="1114"/>
      <c r="D179" s="554"/>
      <c r="E179" s="30"/>
      <c r="F179" s="1091"/>
      <c r="G179" s="30"/>
      <c r="L179" s="1091"/>
      <c r="N179" s="1091"/>
      <c r="X179" s="554"/>
      <c r="AH179" s="554"/>
      <c r="AO179" s="1091"/>
      <c r="AP179" s="1091"/>
      <c r="AQ179" s="1180"/>
      <c r="AR179" s="1091"/>
      <c r="AS179" s="1180"/>
      <c r="AT179" s="1091"/>
    </row>
    <row r="180" spans="1:46" s="174" customFormat="1">
      <c r="A180" s="1114"/>
      <c r="B180" s="1114"/>
      <c r="C180" s="1114"/>
      <c r="D180" s="554"/>
      <c r="E180" s="30"/>
      <c r="F180" s="1091"/>
      <c r="G180" s="30"/>
      <c r="L180" s="1091"/>
      <c r="N180" s="1091"/>
      <c r="X180" s="554"/>
      <c r="AH180" s="554"/>
      <c r="AO180" s="1091"/>
      <c r="AP180" s="1091"/>
      <c r="AQ180" s="1180"/>
      <c r="AR180" s="1091"/>
      <c r="AS180" s="1180"/>
      <c r="AT180" s="1091"/>
    </row>
    <row r="181" spans="1:46" s="174" customFormat="1">
      <c r="A181" s="1114"/>
      <c r="B181" s="1114"/>
      <c r="C181" s="1114"/>
      <c r="D181" s="554"/>
      <c r="E181" s="30"/>
      <c r="F181" s="1091"/>
      <c r="G181" s="30"/>
      <c r="L181" s="1091"/>
      <c r="N181" s="1091"/>
      <c r="X181" s="554"/>
      <c r="AH181" s="554"/>
      <c r="AO181" s="1091"/>
      <c r="AP181" s="1091"/>
      <c r="AQ181" s="1180"/>
      <c r="AR181" s="1091"/>
      <c r="AS181" s="1180"/>
      <c r="AT181" s="1091"/>
    </row>
    <row r="182" spans="1:46" s="174" customFormat="1">
      <c r="A182" s="1114"/>
      <c r="B182" s="1114"/>
      <c r="C182" s="1114"/>
      <c r="D182" s="554"/>
      <c r="E182" s="30"/>
      <c r="F182" s="1091"/>
      <c r="G182" s="30"/>
      <c r="L182" s="1091"/>
      <c r="N182" s="1091"/>
      <c r="X182" s="554"/>
      <c r="AH182" s="554"/>
      <c r="AO182" s="1091"/>
      <c r="AP182" s="1091"/>
      <c r="AQ182" s="1180"/>
      <c r="AR182" s="1091"/>
      <c r="AS182" s="1180"/>
      <c r="AT182" s="1091"/>
    </row>
    <row r="183" spans="1:46" s="174" customFormat="1">
      <c r="A183" s="1114"/>
      <c r="B183" s="1114"/>
      <c r="C183" s="1114"/>
      <c r="D183" s="554"/>
      <c r="E183" s="30"/>
      <c r="F183" s="1091"/>
      <c r="G183" s="30"/>
      <c r="L183" s="1091"/>
      <c r="N183" s="1091"/>
      <c r="X183" s="554"/>
      <c r="AH183" s="554"/>
      <c r="AO183" s="1091"/>
      <c r="AP183" s="1091"/>
      <c r="AQ183" s="1180"/>
      <c r="AR183" s="1091"/>
      <c r="AS183" s="1180"/>
      <c r="AT183" s="1091"/>
    </row>
    <row r="184" spans="1:46" s="174" customFormat="1">
      <c r="A184" s="1114"/>
      <c r="B184" s="1114"/>
      <c r="C184" s="1114"/>
      <c r="D184" s="554"/>
      <c r="E184" s="30"/>
      <c r="F184" s="1091"/>
      <c r="G184" s="30"/>
      <c r="L184" s="1091"/>
      <c r="N184" s="1091"/>
      <c r="X184" s="554"/>
      <c r="AH184" s="554"/>
      <c r="AO184" s="1091"/>
      <c r="AP184" s="1091"/>
      <c r="AQ184" s="1180"/>
      <c r="AR184" s="1091"/>
      <c r="AS184" s="1180"/>
      <c r="AT184" s="1091"/>
    </row>
    <row r="185" spans="1:46" s="174" customFormat="1">
      <c r="A185" s="1114"/>
      <c r="B185" s="1114"/>
      <c r="C185" s="1114"/>
      <c r="D185" s="554"/>
      <c r="E185" s="30"/>
      <c r="F185" s="1091"/>
      <c r="G185" s="30"/>
      <c r="L185" s="1091"/>
      <c r="N185" s="1091"/>
      <c r="X185" s="554"/>
      <c r="AH185" s="554"/>
      <c r="AO185" s="1091"/>
      <c r="AP185" s="1091"/>
      <c r="AQ185" s="1180"/>
      <c r="AR185" s="1091"/>
      <c r="AS185" s="1180"/>
      <c r="AT185" s="1091"/>
    </row>
    <row r="186" spans="1:46" s="174" customFormat="1">
      <c r="A186" s="1114"/>
      <c r="B186" s="1114"/>
      <c r="C186" s="1114"/>
      <c r="D186" s="554"/>
      <c r="E186" s="30"/>
      <c r="F186" s="1091"/>
      <c r="G186" s="30"/>
      <c r="L186" s="1091"/>
      <c r="N186" s="1091"/>
      <c r="X186" s="554"/>
      <c r="AH186" s="554"/>
      <c r="AO186" s="1091"/>
      <c r="AP186" s="1091"/>
      <c r="AQ186" s="1180"/>
      <c r="AR186" s="1091"/>
      <c r="AS186" s="1180"/>
      <c r="AT186" s="1091"/>
    </row>
    <row r="187" spans="1:46" s="174" customFormat="1">
      <c r="A187" s="1114"/>
      <c r="B187" s="1114"/>
      <c r="C187" s="1114"/>
      <c r="D187" s="554"/>
      <c r="E187" s="30"/>
      <c r="F187" s="1091"/>
      <c r="G187" s="30"/>
      <c r="L187" s="1091"/>
      <c r="N187" s="1091"/>
      <c r="X187" s="554"/>
      <c r="AH187" s="554"/>
      <c r="AO187" s="1091"/>
      <c r="AP187" s="1091"/>
      <c r="AQ187" s="1180"/>
      <c r="AR187" s="1091"/>
      <c r="AS187" s="1180"/>
      <c r="AT187" s="1091"/>
    </row>
    <row r="188" spans="1:46" s="174" customFormat="1">
      <c r="A188" s="1114"/>
      <c r="B188" s="1114"/>
      <c r="C188" s="1114"/>
      <c r="D188" s="554"/>
      <c r="E188" s="30"/>
      <c r="F188" s="1091"/>
      <c r="G188" s="30"/>
      <c r="L188" s="1091"/>
      <c r="N188" s="1091"/>
      <c r="X188" s="554"/>
      <c r="AH188" s="554"/>
      <c r="AO188" s="1091"/>
      <c r="AP188" s="1091"/>
      <c r="AQ188" s="1180"/>
      <c r="AR188" s="1091"/>
      <c r="AS188" s="1180"/>
      <c r="AT188" s="1091"/>
    </row>
    <row r="189" spans="1:46" s="174" customFormat="1">
      <c r="A189" s="1114"/>
      <c r="B189" s="1114"/>
      <c r="C189" s="1114"/>
      <c r="D189" s="554"/>
      <c r="E189" s="30"/>
      <c r="F189" s="1091"/>
      <c r="G189" s="30"/>
      <c r="L189" s="1091"/>
      <c r="N189" s="1091"/>
      <c r="X189" s="554"/>
      <c r="AH189" s="554"/>
      <c r="AO189" s="1091"/>
      <c r="AP189" s="1091"/>
      <c r="AQ189" s="1180"/>
      <c r="AR189" s="1091"/>
      <c r="AS189" s="1180"/>
      <c r="AT189" s="1091"/>
    </row>
    <row r="190" spans="1:46" s="174" customFormat="1">
      <c r="A190" s="1114"/>
      <c r="B190" s="1114"/>
      <c r="C190" s="1114"/>
      <c r="D190" s="554"/>
      <c r="E190" s="30"/>
      <c r="F190" s="1091"/>
      <c r="G190" s="30"/>
      <c r="L190" s="1091"/>
      <c r="N190" s="1091"/>
      <c r="X190" s="554"/>
      <c r="AH190" s="554"/>
      <c r="AO190" s="1091"/>
      <c r="AP190" s="1091"/>
      <c r="AQ190" s="1180"/>
      <c r="AR190" s="1091"/>
      <c r="AS190" s="1180"/>
      <c r="AT190" s="1091"/>
    </row>
    <row r="191" spans="1:46" s="174" customFormat="1">
      <c r="A191" s="1114"/>
      <c r="B191" s="1114"/>
      <c r="C191" s="1114"/>
      <c r="D191" s="554"/>
      <c r="E191" s="30"/>
      <c r="F191" s="1091"/>
      <c r="G191" s="30"/>
      <c r="L191" s="1091"/>
      <c r="N191" s="1091"/>
      <c r="X191" s="554"/>
      <c r="AH191" s="554"/>
      <c r="AO191" s="1091"/>
      <c r="AP191" s="1091"/>
      <c r="AQ191" s="1180"/>
      <c r="AR191" s="1091"/>
      <c r="AS191" s="1180"/>
      <c r="AT191" s="1091"/>
    </row>
    <row r="192" spans="1:46" s="174" customFormat="1">
      <c r="A192" s="1114"/>
      <c r="B192" s="1114"/>
      <c r="C192" s="1114"/>
      <c r="D192" s="554"/>
      <c r="E192" s="30"/>
      <c r="F192" s="1091"/>
      <c r="G192" s="30"/>
      <c r="L192" s="1091"/>
      <c r="N192" s="1091"/>
      <c r="X192" s="554"/>
      <c r="AH192" s="554"/>
      <c r="AO192" s="1091"/>
      <c r="AP192" s="1091"/>
      <c r="AQ192" s="1180"/>
      <c r="AR192" s="1091"/>
      <c r="AS192" s="1180"/>
      <c r="AT192" s="1091"/>
    </row>
    <row r="193" spans="1:46" s="174" customFormat="1">
      <c r="A193" s="1114"/>
      <c r="B193" s="1114"/>
      <c r="C193" s="1114"/>
      <c r="D193" s="554"/>
      <c r="E193" s="30"/>
      <c r="F193" s="1091"/>
      <c r="G193" s="30"/>
      <c r="L193" s="1091"/>
      <c r="N193" s="1091"/>
      <c r="X193" s="554"/>
      <c r="AH193" s="554"/>
      <c r="AO193" s="1091"/>
      <c r="AP193" s="1091"/>
      <c r="AQ193" s="1180"/>
      <c r="AR193" s="1091"/>
      <c r="AS193" s="1180"/>
      <c r="AT193" s="1091"/>
    </row>
    <row r="194" spans="1:46" s="174" customFormat="1">
      <c r="A194" s="1114"/>
      <c r="B194" s="1114"/>
      <c r="C194" s="1114"/>
      <c r="D194" s="554"/>
      <c r="E194" s="30"/>
      <c r="F194" s="1091"/>
      <c r="G194" s="30"/>
      <c r="L194" s="1091"/>
      <c r="N194" s="1091"/>
      <c r="X194" s="554"/>
      <c r="AH194" s="554"/>
      <c r="AO194" s="1091"/>
      <c r="AP194" s="1091"/>
      <c r="AQ194" s="1180"/>
      <c r="AR194" s="1091"/>
      <c r="AS194" s="1180"/>
      <c r="AT194" s="1091"/>
    </row>
    <row r="195" spans="1:46" s="174" customFormat="1">
      <c r="A195" s="1114"/>
      <c r="B195" s="1114"/>
      <c r="C195" s="1114"/>
      <c r="D195" s="554"/>
      <c r="E195" s="30"/>
      <c r="F195" s="1091"/>
      <c r="G195" s="30"/>
      <c r="L195" s="1091"/>
      <c r="N195" s="1091"/>
      <c r="X195" s="554"/>
      <c r="AH195" s="554"/>
      <c r="AO195" s="1091"/>
      <c r="AP195" s="1091"/>
      <c r="AQ195" s="1180"/>
      <c r="AR195" s="1091"/>
      <c r="AS195" s="1180"/>
      <c r="AT195" s="1091"/>
    </row>
    <row r="196" spans="1:46" s="174" customFormat="1">
      <c r="A196" s="1114"/>
      <c r="B196" s="1114"/>
      <c r="C196" s="1114"/>
      <c r="D196" s="554"/>
      <c r="E196" s="30"/>
      <c r="F196" s="1091"/>
      <c r="G196" s="30"/>
      <c r="L196" s="1091"/>
      <c r="N196" s="1091"/>
      <c r="X196" s="554"/>
      <c r="AH196" s="554"/>
      <c r="AO196" s="1091"/>
      <c r="AP196" s="1091"/>
      <c r="AQ196" s="1180"/>
      <c r="AR196" s="1091"/>
      <c r="AS196" s="1180"/>
      <c r="AT196" s="1091"/>
    </row>
    <row r="197" spans="1:46" s="174" customFormat="1">
      <c r="A197" s="1114"/>
      <c r="B197" s="1114"/>
      <c r="C197" s="1114"/>
      <c r="D197" s="554"/>
      <c r="E197" s="30"/>
      <c r="F197" s="1091"/>
      <c r="G197" s="30"/>
      <c r="L197" s="1091"/>
      <c r="N197" s="1091"/>
      <c r="X197" s="554"/>
      <c r="AH197" s="554"/>
      <c r="AO197" s="1091"/>
      <c r="AP197" s="1091"/>
      <c r="AQ197" s="1180"/>
      <c r="AR197" s="1091"/>
      <c r="AS197" s="1180"/>
      <c r="AT197" s="1091"/>
    </row>
    <row r="198" spans="1:46" s="174" customFormat="1">
      <c r="A198" s="1114"/>
      <c r="B198" s="1114"/>
      <c r="C198" s="1114"/>
      <c r="D198" s="554"/>
      <c r="E198" s="30"/>
      <c r="F198" s="1091"/>
      <c r="G198" s="30"/>
      <c r="L198" s="1091"/>
      <c r="N198" s="1091"/>
      <c r="X198" s="554"/>
      <c r="AH198" s="554"/>
      <c r="AO198" s="1091"/>
      <c r="AP198" s="1091"/>
      <c r="AQ198" s="1180"/>
      <c r="AR198" s="1091"/>
      <c r="AS198" s="1180"/>
      <c r="AT198" s="1091"/>
    </row>
    <row r="199" spans="1:46" s="174" customFormat="1">
      <c r="A199" s="1114"/>
      <c r="B199" s="1114"/>
      <c r="C199" s="1114"/>
      <c r="D199" s="554"/>
      <c r="E199" s="30"/>
      <c r="F199" s="1091"/>
      <c r="G199" s="30"/>
      <c r="L199" s="1091"/>
      <c r="N199" s="1091"/>
      <c r="X199" s="554"/>
      <c r="AH199" s="554"/>
      <c r="AO199" s="1091"/>
      <c r="AP199" s="1091"/>
      <c r="AQ199" s="1180"/>
      <c r="AR199" s="1091"/>
      <c r="AS199" s="1180"/>
      <c r="AT199" s="1091"/>
    </row>
    <row r="200" spans="1:46" s="174" customFormat="1">
      <c r="A200" s="1114"/>
      <c r="B200" s="1114"/>
      <c r="C200" s="1114"/>
      <c r="D200" s="554"/>
      <c r="E200" s="30"/>
      <c r="F200" s="1091"/>
      <c r="G200" s="30"/>
      <c r="L200" s="1091"/>
      <c r="N200" s="1091"/>
      <c r="X200" s="554"/>
      <c r="AH200" s="554"/>
      <c r="AO200" s="1091"/>
      <c r="AP200" s="1091"/>
      <c r="AQ200" s="1180"/>
      <c r="AR200" s="1091"/>
      <c r="AS200" s="1180"/>
      <c r="AT200" s="1091"/>
    </row>
    <row r="201" spans="1:46" s="174" customFormat="1">
      <c r="A201" s="1114"/>
      <c r="B201" s="1114"/>
      <c r="C201" s="1114"/>
      <c r="D201" s="554"/>
      <c r="E201" s="30"/>
      <c r="F201" s="1091"/>
      <c r="G201" s="30"/>
      <c r="L201" s="1091"/>
      <c r="N201" s="1091"/>
      <c r="X201" s="554"/>
      <c r="AH201" s="554"/>
      <c r="AO201" s="1091"/>
      <c r="AP201" s="1091"/>
      <c r="AQ201" s="1180"/>
      <c r="AR201" s="1091"/>
      <c r="AS201" s="1180"/>
      <c r="AT201" s="1091"/>
    </row>
    <row r="202" spans="1:46" s="174" customFormat="1">
      <c r="A202" s="1114"/>
      <c r="B202" s="1114"/>
      <c r="C202" s="1114"/>
      <c r="D202" s="554"/>
      <c r="E202" s="30"/>
      <c r="F202" s="1091"/>
      <c r="G202" s="30"/>
      <c r="L202" s="1091"/>
      <c r="N202" s="1091"/>
      <c r="X202" s="554"/>
      <c r="AH202" s="554"/>
      <c r="AO202" s="1091"/>
      <c r="AP202" s="1091"/>
      <c r="AQ202" s="1180"/>
      <c r="AR202" s="1091"/>
      <c r="AS202" s="1180"/>
      <c r="AT202" s="1091"/>
    </row>
    <row r="203" spans="1:46" s="174" customFormat="1">
      <c r="A203" s="1114"/>
      <c r="B203" s="1114"/>
      <c r="C203" s="1114"/>
      <c r="D203" s="554"/>
      <c r="E203" s="30"/>
      <c r="F203" s="1091"/>
      <c r="G203" s="30"/>
      <c r="L203" s="1091"/>
      <c r="N203" s="1091"/>
      <c r="X203" s="554"/>
      <c r="AH203" s="554"/>
      <c r="AO203" s="1091"/>
      <c r="AP203" s="1091"/>
      <c r="AQ203" s="1180"/>
      <c r="AR203" s="1091"/>
      <c r="AS203" s="1180"/>
      <c r="AT203" s="1091"/>
    </row>
    <row r="204" spans="1:46" s="174" customFormat="1">
      <c r="A204" s="1114"/>
      <c r="B204" s="1114"/>
      <c r="C204" s="1114"/>
      <c r="D204" s="554"/>
      <c r="E204" s="30"/>
      <c r="F204" s="1091"/>
      <c r="G204" s="30"/>
      <c r="L204" s="1091"/>
      <c r="N204" s="1091"/>
      <c r="X204" s="554"/>
      <c r="AH204" s="554"/>
      <c r="AO204" s="1091"/>
      <c r="AP204" s="1091"/>
      <c r="AQ204" s="1180"/>
      <c r="AR204" s="1091"/>
      <c r="AS204" s="1180"/>
      <c r="AT204" s="1091"/>
    </row>
    <row r="205" spans="1:46" s="174" customFormat="1">
      <c r="A205" s="1114"/>
      <c r="B205" s="1114"/>
      <c r="C205" s="1114"/>
      <c r="D205" s="554"/>
      <c r="E205" s="30"/>
      <c r="F205" s="1091"/>
      <c r="G205" s="30"/>
      <c r="L205" s="1091"/>
      <c r="N205" s="1091"/>
      <c r="X205" s="554"/>
      <c r="AH205" s="554"/>
      <c r="AO205" s="1091"/>
      <c r="AP205" s="1091"/>
      <c r="AQ205" s="1180"/>
      <c r="AR205" s="1091"/>
      <c r="AS205" s="1180"/>
      <c r="AT205" s="1091"/>
    </row>
    <row r="206" spans="1:46" s="174" customFormat="1">
      <c r="A206" s="1114"/>
      <c r="B206" s="1114"/>
      <c r="C206" s="1114"/>
      <c r="D206" s="554"/>
      <c r="E206" s="30"/>
      <c r="F206" s="1091"/>
      <c r="G206" s="30"/>
      <c r="L206" s="1091"/>
      <c r="N206" s="1091"/>
      <c r="X206" s="554"/>
      <c r="AH206" s="554"/>
      <c r="AO206" s="1091"/>
      <c r="AP206" s="1091"/>
      <c r="AQ206" s="1180"/>
      <c r="AR206" s="1091"/>
      <c r="AS206" s="1180"/>
      <c r="AT206" s="1091"/>
    </row>
    <row r="207" spans="1:46" s="174" customFormat="1">
      <c r="A207" s="1114"/>
      <c r="B207" s="1114"/>
      <c r="C207" s="1114"/>
      <c r="D207" s="554"/>
      <c r="E207" s="30"/>
      <c r="F207" s="1091"/>
      <c r="G207" s="30"/>
      <c r="L207" s="1091"/>
      <c r="N207" s="1091"/>
      <c r="X207" s="554"/>
      <c r="AH207" s="554"/>
      <c r="AO207" s="1091"/>
      <c r="AP207" s="1091"/>
      <c r="AQ207" s="1180"/>
      <c r="AR207" s="1091"/>
      <c r="AS207" s="1180"/>
      <c r="AT207" s="1091"/>
    </row>
    <row r="208" spans="1:46" s="174" customFormat="1">
      <c r="A208" s="1114"/>
      <c r="B208" s="1114"/>
      <c r="C208" s="1114"/>
      <c r="D208" s="554"/>
      <c r="E208" s="30"/>
      <c r="F208" s="1091"/>
      <c r="G208" s="30"/>
      <c r="L208" s="1091"/>
      <c r="N208" s="1091"/>
      <c r="X208" s="554"/>
      <c r="AH208" s="554"/>
      <c r="AO208" s="1091"/>
      <c r="AP208" s="1091"/>
      <c r="AQ208" s="1180"/>
      <c r="AR208" s="1091"/>
      <c r="AS208" s="1180"/>
      <c r="AT208" s="1091"/>
    </row>
    <row r="209" spans="1:46" s="174" customFormat="1">
      <c r="A209" s="1114"/>
      <c r="B209" s="1114"/>
      <c r="C209" s="1114"/>
      <c r="D209" s="554"/>
      <c r="E209" s="30"/>
      <c r="F209" s="1091"/>
      <c r="G209" s="30"/>
      <c r="L209" s="1091"/>
      <c r="N209" s="1091"/>
      <c r="X209" s="554"/>
      <c r="AH209" s="554"/>
      <c r="AO209" s="1091"/>
      <c r="AP209" s="1091"/>
      <c r="AQ209" s="1180"/>
      <c r="AR209" s="1091"/>
      <c r="AS209" s="1180"/>
      <c r="AT209" s="1091"/>
    </row>
    <row r="210" spans="1:46" s="174" customFormat="1">
      <c r="A210" s="1114"/>
      <c r="B210" s="1114"/>
      <c r="C210" s="1114"/>
      <c r="D210" s="554"/>
      <c r="E210" s="30"/>
      <c r="F210" s="1091"/>
      <c r="G210" s="30"/>
      <c r="L210" s="1091"/>
      <c r="N210" s="1091"/>
      <c r="X210" s="554"/>
      <c r="AH210" s="554"/>
      <c r="AO210" s="1091"/>
      <c r="AP210" s="1091"/>
      <c r="AQ210" s="1180"/>
      <c r="AR210" s="1091"/>
      <c r="AS210" s="1180"/>
      <c r="AT210" s="1091"/>
    </row>
    <row r="211" spans="1:46" s="174" customFormat="1">
      <c r="A211" s="1114"/>
      <c r="B211" s="1114"/>
      <c r="C211" s="1114"/>
      <c r="D211" s="554"/>
      <c r="E211" s="30"/>
      <c r="F211" s="1091"/>
      <c r="G211" s="30"/>
      <c r="L211" s="1091"/>
      <c r="N211" s="1091"/>
      <c r="X211" s="554"/>
      <c r="AH211" s="554"/>
      <c r="AO211" s="1091"/>
      <c r="AP211" s="1091"/>
      <c r="AQ211" s="1180"/>
      <c r="AR211" s="1091"/>
      <c r="AS211" s="1180"/>
      <c r="AT211" s="1091"/>
    </row>
    <row r="212" spans="1:46" s="174" customFormat="1">
      <c r="A212" s="1114"/>
      <c r="B212" s="1114"/>
      <c r="C212" s="1114"/>
      <c r="D212" s="554"/>
      <c r="E212" s="30"/>
      <c r="F212" s="1091"/>
      <c r="G212" s="30"/>
      <c r="L212" s="1091"/>
      <c r="N212" s="1091"/>
      <c r="X212" s="554"/>
      <c r="AH212" s="554"/>
      <c r="AO212" s="1091"/>
      <c r="AP212" s="1091"/>
      <c r="AQ212" s="1180"/>
      <c r="AR212" s="1091"/>
      <c r="AS212" s="1180"/>
      <c r="AT212" s="1091"/>
    </row>
    <row r="213" spans="1:46" s="174" customFormat="1">
      <c r="A213" s="1114"/>
      <c r="B213" s="1114"/>
      <c r="C213" s="1114"/>
      <c r="D213" s="554"/>
      <c r="E213" s="30"/>
      <c r="F213" s="1091"/>
      <c r="G213" s="30"/>
      <c r="L213" s="1091"/>
      <c r="N213" s="1091"/>
      <c r="X213" s="554"/>
      <c r="AH213" s="554"/>
      <c r="AO213" s="1091"/>
      <c r="AP213" s="1091"/>
      <c r="AQ213" s="1180"/>
      <c r="AR213" s="1091"/>
      <c r="AS213" s="1180"/>
      <c r="AT213" s="1091"/>
    </row>
    <row r="214" spans="1:46" s="174" customFormat="1">
      <c r="A214" s="1114"/>
      <c r="B214" s="1114"/>
      <c r="C214" s="1114"/>
      <c r="D214" s="554"/>
      <c r="E214" s="30"/>
      <c r="F214" s="1091"/>
      <c r="G214" s="30"/>
      <c r="L214" s="1091"/>
      <c r="N214" s="1091"/>
      <c r="X214" s="554"/>
      <c r="AH214" s="554"/>
      <c r="AO214" s="1091"/>
      <c r="AP214" s="1091"/>
      <c r="AQ214" s="1180"/>
      <c r="AR214" s="1091"/>
      <c r="AS214" s="1180"/>
      <c r="AT214" s="1091"/>
    </row>
    <row r="215" spans="1:46" s="174" customFormat="1">
      <c r="A215" s="1114"/>
      <c r="B215" s="1114"/>
      <c r="C215" s="1114"/>
      <c r="D215" s="554"/>
      <c r="E215" s="30"/>
      <c r="F215" s="1091"/>
      <c r="G215" s="30"/>
      <c r="L215" s="1091"/>
      <c r="N215" s="1091"/>
      <c r="X215" s="554"/>
      <c r="AH215" s="554"/>
      <c r="AO215" s="1091"/>
      <c r="AP215" s="1091"/>
      <c r="AQ215" s="1180"/>
      <c r="AR215" s="1091"/>
      <c r="AS215" s="1180"/>
      <c r="AT215" s="1091"/>
    </row>
    <row r="216" spans="1:46" s="174" customFormat="1">
      <c r="A216" s="1114"/>
      <c r="B216" s="1114"/>
      <c r="C216" s="1114"/>
      <c r="D216" s="554"/>
      <c r="E216" s="30"/>
      <c r="F216" s="1091"/>
      <c r="G216" s="30"/>
      <c r="L216" s="1091"/>
      <c r="N216" s="1091"/>
      <c r="X216" s="554"/>
      <c r="AH216" s="554"/>
      <c r="AO216" s="1091"/>
      <c r="AP216" s="1091"/>
      <c r="AQ216" s="1180"/>
      <c r="AR216" s="1091"/>
      <c r="AS216" s="1180"/>
      <c r="AT216" s="1091"/>
    </row>
    <row r="217" spans="1:46" s="174" customFormat="1">
      <c r="A217" s="1114"/>
      <c r="B217" s="1114"/>
      <c r="C217" s="1114"/>
      <c r="D217" s="554"/>
      <c r="E217" s="30"/>
      <c r="F217" s="1091"/>
      <c r="G217" s="30"/>
      <c r="L217" s="1091"/>
      <c r="N217" s="1091"/>
      <c r="X217" s="554"/>
      <c r="AH217" s="554"/>
      <c r="AO217" s="1091"/>
      <c r="AP217" s="1091"/>
      <c r="AQ217" s="1180"/>
      <c r="AR217" s="1091"/>
      <c r="AS217" s="1180"/>
      <c r="AT217" s="1091"/>
    </row>
    <row r="218" spans="1:46" s="174" customFormat="1">
      <c r="A218" s="1114"/>
      <c r="B218" s="1114"/>
      <c r="C218" s="1114"/>
      <c r="D218" s="554"/>
      <c r="E218" s="30"/>
      <c r="F218" s="1091"/>
      <c r="G218" s="30"/>
      <c r="L218" s="1091"/>
      <c r="N218" s="1091"/>
      <c r="X218" s="554"/>
      <c r="AH218" s="554"/>
      <c r="AO218" s="1091"/>
      <c r="AP218" s="1091"/>
      <c r="AQ218" s="1180"/>
      <c r="AR218" s="1091"/>
      <c r="AS218" s="1180"/>
      <c r="AT218" s="1091"/>
    </row>
    <row r="219" spans="1:46" s="174" customFormat="1">
      <c r="A219" s="1114"/>
      <c r="B219" s="1114"/>
      <c r="C219" s="1114"/>
      <c r="D219" s="554"/>
      <c r="E219" s="30"/>
      <c r="F219" s="1091"/>
      <c r="G219" s="30"/>
      <c r="L219" s="1091"/>
      <c r="N219" s="1091"/>
      <c r="X219" s="554"/>
      <c r="AH219" s="554"/>
      <c r="AO219" s="1091"/>
      <c r="AP219" s="1091"/>
      <c r="AQ219" s="1180"/>
      <c r="AR219" s="1091"/>
      <c r="AS219" s="1180"/>
      <c r="AT219" s="1091"/>
    </row>
    <row r="220" spans="1:46" s="174" customFormat="1">
      <c r="A220" s="1114"/>
      <c r="B220" s="1114"/>
      <c r="C220" s="1114"/>
      <c r="D220" s="554"/>
      <c r="E220" s="30"/>
      <c r="F220" s="1091"/>
      <c r="G220" s="30"/>
      <c r="L220" s="1091"/>
      <c r="N220" s="1091"/>
      <c r="X220" s="554"/>
      <c r="AH220" s="554"/>
      <c r="AO220" s="1091"/>
      <c r="AP220" s="1091"/>
      <c r="AQ220" s="1180"/>
      <c r="AR220" s="1091"/>
      <c r="AS220" s="1180"/>
      <c r="AT220" s="1091"/>
    </row>
    <row r="221" spans="1:46" s="174" customFormat="1">
      <c r="A221" s="1114"/>
      <c r="B221" s="1114"/>
      <c r="C221" s="1114"/>
      <c r="D221" s="554"/>
      <c r="E221" s="30"/>
      <c r="F221" s="1091"/>
      <c r="G221" s="30"/>
      <c r="L221" s="1091"/>
      <c r="N221" s="1091"/>
      <c r="X221" s="554"/>
      <c r="AH221" s="554"/>
      <c r="AO221" s="1091"/>
      <c r="AP221" s="1091"/>
      <c r="AQ221" s="1180"/>
      <c r="AR221" s="1091"/>
      <c r="AS221" s="1180"/>
      <c r="AT221" s="1091"/>
    </row>
    <row r="222" spans="1:46" s="174" customFormat="1">
      <c r="A222" s="1114"/>
      <c r="B222" s="1114"/>
      <c r="C222" s="1114"/>
      <c r="D222" s="554"/>
      <c r="E222" s="30"/>
      <c r="F222" s="1091"/>
      <c r="G222" s="30"/>
      <c r="L222" s="1091"/>
      <c r="N222" s="1091"/>
      <c r="X222" s="554"/>
      <c r="AH222" s="554"/>
      <c r="AO222" s="1091"/>
      <c r="AP222" s="1091"/>
      <c r="AQ222" s="1180"/>
      <c r="AR222" s="1091"/>
      <c r="AS222" s="1180"/>
      <c r="AT222" s="1091"/>
    </row>
    <row r="223" spans="1:46" s="174" customFormat="1">
      <c r="A223" s="1114"/>
      <c r="B223" s="1114"/>
      <c r="C223" s="1114"/>
      <c r="D223" s="554"/>
      <c r="E223" s="30"/>
      <c r="F223" s="1091"/>
      <c r="G223" s="30"/>
      <c r="L223" s="1091"/>
      <c r="N223" s="1091"/>
      <c r="X223" s="554"/>
      <c r="AH223" s="554"/>
      <c r="AO223" s="1091"/>
      <c r="AP223" s="1091"/>
      <c r="AQ223" s="1180"/>
      <c r="AR223" s="1091"/>
      <c r="AS223" s="1180"/>
      <c r="AT223" s="1091"/>
    </row>
    <row r="224" spans="1:46" s="174" customFormat="1">
      <c r="A224" s="1114"/>
      <c r="B224" s="1114"/>
      <c r="C224" s="1114"/>
      <c r="D224" s="554"/>
      <c r="E224" s="30"/>
      <c r="F224" s="1091"/>
      <c r="G224" s="30"/>
      <c r="L224" s="1091"/>
      <c r="N224" s="1091"/>
      <c r="X224" s="554"/>
      <c r="AH224" s="554"/>
      <c r="AO224" s="1091"/>
      <c r="AP224" s="1091"/>
      <c r="AQ224" s="1180"/>
      <c r="AR224" s="1091"/>
      <c r="AS224" s="1180"/>
      <c r="AT224" s="1091"/>
    </row>
    <row r="225" spans="1:46" s="174" customFormat="1">
      <c r="A225" s="1114"/>
      <c r="B225" s="1114"/>
      <c r="C225" s="1114"/>
      <c r="D225" s="554"/>
      <c r="E225" s="30"/>
      <c r="F225" s="1091"/>
      <c r="G225" s="30"/>
      <c r="L225" s="1091"/>
      <c r="N225" s="1091"/>
      <c r="X225" s="554"/>
      <c r="AH225" s="554"/>
      <c r="AO225" s="1091"/>
      <c r="AP225" s="1091"/>
      <c r="AQ225" s="1180"/>
      <c r="AR225" s="1091"/>
      <c r="AS225" s="1180"/>
      <c r="AT225" s="1091"/>
    </row>
    <row r="226" spans="1:46" s="174" customFormat="1">
      <c r="A226" s="1114"/>
      <c r="B226" s="1114"/>
      <c r="C226" s="1114"/>
      <c r="D226" s="554"/>
      <c r="E226" s="30"/>
      <c r="F226" s="1091"/>
      <c r="G226" s="30"/>
      <c r="L226" s="1091"/>
      <c r="N226" s="1091"/>
      <c r="X226" s="554"/>
      <c r="AH226" s="554"/>
      <c r="AO226" s="1091"/>
      <c r="AP226" s="1091"/>
      <c r="AQ226" s="1180"/>
      <c r="AR226" s="1091"/>
      <c r="AS226" s="1180"/>
      <c r="AT226" s="1091"/>
    </row>
    <row r="227" spans="1:46" s="174" customFormat="1">
      <c r="A227" s="1114"/>
      <c r="B227" s="1114"/>
      <c r="C227" s="1114"/>
      <c r="D227" s="554"/>
      <c r="E227" s="30"/>
      <c r="F227" s="1091"/>
      <c r="G227" s="30"/>
      <c r="L227" s="1091"/>
      <c r="N227" s="1091"/>
      <c r="X227" s="554"/>
      <c r="AH227" s="554"/>
      <c r="AO227" s="1091"/>
      <c r="AP227" s="1091"/>
      <c r="AQ227" s="1180"/>
      <c r="AR227" s="1091"/>
      <c r="AS227" s="1180"/>
      <c r="AT227" s="1091"/>
    </row>
    <row r="228" spans="1:46" s="174" customFormat="1">
      <c r="A228" s="1114"/>
      <c r="B228" s="1114"/>
      <c r="C228" s="1114"/>
      <c r="D228" s="554"/>
      <c r="E228" s="30"/>
      <c r="F228" s="1091"/>
      <c r="G228" s="30"/>
      <c r="L228" s="1091"/>
      <c r="N228" s="1091"/>
      <c r="X228" s="554"/>
      <c r="AH228" s="554"/>
      <c r="AO228" s="1091"/>
      <c r="AP228" s="1091"/>
      <c r="AQ228" s="1180"/>
      <c r="AR228" s="1091"/>
      <c r="AS228" s="1180"/>
      <c r="AT228" s="1091"/>
    </row>
    <row r="229" spans="1:46" s="174" customFormat="1">
      <c r="A229" s="1114"/>
      <c r="B229" s="1114"/>
      <c r="C229" s="1114"/>
      <c r="D229" s="554"/>
      <c r="E229" s="30"/>
      <c r="F229" s="1091"/>
      <c r="G229" s="30"/>
      <c r="L229" s="1091"/>
      <c r="N229" s="1091"/>
      <c r="X229" s="554"/>
      <c r="AH229" s="554"/>
      <c r="AO229" s="1091"/>
      <c r="AP229" s="1091"/>
      <c r="AQ229" s="1180"/>
      <c r="AR229" s="1091"/>
      <c r="AS229" s="1180"/>
      <c r="AT229" s="1091"/>
    </row>
    <row r="230" spans="1:46" s="174" customFormat="1">
      <c r="A230" s="1114"/>
      <c r="B230" s="1114"/>
      <c r="C230" s="1114"/>
      <c r="D230" s="554"/>
      <c r="E230" s="30"/>
      <c r="F230" s="1091"/>
      <c r="G230" s="30"/>
      <c r="L230" s="1091"/>
      <c r="N230" s="1091"/>
      <c r="X230" s="554"/>
      <c r="AH230" s="554"/>
      <c r="AO230" s="1091"/>
      <c r="AP230" s="1091"/>
      <c r="AQ230" s="1180"/>
      <c r="AR230" s="1091"/>
      <c r="AS230" s="1180"/>
      <c r="AT230" s="1091"/>
    </row>
    <row r="231" spans="1:46" s="174" customFormat="1">
      <c r="A231" s="1114"/>
      <c r="B231" s="1114"/>
      <c r="C231" s="1114"/>
      <c r="D231" s="554"/>
      <c r="E231" s="30"/>
      <c r="F231" s="1091"/>
      <c r="G231" s="30"/>
      <c r="L231" s="1091"/>
      <c r="N231" s="1091"/>
      <c r="X231" s="554"/>
      <c r="AH231" s="554"/>
      <c r="AO231" s="1091"/>
      <c r="AP231" s="1091"/>
      <c r="AQ231" s="1180"/>
      <c r="AR231" s="1091"/>
      <c r="AS231" s="1180"/>
      <c r="AT231" s="1091"/>
    </row>
    <row r="232" spans="1:46" s="174" customFormat="1">
      <c r="A232" s="1114"/>
      <c r="B232" s="1114"/>
      <c r="C232" s="1114"/>
      <c r="D232" s="554"/>
      <c r="E232" s="30"/>
      <c r="F232" s="1091"/>
      <c r="G232" s="30"/>
      <c r="L232" s="1091"/>
      <c r="N232" s="1091"/>
      <c r="X232" s="554"/>
      <c r="AH232" s="554"/>
      <c r="AO232" s="1091"/>
      <c r="AP232" s="1091"/>
      <c r="AQ232" s="1180"/>
      <c r="AR232" s="1091"/>
      <c r="AS232" s="1180"/>
      <c r="AT232" s="1091"/>
    </row>
    <row r="233" spans="1:46" s="174" customFormat="1">
      <c r="A233" s="1114"/>
      <c r="B233" s="1114"/>
      <c r="C233" s="1114"/>
      <c r="D233" s="554"/>
      <c r="E233" s="30"/>
      <c r="F233" s="1091"/>
      <c r="G233" s="30"/>
      <c r="L233" s="1091"/>
      <c r="N233" s="1091"/>
      <c r="X233" s="554"/>
      <c r="AH233" s="554"/>
      <c r="AO233" s="1091"/>
      <c r="AP233" s="1091"/>
      <c r="AQ233" s="1180"/>
      <c r="AR233" s="1091"/>
      <c r="AS233" s="1180"/>
      <c r="AT233" s="1091"/>
    </row>
    <row r="234" spans="1:46" s="174" customFormat="1">
      <c r="A234" s="1114"/>
      <c r="B234" s="1114"/>
      <c r="C234" s="1114"/>
      <c r="D234" s="554"/>
      <c r="E234" s="30"/>
      <c r="F234" s="1091"/>
      <c r="G234" s="30"/>
      <c r="L234" s="1091"/>
      <c r="N234" s="1091"/>
      <c r="X234" s="554"/>
      <c r="AH234" s="554"/>
      <c r="AO234" s="1091"/>
      <c r="AP234" s="1091"/>
      <c r="AQ234" s="1180"/>
      <c r="AR234" s="1091"/>
      <c r="AS234" s="1180"/>
      <c r="AT234" s="1091"/>
    </row>
    <row r="235" spans="1:46" s="174" customFormat="1">
      <c r="A235" s="1114"/>
      <c r="B235" s="1114"/>
      <c r="C235" s="1114"/>
      <c r="D235" s="554"/>
      <c r="E235" s="30"/>
      <c r="F235" s="1091"/>
      <c r="G235" s="30"/>
      <c r="L235" s="1091"/>
      <c r="N235" s="1091"/>
      <c r="X235" s="554"/>
      <c r="AH235" s="554"/>
      <c r="AO235" s="1091"/>
      <c r="AP235" s="1091"/>
      <c r="AQ235" s="1180"/>
      <c r="AR235" s="1091"/>
      <c r="AS235" s="1180"/>
      <c r="AT235" s="1091"/>
    </row>
    <row r="236" spans="1:46" s="174" customFormat="1">
      <c r="A236" s="1114"/>
      <c r="B236" s="1114"/>
      <c r="C236" s="1114"/>
      <c r="D236" s="554"/>
      <c r="E236" s="30"/>
      <c r="F236" s="1091"/>
      <c r="G236" s="30"/>
      <c r="L236" s="1091"/>
      <c r="N236" s="1091"/>
      <c r="X236" s="554"/>
      <c r="AH236" s="554"/>
      <c r="AO236" s="1091"/>
      <c r="AP236" s="1091"/>
      <c r="AQ236" s="1180"/>
      <c r="AR236" s="1091"/>
      <c r="AS236" s="1180"/>
      <c r="AT236" s="1091"/>
    </row>
    <row r="237" spans="1:46" s="174" customFormat="1">
      <c r="A237" s="1114"/>
      <c r="B237" s="1114"/>
      <c r="C237" s="1114"/>
      <c r="D237" s="554"/>
      <c r="E237" s="30"/>
      <c r="F237" s="1091"/>
      <c r="G237" s="30"/>
      <c r="L237" s="1091"/>
      <c r="N237" s="1091"/>
      <c r="X237" s="554"/>
      <c r="AH237" s="554"/>
      <c r="AO237" s="1091"/>
      <c r="AP237" s="1091"/>
      <c r="AQ237" s="1180"/>
      <c r="AR237" s="1091"/>
      <c r="AS237" s="1180"/>
      <c r="AT237" s="1091"/>
    </row>
    <row r="238" spans="1:46" s="174" customFormat="1">
      <c r="A238" s="1114"/>
      <c r="B238" s="1114"/>
      <c r="C238" s="1114"/>
      <c r="D238" s="554"/>
      <c r="E238" s="30"/>
      <c r="F238" s="1091"/>
      <c r="G238" s="30"/>
      <c r="L238" s="1091"/>
      <c r="N238" s="1091"/>
      <c r="X238" s="554"/>
      <c r="AH238" s="554"/>
      <c r="AO238" s="1091"/>
      <c r="AP238" s="1091"/>
      <c r="AQ238" s="1180"/>
      <c r="AR238" s="1091"/>
      <c r="AS238" s="1180"/>
      <c r="AT238" s="1091"/>
    </row>
    <row r="239" spans="1:46" s="174" customFormat="1">
      <c r="A239" s="1114"/>
      <c r="B239" s="1114"/>
      <c r="C239" s="1114"/>
      <c r="D239" s="554"/>
      <c r="E239" s="30"/>
      <c r="F239" s="1091"/>
      <c r="G239" s="30"/>
      <c r="L239" s="1091"/>
      <c r="N239" s="1091"/>
      <c r="X239" s="554"/>
      <c r="AH239" s="554"/>
      <c r="AO239" s="1091"/>
      <c r="AP239" s="1091"/>
      <c r="AQ239" s="1180"/>
      <c r="AR239" s="1091"/>
      <c r="AS239" s="1180"/>
      <c r="AT239" s="1091"/>
    </row>
    <row r="240" spans="1:46" s="174" customFormat="1">
      <c r="A240" s="1114"/>
      <c r="B240" s="1114"/>
      <c r="C240" s="1114"/>
      <c r="D240" s="554"/>
      <c r="E240" s="30"/>
      <c r="F240" s="1091"/>
      <c r="G240" s="30"/>
      <c r="L240" s="1091"/>
      <c r="N240" s="1091"/>
      <c r="X240" s="554"/>
      <c r="AH240" s="554"/>
      <c r="AO240" s="1091"/>
      <c r="AP240" s="1091"/>
      <c r="AQ240" s="1180"/>
      <c r="AR240" s="1091"/>
      <c r="AS240" s="1180"/>
      <c r="AT240" s="1091"/>
    </row>
    <row r="241" spans="1:46" s="174" customFormat="1">
      <c r="A241" s="1114"/>
      <c r="B241" s="1114"/>
      <c r="C241" s="1114"/>
      <c r="D241" s="554"/>
      <c r="E241" s="30"/>
      <c r="F241" s="1091"/>
      <c r="G241" s="30"/>
      <c r="L241" s="1091"/>
      <c r="N241" s="1091"/>
      <c r="X241" s="554"/>
      <c r="AH241" s="554"/>
      <c r="AO241" s="1091"/>
      <c r="AP241" s="1091"/>
      <c r="AQ241" s="1180"/>
      <c r="AR241" s="1091"/>
      <c r="AS241" s="1180"/>
      <c r="AT241" s="1091"/>
    </row>
    <row r="242" spans="1:46" s="174" customFormat="1">
      <c r="A242" s="1114"/>
      <c r="B242" s="1114"/>
      <c r="C242" s="1114"/>
      <c r="D242" s="554"/>
      <c r="E242" s="30"/>
      <c r="F242" s="1091"/>
      <c r="G242" s="30"/>
      <c r="L242" s="1091"/>
      <c r="N242" s="1091"/>
      <c r="X242" s="554"/>
      <c r="AH242" s="554"/>
      <c r="AO242" s="1091"/>
      <c r="AP242" s="1091"/>
      <c r="AQ242" s="1180"/>
      <c r="AR242" s="1091"/>
      <c r="AS242" s="1180"/>
      <c r="AT242" s="1091"/>
    </row>
    <row r="243" spans="1:46" s="174" customFormat="1">
      <c r="A243" s="1114"/>
      <c r="B243" s="1114"/>
      <c r="C243" s="1114"/>
      <c r="D243" s="554"/>
      <c r="E243" s="30"/>
      <c r="F243" s="1091"/>
      <c r="G243" s="30"/>
      <c r="L243" s="1091"/>
      <c r="N243" s="1091"/>
      <c r="X243" s="554"/>
      <c r="AH243" s="554"/>
      <c r="AO243" s="1091"/>
      <c r="AP243" s="1091"/>
      <c r="AQ243" s="1180"/>
      <c r="AR243" s="1091"/>
      <c r="AS243" s="1180"/>
      <c r="AT243" s="1091"/>
    </row>
    <row r="244" spans="1:46" s="174" customFormat="1">
      <c r="A244" s="1114"/>
      <c r="B244" s="1114"/>
      <c r="C244" s="1114"/>
      <c r="D244" s="554"/>
      <c r="E244" s="30"/>
      <c r="F244" s="1091"/>
      <c r="G244" s="30"/>
      <c r="L244" s="1091"/>
      <c r="N244" s="1091"/>
      <c r="X244" s="554"/>
      <c r="AH244" s="554"/>
      <c r="AO244" s="1091"/>
      <c r="AP244" s="1091"/>
      <c r="AQ244" s="1180"/>
      <c r="AR244" s="1091"/>
      <c r="AS244" s="1180"/>
      <c r="AT244" s="1091"/>
    </row>
    <row r="245" spans="1:46" s="174" customFormat="1">
      <c r="A245" s="1114"/>
      <c r="B245" s="1114"/>
      <c r="C245" s="1114"/>
      <c r="D245" s="554"/>
      <c r="E245" s="30"/>
      <c r="F245" s="1091"/>
      <c r="G245" s="30"/>
      <c r="L245" s="1091"/>
      <c r="N245" s="1091"/>
      <c r="X245" s="554"/>
      <c r="AH245" s="554"/>
      <c r="AO245" s="1091"/>
      <c r="AP245" s="1091"/>
      <c r="AQ245" s="1180"/>
      <c r="AR245" s="1091"/>
      <c r="AS245" s="1180"/>
      <c r="AT245" s="1091"/>
    </row>
    <row r="246" spans="1:46" s="174" customFormat="1">
      <c r="A246" s="1114"/>
      <c r="B246" s="1114"/>
      <c r="C246" s="1114"/>
      <c r="D246" s="554"/>
      <c r="E246" s="30"/>
      <c r="F246" s="1091"/>
      <c r="G246" s="30"/>
      <c r="L246" s="1091"/>
      <c r="N246" s="1091"/>
      <c r="X246" s="554"/>
      <c r="AH246" s="554"/>
      <c r="AO246" s="1091"/>
      <c r="AP246" s="1091"/>
      <c r="AQ246" s="1180"/>
      <c r="AR246" s="1091"/>
      <c r="AS246" s="1180"/>
      <c r="AT246" s="1091"/>
    </row>
    <row r="247" spans="1:46" s="174" customFormat="1">
      <c r="A247" s="1114"/>
      <c r="B247" s="1114"/>
      <c r="C247" s="1114"/>
      <c r="D247" s="554"/>
      <c r="E247" s="30"/>
      <c r="F247" s="1091"/>
      <c r="G247" s="30"/>
      <c r="L247" s="1091"/>
      <c r="N247" s="1091"/>
      <c r="X247" s="554"/>
      <c r="AH247" s="554"/>
      <c r="AO247" s="1091"/>
      <c r="AP247" s="1091"/>
      <c r="AQ247" s="1180"/>
      <c r="AR247" s="1091"/>
      <c r="AS247" s="1180"/>
      <c r="AT247" s="1091"/>
    </row>
    <row r="248" spans="1:46" s="174" customFormat="1">
      <c r="A248" s="1114"/>
      <c r="B248" s="1114"/>
      <c r="C248" s="1114"/>
      <c r="D248" s="554"/>
      <c r="E248" s="30"/>
      <c r="F248" s="1091"/>
      <c r="G248" s="30"/>
      <c r="L248" s="1091"/>
      <c r="N248" s="1091"/>
      <c r="X248" s="554"/>
      <c r="AH248" s="554"/>
      <c r="AO248" s="1091"/>
      <c r="AP248" s="1091"/>
      <c r="AQ248" s="1180"/>
      <c r="AR248" s="1091"/>
      <c r="AS248" s="1180"/>
      <c r="AT248" s="1091"/>
    </row>
    <row r="249" spans="1:46" s="174" customFormat="1">
      <c r="A249" s="1114"/>
      <c r="B249" s="1114"/>
      <c r="C249" s="1114"/>
      <c r="D249" s="554"/>
      <c r="E249" s="30"/>
      <c r="F249" s="1091"/>
      <c r="G249" s="30"/>
      <c r="L249" s="1091"/>
      <c r="N249" s="1091"/>
      <c r="X249" s="554"/>
      <c r="AH249" s="554"/>
      <c r="AO249" s="1091"/>
      <c r="AP249" s="1091"/>
      <c r="AQ249" s="1180"/>
      <c r="AR249" s="1091"/>
      <c r="AS249" s="1180"/>
      <c r="AT249" s="1091"/>
    </row>
    <row r="250" spans="1:46" s="174" customFormat="1">
      <c r="A250" s="1114"/>
      <c r="B250" s="1114"/>
      <c r="C250" s="1114"/>
      <c r="D250" s="554"/>
      <c r="E250" s="30"/>
      <c r="F250" s="1091"/>
      <c r="G250" s="30"/>
      <c r="L250" s="1091"/>
      <c r="N250" s="1091"/>
      <c r="X250" s="554"/>
      <c r="AH250" s="554"/>
      <c r="AO250" s="1091"/>
      <c r="AP250" s="1091"/>
      <c r="AQ250" s="1180"/>
      <c r="AR250" s="1091"/>
      <c r="AS250" s="1180"/>
      <c r="AT250" s="1091"/>
    </row>
    <row r="251" spans="1:46" s="174" customFormat="1">
      <c r="A251" s="1114"/>
      <c r="B251" s="1114"/>
      <c r="C251" s="1114"/>
      <c r="D251" s="554"/>
      <c r="E251" s="30"/>
      <c r="F251" s="1091"/>
      <c r="G251" s="30"/>
      <c r="L251" s="1091"/>
      <c r="N251" s="1091"/>
      <c r="X251" s="554"/>
      <c r="AH251" s="554"/>
      <c r="AO251" s="1091"/>
      <c r="AP251" s="1091"/>
      <c r="AQ251" s="1180"/>
      <c r="AR251" s="1091"/>
      <c r="AS251" s="1180"/>
      <c r="AT251" s="1091"/>
    </row>
    <row r="252" spans="1:46" s="174" customFormat="1">
      <c r="A252" s="1114"/>
      <c r="B252" s="1114"/>
      <c r="C252" s="1114"/>
      <c r="D252" s="554"/>
      <c r="E252" s="30"/>
      <c r="F252" s="1091"/>
      <c r="G252" s="30"/>
      <c r="L252" s="1091"/>
      <c r="N252" s="1091"/>
      <c r="X252" s="554"/>
      <c r="AH252" s="554"/>
      <c r="AO252" s="1091"/>
      <c r="AP252" s="1091"/>
      <c r="AQ252" s="1180"/>
      <c r="AR252" s="1091"/>
      <c r="AS252" s="1180"/>
      <c r="AT252" s="1091"/>
    </row>
    <row r="253" spans="1:46" s="174" customFormat="1">
      <c r="A253" s="1114"/>
      <c r="B253" s="1114"/>
      <c r="C253" s="1114"/>
      <c r="D253" s="554"/>
      <c r="E253" s="30"/>
      <c r="F253" s="1091"/>
      <c r="G253" s="30"/>
      <c r="L253" s="1091"/>
      <c r="N253" s="1091"/>
      <c r="X253" s="554"/>
      <c r="AH253" s="554"/>
      <c r="AO253" s="1091"/>
      <c r="AP253" s="1091"/>
      <c r="AQ253" s="1180"/>
      <c r="AR253" s="1091"/>
      <c r="AS253" s="1180"/>
      <c r="AT253" s="1091"/>
    </row>
    <row r="254" spans="1:46" s="174" customFormat="1">
      <c r="A254" s="1114"/>
      <c r="B254" s="1114"/>
      <c r="C254" s="1114"/>
      <c r="D254" s="554"/>
      <c r="E254" s="30"/>
      <c r="F254" s="1091"/>
      <c r="G254" s="30"/>
      <c r="L254" s="1091"/>
      <c r="N254" s="1091"/>
      <c r="X254" s="554"/>
      <c r="AH254" s="554"/>
      <c r="AO254" s="1091"/>
      <c r="AP254" s="1091"/>
      <c r="AQ254" s="1180"/>
      <c r="AR254" s="1091"/>
      <c r="AS254" s="1180"/>
      <c r="AT254" s="1091"/>
    </row>
    <row r="255" spans="1:46" s="174" customFormat="1">
      <c r="A255" s="1114"/>
      <c r="B255" s="1114"/>
      <c r="C255" s="1114"/>
      <c r="D255" s="554"/>
      <c r="E255" s="30"/>
      <c r="F255" s="1091"/>
      <c r="G255" s="30"/>
      <c r="L255" s="1091"/>
      <c r="N255" s="1091"/>
      <c r="X255" s="554"/>
      <c r="AH255" s="554"/>
      <c r="AO255" s="1091"/>
      <c r="AP255" s="1091"/>
      <c r="AQ255" s="1180"/>
      <c r="AR255" s="1091"/>
      <c r="AS255" s="1180"/>
      <c r="AT255" s="1091"/>
    </row>
    <row r="256" spans="1:46" s="174" customFormat="1">
      <c r="A256" s="1114"/>
      <c r="B256" s="1114"/>
      <c r="C256" s="1114"/>
      <c r="D256" s="554"/>
      <c r="E256" s="30"/>
      <c r="F256" s="1091"/>
      <c r="G256" s="30"/>
      <c r="L256" s="1091"/>
      <c r="N256" s="1091"/>
      <c r="X256" s="554"/>
      <c r="AH256" s="554"/>
      <c r="AO256" s="1091"/>
      <c r="AP256" s="1091"/>
      <c r="AQ256" s="1180"/>
      <c r="AR256" s="1091"/>
      <c r="AS256" s="1180"/>
      <c r="AT256" s="1091"/>
    </row>
    <row r="257" spans="1:46" s="174" customFormat="1">
      <c r="A257" s="1114"/>
      <c r="B257" s="1114"/>
      <c r="C257" s="1114"/>
      <c r="D257" s="554"/>
      <c r="E257" s="30"/>
      <c r="F257" s="1091"/>
      <c r="G257" s="30"/>
      <c r="L257" s="1091"/>
      <c r="N257" s="1091"/>
      <c r="X257" s="554"/>
      <c r="AH257" s="554"/>
      <c r="AO257" s="1091"/>
      <c r="AP257" s="1091"/>
      <c r="AQ257" s="1180"/>
      <c r="AR257" s="1091"/>
      <c r="AS257" s="1180"/>
      <c r="AT257" s="1091"/>
    </row>
    <row r="258" spans="1:46" s="174" customFormat="1">
      <c r="A258" s="1114"/>
      <c r="B258" s="1114"/>
      <c r="C258" s="1114"/>
      <c r="D258" s="554"/>
      <c r="E258" s="30"/>
      <c r="F258" s="1091"/>
      <c r="G258" s="30"/>
      <c r="L258" s="1091"/>
      <c r="N258" s="1091"/>
      <c r="X258" s="554"/>
      <c r="AH258" s="554"/>
      <c r="AO258" s="1091"/>
      <c r="AP258" s="1091"/>
      <c r="AQ258" s="1180"/>
      <c r="AR258" s="1091"/>
      <c r="AS258" s="1180"/>
      <c r="AT258" s="1091"/>
    </row>
    <row r="259" spans="1:46" s="174" customFormat="1">
      <c r="A259" s="1114"/>
      <c r="B259" s="1114"/>
      <c r="C259" s="1114"/>
      <c r="D259" s="554"/>
      <c r="E259" s="30"/>
      <c r="F259" s="1091"/>
      <c r="G259" s="30"/>
      <c r="L259" s="1091"/>
      <c r="N259" s="1091"/>
      <c r="X259" s="554"/>
      <c r="AH259" s="554"/>
      <c r="AO259" s="1091"/>
      <c r="AP259" s="1091"/>
      <c r="AQ259" s="1180"/>
      <c r="AR259" s="1091"/>
      <c r="AS259" s="1180"/>
      <c r="AT259" s="1091"/>
    </row>
    <row r="260" spans="1:46" s="174" customFormat="1">
      <c r="A260" s="1114"/>
      <c r="B260" s="1114"/>
      <c r="C260" s="1114"/>
      <c r="D260" s="554"/>
      <c r="E260" s="30"/>
      <c r="F260" s="1091"/>
      <c r="G260" s="30"/>
      <c r="L260" s="1091"/>
      <c r="N260" s="1091"/>
      <c r="X260" s="554"/>
      <c r="AH260" s="554"/>
      <c r="AO260" s="1091"/>
      <c r="AP260" s="1091"/>
      <c r="AQ260" s="1180"/>
      <c r="AR260" s="1091"/>
      <c r="AS260" s="1180"/>
      <c r="AT260" s="1091"/>
    </row>
    <row r="261" spans="1:46" s="174" customFormat="1">
      <c r="A261" s="1114"/>
      <c r="B261" s="1114"/>
      <c r="C261" s="1114"/>
      <c r="D261" s="554"/>
      <c r="E261" s="30"/>
      <c r="F261" s="1091"/>
      <c r="G261" s="30"/>
      <c r="L261" s="1091"/>
      <c r="N261" s="1091"/>
      <c r="X261" s="554"/>
      <c r="AH261" s="554"/>
      <c r="AO261" s="1091"/>
      <c r="AP261" s="1091"/>
      <c r="AQ261" s="1180"/>
      <c r="AR261" s="1091"/>
      <c r="AS261" s="1180"/>
      <c r="AT261" s="1091"/>
    </row>
    <row r="262" spans="1:46" s="174" customFormat="1">
      <c r="A262" s="1114"/>
      <c r="B262" s="1114"/>
      <c r="C262" s="1114"/>
      <c r="D262" s="554"/>
      <c r="E262" s="30"/>
      <c r="F262" s="1091"/>
      <c r="G262" s="30"/>
      <c r="L262" s="1091"/>
      <c r="N262" s="1091"/>
      <c r="X262" s="554"/>
      <c r="AH262" s="554"/>
      <c r="AO262" s="1091"/>
      <c r="AP262" s="1091"/>
      <c r="AQ262" s="1180"/>
      <c r="AR262" s="1091"/>
      <c r="AS262" s="1180"/>
      <c r="AT262" s="1091"/>
    </row>
    <row r="263" spans="1:46" s="174" customFormat="1">
      <c r="A263" s="1114"/>
      <c r="B263" s="1114"/>
      <c r="C263" s="1114"/>
      <c r="D263" s="554"/>
      <c r="E263" s="30"/>
      <c r="F263" s="1091"/>
      <c r="G263" s="30"/>
      <c r="L263" s="1091"/>
      <c r="N263" s="1091"/>
      <c r="X263" s="554"/>
      <c r="AH263" s="554"/>
      <c r="AO263" s="1091"/>
      <c r="AP263" s="1091"/>
      <c r="AQ263" s="1180"/>
      <c r="AR263" s="1091"/>
      <c r="AS263" s="1180"/>
      <c r="AT263" s="1091"/>
    </row>
    <row r="264" spans="1:46" s="174" customFormat="1">
      <c r="A264" s="1114"/>
      <c r="B264" s="1114"/>
      <c r="C264" s="1114"/>
      <c r="D264" s="554"/>
      <c r="E264" s="30"/>
      <c r="F264" s="1091"/>
      <c r="G264" s="30"/>
      <c r="L264" s="1091"/>
      <c r="N264" s="1091"/>
      <c r="X264" s="554"/>
      <c r="AH264" s="554"/>
      <c r="AO264" s="1091"/>
      <c r="AP264" s="1091"/>
      <c r="AQ264" s="1180"/>
      <c r="AR264" s="1091"/>
      <c r="AS264" s="1180"/>
      <c r="AT264" s="1091"/>
    </row>
    <row r="265" spans="1:46" s="174" customFormat="1">
      <c r="A265" s="1114"/>
      <c r="B265" s="1114"/>
      <c r="C265" s="1114"/>
      <c r="D265" s="554"/>
      <c r="E265" s="30"/>
      <c r="F265" s="1091"/>
      <c r="G265" s="30"/>
      <c r="L265" s="1091"/>
      <c r="N265" s="1091"/>
      <c r="X265" s="554"/>
      <c r="AH265" s="554"/>
      <c r="AO265" s="1091"/>
      <c r="AP265" s="1091"/>
      <c r="AQ265" s="1180"/>
      <c r="AR265" s="1091"/>
      <c r="AS265" s="1180"/>
      <c r="AT265" s="1091"/>
    </row>
    <row r="266" spans="1:46" s="174" customFormat="1">
      <c r="A266" s="1114"/>
      <c r="B266" s="1114"/>
      <c r="C266" s="1114"/>
      <c r="D266" s="554"/>
      <c r="E266" s="30"/>
      <c r="F266" s="1091"/>
      <c r="G266" s="30"/>
      <c r="L266" s="1091"/>
      <c r="N266" s="1091"/>
      <c r="X266" s="554"/>
      <c r="AH266" s="554"/>
      <c r="AO266" s="1091"/>
      <c r="AP266" s="1091"/>
      <c r="AQ266" s="1180"/>
      <c r="AR266" s="1091"/>
      <c r="AS266" s="1180"/>
      <c r="AT266" s="1091"/>
    </row>
    <row r="267" spans="1:46" s="174" customFormat="1">
      <c r="A267" s="1114"/>
      <c r="B267" s="1114"/>
      <c r="C267" s="1114"/>
      <c r="D267" s="554"/>
      <c r="E267" s="30"/>
      <c r="F267" s="1091"/>
      <c r="G267" s="30"/>
      <c r="L267" s="1091"/>
      <c r="N267" s="1091"/>
      <c r="X267" s="554"/>
      <c r="AH267" s="554"/>
      <c r="AO267" s="1091"/>
      <c r="AP267" s="1091"/>
      <c r="AQ267" s="1180"/>
      <c r="AR267" s="1091"/>
      <c r="AS267" s="1180"/>
      <c r="AT267" s="1091"/>
    </row>
    <row r="268" spans="1:46" s="174" customFormat="1">
      <c r="A268" s="1114"/>
      <c r="B268" s="1114"/>
      <c r="C268" s="1114"/>
      <c r="D268" s="554"/>
      <c r="E268" s="30"/>
      <c r="F268" s="1091"/>
      <c r="G268" s="30"/>
      <c r="L268" s="1091"/>
      <c r="N268" s="1091"/>
      <c r="X268" s="554"/>
      <c r="AH268" s="554"/>
      <c r="AO268" s="1091"/>
      <c r="AP268" s="1091"/>
      <c r="AQ268" s="1180"/>
      <c r="AR268" s="1091"/>
      <c r="AS268" s="1180"/>
      <c r="AT268" s="1091"/>
    </row>
    <row r="269" spans="1:46" s="174" customFormat="1">
      <c r="A269" s="1114"/>
      <c r="B269" s="1114"/>
      <c r="C269" s="1114"/>
      <c r="D269" s="554"/>
      <c r="E269" s="30"/>
      <c r="F269" s="1091"/>
      <c r="G269" s="30"/>
      <c r="L269" s="1091"/>
      <c r="N269" s="1091"/>
      <c r="X269" s="554"/>
      <c r="AH269" s="554"/>
      <c r="AO269" s="1091"/>
      <c r="AP269" s="1091"/>
      <c r="AQ269" s="1180"/>
      <c r="AR269" s="1091"/>
      <c r="AS269" s="1180"/>
      <c r="AT269" s="1091"/>
    </row>
    <row r="270" spans="1:46" s="174" customFormat="1">
      <c r="A270" s="1114"/>
      <c r="B270" s="1114"/>
      <c r="C270" s="1114"/>
      <c r="D270" s="554"/>
      <c r="E270" s="30"/>
      <c r="F270" s="1091"/>
      <c r="G270" s="30"/>
      <c r="L270" s="1091"/>
      <c r="N270" s="1091"/>
      <c r="X270" s="554"/>
      <c r="AH270" s="554"/>
      <c r="AO270" s="1091"/>
      <c r="AP270" s="1091"/>
      <c r="AQ270" s="1180"/>
      <c r="AR270" s="1091"/>
      <c r="AS270" s="1180"/>
      <c r="AT270" s="1091"/>
    </row>
    <row r="271" spans="1:46" s="174" customFormat="1">
      <c r="A271" s="1114"/>
      <c r="B271" s="1114"/>
      <c r="C271" s="1114"/>
      <c r="D271" s="554"/>
      <c r="E271" s="30"/>
      <c r="F271" s="1091"/>
      <c r="G271" s="30"/>
      <c r="L271" s="1091"/>
      <c r="N271" s="1091"/>
      <c r="X271" s="554"/>
      <c r="AH271" s="554"/>
      <c r="AO271" s="1091"/>
      <c r="AP271" s="1091"/>
      <c r="AQ271" s="1180"/>
      <c r="AR271" s="1091"/>
      <c r="AS271" s="1180"/>
      <c r="AT271" s="1091"/>
    </row>
    <row r="272" spans="1:46" s="174" customFormat="1">
      <c r="A272" s="1114"/>
      <c r="B272" s="1114"/>
      <c r="C272" s="1114"/>
      <c r="D272" s="554"/>
      <c r="E272" s="30"/>
      <c r="F272" s="1091"/>
      <c r="G272" s="30"/>
      <c r="L272" s="1091"/>
      <c r="N272" s="1091"/>
      <c r="X272" s="554"/>
      <c r="AH272" s="554"/>
      <c r="AO272" s="1091"/>
      <c r="AP272" s="1091"/>
      <c r="AQ272" s="1180"/>
      <c r="AR272" s="1091"/>
      <c r="AS272" s="1180"/>
      <c r="AT272" s="1091"/>
    </row>
    <row r="273" spans="1:46" s="174" customFormat="1">
      <c r="A273" s="1114"/>
      <c r="B273" s="1114"/>
      <c r="C273" s="1114"/>
      <c r="D273" s="554"/>
      <c r="E273" s="30"/>
      <c r="F273" s="1091"/>
      <c r="G273" s="30"/>
      <c r="L273" s="1091"/>
      <c r="N273" s="1091"/>
      <c r="X273" s="554"/>
      <c r="AH273" s="554"/>
      <c r="AO273" s="1091"/>
      <c r="AP273" s="1091"/>
      <c r="AQ273" s="1180"/>
      <c r="AR273" s="1091"/>
      <c r="AS273" s="1180"/>
      <c r="AT273" s="1091"/>
    </row>
    <row r="274" spans="1:46" s="174" customFormat="1">
      <c r="A274" s="1114"/>
      <c r="B274" s="1114"/>
      <c r="C274" s="1114"/>
      <c r="D274" s="554"/>
      <c r="E274" s="30"/>
      <c r="F274" s="1091"/>
      <c r="G274" s="30"/>
      <c r="L274" s="1091"/>
      <c r="N274" s="1091"/>
      <c r="X274" s="554"/>
      <c r="AH274" s="554"/>
      <c r="AO274" s="1091"/>
      <c r="AP274" s="1091"/>
      <c r="AQ274" s="1180"/>
      <c r="AR274" s="1091"/>
      <c r="AS274" s="1180"/>
      <c r="AT274" s="1091"/>
    </row>
    <row r="275" spans="1:46" s="174" customFormat="1">
      <c r="A275" s="1114"/>
      <c r="B275" s="1114"/>
      <c r="C275" s="1114"/>
      <c r="D275" s="554"/>
      <c r="E275" s="30"/>
      <c r="F275" s="1091"/>
      <c r="G275" s="30"/>
      <c r="L275" s="1091"/>
      <c r="N275" s="1091"/>
      <c r="X275" s="554"/>
      <c r="AH275" s="554"/>
      <c r="AO275" s="1091"/>
      <c r="AP275" s="1091"/>
      <c r="AQ275" s="1180"/>
      <c r="AR275" s="1091"/>
      <c r="AS275" s="1180"/>
      <c r="AT275" s="1091"/>
    </row>
    <row r="276" spans="1:46" s="174" customFormat="1">
      <c r="A276" s="1114"/>
      <c r="B276" s="1114"/>
      <c r="C276" s="1114"/>
      <c r="D276" s="554"/>
      <c r="E276" s="30"/>
      <c r="F276" s="1091"/>
      <c r="G276" s="30"/>
      <c r="L276" s="1091"/>
      <c r="N276" s="1091"/>
      <c r="X276" s="554"/>
      <c r="AH276" s="554"/>
      <c r="AO276" s="1091"/>
      <c r="AP276" s="1091"/>
      <c r="AQ276" s="1180"/>
      <c r="AR276" s="1091"/>
      <c r="AS276" s="1180"/>
      <c r="AT276" s="1091"/>
    </row>
    <row r="277" spans="1:46" s="174" customFormat="1">
      <c r="A277" s="1114"/>
      <c r="B277" s="1114"/>
      <c r="C277" s="1114"/>
      <c r="D277" s="554"/>
      <c r="E277" s="30"/>
      <c r="F277" s="1091"/>
      <c r="G277" s="30"/>
      <c r="L277" s="1091"/>
      <c r="N277" s="1091"/>
      <c r="X277" s="554"/>
      <c r="AH277" s="554"/>
      <c r="AO277" s="1091"/>
      <c r="AP277" s="1091"/>
      <c r="AQ277" s="1180"/>
      <c r="AR277" s="1091"/>
      <c r="AS277" s="1180"/>
      <c r="AT277" s="1091"/>
    </row>
    <row r="278" spans="1:46" s="174" customFormat="1">
      <c r="A278" s="1114"/>
      <c r="B278" s="1114"/>
      <c r="C278" s="1114"/>
      <c r="D278" s="554"/>
      <c r="E278" s="30"/>
      <c r="F278" s="1091"/>
      <c r="G278" s="30"/>
      <c r="L278" s="1091"/>
      <c r="N278" s="1091"/>
      <c r="X278" s="554"/>
      <c r="AH278" s="554"/>
      <c r="AO278" s="1091"/>
      <c r="AP278" s="1091"/>
      <c r="AQ278" s="1180"/>
      <c r="AR278" s="1091"/>
      <c r="AS278" s="1180"/>
      <c r="AT278" s="1091"/>
    </row>
    <row r="279" spans="1:46" s="174" customFormat="1">
      <c r="A279" s="1114"/>
      <c r="B279" s="1114"/>
      <c r="C279" s="1114"/>
      <c r="D279" s="554"/>
      <c r="E279" s="30"/>
      <c r="F279" s="1091"/>
      <c r="G279" s="30"/>
      <c r="L279" s="1091"/>
      <c r="N279" s="1091"/>
      <c r="X279" s="554"/>
      <c r="AH279" s="554"/>
      <c r="AO279" s="1091"/>
      <c r="AP279" s="1091"/>
      <c r="AQ279" s="1180"/>
      <c r="AR279" s="1091"/>
      <c r="AS279" s="1180"/>
      <c r="AT279" s="1091"/>
    </row>
    <row r="280" spans="1:46" s="174" customFormat="1">
      <c r="A280" s="1114"/>
      <c r="B280" s="1114"/>
      <c r="C280" s="1114"/>
      <c r="D280" s="554"/>
      <c r="E280" s="30"/>
      <c r="F280" s="1091"/>
      <c r="G280" s="30"/>
      <c r="L280" s="1091"/>
      <c r="N280" s="1091"/>
      <c r="X280" s="554"/>
      <c r="AH280" s="554"/>
      <c r="AO280" s="1091"/>
      <c r="AP280" s="1091"/>
      <c r="AQ280" s="1180"/>
      <c r="AR280" s="1091"/>
      <c r="AS280" s="1180"/>
      <c r="AT280" s="1091"/>
    </row>
    <row r="281" spans="1:46" s="174" customFormat="1">
      <c r="A281" s="1114"/>
      <c r="B281" s="1114"/>
      <c r="C281" s="1114"/>
      <c r="D281" s="554"/>
      <c r="E281" s="30"/>
      <c r="F281" s="1091"/>
      <c r="G281" s="30"/>
      <c r="L281" s="1091"/>
      <c r="N281" s="1091"/>
      <c r="X281" s="554"/>
      <c r="AH281" s="554"/>
      <c r="AO281" s="1091"/>
      <c r="AP281" s="1091"/>
      <c r="AQ281" s="1180"/>
      <c r="AR281" s="1091"/>
      <c r="AS281" s="1180"/>
      <c r="AT281" s="1091"/>
    </row>
    <row r="282" spans="1:46" s="174" customFormat="1">
      <c r="A282" s="1114"/>
      <c r="B282" s="1114"/>
      <c r="C282" s="1114"/>
      <c r="D282" s="554"/>
      <c r="E282" s="30"/>
      <c r="F282" s="1091"/>
      <c r="G282" s="30"/>
      <c r="L282" s="1091"/>
      <c r="N282" s="1091"/>
      <c r="X282" s="554"/>
      <c r="AH282" s="554"/>
      <c r="AO282" s="1091"/>
      <c r="AP282" s="1091"/>
      <c r="AQ282" s="1180"/>
      <c r="AR282" s="1091"/>
      <c r="AS282" s="1180"/>
      <c r="AT282" s="1091"/>
    </row>
    <row r="283" spans="1:46" s="174" customFormat="1">
      <c r="A283" s="1114"/>
      <c r="B283" s="1114"/>
      <c r="C283" s="1114"/>
      <c r="D283" s="554"/>
      <c r="E283" s="30"/>
      <c r="F283" s="1091"/>
      <c r="G283" s="30"/>
      <c r="L283" s="1091"/>
      <c r="N283" s="1091"/>
      <c r="X283" s="554"/>
      <c r="AH283" s="554"/>
      <c r="AO283" s="1091"/>
      <c r="AP283" s="1091"/>
      <c r="AQ283" s="1180"/>
      <c r="AR283" s="1091"/>
      <c r="AS283" s="1180"/>
      <c r="AT283" s="1091"/>
    </row>
    <row r="284" spans="1:46" s="174" customFormat="1">
      <c r="A284" s="1114"/>
      <c r="B284" s="1114"/>
      <c r="C284" s="1114"/>
      <c r="D284" s="554"/>
      <c r="E284" s="30"/>
      <c r="F284" s="1091"/>
      <c r="G284" s="30"/>
      <c r="L284" s="1091"/>
      <c r="N284" s="1091"/>
      <c r="X284" s="554"/>
      <c r="AH284" s="554"/>
      <c r="AO284" s="1091"/>
      <c r="AP284" s="1091"/>
      <c r="AQ284" s="1180"/>
      <c r="AR284" s="1091"/>
      <c r="AS284" s="1180"/>
      <c r="AT284" s="1091"/>
    </row>
    <row r="285" spans="1:46" s="174" customFormat="1">
      <c r="A285" s="1114"/>
      <c r="B285" s="1114"/>
      <c r="C285" s="1114"/>
      <c r="D285" s="554"/>
      <c r="E285" s="30"/>
      <c r="F285" s="1091"/>
      <c r="G285" s="30"/>
      <c r="L285" s="1091"/>
      <c r="N285" s="1091"/>
      <c r="X285" s="554"/>
      <c r="AH285" s="554"/>
      <c r="AO285" s="1091"/>
      <c r="AP285" s="1091"/>
      <c r="AQ285" s="1180"/>
      <c r="AR285" s="1091"/>
      <c r="AS285" s="1180"/>
      <c r="AT285" s="1091"/>
    </row>
    <row r="286" spans="1:46" s="174" customFormat="1">
      <c r="A286" s="1114"/>
      <c r="B286" s="1114"/>
      <c r="C286" s="1114"/>
      <c r="D286" s="554"/>
      <c r="E286" s="30"/>
      <c r="F286" s="1091"/>
      <c r="G286" s="30"/>
      <c r="L286" s="1091"/>
      <c r="N286" s="1091"/>
      <c r="X286" s="554"/>
      <c r="AH286" s="554"/>
      <c r="AO286" s="1091"/>
      <c r="AP286" s="1091"/>
      <c r="AQ286" s="1180"/>
      <c r="AR286" s="1091"/>
      <c r="AS286" s="1180"/>
      <c r="AT286" s="1091"/>
    </row>
    <row r="287" spans="1:46" s="174" customFormat="1">
      <c r="A287" s="1114"/>
      <c r="B287" s="1114"/>
      <c r="C287" s="1114"/>
      <c r="D287" s="554"/>
      <c r="E287" s="30"/>
      <c r="F287" s="1091"/>
      <c r="G287" s="30"/>
      <c r="L287" s="1091"/>
      <c r="N287" s="1091"/>
      <c r="X287" s="554"/>
      <c r="AH287" s="554"/>
      <c r="AO287" s="1091"/>
      <c r="AP287" s="1091"/>
      <c r="AQ287" s="1180"/>
      <c r="AR287" s="1091"/>
      <c r="AS287" s="1180"/>
      <c r="AT287" s="1091"/>
    </row>
    <row r="288" spans="1:46" s="174" customFormat="1">
      <c r="A288" s="1114"/>
      <c r="B288" s="1114"/>
      <c r="C288" s="1114"/>
      <c r="D288" s="554"/>
      <c r="E288" s="30"/>
      <c r="F288" s="1091"/>
      <c r="G288" s="30"/>
      <c r="L288" s="1091"/>
      <c r="N288" s="1091"/>
      <c r="X288" s="554"/>
      <c r="AH288" s="554"/>
      <c r="AO288" s="1091"/>
      <c r="AP288" s="1091"/>
      <c r="AQ288" s="1180"/>
      <c r="AR288" s="1091"/>
      <c r="AS288" s="1180"/>
      <c r="AT288" s="1091"/>
    </row>
    <row r="289" spans="1:46" s="174" customFormat="1">
      <c r="A289" s="1114"/>
      <c r="B289" s="1114"/>
      <c r="C289" s="1114"/>
      <c r="D289" s="554"/>
      <c r="E289" s="30"/>
      <c r="F289" s="1091"/>
      <c r="G289" s="30"/>
      <c r="L289" s="1091"/>
      <c r="N289" s="1091"/>
      <c r="X289" s="554"/>
      <c r="AH289" s="554"/>
      <c r="AO289" s="1091"/>
      <c r="AP289" s="1091"/>
      <c r="AQ289" s="1180"/>
      <c r="AR289" s="1091"/>
      <c r="AS289" s="1180"/>
      <c r="AT289" s="1091"/>
    </row>
    <row r="290" spans="1:46" s="174" customFormat="1">
      <c r="A290" s="1114"/>
      <c r="B290" s="1114"/>
      <c r="C290" s="1114"/>
      <c r="D290" s="554"/>
      <c r="E290" s="30"/>
      <c r="F290" s="1091"/>
      <c r="G290" s="30"/>
      <c r="L290" s="1091"/>
      <c r="N290" s="1091"/>
      <c r="X290" s="554"/>
      <c r="AH290" s="554"/>
      <c r="AO290" s="1091"/>
      <c r="AP290" s="1091"/>
      <c r="AQ290" s="1180"/>
      <c r="AR290" s="1091"/>
      <c r="AS290" s="1180"/>
      <c r="AT290" s="1091"/>
    </row>
    <row r="291" spans="1:46" s="174" customFormat="1">
      <c r="A291" s="1114"/>
      <c r="B291" s="1114"/>
      <c r="C291" s="1114"/>
      <c r="D291" s="554"/>
      <c r="E291" s="30"/>
      <c r="F291" s="1091"/>
      <c r="G291" s="30"/>
      <c r="L291" s="1091"/>
      <c r="N291" s="1091"/>
      <c r="X291" s="554"/>
      <c r="AH291" s="554"/>
      <c r="AO291" s="1091"/>
      <c r="AP291" s="1091"/>
      <c r="AQ291" s="1180"/>
      <c r="AR291" s="1091"/>
      <c r="AS291" s="1180"/>
      <c r="AT291" s="1091"/>
    </row>
    <row r="292" spans="1:46" s="174" customFormat="1">
      <c r="A292" s="1114"/>
      <c r="B292" s="1114"/>
      <c r="C292" s="1114"/>
      <c r="D292" s="554"/>
      <c r="E292" s="30"/>
      <c r="F292" s="1091"/>
      <c r="G292" s="30"/>
      <c r="L292" s="1091"/>
      <c r="N292" s="1091"/>
      <c r="X292" s="554"/>
      <c r="AH292" s="554"/>
      <c r="AO292" s="1091"/>
      <c r="AP292" s="1091"/>
      <c r="AQ292" s="1180"/>
      <c r="AR292" s="1091"/>
      <c r="AS292" s="1180"/>
      <c r="AT292" s="1091"/>
    </row>
    <row r="293" spans="1:46" s="174" customFormat="1">
      <c r="A293" s="1114"/>
      <c r="B293" s="1114"/>
      <c r="C293" s="1114"/>
      <c r="D293" s="554"/>
      <c r="E293" s="30"/>
      <c r="F293" s="1091"/>
      <c r="G293" s="30"/>
      <c r="L293" s="1091"/>
      <c r="N293" s="1091"/>
      <c r="X293" s="554"/>
      <c r="AH293" s="554"/>
      <c r="AO293" s="1091"/>
      <c r="AP293" s="1091"/>
      <c r="AQ293" s="1180"/>
      <c r="AR293" s="1091"/>
      <c r="AS293" s="1180"/>
      <c r="AT293" s="1091"/>
    </row>
    <row r="294" spans="1:46" s="174" customFormat="1">
      <c r="A294" s="1114"/>
      <c r="B294" s="1114"/>
      <c r="C294" s="1114"/>
      <c r="D294" s="554"/>
      <c r="E294" s="30"/>
      <c r="F294" s="1091"/>
      <c r="G294" s="30"/>
      <c r="L294" s="1091"/>
      <c r="N294" s="1091"/>
      <c r="X294" s="554"/>
      <c r="AH294" s="554"/>
      <c r="AO294" s="1091"/>
      <c r="AP294" s="1091"/>
      <c r="AQ294" s="1180"/>
      <c r="AR294" s="1091"/>
      <c r="AS294" s="1180"/>
      <c r="AT294" s="1091"/>
    </row>
    <row r="295" spans="1:46" s="174" customFormat="1">
      <c r="A295" s="1114"/>
      <c r="B295" s="1114"/>
      <c r="C295" s="1114"/>
      <c r="D295" s="554"/>
      <c r="E295" s="30"/>
      <c r="F295" s="1091"/>
      <c r="G295" s="30"/>
      <c r="L295" s="1091"/>
      <c r="N295" s="1091"/>
      <c r="X295" s="554"/>
      <c r="AH295" s="554"/>
      <c r="AO295" s="1091"/>
      <c r="AP295" s="1091"/>
      <c r="AQ295" s="1180"/>
      <c r="AR295" s="1091"/>
      <c r="AS295" s="1180"/>
      <c r="AT295" s="1091"/>
    </row>
    <row r="296" spans="1:46" s="174" customFormat="1">
      <c r="A296" s="1114"/>
      <c r="B296" s="1114"/>
      <c r="C296" s="1114"/>
      <c r="D296" s="554"/>
      <c r="E296" s="30"/>
      <c r="F296" s="1091"/>
      <c r="G296" s="30"/>
      <c r="L296" s="1091"/>
      <c r="N296" s="1091"/>
      <c r="X296" s="554"/>
      <c r="AH296" s="554"/>
      <c r="AO296" s="1091"/>
      <c r="AP296" s="1091"/>
      <c r="AQ296" s="1180"/>
      <c r="AR296" s="1091"/>
      <c r="AS296" s="1180"/>
      <c r="AT296" s="1091"/>
    </row>
    <row r="297" spans="1:46" s="174" customFormat="1">
      <c r="A297" s="1114"/>
      <c r="B297" s="1114"/>
      <c r="C297" s="1114"/>
      <c r="D297" s="554"/>
      <c r="E297" s="30"/>
      <c r="F297" s="1091"/>
      <c r="G297" s="30"/>
      <c r="L297" s="1091"/>
      <c r="N297" s="1091"/>
      <c r="X297" s="554"/>
      <c r="AH297" s="554"/>
      <c r="AO297" s="1091"/>
      <c r="AP297" s="1091"/>
      <c r="AQ297" s="1180"/>
      <c r="AR297" s="1091"/>
      <c r="AS297" s="1180"/>
      <c r="AT297" s="1091"/>
    </row>
    <row r="298" spans="1:46" s="174" customFormat="1">
      <c r="A298" s="1114"/>
      <c r="B298" s="1114"/>
      <c r="C298" s="1114"/>
      <c r="D298" s="554"/>
      <c r="E298" s="30"/>
      <c r="F298" s="1091"/>
      <c r="G298" s="30"/>
      <c r="L298" s="1091"/>
      <c r="N298" s="1091"/>
      <c r="X298" s="554"/>
      <c r="AH298" s="554"/>
      <c r="AO298" s="1091"/>
      <c r="AP298" s="1091"/>
      <c r="AQ298" s="1180"/>
      <c r="AR298" s="1091"/>
      <c r="AS298" s="1180"/>
      <c r="AT298" s="1091"/>
    </row>
    <row r="299" spans="1:46" s="174" customFormat="1">
      <c r="A299" s="1114"/>
      <c r="B299" s="1114"/>
      <c r="C299" s="1114"/>
      <c r="D299" s="554"/>
      <c r="E299" s="30"/>
      <c r="F299" s="1091"/>
      <c r="G299" s="30"/>
      <c r="L299" s="1091"/>
      <c r="N299" s="1091"/>
      <c r="X299" s="554"/>
      <c r="AH299" s="554"/>
      <c r="AO299" s="1091"/>
      <c r="AP299" s="1091"/>
      <c r="AQ299" s="1180"/>
      <c r="AR299" s="1091"/>
      <c r="AS299" s="1180"/>
      <c r="AT299" s="1091"/>
    </row>
    <row r="300" spans="1:46" s="174" customFormat="1">
      <c r="A300" s="1114"/>
      <c r="B300" s="1114"/>
      <c r="C300" s="1114"/>
      <c r="D300" s="554"/>
      <c r="E300" s="30"/>
      <c r="F300" s="1091"/>
      <c r="G300" s="30"/>
      <c r="L300" s="1091"/>
      <c r="N300" s="1091"/>
      <c r="X300" s="554"/>
      <c r="AH300" s="554"/>
      <c r="AO300" s="1091"/>
      <c r="AP300" s="1091"/>
      <c r="AQ300" s="1180"/>
      <c r="AR300" s="1091"/>
      <c r="AS300" s="1180"/>
      <c r="AT300" s="1091"/>
    </row>
    <row r="301" spans="1:46" s="174" customFormat="1">
      <c r="A301" s="1114"/>
      <c r="B301" s="1114"/>
      <c r="C301" s="1114"/>
      <c r="D301" s="554"/>
      <c r="E301" s="30"/>
      <c r="F301" s="1091"/>
      <c r="G301" s="30"/>
      <c r="L301" s="1091"/>
      <c r="N301" s="1091"/>
      <c r="X301" s="554"/>
      <c r="AH301" s="554"/>
      <c r="AO301" s="1091"/>
      <c r="AP301" s="1091"/>
      <c r="AQ301" s="1180"/>
      <c r="AR301" s="1091"/>
      <c r="AS301" s="1180"/>
      <c r="AT301" s="1091"/>
    </row>
    <row r="302" spans="1:46" s="174" customFormat="1">
      <c r="A302" s="1114"/>
      <c r="B302" s="1114"/>
      <c r="C302" s="1114"/>
      <c r="D302" s="554"/>
      <c r="E302" s="30"/>
      <c r="F302" s="1091"/>
      <c r="G302" s="30"/>
      <c r="L302" s="1091"/>
      <c r="N302" s="1091"/>
      <c r="X302" s="554"/>
      <c r="AH302" s="554"/>
      <c r="AO302" s="1091"/>
      <c r="AP302" s="1091"/>
      <c r="AQ302" s="1180"/>
      <c r="AR302" s="1091"/>
      <c r="AS302" s="1180"/>
      <c r="AT302" s="1091"/>
    </row>
    <row r="303" spans="1:46" s="174" customFormat="1">
      <c r="A303" s="1114"/>
      <c r="B303" s="1114"/>
      <c r="C303" s="1114"/>
      <c r="D303" s="554"/>
      <c r="E303" s="30"/>
      <c r="F303" s="1091"/>
      <c r="G303" s="30"/>
      <c r="L303" s="1091"/>
      <c r="N303" s="1091"/>
      <c r="X303" s="554"/>
      <c r="AH303" s="554"/>
      <c r="AO303" s="1091"/>
      <c r="AP303" s="1091"/>
      <c r="AQ303" s="1180"/>
      <c r="AR303" s="1091"/>
      <c r="AS303" s="1180"/>
      <c r="AT303" s="1091"/>
    </row>
    <row r="304" spans="1:46" s="174" customFormat="1">
      <c r="A304" s="1114"/>
      <c r="B304" s="1114"/>
      <c r="C304" s="1114"/>
      <c r="D304" s="554"/>
      <c r="E304" s="30"/>
      <c r="F304" s="1091"/>
      <c r="G304" s="30"/>
      <c r="L304" s="1091"/>
      <c r="N304" s="1091"/>
      <c r="X304" s="554"/>
      <c r="AH304" s="554"/>
      <c r="AO304" s="1091"/>
      <c r="AP304" s="1091"/>
      <c r="AQ304" s="1180"/>
      <c r="AR304" s="1091"/>
      <c r="AS304" s="1180"/>
      <c r="AT304" s="1091"/>
    </row>
    <row r="305" spans="1:46" s="174" customFormat="1">
      <c r="A305" s="1114"/>
      <c r="B305" s="1114"/>
      <c r="C305" s="1114"/>
      <c r="D305" s="554"/>
      <c r="E305" s="30"/>
      <c r="F305" s="1091"/>
      <c r="G305" s="30"/>
      <c r="L305" s="1091"/>
      <c r="N305" s="1091"/>
      <c r="X305" s="554"/>
      <c r="AH305" s="554"/>
      <c r="AO305" s="1091"/>
      <c r="AP305" s="1091"/>
      <c r="AQ305" s="1180"/>
      <c r="AR305" s="1091"/>
      <c r="AS305" s="1180"/>
      <c r="AT305" s="1091"/>
    </row>
    <row r="306" spans="1:46" s="174" customFormat="1">
      <c r="A306" s="1114"/>
      <c r="B306" s="1114"/>
      <c r="C306" s="1114"/>
      <c r="D306" s="554"/>
      <c r="E306" s="30"/>
      <c r="F306" s="1091"/>
      <c r="G306" s="30"/>
      <c r="L306" s="1091"/>
      <c r="N306" s="1091"/>
      <c r="X306" s="554"/>
      <c r="AH306" s="554"/>
      <c r="AO306" s="1091"/>
      <c r="AP306" s="1091"/>
      <c r="AQ306" s="1180"/>
      <c r="AR306" s="1091"/>
      <c r="AS306" s="1180"/>
      <c r="AT306" s="1091"/>
    </row>
    <row r="307" spans="1:46" s="174" customFormat="1">
      <c r="A307" s="1114"/>
      <c r="B307" s="1114"/>
      <c r="C307" s="1114"/>
      <c r="D307" s="554"/>
      <c r="E307" s="30"/>
      <c r="F307" s="1091"/>
      <c r="G307" s="30"/>
      <c r="L307" s="1091"/>
      <c r="N307" s="1091"/>
      <c r="X307" s="554"/>
      <c r="AH307" s="554"/>
      <c r="AO307" s="1091"/>
      <c r="AP307" s="1091"/>
      <c r="AQ307" s="1180"/>
      <c r="AR307" s="1091"/>
      <c r="AS307" s="1180"/>
      <c r="AT307" s="1091"/>
    </row>
    <row r="308" spans="1:46" s="174" customFormat="1">
      <c r="A308" s="1114"/>
      <c r="B308" s="1114"/>
      <c r="C308" s="1114"/>
      <c r="D308" s="554"/>
      <c r="E308" s="30"/>
      <c r="F308" s="1091"/>
      <c r="G308" s="30"/>
      <c r="L308" s="1091"/>
      <c r="N308" s="1091"/>
      <c r="X308" s="554"/>
      <c r="AH308" s="554"/>
      <c r="AO308" s="1091"/>
      <c r="AP308" s="1091"/>
      <c r="AQ308" s="1180"/>
      <c r="AR308" s="1091"/>
      <c r="AS308" s="1180"/>
      <c r="AT308" s="1091"/>
    </row>
    <row r="309" spans="1:46" s="174" customFormat="1">
      <c r="A309" s="1114"/>
      <c r="B309" s="1114"/>
      <c r="C309" s="1114"/>
      <c r="D309" s="554"/>
      <c r="E309" s="30"/>
      <c r="F309" s="1091"/>
      <c r="G309" s="30"/>
      <c r="L309" s="1091"/>
      <c r="N309" s="1091"/>
      <c r="X309" s="554"/>
      <c r="AH309" s="554"/>
      <c r="AO309" s="1091"/>
      <c r="AP309" s="1091"/>
      <c r="AQ309" s="1180"/>
      <c r="AR309" s="1091"/>
      <c r="AS309" s="1180"/>
      <c r="AT309" s="1091"/>
    </row>
    <row r="310" spans="1:46" s="174" customFormat="1">
      <c r="A310" s="1114"/>
      <c r="B310" s="1114"/>
      <c r="C310" s="1114"/>
      <c r="D310" s="554"/>
      <c r="E310" s="30"/>
      <c r="F310" s="1091"/>
      <c r="G310" s="30"/>
      <c r="L310" s="1091"/>
      <c r="N310" s="1091"/>
      <c r="X310" s="554"/>
      <c r="AH310" s="554"/>
      <c r="AO310" s="1091"/>
      <c r="AP310" s="1091"/>
      <c r="AQ310" s="1180"/>
      <c r="AR310" s="1091"/>
      <c r="AS310" s="1180"/>
      <c r="AT310" s="1091"/>
    </row>
    <row r="311" spans="1:46" s="174" customFormat="1">
      <c r="A311" s="1114"/>
      <c r="B311" s="1114"/>
      <c r="C311" s="1114"/>
      <c r="D311" s="554"/>
      <c r="E311" s="30"/>
      <c r="F311" s="1091"/>
      <c r="G311" s="30"/>
      <c r="L311" s="1091"/>
      <c r="N311" s="1091"/>
      <c r="X311" s="554"/>
      <c r="AH311" s="554"/>
      <c r="AO311" s="1091"/>
      <c r="AP311" s="1091"/>
      <c r="AQ311" s="1180"/>
      <c r="AR311" s="1091"/>
      <c r="AS311" s="1180"/>
      <c r="AT311" s="1091"/>
    </row>
    <row r="312" spans="1:46" s="174" customFormat="1">
      <c r="A312" s="1114"/>
      <c r="B312" s="1114"/>
      <c r="C312" s="1114"/>
      <c r="D312" s="554"/>
      <c r="E312" s="30"/>
      <c r="F312" s="1091"/>
      <c r="G312" s="30"/>
      <c r="L312" s="1091"/>
      <c r="N312" s="1091"/>
      <c r="X312" s="554"/>
      <c r="AH312" s="554"/>
      <c r="AO312" s="1091"/>
      <c r="AP312" s="1091"/>
      <c r="AQ312" s="1180"/>
      <c r="AR312" s="1091"/>
      <c r="AS312" s="1180"/>
      <c r="AT312" s="1091"/>
    </row>
    <row r="313" spans="1:46" s="174" customFormat="1">
      <c r="A313" s="1114"/>
      <c r="B313" s="1114"/>
      <c r="C313" s="1114"/>
      <c r="D313" s="554"/>
      <c r="E313" s="30"/>
      <c r="F313" s="1091"/>
      <c r="G313" s="30"/>
      <c r="L313" s="1091"/>
      <c r="N313" s="1091"/>
      <c r="X313" s="554"/>
      <c r="AH313" s="554"/>
      <c r="AO313" s="1091"/>
      <c r="AP313" s="1091"/>
      <c r="AQ313" s="1180"/>
      <c r="AR313" s="1091"/>
      <c r="AS313" s="1180"/>
      <c r="AT313" s="1091"/>
    </row>
    <row r="314" spans="1:46" s="174" customFormat="1">
      <c r="A314" s="1114"/>
      <c r="B314" s="1114"/>
      <c r="C314" s="1114"/>
      <c r="D314" s="554"/>
      <c r="E314" s="30"/>
      <c r="F314" s="1091"/>
      <c r="G314" s="30"/>
      <c r="L314" s="1091"/>
      <c r="N314" s="1091"/>
      <c r="X314" s="554"/>
      <c r="AH314" s="554"/>
      <c r="AO314" s="1091"/>
      <c r="AP314" s="1091"/>
      <c r="AQ314" s="1180"/>
      <c r="AR314" s="1091"/>
      <c r="AS314" s="1180"/>
      <c r="AT314" s="1091"/>
    </row>
    <row r="315" spans="1:46" s="174" customFormat="1">
      <c r="A315" s="1114"/>
      <c r="B315" s="1114"/>
      <c r="C315" s="1114"/>
      <c r="D315" s="554"/>
      <c r="E315" s="30"/>
      <c r="F315" s="1091"/>
      <c r="G315" s="30"/>
      <c r="L315" s="1091"/>
      <c r="N315" s="1091"/>
      <c r="X315" s="554"/>
      <c r="AH315" s="554"/>
      <c r="AO315" s="1091"/>
      <c r="AP315" s="1091"/>
      <c r="AQ315" s="1180"/>
      <c r="AR315" s="1091"/>
      <c r="AS315" s="1180"/>
      <c r="AT315" s="1091"/>
    </row>
    <row r="316" spans="1:46" s="174" customFormat="1">
      <c r="A316" s="1114"/>
      <c r="B316" s="1114"/>
      <c r="C316" s="1114"/>
      <c r="D316" s="554"/>
      <c r="E316" s="30"/>
      <c r="F316" s="1091"/>
      <c r="G316" s="30"/>
      <c r="L316" s="1091"/>
      <c r="N316" s="1091"/>
      <c r="X316" s="554"/>
      <c r="AH316" s="554"/>
      <c r="AO316" s="1091"/>
      <c r="AP316" s="1091"/>
      <c r="AQ316" s="1180"/>
      <c r="AR316" s="1091"/>
      <c r="AS316" s="1180"/>
      <c r="AT316" s="1091"/>
    </row>
    <row r="317" spans="1:46" s="174" customFormat="1">
      <c r="A317" s="1114"/>
      <c r="B317" s="1114"/>
      <c r="C317" s="1114"/>
      <c r="D317" s="554"/>
      <c r="E317" s="30"/>
      <c r="F317" s="1091"/>
      <c r="G317" s="30"/>
      <c r="L317" s="1091"/>
      <c r="N317" s="1091"/>
      <c r="X317" s="554"/>
      <c r="AH317" s="554"/>
      <c r="AO317" s="1091"/>
      <c r="AP317" s="1091"/>
      <c r="AQ317" s="1180"/>
      <c r="AR317" s="1091"/>
      <c r="AS317" s="1180"/>
      <c r="AT317" s="1091"/>
    </row>
    <row r="318" spans="1:46" s="174" customFormat="1">
      <c r="A318" s="1114"/>
      <c r="B318" s="1114"/>
      <c r="C318" s="1114"/>
      <c r="D318" s="554"/>
      <c r="E318" s="30"/>
      <c r="F318" s="1091"/>
      <c r="G318" s="30"/>
      <c r="L318" s="1091"/>
      <c r="N318" s="1091"/>
      <c r="X318" s="554"/>
      <c r="AH318" s="554"/>
      <c r="AO318" s="1091"/>
      <c r="AP318" s="1091"/>
      <c r="AQ318" s="1180"/>
      <c r="AR318" s="1091"/>
      <c r="AS318" s="1180"/>
      <c r="AT318" s="1091"/>
    </row>
    <row r="319" spans="1:46" s="174" customFormat="1">
      <c r="A319" s="1114"/>
      <c r="B319" s="1114"/>
      <c r="C319" s="1114"/>
      <c r="D319" s="554"/>
      <c r="E319" s="30"/>
      <c r="F319" s="1091"/>
      <c r="G319" s="30"/>
      <c r="L319" s="1091"/>
      <c r="N319" s="1091"/>
      <c r="X319" s="554"/>
      <c r="AH319" s="554"/>
      <c r="AO319" s="1091"/>
      <c r="AP319" s="1091"/>
      <c r="AQ319" s="1180"/>
      <c r="AR319" s="1091"/>
      <c r="AS319" s="1180"/>
      <c r="AT319" s="1091"/>
    </row>
    <row r="320" spans="1:46" s="174" customFormat="1">
      <c r="A320" s="1114"/>
      <c r="B320" s="1114"/>
      <c r="C320" s="1114"/>
      <c r="D320" s="554"/>
      <c r="E320" s="30"/>
      <c r="F320" s="1091"/>
      <c r="G320" s="30"/>
      <c r="L320" s="1091"/>
      <c r="N320" s="1091"/>
      <c r="X320" s="554"/>
      <c r="AH320" s="554"/>
      <c r="AO320" s="1091"/>
      <c r="AP320" s="1091"/>
      <c r="AQ320" s="1180"/>
      <c r="AR320" s="1091"/>
      <c r="AS320" s="1180"/>
      <c r="AT320" s="1091"/>
    </row>
    <row r="321" spans="1:46" s="174" customFormat="1">
      <c r="A321" s="1114"/>
      <c r="B321" s="1114"/>
      <c r="C321" s="1114"/>
      <c r="D321" s="554"/>
      <c r="E321" s="30"/>
      <c r="F321" s="1091"/>
      <c r="G321" s="30"/>
      <c r="L321" s="1091"/>
      <c r="N321" s="1091"/>
      <c r="X321" s="554"/>
      <c r="AH321" s="554"/>
      <c r="AO321" s="1091"/>
      <c r="AP321" s="1091"/>
      <c r="AQ321" s="1180"/>
      <c r="AR321" s="1091"/>
      <c r="AS321" s="1180"/>
      <c r="AT321" s="1091"/>
    </row>
    <row r="322" spans="1:46" s="174" customFormat="1">
      <c r="A322" s="1114"/>
      <c r="B322" s="1114"/>
      <c r="C322" s="1114"/>
      <c r="D322" s="554"/>
      <c r="E322" s="30"/>
      <c r="F322" s="1091"/>
      <c r="G322" s="30"/>
      <c r="L322" s="1091"/>
      <c r="N322" s="1091"/>
      <c r="X322" s="554"/>
      <c r="AH322" s="554"/>
      <c r="AO322" s="1091"/>
      <c r="AP322" s="1091"/>
      <c r="AQ322" s="1180"/>
      <c r="AR322" s="1091"/>
      <c r="AS322" s="1180"/>
      <c r="AT322" s="1091"/>
    </row>
    <row r="323" spans="1:46" s="174" customFormat="1">
      <c r="A323" s="1114"/>
      <c r="B323" s="1114"/>
      <c r="C323" s="1114"/>
      <c r="D323" s="554"/>
      <c r="E323" s="30"/>
      <c r="F323" s="1091"/>
      <c r="G323" s="30"/>
      <c r="L323" s="1091"/>
      <c r="N323" s="1091"/>
      <c r="X323" s="554"/>
      <c r="AH323" s="554"/>
      <c r="AO323" s="1091"/>
      <c r="AP323" s="1091"/>
      <c r="AQ323" s="1180"/>
      <c r="AR323" s="1091"/>
      <c r="AS323" s="1180"/>
      <c r="AT323" s="1091"/>
    </row>
    <row r="324" spans="1:46" s="174" customFormat="1">
      <c r="A324" s="1114"/>
      <c r="B324" s="1114"/>
      <c r="C324" s="1114"/>
      <c r="D324" s="554"/>
      <c r="E324" s="30"/>
      <c r="F324" s="1091"/>
      <c r="G324" s="30"/>
      <c r="L324" s="1091"/>
      <c r="N324" s="1091"/>
      <c r="X324" s="554"/>
      <c r="AH324" s="554"/>
      <c r="AO324" s="1091"/>
      <c r="AP324" s="1091"/>
      <c r="AQ324" s="1180"/>
      <c r="AR324" s="1091"/>
      <c r="AS324" s="1180"/>
      <c r="AT324" s="1091"/>
    </row>
    <row r="325" spans="1:46" s="174" customFormat="1">
      <c r="A325" s="1114"/>
      <c r="B325" s="1114"/>
      <c r="C325" s="1114"/>
      <c r="D325" s="554"/>
      <c r="E325" s="30"/>
      <c r="F325" s="1091"/>
      <c r="G325" s="30"/>
      <c r="L325" s="1091"/>
      <c r="N325" s="1091"/>
      <c r="X325" s="554"/>
      <c r="AH325" s="554"/>
      <c r="AO325" s="1091"/>
      <c r="AP325" s="1091"/>
      <c r="AQ325" s="1180"/>
      <c r="AR325" s="1091"/>
      <c r="AS325" s="1180"/>
      <c r="AT325" s="1091"/>
    </row>
    <row r="326" spans="1:46" s="174" customFormat="1">
      <c r="A326" s="1114"/>
      <c r="B326" s="1114"/>
      <c r="C326" s="1114"/>
      <c r="D326" s="554"/>
      <c r="E326" s="30"/>
      <c r="F326" s="1091"/>
      <c r="G326" s="30"/>
      <c r="L326" s="1091"/>
      <c r="N326" s="1091"/>
      <c r="X326" s="554"/>
      <c r="AH326" s="554"/>
      <c r="AO326" s="1091"/>
      <c r="AP326" s="1091"/>
      <c r="AQ326" s="1180"/>
      <c r="AR326" s="1091"/>
      <c r="AS326" s="1180"/>
      <c r="AT326" s="1091"/>
    </row>
    <row r="327" spans="1:46" s="174" customFormat="1">
      <c r="A327" s="1114"/>
      <c r="B327" s="1114"/>
      <c r="C327" s="1114"/>
      <c r="D327" s="554"/>
      <c r="E327" s="30"/>
      <c r="F327" s="1091"/>
      <c r="G327" s="30"/>
      <c r="L327" s="1091"/>
      <c r="N327" s="1091"/>
      <c r="X327" s="554"/>
      <c r="AH327" s="554"/>
      <c r="AO327" s="1091"/>
      <c r="AP327" s="1091"/>
      <c r="AQ327" s="1180"/>
      <c r="AR327" s="1091"/>
      <c r="AS327" s="1180"/>
      <c r="AT327" s="1091"/>
    </row>
    <row r="328" spans="1:46" s="174" customFormat="1">
      <c r="A328" s="1114"/>
      <c r="B328" s="1114"/>
      <c r="C328" s="1114"/>
      <c r="D328" s="554"/>
      <c r="E328" s="30"/>
      <c r="F328" s="1091"/>
      <c r="G328" s="30"/>
      <c r="L328" s="1091"/>
      <c r="N328" s="1091"/>
      <c r="X328" s="554"/>
      <c r="AH328" s="554"/>
      <c r="AO328" s="1091"/>
      <c r="AP328" s="1091"/>
      <c r="AQ328" s="1180"/>
      <c r="AR328" s="1091"/>
      <c r="AS328" s="1180"/>
      <c r="AT328" s="1091"/>
    </row>
    <row r="329" spans="1:46" s="174" customFormat="1">
      <c r="A329" s="1114"/>
      <c r="B329" s="1114"/>
      <c r="C329" s="1114"/>
      <c r="D329" s="554"/>
      <c r="E329" s="30"/>
      <c r="F329" s="1091"/>
      <c r="G329" s="30"/>
      <c r="L329" s="1091"/>
      <c r="N329" s="1091"/>
      <c r="X329" s="554"/>
      <c r="AH329" s="554"/>
      <c r="AO329" s="1091"/>
      <c r="AP329" s="1091"/>
      <c r="AQ329" s="1180"/>
      <c r="AR329" s="1091"/>
      <c r="AS329" s="1180"/>
      <c r="AT329" s="1091"/>
    </row>
    <row r="330" spans="1:46" s="174" customFormat="1">
      <c r="A330" s="1114"/>
      <c r="B330" s="1114"/>
      <c r="C330" s="1114"/>
      <c r="D330" s="554"/>
      <c r="E330" s="30"/>
      <c r="F330" s="1091"/>
      <c r="G330" s="30"/>
      <c r="L330" s="1091"/>
      <c r="N330" s="1091"/>
      <c r="X330" s="554"/>
      <c r="AH330" s="554"/>
      <c r="AO330" s="1091"/>
      <c r="AP330" s="1091"/>
      <c r="AQ330" s="1180"/>
      <c r="AR330" s="1091"/>
      <c r="AS330" s="1180"/>
      <c r="AT330" s="1091"/>
    </row>
    <row r="331" spans="1:46" s="174" customFormat="1">
      <c r="A331" s="1114"/>
      <c r="B331" s="1114"/>
      <c r="C331" s="1114"/>
      <c r="D331" s="554"/>
      <c r="E331" s="30"/>
      <c r="F331" s="1091"/>
      <c r="G331" s="30"/>
      <c r="L331" s="1091"/>
      <c r="N331" s="1091"/>
      <c r="X331" s="554"/>
      <c r="AH331" s="554"/>
      <c r="AO331" s="1091"/>
      <c r="AP331" s="1091"/>
      <c r="AQ331" s="1180"/>
      <c r="AR331" s="1091"/>
      <c r="AS331" s="1180"/>
      <c r="AT331" s="1091"/>
    </row>
    <row r="332" spans="1:46" s="174" customFormat="1">
      <c r="A332" s="1114"/>
      <c r="B332" s="1114"/>
      <c r="C332" s="1114"/>
      <c r="D332" s="554"/>
      <c r="E332" s="30"/>
      <c r="F332" s="1091"/>
      <c r="G332" s="30"/>
      <c r="L332" s="1091"/>
      <c r="N332" s="1091"/>
      <c r="X332" s="554"/>
      <c r="AH332" s="554"/>
      <c r="AO332" s="1091"/>
      <c r="AP332" s="1091"/>
      <c r="AQ332" s="1180"/>
      <c r="AR332" s="1091"/>
      <c r="AS332" s="1180"/>
      <c r="AT332" s="1091"/>
    </row>
    <row r="333" spans="1:46" s="174" customFormat="1">
      <c r="A333" s="1114"/>
      <c r="B333" s="1114"/>
      <c r="C333" s="1114"/>
      <c r="D333" s="554"/>
      <c r="E333" s="30"/>
      <c r="F333" s="1091"/>
      <c r="G333" s="30"/>
      <c r="L333" s="1091"/>
      <c r="N333" s="1091"/>
      <c r="X333" s="554"/>
      <c r="AH333" s="554"/>
      <c r="AO333" s="1091"/>
      <c r="AP333" s="1091"/>
      <c r="AQ333" s="1180"/>
      <c r="AR333" s="1091"/>
      <c r="AS333" s="1180"/>
      <c r="AT333" s="1091"/>
    </row>
    <row r="334" spans="1:46" s="174" customFormat="1">
      <c r="A334" s="1114"/>
      <c r="B334" s="1114"/>
      <c r="C334" s="1114"/>
      <c r="D334" s="554"/>
      <c r="E334" s="30"/>
      <c r="F334" s="1091"/>
      <c r="G334" s="30"/>
      <c r="L334" s="1091"/>
      <c r="N334" s="1091"/>
      <c r="X334" s="554"/>
      <c r="AH334" s="554"/>
      <c r="AO334" s="1091"/>
      <c r="AP334" s="1091"/>
      <c r="AQ334" s="1180"/>
      <c r="AR334" s="1091"/>
      <c r="AS334" s="1180"/>
      <c r="AT334" s="1091"/>
    </row>
    <row r="335" spans="1:46" s="174" customFormat="1">
      <c r="A335" s="1114"/>
      <c r="B335" s="1114"/>
      <c r="C335" s="1114"/>
      <c r="D335" s="554"/>
      <c r="E335" s="30"/>
      <c r="F335" s="1091"/>
      <c r="G335" s="30"/>
      <c r="L335" s="1091"/>
      <c r="N335" s="1091"/>
      <c r="X335" s="554"/>
      <c r="AH335" s="554"/>
      <c r="AO335" s="1091"/>
      <c r="AP335" s="1091"/>
      <c r="AQ335" s="1180"/>
      <c r="AR335" s="1091"/>
      <c r="AS335" s="1180"/>
      <c r="AT335" s="1091"/>
    </row>
    <row r="336" spans="1:46" s="174" customFormat="1">
      <c r="A336" s="1114"/>
      <c r="B336" s="1114"/>
      <c r="C336" s="1114"/>
      <c r="D336" s="554"/>
      <c r="E336" s="30"/>
      <c r="F336" s="1091"/>
      <c r="G336" s="30"/>
      <c r="L336" s="1091"/>
      <c r="N336" s="1091"/>
      <c r="X336" s="554"/>
      <c r="AH336" s="554"/>
      <c r="AO336" s="1091"/>
      <c r="AP336" s="1091"/>
      <c r="AQ336" s="1180"/>
      <c r="AR336" s="1091"/>
      <c r="AS336" s="1180"/>
      <c r="AT336" s="1091"/>
    </row>
    <row r="337" spans="1:46" s="174" customFormat="1">
      <c r="A337" s="1114"/>
      <c r="B337" s="1114"/>
      <c r="C337" s="1114"/>
      <c r="D337" s="554"/>
      <c r="E337" s="30"/>
      <c r="F337" s="1091"/>
      <c r="G337" s="30"/>
      <c r="L337" s="1091"/>
      <c r="N337" s="1091"/>
      <c r="X337" s="554"/>
      <c r="AH337" s="554"/>
      <c r="AO337" s="1091"/>
      <c r="AP337" s="1091"/>
      <c r="AQ337" s="1180"/>
      <c r="AR337" s="1091"/>
      <c r="AS337" s="1180"/>
      <c r="AT337" s="1091"/>
    </row>
    <row r="338" spans="1:46" s="174" customFormat="1">
      <c r="A338" s="1114"/>
      <c r="B338" s="1114"/>
      <c r="C338" s="1114"/>
      <c r="D338" s="554"/>
      <c r="E338" s="30"/>
      <c r="F338" s="1091"/>
      <c r="G338" s="30"/>
      <c r="L338" s="1091"/>
      <c r="N338" s="1091"/>
      <c r="X338" s="554"/>
      <c r="AH338" s="554"/>
      <c r="AO338" s="1091"/>
      <c r="AP338" s="1091"/>
      <c r="AQ338" s="1180"/>
      <c r="AR338" s="1091"/>
      <c r="AS338" s="1180"/>
      <c r="AT338" s="1091"/>
    </row>
    <row r="339" spans="1:46" s="174" customFormat="1">
      <c r="A339" s="1114"/>
      <c r="B339" s="1114"/>
      <c r="C339" s="1114"/>
      <c r="D339" s="554"/>
      <c r="E339" s="30"/>
      <c r="F339" s="1091"/>
      <c r="G339" s="30"/>
      <c r="L339" s="1091"/>
      <c r="N339" s="1091"/>
      <c r="X339" s="554"/>
      <c r="AH339" s="554"/>
      <c r="AO339" s="1091"/>
      <c r="AP339" s="1091"/>
      <c r="AQ339" s="1180"/>
      <c r="AR339" s="1091"/>
      <c r="AS339" s="1180"/>
      <c r="AT339" s="1091"/>
    </row>
    <row r="340" spans="1:46" s="174" customFormat="1">
      <c r="A340" s="1114"/>
      <c r="B340" s="1114"/>
      <c r="C340" s="1114"/>
      <c r="D340" s="554"/>
      <c r="E340" s="30"/>
      <c r="F340" s="1091"/>
      <c r="G340" s="30"/>
      <c r="L340" s="1091"/>
      <c r="N340" s="1091"/>
      <c r="X340" s="554"/>
      <c r="AH340" s="554"/>
      <c r="AO340" s="1091"/>
      <c r="AP340" s="1091"/>
      <c r="AQ340" s="1180"/>
      <c r="AR340" s="1091"/>
      <c r="AS340" s="1180"/>
      <c r="AT340" s="1091"/>
    </row>
    <row r="341" spans="1:46" s="174" customFormat="1">
      <c r="A341" s="1114"/>
      <c r="B341" s="1114"/>
      <c r="C341" s="1114"/>
      <c r="D341" s="554"/>
      <c r="E341" s="30"/>
      <c r="F341" s="1091"/>
      <c r="G341" s="30"/>
      <c r="L341" s="1091"/>
      <c r="N341" s="1091"/>
      <c r="X341" s="554"/>
      <c r="AH341" s="554"/>
      <c r="AO341" s="1091"/>
      <c r="AP341" s="1091"/>
      <c r="AQ341" s="1180"/>
      <c r="AR341" s="1091"/>
      <c r="AS341" s="1180"/>
      <c r="AT341" s="1091"/>
    </row>
    <row r="342" spans="1:46" s="174" customFormat="1">
      <c r="A342" s="1114"/>
      <c r="B342" s="1114"/>
      <c r="C342" s="1114"/>
      <c r="D342" s="554"/>
      <c r="E342" s="30"/>
      <c r="F342" s="1091"/>
      <c r="G342" s="30"/>
      <c r="L342" s="1091"/>
      <c r="N342" s="1091"/>
      <c r="X342" s="554"/>
      <c r="AH342" s="554"/>
      <c r="AO342" s="1091"/>
      <c r="AP342" s="1091"/>
      <c r="AQ342" s="1180"/>
      <c r="AR342" s="1091"/>
      <c r="AS342" s="1180"/>
      <c r="AT342" s="1091"/>
    </row>
    <row r="343" spans="1:46" s="174" customFormat="1">
      <c r="A343" s="1114"/>
      <c r="B343" s="1114"/>
      <c r="C343" s="1114"/>
      <c r="D343" s="554"/>
      <c r="E343" s="30"/>
      <c r="F343" s="1091"/>
      <c r="G343" s="30"/>
      <c r="L343" s="1091"/>
      <c r="N343" s="1091"/>
      <c r="X343" s="554"/>
      <c r="AH343" s="554"/>
      <c r="AO343" s="1091"/>
      <c r="AP343" s="1091"/>
      <c r="AQ343" s="1180"/>
      <c r="AR343" s="1091"/>
      <c r="AS343" s="1180"/>
      <c r="AT343" s="1091"/>
    </row>
    <row r="344" spans="1:46" s="174" customFormat="1">
      <c r="A344" s="1114"/>
      <c r="B344" s="1114"/>
      <c r="C344" s="1114"/>
      <c r="D344" s="554"/>
      <c r="E344" s="30"/>
      <c r="F344" s="1091"/>
      <c r="G344" s="30"/>
      <c r="L344" s="1091"/>
      <c r="N344" s="1091"/>
      <c r="X344" s="554"/>
      <c r="AH344" s="554"/>
      <c r="AO344" s="1091"/>
      <c r="AP344" s="1091"/>
      <c r="AQ344" s="1180"/>
      <c r="AR344" s="1091"/>
      <c r="AS344" s="1180"/>
      <c r="AT344" s="1091"/>
    </row>
    <row r="345" spans="1:46" s="174" customFormat="1">
      <c r="A345" s="1114"/>
      <c r="B345" s="1114"/>
      <c r="C345" s="1114"/>
      <c r="D345" s="554"/>
      <c r="E345" s="30"/>
      <c r="F345" s="1091"/>
      <c r="G345" s="30"/>
      <c r="L345" s="1091"/>
      <c r="N345" s="1091"/>
      <c r="X345" s="554"/>
      <c r="AH345" s="554"/>
      <c r="AO345" s="1091"/>
      <c r="AP345" s="1091"/>
      <c r="AQ345" s="1180"/>
      <c r="AR345" s="1091"/>
      <c r="AS345" s="1180"/>
      <c r="AT345" s="1091"/>
    </row>
    <row r="346" spans="1:46" s="174" customFormat="1">
      <c r="A346" s="1114"/>
      <c r="B346" s="1114"/>
      <c r="C346" s="1114"/>
      <c r="D346" s="554"/>
      <c r="E346" s="30"/>
      <c r="F346" s="1091"/>
      <c r="G346" s="30"/>
      <c r="L346" s="1091"/>
      <c r="N346" s="1091"/>
      <c r="X346" s="554"/>
      <c r="AH346" s="554"/>
      <c r="AO346" s="1091"/>
      <c r="AP346" s="1091"/>
      <c r="AQ346" s="1180"/>
      <c r="AR346" s="1091"/>
      <c r="AS346" s="1180"/>
      <c r="AT346" s="1091"/>
    </row>
    <row r="347" spans="1:46" s="174" customFormat="1">
      <c r="A347" s="1114"/>
      <c r="B347" s="1114"/>
      <c r="C347" s="1114"/>
      <c r="D347" s="554"/>
      <c r="E347" s="30"/>
      <c r="F347" s="1091"/>
      <c r="G347" s="30"/>
      <c r="L347" s="1091"/>
      <c r="N347" s="1091"/>
      <c r="X347" s="554"/>
      <c r="AH347" s="554"/>
      <c r="AO347" s="1091"/>
      <c r="AP347" s="1091"/>
      <c r="AQ347" s="1180"/>
      <c r="AR347" s="1091"/>
      <c r="AS347" s="1180"/>
      <c r="AT347" s="1091"/>
    </row>
    <row r="348" spans="1:46" s="174" customFormat="1">
      <c r="A348" s="1114"/>
      <c r="B348" s="1114"/>
      <c r="C348" s="1114"/>
      <c r="D348" s="554"/>
      <c r="E348" s="30"/>
      <c r="F348" s="1091"/>
      <c r="G348" s="30"/>
      <c r="L348" s="1091"/>
      <c r="N348" s="1091"/>
      <c r="X348" s="554"/>
      <c r="AH348" s="554"/>
      <c r="AO348" s="1091"/>
      <c r="AP348" s="1091"/>
      <c r="AQ348" s="1180"/>
      <c r="AR348" s="1091"/>
      <c r="AS348" s="1180"/>
      <c r="AT348" s="1091"/>
    </row>
    <row r="349" spans="1:46" s="174" customFormat="1">
      <c r="A349" s="1114"/>
      <c r="B349" s="1114"/>
      <c r="C349" s="1114"/>
      <c r="D349" s="554"/>
      <c r="E349" s="30"/>
      <c r="F349" s="1091"/>
      <c r="G349" s="30"/>
      <c r="L349" s="1091"/>
      <c r="N349" s="1091"/>
      <c r="X349" s="554"/>
      <c r="AH349" s="554"/>
      <c r="AO349" s="1091"/>
      <c r="AP349" s="1091"/>
      <c r="AQ349" s="1180"/>
      <c r="AR349" s="1091"/>
      <c r="AS349" s="1180"/>
      <c r="AT349" s="1091"/>
    </row>
    <row r="350" spans="1:46" s="174" customFormat="1">
      <c r="A350" s="1114"/>
      <c r="B350" s="1114"/>
      <c r="C350" s="1114"/>
      <c r="D350" s="554"/>
      <c r="E350" s="30"/>
      <c r="F350" s="1091"/>
      <c r="G350" s="30"/>
      <c r="L350" s="1091"/>
      <c r="N350" s="1091"/>
      <c r="X350" s="554"/>
      <c r="AH350" s="554"/>
      <c r="AO350" s="1091"/>
      <c r="AP350" s="1091"/>
      <c r="AQ350" s="1180"/>
      <c r="AR350" s="1091"/>
      <c r="AS350" s="1180"/>
      <c r="AT350" s="1091"/>
    </row>
    <row r="351" spans="1:46" s="174" customFormat="1">
      <c r="A351" s="1114"/>
      <c r="B351" s="1114"/>
      <c r="C351" s="1114"/>
      <c r="D351" s="554"/>
      <c r="E351" s="30"/>
      <c r="F351" s="1091"/>
      <c r="G351" s="30"/>
      <c r="L351" s="1091"/>
      <c r="N351" s="1091"/>
      <c r="X351" s="554"/>
      <c r="AH351" s="554"/>
      <c r="AO351" s="1091"/>
      <c r="AP351" s="1091"/>
      <c r="AQ351" s="1180"/>
      <c r="AR351" s="1091"/>
      <c r="AS351" s="1180"/>
      <c r="AT351" s="1091"/>
    </row>
    <row r="352" spans="1:46" s="174" customFormat="1">
      <c r="A352" s="1114"/>
      <c r="B352" s="1114"/>
      <c r="C352" s="1114"/>
      <c r="D352" s="554"/>
      <c r="E352" s="30"/>
      <c r="F352" s="1091"/>
      <c r="G352" s="30"/>
      <c r="L352" s="1091"/>
      <c r="N352" s="1091"/>
      <c r="X352" s="554"/>
      <c r="AH352" s="554"/>
      <c r="AO352" s="1091"/>
      <c r="AP352" s="1091"/>
      <c r="AQ352" s="1180"/>
      <c r="AR352" s="1091"/>
      <c r="AS352" s="1180"/>
      <c r="AT352" s="1091"/>
    </row>
    <row r="353" spans="1:46" s="174" customFormat="1">
      <c r="A353" s="1114"/>
      <c r="B353" s="1114"/>
      <c r="C353" s="1114"/>
      <c r="D353" s="554"/>
      <c r="E353" s="30"/>
      <c r="F353" s="1091"/>
      <c r="G353" s="30"/>
      <c r="L353" s="1091"/>
      <c r="N353" s="1091"/>
      <c r="X353" s="554"/>
      <c r="AH353" s="554"/>
      <c r="AO353" s="1091"/>
      <c r="AP353" s="1091"/>
      <c r="AQ353" s="1180"/>
      <c r="AR353" s="1091"/>
      <c r="AS353" s="1180"/>
      <c r="AT353" s="1091"/>
    </row>
    <row r="354" spans="1:46" s="174" customFormat="1">
      <c r="A354" s="1114"/>
      <c r="B354" s="1114"/>
      <c r="C354" s="1114"/>
      <c r="D354" s="554"/>
      <c r="E354" s="30"/>
      <c r="F354" s="1091"/>
      <c r="G354" s="30"/>
      <c r="L354" s="1091"/>
      <c r="N354" s="1091"/>
      <c r="X354" s="554"/>
      <c r="AH354" s="554"/>
      <c r="AO354" s="1091"/>
      <c r="AP354" s="1091"/>
      <c r="AQ354" s="1180"/>
      <c r="AR354" s="1091"/>
      <c r="AS354" s="1180"/>
      <c r="AT354" s="1091"/>
    </row>
    <row r="355" spans="1:46" s="174" customFormat="1">
      <c r="A355" s="1114"/>
      <c r="B355" s="1114"/>
      <c r="C355" s="1114"/>
      <c r="D355" s="554"/>
      <c r="E355" s="30"/>
      <c r="F355" s="1091"/>
      <c r="G355" s="30"/>
      <c r="L355" s="1091"/>
      <c r="N355" s="1091"/>
      <c r="X355" s="554"/>
      <c r="AH355" s="554"/>
      <c r="AO355" s="1091"/>
      <c r="AP355" s="1091"/>
      <c r="AQ355" s="1180"/>
      <c r="AR355" s="1091"/>
      <c r="AS355" s="1180"/>
      <c r="AT355" s="1091"/>
    </row>
    <row r="356" spans="1:46" s="174" customFormat="1">
      <c r="A356" s="1114"/>
      <c r="B356" s="1114"/>
      <c r="C356" s="1114"/>
      <c r="D356" s="554"/>
      <c r="E356" s="30"/>
      <c r="F356" s="1091"/>
      <c r="G356" s="30"/>
      <c r="L356" s="1091"/>
      <c r="N356" s="1091"/>
      <c r="X356" s="554"/>
      <c r="AH356" s="554"/>
      <c r="AO356" s="1091"/>
      <c r="AP356" s="1091"/>
      <c r="AQ356" s="1180"/>
      <c r="AR356" s="1091"/>
      <c r="AS356" s="1180"/>
      <c r="AT356" s="1091"/>
    </row>
    <row r="357" spans="1:46" s="174" customFormat="1">
      <c r="A357" s="1114"/>
      <c r="B357" s="1114"/>
      <c r="C357" s="1114"/>
      <c r="D357" s="554"/>
      <c r="E357" s="30"/>
      <c r="F357" s="1091"/>
      <c r="G357" s="30"/>
      <c r="L357" s="1091"/>
      <c r="N357" s="1091"/>
      <c r="X357" s="554"/>
      <c r="AH357" s="554"/>
      <c r="AO357" s="1091"/>
      <c r="AP357" s="1091"/>
      <c r="AQ357" s="1180"/>
      <c r="AR357" s="1091"/>
      <c r="AS357" s="1180"/>
      <c r="AT357" s="1091"/>
    </row>
    <row r="358" spans="1:46" s="174" customFormat="1">
      <c r="A358" s="1114"/>
      <c r="B358" s="1114"/>
      <c r="C358" s="1114"/>
      <c r="D358" s="554"/>
      <c r="E358" s="30"/>
      <c r="F358" s="1091"/>
      <c r="G358" s="30"/>
      <c r="L358" s="1091"/>
      <c r="N358" s="1091"/>
      <c r="X358" s="554"/>
      <c r="AH358" s="554"/>
      <c r="AO358" s="1091"/>
      <c r="AP358" s="1091"/>
      <c r="AQ358" s="1180"/>
      <c r="AR358" s="1091"/>
      <c r="AS358" s="1180"/>
      <c r="AT358" s="1091"/>
    </row>
    <row r="359" spans="1:46" s="174" customFormat="1">
      <c r="A359" s="1114"/>
      <c r="B359" s="1114"/>
      <c r="C359" s="1114"/>
      <c r="D359" s="554"/>
      <c r="E359" s="30"/>
      <c r="F359" s="1091"/>
      <c r="G359" s="30"/>
      <c r="L359" s="1091"/>
      <c r="N359" s="1091"/>
      <c r="X359" s="554"/>
      <c r="AH359" s="554"/>
      <c r="AO359" s="1091"/>
      <c r="AP359" s="1091"/>
      <c r="AQ359" s="1180"/>
      <c r="AR359" s="1091"/>
      <c r="AS359" s="1180"/>
      <c r="AT359" s="1091"/>
    </row>
    <row r="360" spans="1:46" s="174" customFormat="1">
      <c r="A360" s="1114"/>
      <c r="B360" s="1114"/>
      <c r="C360" s="1114"/>
      <c r="D360" s="554"/>
      <c r="E360" s="30"/>
      <c r="F360" s="1091"/>
      <c r="G360" s="30"/>
      <c r="L360" s="1091"/>
      <c r="N360" s="1091"/>
      <c r="X360" s="554"/>
      <c r="AH360" s="554"/>
      <c r="AO360" s="1091"/>
      <c r="AP360" s="1091"/>
      <c r="AQ360" s="1180"/>
      <c r="AR360" s="1091"/>
      <c r="AS360" s="1180"/>
      <c r="AT360" s="1091"/>
    </row>
    <row r="361" spans="1:46" s="174" customFormat="1">
      <c r="A361" s="1114"/>
      <c r="B361" s="1114"/>
      <c r="C361" s="1114"/>
      <c r="D361" s="554"/>
      <c r="E361" s="30"/>
      <c r="F361" s="1091"/>
      <c r="G361" s="30"/>
      <c r="L361" s="1091"/>
      <c r="N361" s="1091"/>
      <c r="X361" s="554"/>
      <c r="AH361" s="554"/>
      <c r="AO361" s="1091"/>
      <c r="AP361" s="1091"/>
      <c r="AQ361" s="1180"/>
      <c r="AR361" s="1091"/>
      <c r="AS361" s="1180"/>
      <c r="AT361" s="1091"/>
    </row>
    <row r="362" spans="1:46" s="174" customFormat="1">
      <c r="A362" s="1114"/>
      <c r="B362" s="1114"/>
      <c r="C362" s="1114"/>
      <c r="D362" s="554"/>
      <c r="E362" s="30"/>
      <c r="F362" s="1091"/>
      <c r="G362" s="30"/>
      <c r="L362" s="1091"/>
      <c r="N362" s="1091"/>
      <c r="X362" s="554"/>
      <c r="AH362" s="554"/>
      <c r="AO362" s="1091"/>
      <c r="AP362" s="1091"/>
      <c r="AQ362" s="1180"/>
      <c r="AR362" s="1091"/>
      <c r="AS362" s="1180"/>
      <c r="AT362" s="1091"/>
    </row>
    <row r="363" spans="1:46" s="174" customFormat="1">
      <c r="A363" s="1114"/>
      <c r="B363" s="1114"/>
      <c r="C363" s="1114"/>
      <c r="D363" s="554"/>
      <c r="E363" s="30"/>
      <c r="F363" s="1091"/>
      <c r="G363" s="30"/>
      <c r="L363" s="1091"/>
      <c r="N363" s="1091"/>
      <c r="X363" s="554"/>
      <c r="AH363" s="554"/>
      <c r="AO363" s="1091"/>
      <c r="AP363" s="1091"/>
      <c r="AQ363" s="1180"/>
      <c r="AR363" s="1091"/>
      <c r="AS363" s="1180"/>
      <c r="AT363" s="1091"/>
    </row>
    <row r="364" spans="1:46" s="174" customFormat="1">
      <c r="A364" s="1114"/>
      <c r="B364" s="1114"/>
      <c r="C364" s="1114"/>
      <c r="D364" s="554"/>
      <c r="E364" s="30"/>
      <c r="F364" s="1091"/>
      <c r="G364" s="30"/>
      <c r="L364" s="1091"/>
      <c r="N364" s="1091"/>
      <c r="X364" s="554"/>
      <c r="AH364" s="554"/>
      <c r="AO364" s="1091"/>
      <c r="AP364" s="1091"/>
      <c r="AQ364" s="1180"/>
      <c r="AR364" s="1091"/>
      <c r="AS364" s="1180"/>
      <c r="AT364" s="1091"/>
    </row>
    <row r="365" spans="1:46" s="174" customFormat="1">
      <c r="A365" s="1114"/>
      <c r="B365" s="1114"/>
      <c r="C365" s="1114"/>
      <c r="D365" s="554"/>
      <c r="E365" s="30"/>
      <c r="F365" s="1091"/>
      <c r="G365" s="30"/>
      <c r="L365" s="1091"/>
      <c r="N365" s="1091"/>
      <c r="X365" s="554"/>
      <c r="AH365" s="554"/>
      <c r="AO365" s="1091"/>
      <c r="AP365" s="1091"/>
      <c r="AQ365" s="1180"/>
      <c r="AR365" s="1091"/>
      <c r="AS365" s="1180"/>
      <c r="AT365" s="1091"/>
    </row>
    <row r="366" spans="1:46" s="174" customFormat="1">
      <c r="A366" s="1114"/>
      <c r="B366" s="1114"/>
      <c r="C366" s="1114"/>
      <c r="D366" s="554"/>
      <c r="E366" s="30"/>
      <c r="F366" s="1091"/>
      <c r="G366" s="30"/>
      <c r="L366" s="1091"/>
      <c r="N366" s="1091"/>
      <c r="X366" s="554"/>
      <c r="AH366" s="554"/>
      <c r="AO366" s="1091"/>
      <c r="AP366" s="1091"/>
      <c r="AQ366" s="1180"/>
      <c r="AR366" s="1091"/>
      <c r="AS366" s="1180"/>
      <c r="AT366" s="1091"/>
    </row>
    <row r="367" spans="1:46" s="174" customFormat="1">
      <c r="A367" s="1114"/>
      <c r="B367" s="1114"/>
      <c r="C367" s="1114"/>
      <c r="D367" s="554"/>
      <c r="E367" s="30"/>
      <c r="F367" s="1091"/>
      <c r="G367" s="30"/>
      <c r="L367" s="1091"/>
      <c r="N367" s="1091"/>
      <c r="X367" s="554"/>
      <c r="AH367" s="554"/>
      <c r="AO367" s="1091"/>
      <c r="AP367" s="1091"/>
      <c r="AQ367" s="1180"/>
      <c r="AR367" s="1091"/>
      <c r="AS367" s="1180"/>
      <c r="AT367" s="1091"/>
    </row>
    <row r="368" spans="1:46" s="174" customFormat="1">
      <c r="A368" s="1114"/>
      <c r="B368" s="1114"/>
      <c r="C368" s="1114"/>
      <c r="D368" s="554"/>
      <c r="E368" s="30"/>
      <c r="F368" s="1091"/>
      <c r="G368" s="30"/>
      <c r="L368" s="1091"/>
      <c r="N368" s="1091"/>
      <c r="X368" s="554"/>
      <c r="AH368" s="554"/>
      <c r="AO368" s="1091"/>
      <c r="AP368" s="1091"/>
      <c r="AQ368" s="1180"/>
      <c r="AR368" s="1091"/>
      <c r="AS368" s="1180"/>
      <c r="AT368" s="1091"/>
    </row>
    <row r="369" spans="1:46" s="174" customFormat="1">
      <c r="A369" s="1114"/>
      <c r="B369" s="1114"/>
      <c r="C369" s="1114"/>
      <c r="D369" s="554"/>
      <c r="E369" s="30"/>
      <c r="F369" s="1091"/>
      <c r="G369" s="30"/>
      <c r="L369" s="1091"/>
      <c r="N369" s="1091"/>
      <c r="X369" s="554"/>
      <c r="AH369" s="554"/>
      <c r="AO369" s="1091"/>
      <c r="AP369" s="1091"/>
      <c r="AQ369" s="1180"/>
      <c r="AR369" s="1091"/>
      <c r="AS369" s="1180"/>
      <c r="AT369" s="1091"/>
    </row>
    <row r="370" spans="1:46" s="174" customFormat="1">
      <c r="A370" s="1114"/>
      <c r="B370" s="1114"/>
      <c r="C370" s="1114"/>
      <c r="D370" s="554"/>
      <c r="E370" s="30"/>
      <c r="F370" s="1091"/>
      <c r="G370" s="30"/>
      <c r="L370" s="1091"/>
      <c r="N370" s="1091"/>
      <c r="X370" s="554"/>
      <c r="AH370" s="554"/>
      <c r="AO370" s="1091"/>
      <c r="AP370" s="1091"/>
      <c r="AQ370" s="1180"/>
      <c r="AR370" s="1091"/>
      <c r="AS370" s="1180"/>
      <c r="AT370" s="1091"/>
    </row>
    <row r="371" spans="1:46" s="174" customFormat="1">
      <c r="A371" s="1114"/>
      <c r="B371" s="1114"/>
      <c r="C371" s="1114"/>
      <c r="D371" s="554"/>
      <c r="E371" s="30"/>
      <c r="F371" s="1091"/>
      <c r="G371" s="30"/>
      <c r="L371" s="1091"/>
      <c r="N371" s="1091"/>
      <c r="X371" s="554"/>
      <c r="AH371" s="554"/>
      <c r="AO371" s="1091"/>
      <c r="AP371" s="1091"/>
      <c r="AQ371" s="1180"/>
      <c r="AR371" s="1091"/>
      <c r="AS371" s="1180"/>
      <c r="AT371" s="1091"/>
    </row>
    <row r="372" spans="1:46" s="174" customFormat="1">
      <c r="A372" s="1114"/>
      <c r="B372" s="1114"/>
      <c r="C372" s="1114"/>
      <c r="D372" s="554"/>
      <c r="E372" s="30"/>
      <c r="F372" s="1091"/>
      <c r="G372" s="30"/>
      <c r="L372" s="1091"/>
      <c r="N372" s="1091"/>
      <c r="X372" s="554"/>
      <c r="AH372" s="554"/>
      <c r="AO372" s="1091"/>
      <c r="AP372" s="1091"/>
      <c r="AQ372" s="1180"/>
      <c r="AR372" s="1091"/>
      <c r="AS372" s="1180"/>
      <c r="AT372" s="1091"/>
    </row>
    <row r="373" spans="1:46" s="174" customFormat="1">
      <c r="A373" s="1114"/>
      <c r="B373" s="1114"/>
      <c r="C373" s="1114"/>
      <c r="D373" s="554"/>
      <c r="E373" s="30"/>
      <c r="F373" s="1091"/>
      <c r="G373" s="30"/>
      <c r="L373" s="1091"/>
      <c r="N373" s="1091"/>
      <c r="X373" s="554"/>
      <c r="AH373" s="554"/>
      <c r="AO373" s="1091"/>
      <c r="AP373" s="1091"/>
      <c r="AQ373" s="1180"/>
      <c r="AR373" s="1091"/>
      <c r="AS373" s="1180"/>
      <c r="AT373" s="1091"/>
    </row>
    <row r="374" spans="1:46" s="174" customFormat="1">
      <c r="A374" s="1114"/>
      <c r="B374" s="1114"/>
      <c r="C374" s="1114"/>
      <c r="D374" s="554"/>
      <c r="E374" s="30"/>
      <c r="F374" s="1091"/>
      <c r="G374" s="30"/>
      <c r="L374" s="1091"/>
      <c r="N374" s="1091"/>
      <c r="X374" s="554"/>
      <c r="AH374" s="554"/>
      <c r="AO374" s="1091"/>
      <c r="AP374" s="1091"/>
      <c r="AQ374" s="1180"/>
      <c r="AR374" s="1091"/>
      <c r="AS374" s="1180"/>
      <c r="AT374" s="1091"/>
    </row>
    <row r="375" spans="1:46" s="174" customFormat="1">
      <c r="A375" s="1114"/>
      <c r="B375" s="1114"/>
      <c r="C375" s="1114"/>
      <c r="D375" s="554"/>
      <c r="E375" s="30"/>
      <c r="F375" s="1091"/>
      <c r="G375" s="30"/>
      <c r="L375" s="1091"/>
      <c r="N375" s="1091"/>
      <c r="X375" s="554"/>
      <c r="AH375" s="554"/>
      <c r="AO375" s="1091"/>
      <c r="AP375" s="1091"/>
      <c r="AQ375" s="1180"/>
      <c r="AR375" s="1091"/>
      <c r="AS375" s="1180"/>
      <c r="AT375" s="1091"/>
    </row>
    <row r="376" spans="1:46" s="174" customFormat="1">
      <c r="A376" s="1114"/>
      <c r="B376" s="1114"/>
      <c r="C376" s="1114"/>
      <c r="D376" s="554"/>
      <c r="E376" s="30"/>
      <c r="F376" s="1091"/>
      <c r="G376" s="30"/>
      <c r="L376" s="1091"/>
      <c r="N376" s="1091"/>
      <c r="X376" s="554"/>
      <c r="AH376" s="554"/>
      <c r="AO376" s="1091"/>
      <c r="AP376" s="1091"/>
      <c r="AQ376" s="1180"/>
      <c r="AR376" s="1091"/>
      <c r="AS376" s="1180"/>
      <c r="AT376" s="1091"/>
    </row>
    <row r="377" spans="1:46" s="174" customFormat="1">
      <c r="A377" s="1114"/>
      <c r="B377" s="1114"/>
      <c r="C377" s="1114"/>
      <c r="D377" s="554"/>
      <c r="E377" s="30"/>
      <c r="F377" s="1091"/>
      <c r="G377" s="30"/>
      <c r="L377" s="1091"/>
      <c r="N377" s="1091"/>
      <c r="X377" s="554"/>
      <c r="AH377" s="554"/>
      <c r="AO377" s="1091"/>
      <c r="AP377" s="1091"/>
      <c r="AQ377" s="1180"/>
      <c r="AR377" s="1091"/>
      <c r="AS377" s="1180"/>
      <c r="AT377" s="1091"/>
    </row>
    <row r="378" spans="1:46" s="174" customFormat="1">
      <c r="A378" s="1114"/>
      <c r="B378" s="1114"/>
      <c r="C378" s="1114"/>
      <c r="D378" s="554"/>
      <c r="E378" s="30"/>
      <c r="F378" s="1091"/>
      <c r="G378" s="30"/>
      <c r="L378" s="1091"/>
      <c r="N378" s="1091"/>
      <c r="X378" s="554"/>
      <c r="AH378" s="554"/>
      <c r="AO378" s="1091"/>
      <c r="AP378" s="1091"/>
      <c r="AQ378" s="1180"/>
      <c r="AR378" s="1091"/>
      <c r="AS378" s="1180"/>
      <c r="AT378" s="1091"/>
    </row>
    <row r="379" spans="1:46" s="174" customFormat="1">
      <c r="A379" s="1114"/>
      <c r="B379" s="1114"/>
      <c r="C379" s="1114"/>
      <c r="D379" s="554"/>
      <c r="E379" s="30"/>
      <c r="F379" s="1091"/>
      <c r="G379" s="30"/>
      <c r="L379" s="1091"/>
      <c r="N379" s="1091"/>
      <c r="X379" s="554"/>
      <c r="AH379" s="554"/>
      <c r="AO379" s="1091"/>
      <c r="AP379" s="1091"/>
      <c r="AQ379" s="1180"/>
      <c r="AR379" s="1091"/>
      <c r="AS379" s="1180"/>
      <c r="AT379" s="1091"/>
    </row>
    <row r="380" spans="1:46" s="174" customFormat="1">
      <c r="A380" s="1114"/>
      <c r="B380" s="1114"/>
      <c r="C380" s="1114"/>
      <c r="D380" s="554"/>
      <c r="E380" s="30"/>
      <c r="F380" s="1091"/>
      <c r="G380" s="30"/>
      <c r="L380" s="1091"/>
      <c r="N380" s="1091"/>
      <c r="X380" s="554"/>
      <c r="AH380" s="554"/>
      <c r="AO380" s="1091"/>
      <c r="AP380" s="1091"/>
      <c r="AQ380" s="1180"/>
      <c r="AR380" s="1091"/>
      <c r="AS380" s="1180"/>
      <c r="AT380" s="1091"/>
    </row>
    <row r="381" spans="1:46" s="174" customFormat="1">
      <c r="A381" s="1114"/>
      <c r="B381" s="1114"/>
      <c r="C381" s="1114"/>
      <c r="D381" s="554"/>
      <c r="E381" s="30"/>
      <c r="F381" s="1091"/>
      <c r="G381" s="30"/>
      <c r="L381" s="1091"/>
      <c r="N381" s="1091"/>
      <c r="X381" s="554"/>
      <c r="AH381" s="554"/>
      <c r="AO381" s="1091"/>
      <c r="AP381" s="1091"/>
      <c r="AQ381" s="1180"/>
      <c r="AR381" s="1091"/>
      <c r="AS381" s="1180"/>
      <c r="AT381" s="1091"/>
    </row>
    <row r="382" spans="1:46" s="174" customFormat="1">
      <c r="A382" s="1114"/>
      <c r="B382" s="1114"/>
      <c r="C382" s="1114"/>
      <c r="D382" s="554"/>
      <c r="E382" s="30"/>
      <c r="F382" s="1091"/>
      <c r="G382" s="30"/>
      <c r="L382" s="1091"/>
      <c r="N382" s="1091"/>
      <c r="X382" s="554"/>
      <c r="AH382" s="554"/>
      <c r="AO382" s="1091"/>
      <c r="AP382" s="1091"/>
      <c r="AQ382" s="1180"/>
      <c r="AR382" s="1091"/>
      <c r="AS382" s="1180"/>
      <c r="AT382" s="1091"/>
    </row>
    <row r="383" spans="1:46" s="174" customFormat="1">
      <c r="A383" s="1114"/>
      <c r="B383" s="1114"/>
      <c r="C383" s="1114"/>
      <c r="D383" s="554"/>
      <c r="E383" s="30"/>
      <c r="F383" s="1091"/>
      <c r="G383" s="30"/>
      <c r="L383" s="1091"/>
      <c r="N383" s="1091"/>
      <c r="X383" s="554"/>
      <c r="AH383" s="554"/>
      <c r="AO383" s="1091"/>
      <c r="AP383" s="1091"/>
      <c r="AQ383" s="1180"/>
      <c r="AR383" s="1091"/>
      <c r="AS383" s="1180"/>
      <c r="AT383" s="1091"/>
    </row>
    <row r="384" spans="1:46" s="174" customFormat="1">
      <c r="A384" s="1114"/>
      <c r="B384" s="1114"/>
      <c r="C384" s="1114"/>
      <c r="D384" s="554"/>
      <c r="E384" s="30"/>
      <c r="F384" s="1091"/>
      <c r="G384" s="30"/>
      <c r="L384" s="1091"/>
      <c r="N384" s="1091"/>
      <c r="X384" s="554"/>
      <c r="AH384" s="554"/>
      <c r="AO384" s="1091"/>
      <c r="AP384" s="1091"/>
      <c r="AQ384" s="1180"/>
      <c r="AR384" s="1091"/>
      <c r="AS384" s="1180"/>
      <c r="AT384" s="1091"/>
    </row>
    <row r="385" spans="1:46" s="174" customFormat="1">
      <c r="A385" s="1114"/>
      <c r="B385" s="1114"/>
      <c r="C385" s="1114"/>
      <c r="D385" s="554"/>
      <c r="E385" s="30"/>
      <c r="F385" s="1091"/>
      <c r="G385" s="30"/>
      <c r="L385" s="1091"/>
      <c r="N385" s="1091"/>
      <c r="X385" s="554"/>
      <c r="AH385" s="554"/>
      <c r="AO385" s="1091"/>
      <c r="AP385" s="1091"/>
      <c r="AQ385" s="1180"/>
      <c r="AR385" s="1091"/>
      <c r="AS385" s="1180"/>
      <c r="AT385" s="1091"/>
    </row>
    <row r="386" spans="1:46" s="174" customFormat="1">
      <c r="A386" s="1114"/>
      <c r="B386" s="1114"/>
      <c r="C386" s="1114"/>
      <c r="D386" s="554"/>
      <c r="E386" s="30"/>
      <c r="F386" s="1091"/>
      <c r="G386" s="30"/>
      <c r="L386" s="1091"/>
      <c r="N386" s="1091"/>
      <c r="X386" s="554"/>
      <c r="AH386" s="554"/>
      <c r="AO386" s="1091"/>
      <c r="AP386" s="1091"/>
      <c r="AQ386" s="1180"/>
      <c r="AR386" s="1091"/>
      <c r="AS386" s="1180"/>
      <c r="AT386" s="1091"/>
    </row>
    <row r="387" spans="1:46" s="174" customFormat="1">
      <c r="A387" s="1114"/>
      <c r="B387" s="1114"/>
      <c r="C387" s="1114"/>
      <c r="D387" s="554"/>
      <c r="E387" s="30"/>
      <c r="F387" s="1091"/>
      <c r="G387" s="30"/>
      <c r="L387" s="1091"/>
      <c r="N387" s="1091"/>
      <c r="X387" s="554"/>
      <c r="AH387" s="554"/>
      <c r="AO387" s="1091"/>
      <c r="AP387" s="1091"/>
      <c r="AQ387" s="1180"/>
      <c r="AR387" s="1091"/>
      <c r="AS387" s="1180"/>
      <c r="AT387" s="1091"/>
    </row>
    <row r="388" spans="1:46" s="174" customFormat="1">
      <c r="A388" s="1114"/>
      <c r="B388" s="1114"/>
      <c r="C388" s="1114"/>
      <c r="D388" s="554"/>
      <c r="E388" s="30"/>
      <c r="F388" s="1091"/>
      <c r="G388" s="30"/>
      <c r="L388" s="1091"/>
      <c r="N388" s="1091"/>
      <c r="X388" s="554"/>
      <c r="AH388" s="554"/>
      <c r="AO388" s="1091"/>
      <c r="AP388" s="1091"/>
      <c r="AQ388" s="1180"/>
      <c r="AR388" s="1091"/>
      <c r="AS388" s="1180"/>
      <c r="AT388" s="1091"/>
    </row>
    <row r="389" spans="1:46" s="174" customFormat="1">
      <c r="A389" s="1114"/>
      <c r="B389" s="1114"/>
      <c r="C389" s="1114"/>
      <c r="D389" s="554"/>
      <c r="E389" s="30"/>
      <c r="F389" s="1091"/>
      <c r="G389" s="30"/>
      <c r="L389" s="1091"/>
      <c r="N389" s="1091"/>
      <c r="X389" s="554"/>
      <c r="AH389" s="554"/>
      <c r="AO389" s="1091"/>
      <c r="AP389" s="1091"/>
      <c r="AQ389" s="1180"/>
      <c r="AR389" s="1091"/>
      <c r="AS389" s="1180"/>
      <c r="AT389" s="1091"/>
    </row>
    <row r="390" spans="1:46" s="174" customFormat="1">
      <c r="A390" s="1114"/>
      <c r="B390" s="1114"/>
      <c r="C390" s="1114"/>
      <c r="D390" s="554"/>
      <c r="E390" s="30"/>
      <c r="F390" s="1091"/>
      <c r="G390" s="30"/>
      <c r="L390" s="1091"/>
      <c r="N390" s="1091"/>
      <c r="X390" s="554"/>
      <c r="AH390" s="554"/>
      <c r="AO390" s="1091"/>
      <c r="AP390" s="1091"/>
      <c r="AQ390" s="1180"/>
      <c r="AR390" s="1091"/>
      <c r="AS390" s="1180"/>
      <c r="AT390" s="1091"/>
    </row>
    <row r="391" spans="1:46" s="174" customFormat="1">
      <c r="A391" s="1114"/>
      <c r="B391" s="1114"/>
      <c r="C391" s="1114"/>
      <c r="D391" s="554"/>
      <c r="E391" s="30"/>
      <c r="F391" s="1091"/>
      <c r="G391" s="30"/>
      <c r="L391" s="1091"/>
      <c r="N391" s="1091"/>
      <c r="X391" s="554"/>
      <c r="AH391" s="554"/>
      <c r="AO391" s="1091"/>
      <c r="AP391" s="1091"/>
      <c r="AQ391" s="1180"/>
      <c r="AR391" s="1091"/>
      <c r="AS391" s="1180"/>
      <c r="AT391" s="1091"/>
    </row>
    <row r="392" spans="1:46" s="174" customFormat="1">
      <c r="A392" s="1114"/>
      <c r="B392" s="1114"/>
      <c r="C392" s="1114"/>
      <c r="D392" s="554"/>
      <c r="E392" s="30"/>
      <c r="F392" s="1091"/>
      <c r="G392" s="30"/>
      <c r="L392" s="1091"/>
      <c r="N392" s="1091"/>
      <c r="X392" s="554"/>
      <c r="AH392" s="554"/>
      <c r="AO392" s="1091"/>
      <c r="AP392" s="1091"/>
      <c r="AQ392" s="1180"/>
      <c r="AR392" s="1091"/>
      <c r="AS392" s="1180"/>
      <c r="AT392" s="1091"/>
    </row>
    <row r="393" spans="1:46" s="174" customFormat="1">
      <c r="A393" s="1114"/>
      <c r="B393" s="1114"/>
      <c r="C393" s="1114"/>
      <c r="D393" s="554"/>
      <c r="E393" s="30"/>
      <c r="F393" s="1091"/>
      <c r="G393" s="30"/>
      <c r="L393" s="1091"/>
      <c r="N393" s="1091"/>
      <c r="X393" s="554"/>
      <c r="AH393" s="554"/>
      <c r="AO393" s="1091"/>
      <c r="AP393" s="1091"/>
      <c r="AQ393" s="1180"/>
      <c r="AR393" s="1091"/>
      <c r="AS393" s="1180"/>
      <c r="AT393" s="1091"/>
    </row>
    <row r="394" spans="1:46" s="174" customFormat="1">
      <c r="A394" s="1114"/>
      <c r="B394" s="1114"/>
      <c r="C394" s="1114"/>
      <c r="D394" s="554"/>
      <c r="E394" s="30"/>
      <c r="F394" s="1091"/>
      <c r="G394" s="30"/>
      <c r="L394" s="1091"/>
      <c r="N394" s="1091"/>
      <c r="X394" s="554"/>
      <c r="AH394" s="554"/>
      <c r="AO394" s="1091"/>
      <c r="AP394" s="1091"/>
      <c r="AQ394" s="1180"/>
      <c r="AR394" s="1091"/>
      <c r="AS394" s="1180"/>
      <c r="AT394" s="1091"/>
    </row>
    <row r="395" spans="1:46" s="174" customFormat="1">
      <c r="A395" s="1114"/>
      <c r="B395" s="1114"/>
      <c r="C395" s="1114"/>
      <c r="D395" s="554"/>
      <c r="E395" s="30"/>
      <c r="F395" s="1091"/>
      <c r="G395" s="30"/>
      <c r="L395" s="1091"/>
      <c r="N395" s="1091"/>
      <c r="X395" s="554"/>
      <c r="AH395" s="554"/>
      <c r="AO395" s="1091"/>
      <c r="AP395" s="1091"/>
      <c r="AQ395" s="1180"/>
      <c r="AR395" s="1091"/>
      <c r="AS395" s="1180"/>
      <c r="AT395" s="1091"/>
    </row>
    <row r="396" spans="1:46" s="174" customFormat="1">
      <c r="A396" s="1114"/>
      <c r="B396" s="1114"/>
      <c r="C396" s="1114"/>
      <c r="D396" s="554"/>
      <c r="E396" s="30"/>
      <c r="F396" s="1091"/>
      <c r="G396" s="30"/>
      <c r="L396" s="1091"/>
      <c r="N396" s="1091"/>
      <c r="X396" s="554"/>
      <c r="AH396" s="554"/>
      <c r="AO396" s="1091"/>
      <c r="AP396" s="1091"/>
      <c r="AQ396" s="1180"/>
      <c r="AR396" s="1091"/>
      <c r="AS396" s="1180"/>
      <c r="AT396" s="1091"/>
    </row>
    <row r="397" spans="1:46" s="174" customFormat="1">
      <c r="A397" s="1114"/>
      <c r="B397" s="1114"/>
      <c r="C397" s="1114"/>
      <c r="D397" s="554"/>
      <c r="E397" s="30"/>
      <c r="F397" s="1091"/>
      <c r="G397" s="30"/>
      <c r="L397" s="1091"/>
      <c r="N397" s="1091"/>
      <c r="X397" s="554"/>
      <c r="AH397" s="554"/>
      <c r="AO397" s="1091"/>
      <c r="AP397" s="1091"/>
      <c r="AQ397" s="1180"/>
      <c r="AR397" s="1091"/>
      <c r="AS397" s="1180"/>
      <c r="AT397" s="1091"/>
    </row>
    <row r="398" spans="1:46" s="174" customFormat="1">
      <c r="A398" s="1114"/>
      <c r="B398" s="1114"/>
      <c r="C398" s="1114"/>
      <c r="D398" s="554"/>
      <c r="E398" s="30"/>
      <c r="F398" s="1091"/>
      <c r="G398" s="30"/>
      <c r="L398" s="1091"/>
      <c r="N398" s="1091"/>
      <c r="X398" s="554"/>
      <c r="AH398" s="554"/>
      <c r="AO398" s="1091"/>
      <c r="AP398" s="1091"/>
      <c r="AQ398" s="1180"/>
      <c r="AR398" s="1091"/>
      <c r="AS398" s="1180"/>
      <c r="AT398" s="1091"/>
    </row>
    <row r="399" spans="1:46" s="174" customFormat="1">
      <c r="A399" s="1114"/>
      <c r="B399" s="1114"/>
      <c r="C399" s="1114"/>
      <c r="D399" s="554"/>
      <c r="E399" s="30"/>
      <c r="F399" s="1091"/>
      <c r="G399" s="30"/>
      <c r="L399" s="1091"/>
      <c r="N399" s="1091"/>
      <c r="X399" s="554"/>
      <c r="AH399" s="554"/>
      <c r="AO399" s="1091"/>
      <c r="AP399" s="1091"/>
      <c r="AQ399" s="1180"/>
      <c r="AR399" s="1091"/>
      <c r="AS399" s="1180"/>
      <c r="AT399" s="1091"/>
    </row>
    <row r="400" spans="1:46" s="174" customFormat="1">
      <c r="A400" s="1114"/>
      <c r="B400" s="1114"/>
      <c r="C400" s="1114"/>
      <c r="D400" s="554"/>
      <c r="E400" s="30"/>
      <c r="F400" s="1091"/>
      <c r="G400" s="30"/>
      <c r="L400" s="1091"/>
      <c r="N400" s="1091"/>
      <c r="X400" s="554"/>
      <c r="AH400" s="554"/>
      <c r="AO400" s="1091"/>
      <c r="AP400" s="1091"/>
      <c r="AQ400" s="1180"/>
      <c r="AR400" s="1091"/>
      <c r="AS400" s="1180"/>
      <c r="AT400" s="1091"/>
    </row>
    <row r="401" spans="1:46" s="174" customFormat="1">
      <c r="A401" s="1114"/>
      <c r="B401" s="1114"/>
      <c r="C401" s="1114"/>
      <c r="D401" s="554"/>
      <c r="E401" s="30"/>
      <c r="F401" s="1091"/>
      <c r="G401" s="30"/>
      <c r="L401" s="1091"/>
      <c r="N401" s="1091"/>
      <c r="X401" s="554"/>
      <c r="AH401" s="554"/>
      <c r="AO401" s="1091"/>
      <c r="AP401" s="1091"/>
      <c r="AQ401" s="1180"/>
      <c r="AR401" s="1091"/>
      <c r="AS401" s="1180"/>
      <c r="AT401" s="1091"/>
    </row>
    <row r="402" spans="1:46" s="174" customFormat="1">
      <c r="A402" s="1114"/>
      <c r="B402" s="1114"/>
      <c r="C402" s="1114"/>
      <c r="D402" s="554"/>
      <c r="E402" s="30"/>
      <c r="F402" s="1091"/>
      <c r="G402" s="30"/>
      <c r="L402" s="1091"/>
      <c r="N402" s="1091"/>
      <c r="X402" s="554"/>
      <c r="AH402" s="554"/>
      <c r="AO402" s="1091"/>
      <c r="AP402" s="1091"/>
      <c r="AQ402" s="1180"/>
      <c r="AR402" s="1091"/>
      <c r="AS402" s="1180"/>
      <c r="AT402" s="1091"/>
    </row>
    <row r="403" spans="1:46" s="174" customFormat="1">
      <c r="A403" s="1114"/>
      <c r="B403" s="1114"/>
      <c r="C403" s="1114"/>
      <c r="D403" s="554"/>
      <c r="E403" s="30"/>
      <c r="F403" s="1091"/>
      <c r="G403" s="30"/>
      <c r="L403" s="1091"/>
      <c r="N403" s="1091"/>
      <c r="X403" s="554"/>
      <c r="AH403" s="554"/>
      <c r="AO403" s="1091"/>
      <c r="AP403" s="1091"/>
      <c r="AQ403" s="1180"/>
      <c r="AR403" s="1091"/>
      <c r="AS403" s="1180"/>
      <c r="AT403" s="1091"/>
    </row>
    <row r="404" spans="1:46" s="174" customFormat="1">
      <c r="A404" s="1114"/>
      <c r="B404" s="1114"/>
      <c r="C404" s="1114"/>
      <c r="D404" s="554"/>
      <c r="E404" s="30"/>
      <c r="F404" s="1091"/>
      <c r="G404" s="30"/>
      <c r="L404" s="1091"/>
      <c r="N404" s="1091"/>
      <c r="X404" s="554"/>
      <c r="AH404" s="554"/>
      <c r="AO404" s="1091"/>
      <c r="AP404" s="1091"/>
      <c r="AQ404" s="1180"/>
      <c r="AR404" s="1091"/>
      <c r="AS404" s="1180"/>
      <c r="AT404" s="1091"/>
    </row>
    <row r="405" spans="1:46" s="174" customFormat="1">
      <c r="A405" s="1114"/>
      <c r="B405" s="1114"/>
      <c r="C405" s="1114"/>
      <c r="D405" s="554"/>
      <c r="E405" s="30"/>
      <c r="F405" s="1091"/>
      <c r="G405" s="30"/>
      <c r="L405" s="1091"/>
      <c r="N405" s="1091"/>
      <c r="X405" s="554"/>
      <c r="AH405" s="554"/>
      <c r="AO405" s="1091"/>
      <c r="AP405" s="1091"/>
      <c r="AQ405" s="1180"/>
      <c r="AR405" s="1091"/>
      <c r="AS405" s="1180"/>
      <c r="AT405" s="1091"/>
    </row>
    <row r="406" spans="1:46" s="174" customFormat="1">
      <c r="A406" s="1114"/>
      <c r="B406" s="1114"/>
      <c r="C406" s="1114"/>
      <c r="D406" s="554"/>
      <c r="E406" s="30"/>
      <c r="F406" s="1091"/>
      <c r="G406" s="30"/>
      <c r="L406" s="1091"/>
      <c r="N406" s="1091"/>
      <c r="X406" s="554"/>
      <c r="AH406" s="554"/>
      <c r="AO406" s="1091"/>
      <c r="AP406" s="1091"/>
      <c r="AQ406" s="1180"/>
      <c r="AR406" s="1091"/>
      <c r="AS406" s="1180"/>
      <c r="AT406" s="1091"/>
    </row>
    <row r="407" spans="1:46" s="174" customFormat="1">
      <c r="A407" s="1114"/>
      <c r="B407" s="1114"/>
      <c r="C407" s="1114"/>
      <c r="D407" s="554"/>
      <c r="E407" s="30"/>
      <c r="F407" s="1091"/>
      <c r="G407" s="30"/>
      <c r="L407" s="1091"/>
      <c r="N407" s="1091"/>
      <c r="X407" s="554"/>
      <c r="AH407" s="554"/>
      <c r="AO407" s="1091"/>
      <c r="AP407" s="1091"/>
      <c r="AQ407" s="1180"/>
      <c r="AR407" s="1091"/>
      <c r="AS407" s="1180"/>
      <c r="AT407" s="1091"/>
    </row>
    <row r="408" spans="1:46" s="174" customFormat="1">
      <c r="A408" s="1114"/>
      <c r="B408" s="1114"/>
      <c r="C408" s="1114"/>
      <c r="D408" s="554"/>
      <c r="E408" s="30"/>
      <c r="F408" s="1091"/>
      <c r="G408" s="30"/>
      <c r="L408" s="1091"/>
      <c r="N408" s="1091"/>
      <c r="X408" s="554"/>
      <c r="AH408" s="554"/>
      <c r="AO408" s="1091"/>
      <c r="AP408" s="1091"/>
      <c r="AQ408" s="1180"/>
      <c r="AR408" s="1091"/>
      <c r="AS408" s="1180"/>
      <c r="AT408" s="1091"/>
    </row>
    <row r="409" spans="1:46" s="174" customFormat="1">
      <c r="A409" s="1114"/>
      <c r="B409" s="1114"/>
      <c r="C409" s="1114"/>
      <c r="D409" s="554"/>
      <c r="E409" s="30"/>
      <c r="F409" s="1091"/>
      <c r="G409" s="30"/>
      <c r="L409" s="1091"/>
      <c r="N409" s="1091"/>
      <c r="X409" s="554"/>
      <c r="AH409" s="554"/>
      <c r="AO409" s="1091"/>
      <c r="AP409" s="1091"/>
      <c r="AQ409" s="1180"/>
      <c r="AR409" s="1091"/>
      <c r="AS409" s="1180"/>
      <c r="AT409" s="1091"/>
    </row>
    <row r="410" spans="1:46" s="174" customFormat="1">
      <c r="A410" s="1114"/>
      <c r="B410" s="1114"/>
      <c r="C410" s="1114"/>
      <c r="D410" s="554"/>
      <c r="E410" s="30"/>
      <c r="F410" s="1091"/>
      <c r="G410" s="30"/>
      <c r="L410" s="1091"/>
      <c r="N410" s="1091"/>
      <c r="X410" s="554"/>
      <c r="AH410" s="554"/>
      <c r="AO410" s="1091"/>
      <c r="AP410" s="1091"/>
      <c r="AQ410" s="1180"/>
      <c r="AR410" s="1091"/>
      <c r="AS410" s="1180"/>
      <c r="AT410" s="1091"/>
    </row>
    <row r="411" spans="1:46" s="174" customFormat="1">
      <c r="A411" s="1114"/>
      <c r="B411" s="1114"/>
      <c r="C411" s="1114"/>
      <c r="D411" s="554"/>
      <c r="E411" s="30"/>
      <c r="F411" s="1091"/>
      <c r="G411" s="30"/>
      <c r="L411" s="1091"/>
      <c r="N411" s="1091"/>
      <c r="X411" s="554"/>
      <c r="AH411" s="554"/>
      <c r="AO411" s="1091"/>
      <c r="AP411" s="1091"/>
      <c r="AQ411" s="1180"/>
      <c r="AR411" s="1091"/>
      <c r="AS411" s="1180"/>
      <c r="AT411" s="1091"/>
    </row>
    <row r="412" spans="1:46" s="174" customFormat="1">
      <c r="A412" s="1114"/>
      <c r="B412" s="1114"/>
      <c r="C412" s="1114"/>
      <c r="D412" s="554"/>
      <c r="E412" s="30"/>
      <c r="F412" s="1091"/>
      <c r="G412" s="30"/>
      <c r="L412" s="1091"/>
      <c r="N412" s="1091"/>
      <c r="X412" s="554"/>
      <c r="AH412" s="554"/>
      <c r="AO412" s="1091"/>
      <c r="AP412" s="1091"/>
      <c r="AQ412" s="1180"/>
      <c r="AR412" s="1091"/>
      <c r="AS412" s="1180"/>
      <c r="AT412" s="1091"/>
    </row>
    <row r="413" spans="1:46" s="174" customFormat="1">
      <c r="A413" s="1114"/>
      <c r="B413" s="1114"/>
      <c r="C413" s="1114"/>
      <c r="D413" s="554"/>
      <c r="E413" s="30"/>
      <c r="F413" s="1091"/>
      <c r="G413" s="30"/>
      <c r="L413" s="1091"/>
      <c r="N413" s="1091"/>
      <c r="X413" s="554"/>
      <c r="AH413" s="554"/>
      <c r="AO413" s="1091"/>
      <c r="AP413" s="1091"/>
      <c r="AQ413" s="1180"/>
      <c r="AR413" s="1091"/>
      <c r="AS413" s="1180"/>
      <c r="AT413" s="1091"/>
    </row>
    <row r="414" spans="1:46" s="174" customFormat="1">
      <c r="A414" s="1114"/>
      <c r="B414" s="1114"/>
      <c r="C414" s="1114"/>
      <c r="D414" s="554"/>
      <c r="E414" s="30"/>
      <c r="F414" s="1091"/>
      <c r="G414" s="30"/>
      <c r="L414" s="1091"/>
      <c r="N414" s="1091"/>
      <c r="X414" s="554"/>
      <c r="AH414" s="554"/>
      <c r="AO414" s="1091"/>
      <c r="AP414" s="1091"/>
      <c r="AQ414" s="1180"/>
      <c r="AR414" s="1091"/>
      <c r="AS414" s="1180"/>
      <c r="AT414" s="1091"/>
    </row>
    <row r="415" spans="1:46" s="174" customFormat="1">
      <c r="A415" s="1114"/>
      <c r="B415" s="1114"/>
      <c r="C415" s="1114"/>
      <c r="D415" s="554"/>
      <c r="E415" s="30"/>
      <c r="F415" s="1091"/>
      <c r="G415" s="30"/>
      <c r="L415" s="1091"/>
      <c r="N415" s="1091"/>
      <c r="X415" s="554"/>
      <c r="AH415" s="554"/>
      <c r="AO415" s="1091"/>
      <c r="AP415" s="1091"/>
      <c r="AQ415" s="1180"/>
      <c r="AR415" s="1091"/>
      <c r="AS415" s="1180"/>
      <c r="AT415" s="1091"/>
    </row>
    <row r="416" spans="1:46" s="174" customFormat="1">
      <c r="A416" s="1114"/>
      <c r="B416" s="1114"/>
      <c r="C416" s="1114"/>
      <c r="D416" s="554"/>
      <c r="E416" s="30"/>
      <c r="F416" s="1091"/>
      <c r="G416" s="30"/>
      <c r="L416" s="1091"/>
      <c r="N416" s="1091"/>
      <c r="X416" s="554"/>
      <c r="AH416" s="554"/>
      <c r="AO416" s="1091"/>
      <c r="AP416" s="1091"/>
      <c r="AQ416" s="1180"/>
      <c r="AR416" s="1091"/>
      <c r="AS416" s="1180"/>
      <c r="AT416" s="1091"/>
    </row>
    <row r="417" spans="1:46" s="174" customFormat="1">
      <c r="A417" s="1114"/>
      <c r="B417" s="1114"/>
      <c r="C417" s="1114"/>
      <c r="D417" s="554"/>
      <c r="E417" s="30"/>
      <c r="F417" s="1091"/>
      <c r="G417" s="30"/>
      <c r="L417" s="1091"/>
      <c r="N417" s="1091"/>
      <c r="X417" s="554"/>
      <c r="AH417" s="554"/>
      <c r="AO417" s="1091"/>
      <c r="AP417" s="1091"/>
      <c r="AQ417" s="1180"/>
      <c r="AR417" s="1091"/>
      <c r="AS417" s="1180"/>
      <c r="AT417" s="1091"/>
    </row>
    <row r="418" spans="1:46" s="174" customFormat="1">
      <c r="A418" s="1114"/>
      <c r="B418" s="1114"/>
      <c r="C418" s="1114"/>
      <c r="D418" s="554"/>
      <c r="E418" s="30"/>
      <c r="F418" s="1091"/>
      <c r="G418" s="30"/>
      <c r="L418" s="1091"/>
      <c r="N418" s="1091"/>
      <c r="X418" s="554"/>
      <c r="AH418" s="554"/>
      <c r="AO418" s="1091"/>
      <c r="AP418" s="1091"/>
      <c r="AQ418" s="1180"/>
      <c r="AR418" s="1091"/>
      <c r="AS418" s="1180"/>
      <c r="AT418" s="1091"/>
    </row>
    <row r="419" spans="1:46" s="174" customFormat="1">
      <c r="A419" s="1114"/>
      <c r="B419" s="1114"/>
      <c r="C419" s="1114"/>
      <c r="D419" s="554"/>
      <c r="E419" s="30"/>
      <c r="F419" s="1091"/>
      <c r="G419" s="30"/>
      <c r="L419" s="1091"/>
      <c r="N419" s="1091"/>
      <c r="X419" s="554"/>
      <c r="AH419" s="554"/>
      <c r="AO419" s="1091"/>
      <c r="AP419" s="1091"/>
      <c r="AQ419" s="1180"/>
      <c r="AR419" s="1091"/>
      <c r="AS419" s="1180"/>
      <c r="AT419" s="1091"/>
    </row>
    <row r="420" spans="1:46" s="174" customFormat="1">
      <c r="A420" s="1114"/>
      <c r="B420" s="1114"/>
      <c r="C420" s="1114"/>
      <c r="D420" s="554"/>
      <c r="E420" s="30"/>
      <c r="F420" s="1091"/>
      <c r="G420" s="30"/>
      <c r="L420" s="1091"/>
      <c r="N420" s="1091"/>
      <c r="X420" s="554"/>
      <c r="AH420" s="554"/>
      <c r="AO420" s="1091"/>
      <c r="AP420" s="1091"/>
      <c r="AQ420" s="1180"/>
      <c r="AR420" s="1091"/>
      <c r="AS420" s="1180"/>
      <c r="AT420" s="1091"/>
    </row>
    <row r="421" spans="1:46" s="174" customFormat="1">
      <c r="A421" s="1114"/>
      <c r="B421" s="1114"/>
      <c r="C421" s="1114"/>
      <c r="D421" s="554"/>
      <c r="E421" s="30"/>
      <c r="F421" s="1091"/>
      <c r="G421" s="30"/>
      <c r="L421" s="1091"/>
      <c r="N421" s="1091"/>
      <c r="X421" s="554"/>
      <c r="AH421" s="554"/>
      <c r="AO421" s="1091"/>
      <c r="AP421" s="1091"/>
      <c r="AQ421" s="1180"/>
      <c r="AR421" s="1091"/>
      <c r="AS421" s="1180"/>
      <c r="AT421" s="1091"/>
    </row>
    <row r="422" spans="1:46" s="174" customFormat="1">
      <c r="A422" s="1114"/>
      <c r="B422" s="1114"/>
      <c r="C422" s="1114"/>
      <c r="D422" s="554"/>
      <c r="E422" s="30"/>
      <c r="F422" s="1091"/>
      <c r="G422" s="30"/>
      <c r="L422" s="1091"/>
      <c r="N422" s="1091"/>
      <c r="X422" s="554"/>
      <c r="AH422" s="554"/>
      <c r="AO422" s="1091"/>
      <c r="AP422" s="1091"/>
      <c r="AQ422" s="1180"/>
      <c r="AR422" s="1091"/>
      <c r="AS422" s="1180"/>
      <c r="AT422" s="1091"/>
    </row>
    <row r="423" spans="1:46" s="174" customFormat="1">
      <c r="A423" s="1114"/>
      <c r="B423" s="1114"/>
      <c r="C423" s="1114"/>
      <c r="D423" s="554"/>
      <c r="E423" s="30"/>
      <c r="F423" s="1091"/>
      <c r="G423" s="30"/>
      <c r="L423" s="1091"/>
      <c r="N423" s="1091"/>
      <c r="X423" s="554"/>
      <c r="AH423" s="554"/>
      <c r="AO423" s="1091"/>
      <c r="AP423" s="1091"/>
      <c r="AQ423" s="1180"/>
      <c r="AR423" s="1091"/>
      <c r="AS423" s="1180"/>
      <c r="AT423" s="1091"/>
    </row>
  </sheetData>
  <sheetProtection password="C9AE" sheet="1" objects="1" scenarios="1"/>
  <mergeCells count="28">
    <mergeCell ref="A75:A78"/>
    <mergeCell ref="A98:A101"/>
    <mergeCell ref="O55:P55"/>
    <mergeCell ref="O32:P32"/>
    <mergeCell ref="A29:A32"/>
    <mergeCell ref="A52:A55"/>
    <mergeCell ref="K32:L32"/>
    <mergeCell ref="B29:B32"/>
    <mergeCell ref="B52:B55"/>
    <mergeCell ref="O101:P101"/>
    <mergeCell ref="B75:B78"/>
    <mergeCell ref="B98:B101"/>
    <mergeCell ref="K55:L55"/>
    <mergeCell ref="C29:C32"/>
    <mergeCell ref="C52:C55"/>
    <mergeCell ref="C75:C78"/>
    <mergeCell ref="AN4:AO4"/>
    <mergeCell ref="Z29:Z32"/>
    <mergeCell ref="Z52:Z55"/>
    <mergeCell ref="Y29:Y32"/>
    <mergeCell ref="Y52:Y55"/>
    <mergeCell ref="C98:C101"/>
    <mergeCell ref="E2:I2"/>
    <mergeCell ref="K101:L101"/>
    <mergeCell ref="O78:P78"/>
    <mergeCell ref="K9:L9"/>
    <mergeCell ref="O9:P9"/>
    <mergeCell ref="K78:L78"/>
  </mergeCells>
  <phoneticPr fontId="0" type="noConversion"/>
  <conditionalFormatting sqref="F19 F21 F23 F25 D42 H11 H19 H21 H23 H25 D34 D25 D23 D21 F42 F111 F113 F115 F117 F103 F44 F46 F48 F34 F65 H34 H42 H44 H46 H48 F67 F69 F71 F57 F88 H57 H65 H67 H69 H71 F90 F92 F94 F80 D19 H80 H88 H90 H92 H94 O71 O57 O13 O84 J63:K63 J61:K61 J59:K59 J57:K57 J94:K94 F13 H82 H84 H86 J109:K109 J92:K92 J90:K90 J88:K88 J86:K86 J84:K84 O23 O25 O11 J25:K25 J23:K23 O86 O88 O90 O92 O94 O80 J21:K21 J19:K19 J17:K17 J15:K15 J13:K13 J107:K107 J105:K105 O82 O109 O107 O17 F38 F40 F59 H36 H38 H40 D46 D44 O115 D69 D67 D65 D57 D48 H103 H111 H113 H115 H117 D92 D90 D88 D80 D71 J82:K82 J80:K80 J117:K117 J115:K115 O105 O46 O48 J42:K42 O19 O34 O61 O63 O65 O111 O113 O117 F82 H59 H61 H63 J40:K40 J38:K38 J36:K36 J34:K34 J71:K71 J69:K69 J67:K67 J65:K65 J111:K111 H17 D38 D36 D117 D115 D113 D105 D86 D84 D82 D63 O103 O36 H105 D61 O59 J48:K48 J46:K46 J44:K44 D59 J11:K11 J103:K103 O38 O40 O42 D40 F61 F63 D94 O67 O69 F86 F84 H13 D111 D103 D17 H109 H107 D107 F15 F17 J113:K113 O21 O44 D11 F11 F36 F105 F107 F109 D109 D13 D15 H15 O15">
    <cfRule type="cellIs" dxfId="130" priority="7" stopIfTrue="1" operator="notEqual">
      <formula>""</formula>
    </cfRule>
  </conditionalFormatting>
  <conditionalFormatting sqref="AI50:AK50 R73:AG73 AI73:AK73 R50:AG50 R96:AG96 AI96:AK96 R119:AG119 AI119:AK119 AI27:AK27 R27:AG27">
    <cfRule type="expression" dxfId="129" priority="11" stopIfTrue="1">
      <formula>$AN$4</formula>
    </cfRule>
  </conditionalFormatting>
  <conditionalFormatting sqref="R74:AG74 R97:AG97 AI120:AK120 R51:AG51 R120:AG120 AI97:AK97 AI74:AK74 AI51:AK51 AI28:AK28 R28:AG28">
    <cfRule type="expression" dxfId="128" priority="12" stopIfTrue="1">
      <formula>$AN$4</formula>
    </cfRule>
  </conditionalFormatting>
  <conditionalFormatting sqref="Q50 Q73 Q96 Q119 Q27">
    <cfRule type="expression" dxfId="127" priority="13" stopIfTrue="1">
      <formula>$AN$4</formula>
    </cfRule>
  </conditionalFormatting>
  <conditionalFormatting sqref="Q74 Q97 Q51 Q120 Q28">
    <cfRule type="expression" dxfId="126" priority="14" stopIfTrue="1">
      <formula>$AN$4</formula>
    </cfRule>
  </conditionalFormatting>
  <conditionalFormatting sqref="AL50 AL73 AL96 AL119 AL27">
    <cfRule type="expression" dxfId="125" priority="15" stopIfTrue="1">
      <formula>$AN$4</formula>
    </cfRule>
  </conditionalFormatting>
  <conditionalFormatting sqref="AL74 AL97 AL51 AL120 AL28">
    <cfRule type="expression" dxfId="124" priority="16" stopIfTrue="1">
      <formula>$AN$4</formula>
    </cfRule>
  </conditionalFormatting>
  <conditionalFormatting sqref="R49:AK49 R72:AK72 R95:AK95 R118:AK118 R26:AK26">
    <cfRule type="expression" dxfId="123" priority="17" stopIfTrue="1">
      <formula>$AN$4</formula>
    </cfRule>
  </conditionalFormatting>
  <conditionalFormatting sqref="Q49 Q72 Q95 Q118 Q26">
    <cfRule type="expression" dxfId="122" priority="18" stopIfTrue="1">
      <formula>$AN$4</formula>
    </cfRule>
  </conditionalFormatting>
  <conditionalFormatting sqref="AL49 AL72 AL95 AL118 AL26">
    <cfRule type="expression" dxfId="121" priority="19" stopIfTrue="1">
      <formula>$AN$4</formula>
    </cfRule>
  </conditionalFormatting>
  <conditionalFormatting sqref="M101 M78 M55 M32 M9 AK103:AK117 AK80:AK94 AK57:AK71 AK34:AK48 AK11:AK25">
    <cfRule type="expression" dxfId="120" priority="20" stopIfTrue="1">
      <formula>$AN$4</formula>
    </cfRule>
  </conditionalFormatting>
  <conditionalFormatting sqref="M103 M105 M107 M109 M111 M113 M115 M117">
    <cfRule type="expression" dxfId="119" priority="21" stopIfTrue="1">
      <formula>$AN$4</formula>
    </cfRule>
    <cfRule type="cellIs" dxfId="118" priority="22" stopIfTrue="1" operator="notEqual">
      <formula>""</formula>
    </cfRule>
  </conditionalFormatting>
  <conditionalFormatting sqref="N11:N25 N34:N48 N57:N71 N80:N95 N103:N118">
    <cfRule type="expression" dxfId="117" priority="23" stopIfTrue="1">
      <formula>$AN$4</formula>
    </cfRule>
  </conditionalFormatting>
  <conditionalFormatting sqref="O99 O76 O53 O30 K8:N8 M11 M13 M15 M17 M19 M21 M23 M25 M34 M36 M38 M40 M42 M44 M46 M48 M57 M59 M61 M63 M65 M67 M69 M71 M80 M82 M84 M86 M88 M90 M92 M94">
    <cfRule type="expression" dxfId="116" priority="24" stopIfTrue="1">
      <formula>$AN$4</formula>
    </cfRule>
    <cfRule type="cellIs" dxfId="115" priority="25" stopIfTrue="1" operator="notEqual">
      <formula>""</formula>
    </cfRule>
  </conditionalFormatting>
  <conditionalFormatting sqref="V70 V47 V93 R47 R29:R33 R35 R37 R39 R41 R43 R45 S29:S48 T47 T29:T33 T35 T37 T39 T41 T43 T45 U29:U48 V29:V33 V35 V37 V39 V41 V43 V45 R52:X54 R93 R81 R83 R85 R87 R89 R91 S80:S94 T93 T81 T83 T85 T87 T89 T91 U80:U94 W80:W94 V81 V83 V85 V87 V89 V91 R75:X77 R70 R58 R60 R62 R64 R66 R68 S57:S71 T70 T58 T60 T62 T64 T66 T68 U57:U71 W57:W71 V58 V60 V62 V64 V66 V68 R98:X100 V116 R116 R104 R106 R108 R110 R112 R114 S103:S117 T116 T104 T106 T108 T110 T112 T114 U103:U117 W103:W117 V104 V106 V108 V110 V112 V114 W29:X48 R56:W56 R55:U55 X56:X71 R79:W79 R78:U78 X79:X94 R102:W102 R101:U101 X102:X117">
    <cfRule type="expression" dxfId="114" priority="26" stopIfTrue="1">
      <formula>$AN$4</formula>
    </cfRule>
  </conditionalFormatting>
  <conditionalFormatting sqref="AF93 AF70 AF104 AD104 AI75:AI94 AH79:AH94 AF106 AB104 AF116 AF114 AF112 AF110 AF108 AB75:AH77 AD91 AD93 AB93 AB81 AB83 AB85 AB87 AB89 AB91 AC80:AC94 AD81 AD83 AD85 AD87 AD89 AE80:AE94 AG80:AG94 AF81 AF83 AF85 AF87 AF89 AF91 AB52:AI54 AD68 AD70 AB70 AB58 AB60 AB62 AB64 AB66 AB68 AC57:AC71 AD58 AD60 AD62 AD64 AD66 AE57:AE71 AG57:AG71 AF58 AF60 AF62 AF64 AF66 AF68 AB29:AG31 AD45 AD47 AB47 AB35 AB37 AB39 AB41 AB43 AB45 AC34:AC48 AD35 AD37 AD39 AD41 AD43 AE34:AE48 AG34:AG48 AF35 AF37 AF39 AF41 AF43 AF45 AF47 AH29:AI48 AB56:AG56 AB55:AE55 AH56:AI71 AI55 AB79:AG79 AB78:AE78 AB33:AG33 AB32:AC32 AE32:AG32">
    <cfRule type="expression" dxfId="113" priority="27" stopIfTrue="1">
      <formula>$AN$4</formula>
    </cfRule>
  </conditionalFormatting>
  <conditionalFormatting sqref="Y52:Y71 Y75:Y94 Y29:Y48">
    <cfRule type="expression" dxfId="112" priority="28" stopIfTrue="1">
      <formula>$AN$4</formula>
    </cfRule>
  </conditionalFormatting>
  <conditionalFormatting sqref="AH27:AH28 AH50:AH51 AH73:AH74 AH96:AH97 AH119:AH120">
    <cfRule type="expression" dxfId="111" priority="29" stopIfTrue="1">
      <formula>$AN$4</formula>
    </cfRule>
  </conditionalFormatting>
  <conditionalFormatting sqref="K6:N7 K30:N31 K53:N54 K76:N77 K99:N100">
    <cfRule type="expression" dxfId="110" priority="30" stopIfTrue="1">
      <formula>Fenstertool</formula>
    </cfRule>
  </conditionalFormatting>
  <conditionalFormatting sqref="Z48">
    <cfRule type="expression" dxfId="109" priority="52" stopIfTrue="1">
      <formula>Fenstertool=TRUE</formula>
    </cfRule>
  </conditionalFormatting>
  <conditionalFormatting sqref="Z46 Z44 Z42 Z40 Z38 Z36 Z34 Z29:Z32">
    <cfRule type="expression" dxfId="108" priority="53" stopIfTrue="1">
      <formula>Fenstertool=TRUE</formula>
    </cfRule>
  </conditionalFormatting>
  <conditionalFormatting sqref="Z75:AA94 AA29:AA48 AA52:AA71 Z56 Z98:AA117 AH98:AI117 AB98:AG102 AC103:AC117 AE103:AE117 AG103:AG117">
    <cfRule type="expression" dxfId="107" priority="54" stopIfTrue="1">
      <formula>$AN$4</formula>
    </cfRule>
  </conditionalFormatting>
  <conditionalFormatting sqref="Z71 Z69 Z67 Z65 Z63 Z61 Z59 Z57">
    <cfRule type="expression" dxfId="106" priority="55" stopIfTrue="1">
      <formula>Ausrichtung&lt;&gt;1</formula>
    </cfRule>
    <cfRule type="expression" dxfId="105" priority="56" stopIfTrue="1">
      <formula>Fenstertool=TRUE</formula>
    </cfRule>
  </conditionalFormatting>
  <conditionalFormatting sqref="Z52:Z55">
    <cfRule type="expression" dxfId="104" priority="57" stopIfTrue="1">
      <formula>Ausrichtung&lt;&gt;1</formula>
    </cfRule>
    <cfRule type="expression" dxfId="103" priority="58" stopIfTrue="1">
      <formula>Fenstertool=TRUE</formula>
    </cfRule>
  </conditionalFormatting>
  <conditionalFormatting sqref="AB103 AB105 AB107 AB109 AB111 AB113 AB115 AB117 AD103 AD105 AD107 AD109 AD111 AD113 AD115 AD117 AF103 AF105 AF107 AF109 AF111 AF113 AF115 AF117">
    <cfRule type="expression" dxfId="102" priority="60" stopIfTrue="1">
      <formula>$AN$4</formula>
    </cfRule>
    <cfRule type="expression" dxfId="101" priority="61" stopIfTrue="1">
      <formula>Ausrichtung=0</formula>
    </cfRule>
    <cfRule type="cellIs" dxfId="100" priority="62" stopIfTrue="1" operator="notEqual">
      <formula>""</formula>
    </cfRule>
  </conditionalFormatting>
  <conditionalFormatting sqref="AB80 AB82 AB84 AB86 AB88 AB90 AB92 AB94 AD80 AD82 AD84 AD86 AD88 AD90 AD92 AD94 AF80 AF82 AF84 AF86 AF88 AF90 AF92 AF94 AB57 AB59 AB61 AB63 AB65 AB67 AB69 AB71 AD57 AD59 AD61 AD63 AD65 AD67 AD69 AD71 AF57 AF59 AF61 AF63 AF65 AF67 AF69 AF71 AF48 AB36 AB38 AB40 AB42 AB44 AB46 AB48 AD34 AD36 AD38 AD40 AD42 AD44 AD46 AD48 AF34 AF36 AF38 AF40 AF42 AF44 AF46 AB34">
    <cfRule type="expression" dxfId="99" priority="63" stopIfTrue="1">
      <formula>$AN$4</formula>
    </cfRule>
    <cfRule type="cellIs" dxfId="98" priority="64" stopIfTrue="1" operator="notEqual">
      <formula>""</formula>
    </cfRule>
  </conditionalFormatting>
  <conditionalFormatting sqref="R34 R36 R38 R40 R42 R44 R46 R48 T34 T36 T38 T40 T42 T44 T46 T48 V34 V36 V38 V40 V42 V44 V46 V48 R57 R59 R61 R63 R65 R67 R69 R71 T57 T59 T61 T63 T65 T67 T69 T71 V57 V59 V61 V63 V65 V67 V69 V71 R80 R82 R84 R86 R88 R90 R92 R94 T80 T82 T84 T86 T88 T90 T92 T94 V80 V82 V84 V86 V88 V90 V92 V94 R103 R105 R107 R109 R111 R113 R115 R117 T103 T105 T107 T109 T111 T113 T115 T117 V103 V105 V107 V109 V111 V113 V115 V117">
    <cfRule type="expression" dxfId="97" priority="65" stopIfTrue="1">
      <formula>$AN$4</formula>
    </cfRule>
    <cfRule type="cellIs" dxfId="96" priority="66" stopIfTrue="1" operator="notEqual">
      <formula>""</formula>
    </cfRule>
  </conditionalFormatting>
  <conditionalFormatting sqref="V55:X55">
    <cfRule type="expression" dxfId="95" priority="6" stopIfTrue="1">
      <formula>$AN$4</formula>
    </cfRule>
  </conditionalFormatting>
  <conditionalFormatting sqref="V78:X78">
    <cfRule type="expression" dxfId="94" priority="5" stopIfTrue="1">
      <formula>$AN$4</formula>
    </cfRule>
  </conditionalFormatting>
  <conditionalFormatting sqref="V101:X101">
    <cfRule type="expression" dxfId="93" priority="4" stopIfTrue="1">
      <formula>$AN$4</formula>
    </cfRule>
  </conditionalFormatting>
  <conditionalFormatting sqref="AF55:AH55">
    <cfRule type="expression" dxfId="92" priority="3" stopIfTrue="1">
      <formula>$AN$4</formula>
    </cfRule>
  </conditionalFormatting>
  <conditionalFormatting sqref="AF78:AH78">
    <cfRule type="expression" dxfId="91" priority="2" stopIfTrue="1">
      <formula>$AN$4</formula>
    </cfRule>
  </conditionalFormatting>
  <conditionalFormatting sqref="AD32">
    <cfRule type="expression" dxfId="90" priority="1" stopIfTrue="1">
      <formula>$AN$4</formula>
    </cfRule>
  </conditionalFormatting>
  <dataValidations count="6">
    <dataValidation type="list" allowBlank="1" showInputMessage="1" showErrorMessage="1" sqref="B34 B36 B38 B40 B42 B44 B46 B48 B57 B59 B61 B63 B65 B67 B69 B71 B80 B82 B84 B86 B88 B90 B92 B94 B103 B105 B107 B109 B111 B113 B115 B117 Z34 Z36 Z38 Z40 Z42 Z44 Z46 Z48 Z59 S6 Z61 Z63 Z65 Z67 Z69 Z71 Z57">
      <formula1>$AN$5:$AN$6</formula1>
    </dataValidation>
    <dataValidation type="list" allowBlank="1" showInputMessage="1" showErrorMessage="1" sqref="C34 C48 C46 C44 C42 C40 C38 C36">
      <formula1>$AQ$2:$AQ$6</formula1>
    </dataValidation>
    <dataValidation type="list" allowBlank="1" showInputMessage="1" showErrorMessage="1" sqref="C11 C25 C23 C21 C19 C17 C15 C13">
      <formula1>$AU$2:$AU$4</formula1>
    </dataValidation>
    <dataValidation type="list" allowBlank="1" showInputMessage="1" showErrorMessage="1" sqref="C57 C71 C69 C67 C65 C63 C61 C59">
      <formula1>$AR$2:$AR$6</formula1>
    </dataValidation>
    <dataValidation type="list" allowBlank="1" showInputMessage="1" showErrorMessage="1" sqref="C80 C94 C92 C90 C88 C86 C84 C82">
      <formula1>$AS$2:$AS$6</formula1>
    </dataValidation>
    <dataValidation type="list" allowBlank="1" showInputMessage="1" showErrorMessage="1" sqref="C103 C117 C115 C113 C111 C109 C107 C105">
      <formula1>$AT$2:$AT$6</formula1>
    </dataValidation>
  </dataValidations>
  <pageMargins left="0.47244094488188981" right="0.27559055118110237" top="0.47244094488188981" bottom="0.39370078740157483" header="0.39370078740157483" footer="0.23622047244094491"/>
  <pageSetup paperSize="9" scale="63" orientation="portrait" r:id="rId1"/>
  <headerFooter alignWithMargins="0">
    <oddFooter>&amp;L&amp;"Times New Roman,Kursiv"&amp;6Huber Energietechnik, AG Zürich  &amp;C&amp;6&amp;F  &amp;R&amp;"Times New Roman,Kursiv"&amp;6ENTECH 380/1, Ver. 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CE1010"/>
  <sheetViews>
    <sheetView showZeros="0" zoomScaleNormal="100" workbookViewId="0">
      <selection activeCell="C7" sqref="C7:E7"/>
    </sheetView>
  </sheetViews>
  <sheetFormatPr baseColWidth="10" defaultColWidth="11.5703125" defaultRowHeight="18" customHeight="1"/>
  <cols>
    <col min="1" max="1" width="0.7109375" style="2" customWidth="1"/>
    <col min="2" max="2" width="3.85546875" style="2" customWidth="1"/>
    <col min="3" max="3" width="30.7109375" style="2" customWidth="1"/>
    <col min="4" max="4" width="4.85546875" style="2" customWidth="1"/>
    <col min="5" max="5" width="3" style="2" customWidth="1"/>
    <col min="6" max="8" width="7.7109375" style="2" customWidth="1"/>
    <col min="9" max="9" width="11.7109375" style="2" customWidth="1"/>
    <col min="10" max="10" width="3.85546875" style="2" customWidth="1"/>
    <col min="11" max="11" width="30.7109375" style="2" customWidth="1"/>
    <col min="12" max="12" width="4.7109375" style="2" customWidth="1"/>
    <col min="13" max="13" width="2.85546875" style="2" customWidth="1"/>
    <col min="14" max="16" width="7.7109375" style="2" customWidth="1"/>
    <col min="17" max="17" width="1.5703125" style="2" customWidth="1"/>
    <col min="18" max="18" width="2.7109375" style="117" customWidth="1"/>
    <col min="19" max="19" width="10.7109375" style="1017" hidden="1" customWidth="1"/>
    <col min="20" max="33" width="10.7109375" style="2" hidden="1" customWidth="1"/>
    <col min="34" max="37" width="10.28515625" style="2" hidden="1" customWidth="1"/>
    <col min="38" max="51" width="10.7109375" style="2" hidden="1" customWidth="1"/>
    <col min="52" max="52" width="16" style="2" hidden="1" customWidth="1"/>
    <col min="53" max="53" width="10.42578125" style="2" hidden="1" customWidth="1"/>
    <col min="54" max="54" width="9.140625" style="2" hidden="1" customWidth="1"/>
    <col min="55" max="55" width="8.7109375" style="2" hidden="1" customWidth="1"/>
    <col min="56" max="56" width="11.5703125" style="2" hidden="1" customWidth="1"/>
    <col min="57" max="63" width="11.28515625" style="2" hidden="1" customWidth="1"/>
    <col min="64" max="64" width="16" style="2" hidden="1" customWidth="1"/>
    <col min="65" max="65" width="11" style="2" hidden="1" customWidth="1"/>
    <col min="66" max="67" width="11.5703125" style="2" hidden="1" customWidth="1"/>
    <col min="68" max="68" width="40.5703125" style="2" hidden="1" customWidth="1"/>
    <col min="69" max="69" width="11.5703125" style="2" hidden="1" customWidth="1"/>
    <col min="70" max="70" width="45.28515625" style="2" hidden="1" customWidth="1"/>
    <col min="71" max="71" width="11.5703125" style="2" hidden="1" customWidth="1"/>
    <col min="72" max="72" width="0.5703125" style="2" customWidth="1"/>
    <col min="73" max="73" width="35.28515625" style="1520" customWidth="1"/>
    <col min="74" max="74" width="6.7109375" style="1520" customWidth="1"/>
    <col min="75" max="75" width="38.85546875" style="1520" customWidth="1"/>
    <col min="76" max="76" width="6.7109375" style="1525" customWidth="1"/>
    <col min="77" max="16384" width="11.5703125" style="2"/>
  </cols>
  <sheetData>
    <row r="1" spans="2:83" s="27" customFormat="1" ht="12.75">
      <c r="B1" s="27" t="str">
        <f>Bau!B1</f>
        <v>Programme Entech 380/1, Ver. 6.1, BFE/EnFK-Zert.-Nr. 1639, SIA 380/1 (Edition 2016)</v>
      </c>
      <c r="D1" s="342"/>
      <c r="J1" s="48">
        <f>Projekt!E5</f>
        <v>0</v>
      </c>
      <c r="K1" s="37"/>
      <c r="L1" s="37"/>
      <c r="M1" s="37"/>
      <c r="N1" s="185"/>
      <c r="P1" s="248" t="str">
        <f>"Qh="&amp;ROUND(Qhtot,1)&amp;IF(_Ver09," MJ/m2","kWh/m2")</f>
        <v>Qh=0kWh/m2</v>
      </c>
      <c r="Q1" s="221"/>
      <c r="S1" s="27" t="s">
        <v>260</v>
      </c>
      <c r="AX1" s="2"/>
      <c r="BP1" s="30"/>
      <c r="BQ1" s="30">
        <f>Bauteile!C1</f>
        <v>0</v>
      </c>
      <c r="BR1" s="30"/>
      <c r="BS1" s="30"/>
      <c r="BU1" s="140"/>
      <c r="BV1" s="140"/>
      <c r="BW1" s="140"/>
      <c r="BX1" s="66"/>
    </row>
    <row r="2" spans="2:83" s="27" customFormat="1" ht="15">
      <c r="B2" s="64" t="str">
        <f>Bau!B2</f>
        <v>imprimé le:</v>
      </c>
      <c r="C2" s="64"/>
      <c r="D2" s="2241">
        <f ca="1">NOW()</f>
        <v>43566.628989236109</v>
      </c>
      <c r="E2" s="2241"/>
      <c r="F2" s="2241"/>
      <c r="G2" s="64" t="str">
        <f>Bau!J2</f>
        <v xml:space="preserve">pour </v>
      </c>
      <c r="H2" s="500"/>
      <c r="I2" s="64"/>
      <c r="J2" s="64"/>
      <c r="L2" s="1585" t="s">
        <v>259</v>
      </c>
      <c r="M2" s="1584"/>
      <c r="N2" s="64"/>
      <c r="P2" s="56" t="str">
        <f>Uebersetzung!D684</f>
        <v>page 7 de 10</v>
      </c>
      <c r="Q2" s="64"/>
      <c r="S2" s="1575"/>
      <c r="U2" s="976" t="s">
        <v>573</v>
      </c>
      <c r="V2" s="977"/>
      <c r="W2" s="977"/>
      <c r="X2" s="977"/>
      <c r="Y2" s="977"/>
      <c r="Z2" s="978"/>
      <c r="AG2" s="4"/>
      <c r="AX2" s="2"/>
      <c r="BP2" s="200" t="str">
        <f>Bauteile!B2</f>
        <v>Catalogue des éléments</v>
      </c>
      <c r="BQ2" s="30">
        <f>Bauteile!C2</f>
        <v>0</v>
      </c>
      <c r="BR2" s="30"/>
      <c r="BS2" s="30"/>
      <c r="BU2" s="356" t="str">
        <f>Uebersetzung!D712</f>
        <v>Copier avec  &lt;Ctr&gt;&lt;C&gt; et &lt;Ctr&gt;&lt;V&gt; est possible !</v>
      </c>
      <c r="BV2" s="140"/>
      <c r="BW2" s="140"/>
      <c r="BX2" s="66"/>
      <c r="CA2" s="321"/>
    </row>
    <row r="3" spans="2:83" s="27" customFormat="1" ht="6" customHeight="1">
      <c r="F3" s="37"/>
      <c r="G3" s="48"/>
      <c r="K3" s="37"/>
      <c r="L3" s="37"/>
      <c r="M3" s="37"/>
      <c r="N3" s="37"/>
      <c r="P3" s="37"/>
      <c r="Q3" s="44"/>
      <c r="S3" s="579" t="s">
        <v>446</v>
      </c>
      <c r="U3" s="979"/>
      <c r="V3" s="980"/>
      <c r="W3" s="980"/>
      <c r="X3" s="980"/>
      <c r="Y3" s="980"/>
      <c r="Z3" s="981"/>
      <c r="AG3" s="30"/>
      <c r="AX3" s="2"/>
      <c r="BP3" s="31"/>
      <c r="BQ3" s="31">
        <f>Bauteile!C3</f>
        <v>0</v>
      </c>
      <c r="BR3" s="31"/>
      <c r="BS3" s="31"/>
      <c r="BU3" s="140"/>
      <c r="BV3" s="1524"/>
      <c r="BW3" s="140"/>
      <c r="BX3" s="550"/>
    </row>
    <row r="4" spans="2:83" ht="26.25">
      <c r="B4" s="109" t="str">
        <f>Uebersetzung!D444</f>
        <v>Calcul du coefficient de transmission thermique des élements:</v>
      </c>
      <c r="J4" s="20"/>
      <c r="K4" s="436"/>
      <c r="S4" s="1017" t="b">
        <f>IF(OR(M2=S3,GE!J3=GE!L3),TRUE,FALSE)</f>
        <v>0</v>
      </c>
      <c r="U4" s="982" t="s">
        <v>574</v>
      </c>
      <c r="V4" s="983">
        <f>IF(Leistung!$L$4&gt;1,INDEX(Tab!$K$109:$K$192,Leistung!$L$4,1),INDEX(Tab!$K$109:$K$192,84,1))</f>
        <v>1176</v>
      </c>
      <c r="W4" s="982" t="s">
        <v>575</v>
      </c>
      <c r="X4" s="983">
        <f>IF(Leistung!$L$4&gt;1,INDEX(Tab!$L$109:$L$192,Leistung!$L$4,),INDEX(Tab!$L$109:$L$192,84,))</f>
        <v>471</v>
      </c>
      <c r="Y4" s="984" t="s">
        <v>576</v>
      </c>
      <c r="Z4" s="985">
        <f>IF(Leistung!$L$4&gt;1,INDEX(Tab!$M$109:$M$192,Leistung!$L$4,),INDEX(Tab!$M$109:$M$192,84,))</f>
        <v>0.32</v>
      </c>
      <c r="AG4" s="501"/>
      <c r="AM4" s="469"/>
      <c r="AO4" s="469"/>
      <c r="BL4" s="322" t="s">
        <v>441</v>
      </c>
      <c r="BM4" s="296">
        <f ca="1">INDEX(Klima!Q1:Q65000,1+25*Klimastation,)</f>
        <v>0</v>
      </c>
      <c r="BP4" s="358" t="str">
        <f>Bauteile!B4</f>
        <v>Fenêtres</v>
      </c>
      <c r="BQ4" s="57"/>
      <c r="BR4" s="7"/>
      <c r="BS4" s="5"/>
      <c r="BU4" s="1521" t="str">
        <f>Uebersetzung!D710</f>
        <v>Appellation générale:</v>
      </c>
      <c r="BV4" s="2049" t="s">
        <v>1005</v>
      </c>
      <c r="BW4" s="1521" t="str">
        <f>Uebersetzung!D711</f>
        <v>Produits spécifiés par SIA 2001</v>
      </c>
      <c r="BX4" s="2053" t="s">
        <v>1005</v>
      </c>
      <c r="CB4" s="116"/>
      <c r="CC4" s="116"/>
      <c r="CD4" s="116"/>
      <c r="CE4" s="116"/>
    </row>
    <row r="5" spans="2:83" ht="16.149999999999999" customHeight="1">
      <c r="B5" s="109"/>
      <c r="C5" s="261" t="str">
        <f>Uebersetzung!D445</f>
        <v>(U=survéillé; N=pas survéillé; S=specifié)</v>
      </c>
      <c r="J5" s="1571" t="str">
        <f>IF(OR(K5="",K5=" ",K5=0),"----&gt;   ","")</f>
        <v xml:space="preserve">----&gt;   </v>
      </c>
      <c r="K5" s="2255"/>
      <c r="L5" s="2256"/>
      <c r="M5" s="2257"/>
      <c r="N5" s="436" t="str">
        <f>Uebersetzung!D446</f>
        <v xml:space="preserve"> (Station météorologique)</v>
      </c>
      <c r="AB5" s="27"/>
      <c r="AC5" s="27"/>
      <c r="AD5" s="27"/>
      <c r="AE5" s="27"/>
      <c r="AF5" s="27"/>
      <c r="AG5" s="27"/>
      <c r="BC5" s="15"/>
      <c r="BP5" s="118"/>
      <c r="BQ5" s="57"/>
      <c r="BR5" s="7"/>
      <c r="BS5" s="5"/>
      <c r="BU5" s="1522"/>
      <c r="BV5" s="2050" t="s">
        <v>2299</v>
      </c>
      <c r="BW5" s="1522"/>
      <c r="BX5" s="2054" t="s">
        <v>2299</v>
      </c>
      <c r="CB5" s="116"/>
      <c r="CC5" s="116"/>
      <c r="CD5" s="116"/>
      <c r="CE5" s="116"/>
    </row>
    <row r="6" spans="2:83" ht="15.6" customHeight="1" thickBot="1">
      <c r="B6" s="110" t="s">
        <v>1198</v>
      </c>
      <c r="C6" s="111" t="str">
        <f>Uebersetzung!D447</f>
        <v>Désignation:</v>
      </c>
      <c r="D6" s="938"/>
      <c r="E6" s="925" t="s">
        <v>438</v>
      </c>
      <c r="F6" s="111" t="str">
        <f>Uebersetzung!D448</f>
        <v>Valeur U total:</v>
      </c>
      <c r="G6" s="213"/>
      <c r="H6" s="307" t="s">
        <v>1759</v>
      </c>
      <c r="J6" s="110" t="s">
        <v>1198</v>
      </c>
      <c r="K6" s="111" t="str">
        <f>C6</f>
        <v>Désignation:</v>
      </c>
      <c r="L6" s="938"/>
      <c r="M6" s="925" t="s">
        <v>438</v>
      </c>
      <c r="N6" s="111" t="str">
        <f>F6</f>
        <v>Valeur U total:</v>
      </c>
      <c r="O6" s="213"/>
      <c r="P6" s="307" t="s">
        <v>1759</v>
      </c>
      <c r="AB6" s="4"/>
      <c r="AC6" s="27"/>
      <c r="AD6" s="27"/>
      <c r="AE6" s="27"/>
      <c r="AF6" s="27"/>
      <c r="AG6" s="27"/>
      <c r="AL6" s="15"/>
      <c r="BC6" s="936" t="s">
        <v>2339</v>
      </c>
      <c r="BD6" s="935" t="s">
        <v>696</v>
      </c>
      <c r="BE6" s="935" t="s">
        <v>2347</v>
      </c>
      <c r="BF6" s="2236" t="s">
        <v>2010</v>
      </c>
      <c r="BG6" s="2237"/>
      <c r="BH6" s="933" t="s">
        <v>2010</v>
      </c>
      <c r="BI6" s="933" t="s">
        <v>1448</v>
      </c>
      <c r="BJ6" s="933" t="s">
        <v>1449</v>
      </c>
      <c r="BK6" s="934" t="s">
        <v>1450</v>
      </c>
      <c r="BL6" s="937" t="s">
        <v>2286</v>
      </c>
      <c r="BM6" s="937" t="s">
        <v>691</v>
      </c>
      <c r="BN6" s="937" t="s">
        <v>2078</v>
      </c>
      <c r="BP6" s="358" t="str">
        <f>Bauteile!B6</f>
        <v>Vitrtification</v>
      </c>
      <c r="BQ6" s="57"/>
      <c r="BR6" s="1497" t="str">
        <f>Bauteile!L27</f>
        <v>Châssis</v>
      </c>
      <c r="BS6" s="5"/>
      <c r="BU6" s="2098">
        <f>Bauteile!B58</f>
        <v>0</v>
      </c>
      <c r="BV6" s="1872">
        <f>Bauteile!H58</f>
        <v>0</v>
      </c>
      <c r="BW6" s="2099"/>
      <c r="BX6" s="2055"/>
      <c r="CB6" s="116"/>
      <c r="CC6" s="116"/>
      <c r="CD6" s="116"/>
      <c r="CE6" s="116"/>
    </row>
    <row r="7" spans="2:83" ht="15.6" customHeight="1" thickBot="1">
      <c r="B7" s="502">
        <v>1</v>
      </c>
      <c r="C7" s="2219"/>
      <c r="D7" s="2220"/>
      <c r="E7" s="2221"/>
      <c r="F7" s="313" t="str">
        <f>IF(SUM(H9:H18)&lt;&gt;0,1/SUM(H9:H18),"")</f>
        <v/>
      </c>
      <c r="G7" s="308" t="s">
        <v>245</v>
      </c>
      <c r="H7" s="309" t="str">
        <f>IF(OR(G9=8,G18=8),ROUND(Thetai-(Thetai-Thetamin)*(1/(1/F7)-(1/8)+(1/6))*(1/6),1)&amp;" °C","")</f>
        <v/>
      </c>
      <c r="I7" s="116"/>
      <c r="J7" s="19">
        <v>2</v>
      </c>
      <c r="K7" s="2238"/>
      <c r="L7" s="2239"/>
      <c r="M7" s="2240"/>
      <c r="N7" s="313" t="str">
        <f>IF(SUM(P9:P18)&lt;&gt;0,1/SUM(P9:P18),"")</f>
        <v/>
      </c>
      <c r="O7" s="308" t="s">
        <v>245</v>
      </c>
      <c r="P7" s="309" t="str">
        <f>IF(OR(O9=8,O18=8),ROUND(Thetai-(Thetai-Thetamin)*(1/(1/N7)-(1/8)+(1/6))*(1/6),1)&amp;" °C","")</f>
        <v/>
      </c>
      <c r="S7" s="1018"/>
      <c r="T7" s="987"/>
      <c r="U7" s="1019" t="s">
        <v>451</v>
      </c>
      <c r="V7" s="998" t="b">
        <f>IF(BA9=1,TRUE,FALSE)</f>
        <v>0</v>
      </c>
      <c r="W7" s="1016" t="s">
        <v>578</v>
      </c>
      <c r="X7" s="1000"/>
      <c r="Y7" s="1000"/>
      <c r="Z7" s="1000"/>
      <c r="AA7" s="1000"/>
      <c r="AB7" s="1000"/>
      <c r="AC7" s="1001"/>
      <c r="AD7" s="1001"/>
      <c r="AE7" s="1001"/>
      <c r="AF7" s="1002"/>
      <c r="AG7" s="1020"/>
      <c r="AH7" s="1021"/>
      <c r="AJ7" s="1018"/>
      <c r="AK7" s="987"/>
      <c r="AL7" s="1003" t="s">
        <v>451</v>
      </c>
      <c r="AM7" s="998" t="b">
        <f>IF(BB9=1,TRUE,FALSE)</f>
        <v>0</v>
      </c>
      <c r="AN7" s="1016" t="s">
        <v>459</v>
      </c>
      <c r="AO7" s="1000"/>
      <c r="AP7" s="1000"/>
      <c r="AQ7" s="1000"/>
      <c r="AR7" s="1000"/>
      <c r="AS7" s="1000"/>
      <c r="AT7" s="1001"/>
      <c r="AU7" s="1001"/>
      <c r="AV7" s="1001"/>
      <c r="AW7" s="1002"/>
      <c r="AX7" s="1020"/>
      <c r="AY7" s="1021"/>
      <c r="BC7" s="323">
        <v>1</v>
      </c>
      <c r="BD7" s="324" t="str">
        <f>F7</f>
        <v/>
      </c>
      <c r="BE7" s="325" t="s">
        <v>350</v>
      </c>
      <c r="BF7" s="323">
        <f>D6</f>
        <v>0</v>
      </c>
      <c r="BG7" s="274" t="b">
        <f>IF(BF7&gt;0,TRUE,FALSE)</f>
        <v>0</v>
      </c>
      <c r="BH7" s="953">
        <f>IF(F7&lt;&gt;"",IF(SUMIF(Bau!$K$59:$K$92,B7,Bau!$K$59:$K$92)=0,1,IF(SUMIF(Bau!$K$59:$K$92,B7,Bau!$K$59:$K$92)&gt;B7,1,SUMIF(Bau!$K$59:$K$92,B7,Bau!$T$57:$T$92))),1)</f>
        <v>1</v>
      </c>
      <c r="BI7" s="954">
        <f>IF(F7&lt;&gt;"",IF(SUMIF(Bau!$K$59:$K$92,B7,Bau!$K$59:$K$92)=0,1,IF(SUMIF(Bau!$K$59:$K$92,B7,Bau!$K$59:$K$92)&gt;B7,1,SUMIF(Bau!$K$59:$K$92,B7,Bau!$AE$50:$AE$91))),1)</f>
        <v>1</v>
      </c>
      <c r="BJ7" s="954">
        <f>IF(F7&lt;&gt;"",IF(SUMIF(Bau!$K$59:$K$92,B7,Bau!$K$59:$K$92)=0,1,IF(SUMIF(Bau!$K$59:$K$92,B7,Bau!$K$59:$K$92)&gt;B7,1,SUMIF(Bau!$K$59:$K$92,B7,Bau!$AF$50:$AF$91))),1)</f>
        <v>1</v>
      </c>
      <c r="BK7" s="952">
        <f>IF(F7&lt;&gt;"",IF(SUMIF(Bau!$K$59:$K$92,B7,Bau!$K$59:$K$92)=0,1,IF(SUMIF(Bau!$K$59:$K$92,B7,Bau!$K$59:$K$92)&gt;B7,1,SUMIF(Bau!$K$59:$K$92,B7,Bau!$AG$50:$AG$91))),1)</f>
        <v>1</v>
      </c>
      <c r="BL7" s="939">
        <f>SUM(F10:F16)/100</f>
        <v>0</v>
      </c>
      <c r="BM7" s="943">
        <f>IF(F7&lt;&gt;"",IF(SUMIF(Bau!$K$59:$K$92,B7,Bau!$K$59:$K$92)=0,0,IF(SUMIF(Bau!$K$59:$K$92,B7,Bau!$K$59:$K$92)&gt;B7,0,SUMIF(Bau!$K$59:$K$92,B7,Bau!$AH$50:$AH$91))),)</f>
        <v>0</v>
      </c>
      <c r="BN7" s="943">
        <f>IF(F7&lt;&gt;"",IF(SUMIF(Bau!$K$59:$K$92,B7,Bau!$K$59:$K$92)&gt;B7,2,1),1)</f>
        <v>1</v>
      </c>
      <c r="BP7" s="118"/>
      <c r="BQ7" s="325">
        <v>1</v>
      </c>
      <c r="BR7" s="1498"/>
      <c r="BS7" s="325">
        <v>1</v>
      </c>
      <c r="BU7" s="2098">
        <f>Bauteile!B59</f>
        <v>0</v>
      </c>
      <c r="BV7" s="1872">
        <f>Bauteile!H59</f>
        <v>0</v>
      </c>
      <c r="BW7" s="2099" t="str">
        <f>Bauteile!B303</f>
        <v>**** Laine de roche ****</v>
      </c>
      <c r="BX7" s="2056">
        <f>Bauteile!H303</f>
        <v>0</v>
      </c>
      <c r="CB7" s="116"/>
      <c r="CC7" s="116"/>
      <c r="CD7" s="116"/>
      <c r="CE7" s="116"/>
    </row>
    <row r="8" spans="2:83" s="3" customFormat="1" ht="15.6" customHeight="1" thickBot="1">
      <c r="B8" s="2234">
        <f>IF(GraueEnergie,Uebersetzung!D651,IF(AND(U17,V17&gt;0),Uebersetzung!D652&amp;ROUND(V17,0)&amp;" g/m2",))</f>
        <v>0</v>
      </c>
      <c r="C8" s="2235"/>
      <c r="D8" s="2217"/>
      <c r="E8" s="2218"/>
      <c r="F8" s="12" t="s">
        <v>1918</v>
      </c>
      <c r="G8" s="310" t="s">
        <v>1800</v>
      </c>
      <c r="H8" s="311" t="s">
        <v>1801</v>
      </c>
      <c r="J8" s="2234">
        <f>IF(GraueEnergie,Uebersetzung!D651,IF(AND(AL17,AM17&gt;0),Uebersetzung!D652&amp;ROUND(AM17,0)&amp;" g/m2",))</f>
        <v>0</v>
      </c>
      <c r="K8" s="2235"/>
      <c r="L8" s="2217"/>
      <c r="M8" s="2218"/>
      <c r="N8" s="12" t="s">
        <v>1918</v>
      </c>
      <c r="O8" s="310" t="s">
        <v>1800</v>
      </c>
      <c r="P8" s="311" t="s">
        <v>1801</v>
      </c>
      <c r="Q8" s="249"/>
      <c r="R8" s="251"/>
      <c r="S8" s="1022" t="s">
        <v>795</v>
      </c>
      <c r="T8" s="1023">
        <f ca="1">20-TaMin-8</f>
        <v>20</v>
      </c>
      <c r="U8" s="1024" t="s">
        <v>452</v>
      </c>
      <c r="V8" s="999" t="b">
        <f>IF(BA18=1,TRUE,FALSE)</f>
        <v>0</v>
      </c>
      <c r="W8" s="992" t="s">
        <v>577</v>
      </c>
      <c r="X8" s="465"/>
      <c r="Y8" s="465"/>
      <c r="Z8" s="465"/>
      <c r="AA8" s="987"/>
      <c r="AB8" s="994" t="s">
        <v>450</v>
      </c>
      <c r="AC8" s="4"/>
      <c r="AD8" s="4"/>
      <c r="AE8" s="4"/>
      <c r="AF8" s="564"/>
      <c r="AG8" s="1022" t="s">
        <v>795</v>
      </c>
      <c r="AH8" s="1023">
        <f ca="1">20-TaMin-8</f>
        <v>20</v>
      </c>
      <c r="AI8" s="2"/>
      <c r="AJ8" s="1022" t="s">
        <v>795</v>
      </c>
      <c r="AK8" s="1023">
        <f ca="1">20-TaMin-8</f>
        <v>20</v>
      </c>
      <c r="AL8" s="1024" t="s">
        <v>452</v>
      </c>
      <c r="AM8" s="999" t="b">
        <f>IF(BB18=1,TRUE,FALSE)</f>
        <v>0</v>
      </c>
      <c r="AN8" s="992" t="s">
        <v>577</v>
      </c>
      <c r="AO8" s="465"/>
      <c r="AP8" s="465"/>
      <c r="AQ8" s="465"/>
      <c r="AR8" s="987"/>
      <c r="AS8" s="994" t="s">
        <v>450</v>
      </c>
      <c r="AT8" s="4"/>
      <c r="AU8" s="4"/>
      <c r="AV8" s="4"/>
      <c r="AW8" s="564"/>
      <c r="AX8" s="1022" t="s">
        <v>795</v>
      </c>
      <c r="AY8" s="1023">
        <f ca="1">20-TaMin-8</f>
        <v>20</v>
      </c>
      <c r="BA8" s="335" t="s">
        <v>2031</v>
      </c>
      <c r="BC8" s="323">
        <v>2</v>
      </c>
      <c r="BD8" s="324" t="str">
        <f>N7</f>
        <v/>
      </c>
      <c r="BE8" s="325" t="s">
        <v>350</v>
      </c>
      <c r="BF8" s="323">
        <f>L6</f>
        <v>0</v>
      </c>
      <c r="BG8" s="274" t="b">
        <f t="shared" ref="BG8:BG46" si="0">IF(BF8&gt;0,TRUE,FALSE)</f>
        <v>0</v>
      </c>
      <c r="BH8" s="946">
        <f>IF(N7&lt;&gt;"",IF(SUMIF(Bau!$K$59:$K$92,J7,Bau!$K$59:$K$92)=0,1,IF(SUMIF(Bau!$K$59:$K$92,J7,Bau!$K$59:$K$92)&gt;J7,1,SUMIF(Bau!$K$59:$K$92,J7,Bau!$T$57:$T$92))),1)</f>
        <v>1</v>
      </c>
      <c r="BI8" s="947">
        <f>IF(N7&lt;&gt;"",IF(SUMIF(Bau!$K$59:$K$92,J7,Bau!$K$59:$K$92)=0,1,IF(SUMIF(Bau!$K$59:$K$92,J7,Bau!$K$59:$K$92)&gt;J7,1,SUMIF(Bau!$K$59:$K$92,J7,Bau!$AE$50:$AE$91))),1)</f>
        <v>1</v>
      </c>
      <c r="BJ8" s="947">
        <f>IF(N7&lt;&gt;"",IF(SUMIF(Bau!$K$59:$K$92,J7,Bau!$K$59:$K$92)=0,1,IF(SUMIF(Bau!$K$59:$K$92,J7,Bau!$K$59:$K$92)&gt;J7,1,SUMIF(Bau!$K$59:$K$92,J7,Bau!$AF$50:$AF$91))),1)</f>
        <v>1</v>
      </c>
      <c r="BK8" s="948">
        <f>IF(N7&lt;&gt;"",IF(SUMIF(Bau!$K$59:$K$92,J7,Bau!$K$59:$K$92)=0,1,IF(SUMIF(Bau!$K$59:$K$92,J7,Bau!$K$59:$K$92)&gt;J7,1,SUMIF(Bau!$K$59:$K$92,J7,Bau!$AG$50:$AG$91))),1)</f>
        <v>1</v>
      </c>
      <c r="BL8" s="325">
        <f>SUM(N10:N16)/100</f>
        <v>0</v>
      </c>
      <c r="BM8" s="944">
        <f>IF(N7&lt;&gt;"",IF(SUMIF(Bau!$K$59:$K$92,J7,Bau!$K$59:$K$92)=0,0,IF(SUMIF(Bau!$K$59:$K$92,J7,Bau!$K$59:$K$92)&gt;J7,0,SUMIF(Bau!$K$59:$K$92,J7,Bau!$AH$50:$AH$91))),)</f>
        <v>0</v>
      </c>
      <c r="BN8" s="944">
        <f>IF(N7&lt;&gt;"",IF(SUMIF(Bau!$K$59:$K$92,J7,Bau!$K$59:$K$92)&gt;J7,2,1),1)</f>
        <v>1</v>
      </c>
      <c r="BP8" s="118" t="str">
        <f>Bauteile!C8</f>
        <v>WF</v>
      </c>
      <c r="BQ8" s="325">
        <v>2</v>
      </c>
      <c r="BR8" s="1498" t="str">
        <f>Bauteile!L29</f>
        <v>Catégorie I,  Châssis spécial, valeur U 1.0 W/m2K</v>
      </c>
      <c r="BS8" s="325">
        <v>2</v>
      </c>
      <c r="BU8" s="2098">
        <f>Bauteile!B60</f>
        <v>0</v>
      </c>
      <c r="BV8" s="1872">
        <f>Bauteile!H60</f>
        <v>0</v>
      </c>
      <c r="BW8" s="2098" t="str">
        <f>Bauteile!B304</f>
        <v>FIBRANgeo B-040</v>
      </c>
      <c r="BX8" s="2056" t="str">
        <f>Bauteile!H304</f>
        <v>0.036</v>
      </c>
      <c r="CB8" s="116"/>
      <c r="CC8" s="116"/>
      <c r="CD8" s="116"/>
      <c r="CE8" s="116"/>
    </row>
    <row r="9" spans="2:83" s="116" customFormat="1" ht="15.6" customHeight="1">
      <c r="B9" s="11">
        <v>1</v>
      </c>
      <c r="C9" s="2212"/>
      <c r="D9" s="2213"/>
      <c r="E9" s="2214"/>
      <c r="F9" s="10"/>
      <c r="G9" s="59">
        <f>INDEX(Bauteile!$O$280:$O$282,BA9)</f>
        <v>0</v>
      </c>
      <c r="H9" s="312">
        <f>IF(G9=0,0,1/G9)</f>
        <v>0</v>
      </c>
      <c r="J9" s="11">
        <v>1</v>
      </c>
      <c r="K9" s="2212"/>
      <c r="L9" s="2213"/>
      <c r="M9" s="2214"/>
      <c r="N9" s="10"/>
      <c r="O9" s="59">
        <f>INDEX(Bauteile!$O$280:$O$282,BB9)</f>
        <v>0</v>
      </c>
      <c r="P9" s="312">
        <f>IF(O9=0,0,1/O9)</f>
        <v>0</v>
      </c>
      <c r="Q9" s="250"/>
      <c r="S9" s="1025" t="s">
        <v>796</v>
      </c>
      <c r="T9" s="1026" t="s">
        <v>797</v>
      </c>
      <c r="U9" s="1027" t="s">
        <v>808</v>
      </c>
      <c r="V9" s="996" t="s">
        <v>571</v>
      </c>
      <c r="W9" s="988" t="s">
        <v>570</v>
      </c>
      <c r="X9" s="466" t="s">
        <v>569</v>
      </c>
      <c r="Y9" s="466" t="s">
        <v>103</v>
      </c>
      <c r="Z9" s="1028" t="s">
        <v>572</v>
      </c>
      <c r="AA9" s="1007" t="s">
        <v>572</v>
      </c>
      <c r="AB9" s="988" t="s">
        <v>569</v>
      </c>
      <c r="AC9" s="464" t="s">
        <v>570</v>
      </c>
      <c r="AD9" s="986" t="s">
        <v>103</v>
      </c>
      <c r="AE9" s="1029" t="s">
        <v>572</v>
      </c>
      <c r="AF9" s="1030" t="s">
        <v>572</v>
      </c>
      <c r="AG9" s="1025" t="s">
        <v>796</v>
      </c>
      <c r="AH9" s="1026" t="s">
        <v>797</v>
      </c>
      <c r="AI9" s="2"/>
      <c r="AJ9" s="1025" t="s">
        <v>796</v>
      </c>
      <c r="AK9" s="1026" t="s">
        <v>797</v>
      </c>
      <c r="AL9" s="1027" t="s">
        <v>808</v>
      </c>
      <c r="AM9" s="996" t="s">
        <v>571</v>
      </c>
      <c r="AN9" s="988" t="s">
        <v>570</v>
      </c>
      <c r="AO9" s="466" t="s">
        <v>569</v>
      </c>
      <c r="AP9" s="466" t="s">
        <v>103</v>
      </c>
      <c r="AQ9" s="1028" t="s">
        <v>572</v>
      </c>
      <c r="AR9" s="1031" t="s">
        <v>572</v>
      </c>
      <c r="AS9" s="988" t="s">
        <v>569</v>
      </c>
      <c r="AT9" s="464" t="s">
        <v>570</v>
      </c>
      <c r="AU9" s="986" t="s">
        <v>103</v>
      </c>
      <c r="AV9" s="1029" t="s">
        <v>572</v>
      </c>
      <c r="AW9" s="1030" t="s">
        <v>572</v>
      </c>
      <c r="AX9" s="1025" t="s">
        <v>796</v>
      </c>
      <c r="AY9" s="1026" t="s">
        <v>797</v>
      </c>
      <c r="BA9" s="339">
        <f>IF($C9="",3,VLOOKUP($C9,$BR$36:$BS$38,2,FALSE))</f>
        <v>3</v>
      </c>
      <c r="BB9" s="1502">
        <f>IF($K9="",3,VLOOKUP($K9,$BR$36:$BS$38,2,FALSE))</f>
        <v>3</v>
      </c>
      <c r="BC9" s="274">
        <v>3</v>
      </c>
      <c r="BD9" s="324" t="str">
        <f>F21</f>
        <v/>
      </c>
      <c r="BE9" s="325" t="s">
        <v>350</v>
      </c>
      <c r="BF9" s="323">
        <f>D20</f>
        <v>0</v>
      </c>
      <c r="BG9" s="274" t="b">
        <f t="shared" si="0"/>
        <v>0</v>
      </c>
      <c r="BH9" s="946">
        <f>IF(F21&lt;&gt;"",IF(SUMIF(Bau!$K$59:$K$92,B21,Bau!$K$59:$K$92)=0,1,IF(SUMIF(Bau!$K$59:$K$92,B21,Bau!$K$59:$K$92)&gt;B21,1,SUMIF(Bau!$K$59:$K$92,B21,Bau!$T$57:$T$92))),1)</f>
        <v>1</v>
      </c>
      <c r="BI9" s="947">
        <f>IF(F21&lt;&gt;"",IF(SUMIF(Bau!$K$59:$K$92,B21,Bau!$K$59:$K$92)=0,1,IF(SUMIF(Bau!$K$59:$K$92,B21,Bau!$K$59:$K$92)&gt;B21,1,SUMIF(Bau!$K$59:$K$92,B21,Bau!$AE$50:$AE$91))),1)</f>
        <v>1</v>
      </c>
      <c r="BJ9" s="947">
        <f>IF(F21&lt;&gt;"",IF(SUMIF(Bau!$K$59:$K$92,B21,Bau!$K$59:$K$92)=0,1,IF(SUMIF(Bau!$K$59:$K$92,B21,Bau!$K$59:$K$92)&gt;B21,1,SUMIF(Bau!$K$59:$K$92,B21,Bau!$AF$50:$AF$91))),1)</f>
        <v>1</v>
      </c>
      <c r="BK9" s="948">
        <f>IF(F21&lt;&gt;"",IF(SUMIF(Bau!$K$59:$K$92,B21,Bau!$K$59:$K$92)=0,1,IF(SUMIF(Bau!$K$59:$K$92,B21,Bau!$K$59:$K$92)&gt;B21,1,SUMIF(Bau!$K$59:$K$92,B21,Bau!$AG$50:$AG$91))),1)</f>
        <v>1</v>
      </c>
      <c r="BL9" s="325">
        <f>SUM(F24:F30)/100</f>
        <v>0</v>
      </c>
      <c r="BM9" s="945">
        <f>IF(F21&lt;&gt;"",IF(SUMIF(Bau!$K$59:$K$92,B21,Bau!$K$59:$K$92)=0,0,IF(SUMIF(Bau!$K$59:$K$92,B21,Bau!$K$59:$K$92)&gt;B21,0,SUMIF(Bau!$K$59:$K$92,B21,Bau!$AH$50:$AH$91))),)</f>
        <v>0</v>
      </c>
      <c r="BN9" s="945">
        <f>IF(F21&lt;&gt;"",IF(SUMIF(Bau!$K$59:$K$92,B21,Bau!$K$59:$K$92)&gt;B21,2,1),1)</f>
        <v>1</v>
      </c>
      <c r="BP9" s="118" t="str">
        <f>Bauteile!C9</f>
        <v>DF</v>
      </c>
      <c r="BQ9" s="325">
        <v>3</v>
      </c>
      <c r="BR9" s="1498" t="str">
        <f>Bauteile!L30</f>
        <v>Catégorie II,  Châssis spécial, valeur U 1.4 W/m2K</v>
      </c>
      <c r="BS9" s="325">
        <v>3</v>
      </c>
      <c r="BU9" s="2098">
        <f>Bauteile!B61</f>
        <v>0</v>
      </c>
      <c r="BV9" s="1872">
        <f>Bauteile!H61</f>
        <v>0</v>
      </c>
      <c r="BW9" s="2098" t="str">
        <f>Bauteile!B305</f>
        <v>Panneau de sol Flumroc</v>
      </c>
      <c r="BX9" s="2056">
        <f>Bauteile!H305</f>
        <v>3.4000000000000002E-2</v>
      </c>
    </row>
    <row r="10" spans="2:83" s="116" customFormat="1" ht="15.6" customHeight="1">
      <c r="B10" s="11">
        <v>2</v>
      </c>
      <c r="C10" s="2212"/>
      <c r="D10" s="2213"/>
      <c r="E10" s="2214"/>
      <c r="F10" s="26"/>
      <c r="G10" s="59">
        <f>INDEX(Bauteile!$H$57:$H$1159,BA10)</f>
        <v>0</v>
      </c>
      <c r="H10" s="312">
        <f>IF(G10&lt;&gt;0,F10/100/G10,0)</f>
        <v>0</v>
      </c>
      <c r="J10" s="11">
        <v>2</v>
      </c>
      <c r="K10" s="2212"/>
      <c r="L10" s="2213"/>
      <c r="M10" s="2214"/>
      <c r="N10" s="26"/>
      <c r="O10" s="59">
        <f>INDEX(Bauteile!$H$57:$H$1159,BB10)</f>
        <v>0</v>
      </c>
      <c r="P10" s="312">
        <f>IF(O10&lt;&gt;0,N10/100/O10,0)</f>
        <v>0</v>
      </c>
      <c r="Q10" s="250"/>
      <c r="S10" s="1032">
        <f>IF(AND(W10&gt;0,X10&gt;0),1/LN(1168*X10/(0.2*W10+X10)/14057400000)*(-3928.5)-231.667,)</f>
        <v>0</v>
      </c>
      <c r="T10" s="1013">
        <f>IF(SUM(H9:H18)&gt;0,20-T8/SUM(H9:H18)*SUM(H9:H10),20)</f>
        <v>20</v>
      </c>
      <c r="U10" s="1033">
        <f>INDEX(Bauteile!$I$57:$I$1159,BA10)</f>
        <v>0</v>
      </c>
      <c r="V10" s="997">
        <f>F10/100</f>
        <v>0</v>
      </c>
      <c r="W10" s="1006">
        <f>V10*U10</f>
        <v>0</v>
      </c>
      <c r="X10" s="563">
        <f t="shared" ref="X10:X15" si="1">U11*V11+X11</f>
        <v>0</v>
      </c>
      <c r="Y10" s="931">
        <f>IF(AND(W10&gt;0,X10&gt;0),Ak/W10-Bk/X10,)</f>
        <v>0</v>
      </c>
      <c r="Z10" s="1034" t="b">
        <f>IF(T10&lt;S10,IF(W10&gt;mj*X10,FALSE,TRUE),FALSE)</f>
        <v>0</v>
      </c>
      <c r="AA10" s="1036">
        <f t="shared" ref="AA10:AA15" si="2">IF(OR(Z11=FALSE,AND(Z10=TRUE,Z11=TRUE)),Y10,0)</f>
        <v>0</v>
      </c>
      <c r="AB10" s="1005"/>
      <c r="AC10" s="1008">
        <f t="shared" ref="AC10:AC15" si="3">V10*U10+AC11</f>
        <v>0</v>
      </c>
      <c r="AD10" s="1035">
        <f t="shared" ref="AD10:AD15" si="4">IF(AND(AB10&gt;0,AC10&gt;0),Ak/AC10-Bk/AB10,)</f>
        <v>0</v>
      </c>
      <c r="AE10" s="995" t="b">
        <f>IF(AH10&lt;AG10,IF(AC10&gt;mj*AB10,FALSE,TRUE),FALSE)</f>
        <v>0</v>
      </c>
      <c r="AF10" s="1036">
        <f t="shared" ref="AF10:AF15" si="5">IF(OR(AE11=FALSE,AND(AE10=TRUE,AE11=TRUE)),AD10,0)</f>
        <v>0</v>
      </c>
      <c r="AG10" s="1037">
        <f>IF(AND(AB10&gt;0,AC10&gt;0),1/LN(1168*AB10/(0.2*AC10+AB10)/14057400000)*(-3928.5)-231.667,)</f>
        <v>0</v>
      </c>
      <c r="AH10" s="1036">
        <f>IF(SUM(H9:H18)&gt;0,20-AH8/SUM(H9:H18)*SUM(H10:H18),20)</f>
        <v>20</v>
      </c>
      <c r="AI10" s="2"/>
      <c r="AJ10" s="1032">
        <f>IF(AND(AN10&gt;0,AO10&gt;0),1/LN(1168*AO10/(0.2*AN10+AO10)/14057400000)*(-3928.5)-231.667,)</f>
        <v>0</v>
      </c>
      <c r="AK10" s="1013">
        <f>IF(SUM(P9:P18)&gt;0,20-AK8/SUM(P9:P18)*SUM(P9:P10),20)</f>
        <v>20</v>
      </c>
      <c r="AL10" s="1033">
        <f>INDEX(Bauteile!$I$57:$I$1159,BB10)</f>
        <v>0</v>
      </c>
      <c r="AM10" s="997">
        <f>N10/100</f>
        <v>0</v>
      </c>
      <c r="AN10" s="1006">
        <f>AM10*AL10</f>
        <v>0</v>
      </c>
      <c r="AO10" s="563">
        <f t="shared" ref="AO10:AO15" si="6">AL11*AM11+AO11</f>
        <v>0</v>
      </c>
      <c r="AP10" s="931">
        <f>IF(AND(AN10&gt;0,AO10&gt;0),Ak/AN10-Bk/AO10,)</f>
        <v>0</v>
      </c>
      <c r="AQ10" s="995" t="b">
        <f>IF(AK10&lt;AJ10,IF(AN10&gt;mj*AO10,FALSE,TRUE),FALSE)</f>
        <v>0</v>
      </c>
      <c r="AR10" s="1036">
        <f t="shared" ref="AR10:AR15" si="7">IF(OR(AQ11=FALSE,AND(AQ10=TRUE,AQ11=TRUE)),AP10,0)</f>
        <v>0</v>
      </c>
      <c r="AS10" s="1038"/>
      <c r="AT10" s="1008">
        <f t="shared" ref="AT10:AT15" si="8">AM10*AL10+AT11</f>
        <v>0</v>
      </c>
      <c r="AU10" s="1035">
        <f t="shared" ref="AU10:AU15" si="9">IF(AND(AS10&gt;0,AT10&gt;0),Ak/AT10-Bk/AS10,)</f>
        <v>0</v>
      </c>
      <c r="AV10" s="995" t="b">
        <f>IF(AY10&lt;AX10,IF(AT10&gt;mj*AS10,FALSE,TRUE),FALSE)</f>
        <v>0</v>
      </c>
      <c r="AW10" s="1036">
        <f t="shared" ref="AW10:AW15" si="10">IF(OR(AV11=FALSE,AND(AV10=TRUE,AV11=TRUE)),AU10,0)</f>
        <v>0</v>
      </c>
      <c r="AX10" s="1037">
        <f>IF(AND(AS10&gt;0,AT10&gt;0),1/LN(1168*AS10/(0.2*AT10+AS10)/14057400000)*(-3928.5)-231.667,)</f>
        <v>0</v>
      </c>
      <c r="AY10" s="1036">
        <f>IF(SUM(P9:P18)&gt;0,20-AY8/SUM(P9:P18)*SUM(P10:P18),20)</f>
        <v>20</v>
      </c>
      <c r="BA10" s="341">
        <f>IF($C10="",1,VLOOKUP($C10,$BP$57:$BQ$1010,2,FALSE))</f>
        <v>1</v>
      </c>
      <c r="BB10" s="1504">
        <f>IF($K10="",1,VLOOKUP($K10,$BP$57:$BQ$1010,2,FALSE))</f>
        <v>1</v>
      </c>
      <c r="BC10" s="274">
        <v>4</v>
      </c>
      <c r="BD10" s="324" t="str">
        <f>N21</f>
        <v/>
      </c>
      <c r="BE10" s="325"/>
      <c r="BF10" s="323">
        <f>L20</f>
        <v>0</v>
      </c>
      <c r="BG10" s="274" t="b">
        <f t="shared" si="0"/>
        <v>0</v>
      </c>
      <c r="BH10" s="946">
        <f>IF(N21&lt;&gt;"",IF(SUMIF(Bau!$K$59:$K$92,J21,Bau!$K$59:$K$92)=0,1,IF(SUMIF(Bau!$K$59:$K$92,J21,Bau!$K$59:$K$92)&gt;J21,1,SUMIF(Bau!$K$59:$K$92,J21,Bau!$T$57:$T$92))),1)</f>
        <v>1</v>
      </c>
      <c r="BI10" s="947">
        <f>IF(N21&lt;&gt;"",IF(SUMIF(Bau!$K$59:$K$92,J21,Bau!$K$59:$K$92)=0,1,IF(SUMIF(Bau!$K$59:$K$92,J21,Bau!$K$59:$K$92)&gt;J21,1,SUMIF(Bau!$K$59:$K$92,J21,Bau!$AE$50:$AE$91))),1)</f>
        <v>1</v>
      </c>
      <c r="BJ10" s="947">
        <f>IF(N21&lt;&gt;"",IF(SUMIF(Bau!$K$59:$K$92,J21,Bau!$K$59:$K$92)=0,1,IF(SUMIF(Bau!$K$59:$K$92,J21,Bau!$K$59:$K$92)&gt;J21,1,SUMIF(Bau!$K$59:$K$92,J21,Bau!$AF$50:$AF$91))),1)</f>
        <v>1</v>
      </c>
      <c r="BK10" s="948">
        <f>IF(N21&lt;&gt;"",IF(SUMIF(Bau!$K$59:$K$92,J21,Bau!$K$59:$K$92)=0,1,IF(SUMIF(Bau!$K$59:$K$92,J21,Bau!$K$59:$K$92)&gt;J21,1,SUMIF(Bau!$K$59:$K$92,J21,Bau!$AG$50:$AG$91))),1)</f>
        <v>1</v>
      </c>
      <c r="BL10" s="325">
        <f>SUM(N24:N30)/100</f>
        <v>0</v>
      </c>
      <c r="BM10" s="945">
        <f>IF(N21&lt;&gt;"",IF(SUMIF(Bau!$K$59:$K$92,J21,Bau!$K$59:$K$92)=0,0,IF(SUMIF(Bau!$K$59:$K$92,J21,Bau!$K$59:$K$92)&gt;J21,0,SUMIF(Bau!$K$59:$K$92,J21,Bau!$AH$50:$AH$91))),)</f>
        <v>0</v>
      </c>
      <c r="BN10" s="945">
        <f>IF(N21&lt;&gt;"",IF(SUMIF(Bau!$K$59:$K$92,J21,Bau!$K$59:$K$92)&gt;J21,2,1),1)</f>
        <v>1</v>
      </c>
      <c r="BP10" s="118" t="str">
        <f>Bauteile!C10</f>
        <v>2-IV, fente pour l'air</v>
      </c>
      <c r="BQ10" s="325">
        <v>4</v>
      </c>
      <c r="BR10" s="1498" t="str">
        <f>Bauteile!L31</f>
        <v>Catégorie III,  Châssis bois-métal, valeur U 1.8 W/m2K</v>
      </c>
      <c r="BS10" s="325">
        <v>4</v>
      </c>
      <c r="BU10" s="2098">
        <f>Bauteile!B62</f>
        <v>0</v>
      </c>
      <c r="BV10" s="1872">
        <f>Bauteile!H62</f>
        <v>0</v>
      </c>
      <c r="BW10" s="2098" t="str">
        <f>Bauteile!B306</f>
        <v>Panneau de sol Flumroc</v>
      </c>
      <c r="BX10" s="2056">
        <f>Bauteile!H306</f>
        <v>3.4000000000000002E-2</v>
      </c>
    </row>
    <row r="11" spans="2:83" s="116" customFormat="1" ht="15.6" customHeight="1">
      <c r="B11" s="11">
        <v>3</v>
      </c>
      <c r="C11" s="2212"/>
      <c r="D11" s="2213"/>
      <c r="E11" s="2214"/>
      <c r="F11" s="26"/>
      <c r="G11" s="59">
        <f>INDEX(Bauteile!$H$57:$H$1159,BA11)</f>
        <v>0</v>
      </c>
      <c r="H11" s="312">
        <f t="shared" ref="H11:H16" si="11">IF(G11&lt;&gt;0,F11/100/G11,0)</f>
        <v>0</v>
      </c>
      <c r="J11" s="11">
        <v>3</v>
      </c>
      <c r="K11" s="2212"/>
      <c r="L11" s="2213"/>
      <c r="M11" s="2214"/>
      <c r="N11" s="26"/>
      <c r="O11" s="59">
        <f>INDEX(Bauteile!$H$57:$H$1159,BB11)</f>
        <v>0</v>
      </c>
      <c r="P11" s="312">
        <f t="shared" ref="P11:P16" si="12">IF(O11&lt;&gt;0,N11/100/O11,0)</f>
        <v>0</v>
      </c>
      <c r="Q11" s="250"/>
      <c r="S11" s="1039">
        <f t="shared" ref="S11:S16" si="13">IF(AND(W11&gt;0,X11&gt;0),1/LN(1168*X11/(0.2*W11+X11)/14057400000)*(-3928.5)-231.667,)</f>
        <v>0</v>
      </c>
      <c r="T11" s="989">
        <f>IF(SUM(H9:H18)&gt;0,20-T8/SUM(H9:H18)*SUM(H9:H11),20)</f>
        <v>20</v>
      </c>
      <c r="U11" s="1033">
        <f>INDEX(Bauteile!$I$57:$I$1159,BA11)</f>
        <v>0</v>
      </c>
      <c r="V11" s="997">
        <f t="shared" ref="V11:V16" si="14">F11/100</f>
        <v>0</v>
      </c>
      <c r="W11" s="1006">
        <f t="shared" ref="W11:W16" si="15">V11*U11+W10</f>
        <v>0</v>
      </c>
      <c r="X11" s="563">
        <f t="shared" si="1"/>
        <v>0</v>
      </c>
      <c r="Y11" s="931">
        <f t="shared" ref="Y11:Y16" si="16">IF(AND(W11&gt;0,X11&gt;0),Ak/W11-Bk/X11,)</f>
        <v>0</v>
      </c>
      <c r="Z11" s="563" t="b">
        <f t="shared" ref="Z11:Z16" si="17">IF(T11&lt;S11,IF(W11&gt;mj*X11,FALSE,TRUE),FALSE)</f>
        <v>0</v>
      </c>
      <c r="AA11" s="439">
        <f t="shared" si="2"/>
        <v>0</v>
      </c>
      <c r="AB11" s="1009">
        <f t="shared" ref="AB11:AB16" si="18">U10*V10+AB10</f>
        <v>0</v>
      </c>
      <c r="AC11" s="1010">
        <f t="shared" si="3"/>
        <v>0</v>
      </c>
      <c r="AD11" s="931">
        <f t="shared" si="4"/>
        <v>0</v>
      </c>
      <c r="AE11" s="7" t="b">
        <f t="shared" ref="AE11:AE16" si="19">IF(AH11&lt;AG11,IF(AC11&gt;mj*AB11,FALSE,TRUE),FALSE)</f>
        <v>0</v>
      </c>
      <c r="AF11" s="439">
        <f t="shared" si="5"/>
        <v>0</v>
      </c>
      <c r="AG11" s="1040">
        <f t="shared" ref="AG11:AG16" si="20">IF(AND(AB11&gt;0,AC11&gt;0),1/LN(1168*AB11/(0.2*AC11+AB11)/14057400000)*(-3928.5)-231.667,)</f>
        <v>0</v>
      </c>
      <c r="AH11" s="439">
        <f>IF(SUM(H9:H18)&gt;0,20-AH8/SUM(H9:H18)*SUM(H11:H18),20)</f>
        <v>20</v>
      </c>
      <c r="AI11" s="2"/>
      <c r="AJ11" s="1039">
        <f t="shared" ref="AJ11:AJ16" si="21">IF(AND(AN11&gt;0,AO11&gt;0),1/LN(1168*AO11/(0.2*AN11+AO11)/14057400000)*(-3928.5)-231.667,)</f>
        <v>0</v>
      </c>
      <c r="AK11" s="989">
        <f>IF(SUM(P9:P18)&gt;0,20-AK8/SUM(P9:P18)*SUM(P9:P11),20)</f>
        <v>20</v>
      </c>
      <c r="AL11" s="1033">
        <f>INDEX(Bauteile!$I$57:$I$1159,BB11)</f>
        <v>0</v>
      </c>
      <c r="AM11" s="997">
        <f t="shared" ref="AM11:AM16" si="22">N11/100</f>
        <v>0</v>
      </c>
      <c r="AN11" s="1006">
        <f t="shared" ref="AN11:AN16" si="23">AM11*AL11+AN10</f>
        <v>0</v>
      </c>
      <c r="AO11" s="563">
        <f t="shared" si="6"/>
        <v>0</v>
      </c>
      <c r="AP11" s="931">
        <f t="shared" ref="AP11:AP16" si="24">IF(AND(AN11&gt;0,AO11&gt;0),Ak/AN11-Bk/AO11,)</f>
        <v>0</v>
      </c>
      <c r="AQ11" s="7" t="b">
        <f t="shared" ref="AQ11:AQ16" si="25">IF(AK11&lt;AJ11,IF(AN11&gt;mj*AO11,FALSE,TRUE),FALSE)</f>
        <v>0</v>
      </c>
      <c r="AR11" s="439">
        <f t="shared" si="7"/>
        <v>0</v>
      </c>
      <c r="AS11" s="5">
        <f t="shared" ref="AS11:AS16" si="26">AL10*AM10+AS10</f>
        <v>0</v>
      </c>
      <c r="AT11" s="1010">
        <f t="shared" si="8"/>
        <v>0</v>
      </c>
      <c r="AU11" s="931">
        <f t="shared" si="9"/>
        <v>0</v>
      </c>
      <c r="AV11" s="7" t="b">
        <f t="shared" ref="AV11:AV16" si="27">IF(AY11&lt;AX11,IF(AT11&gt;mj*AS11,FALSE,TRUE),FALSE)</f>
        <v>0</v>
      </c>
      <c r="AW11" s="439">
        <f t="shared" si="10"/>
        <v>0</v>
      </c>
      <c r="AX11" s="1040">
        <f t="shared" ref="AX11:AX16" si="28">IF(AND(AS11&gt;0,AT11&gt;0),1/LN(1168*AS11/(0.2*AT11+AS11)/14057400000)*(-3928.5)-231.667,)</f>
        <v>0</v>
      </c>
      <c r="AY11" s="439">
        <f>IF(SUM(P9:P18)&gt;0,20-AY8/SUM(P9:P18)*SUM(P11:P18),20)</f>
        <v>20</v>
      </c>
      <c r="BA11" s="341">
        <f t="shared" ref="BA11:BA16" si="29">IF($C11="",1,VLOOKUP($C11,$BP$57:$BQ$1010,2,FALSE))</f>
        <v>1</v>
      </c>
      <c r="BB11" s="1504">
        <f t="shared" ref="BB11:BB16" si="30">IF($K11="",1,VLOOKUP($K11,$BP$57:$BQ$1010,2,FALSE))</f>
        <v>1</v>
      </c>
      <c r="BC11" s="274">
        <v>5</v>
      </c>
      <c r="BD11" s="324" t="str">
        <f>F35</f>
        <v/>
      </c>
      <c r="BE11" s="325"/>
      <c r="BF11" s="323">
        <f>D34</f>
        <v>0</v>
      </c>
      <c r="BG11" s="274" t="b">
        <f t="shared" si="0"/>
        <v>0</v>
      </c>
      <c r="BH11" s="946">
        <f>IF(F35&lt;&gt;"",IF(SUMIF(Bau!$K$59:$K$92,B35,Bau!$K$59:$K$92)=0,1,IF(SUMIF(Bau!$K$59:$K$92,B35,Bau!$K$59:$K$92)&gt;B35,1,SUMIF(Bau!$K$59:$K$92,B35,Bau!$T$57:$T$92))),1)</f>
        <v>1</v>
      </c>
      <c r="BI11" s="947">
        <f>IF(F35&lt;&gt;"",IF(SUMIF(Bau!$K$59:$K$92,B35,Bau!$K$59:$K$92)=0,1,IF(SUMIF(Bau!$K$59:$K$92,B35,Bau!$K$59:$K$92)&gt;B35,1,SUMIF(Bau!$K$59:$K$92,B35,Bau!$AE$50:$AE$91))),1)</f>
        <v>1</v>
      </c>
      <c r="BJ11" s="947">
        <f>IF(F35&lt;&gt;"",IF(SUMIF(Bau!$K$59:$K$92,B35,Bau!$K$59:$K$92)=0,1,IF(SUMIF(Bau!$K$59:$K$92,B35,Bau!$K$59:$K$92)&gt;B35,1,SUMIF(Bau!$K$59:$K$92,B35,Bau!$AF$50:$AF$91))),1)</f>
        <v>1</v>
      </c>
      <c r="BK11" s="948">
        <f>IF(F35&lt;&gt;"",IF(SUMIF(Bau!$K$59:$K$92,B35,Bau!$K$59:$K$92)=0,1,IF(SUMIF(Bau!$K$59:$K$92,B35,Bau!$K$59:$K$92)&gt;B35,1,SUMIF(Bau!$K$59:$K$92,B35,Bau!$AG$50:$AG$91))),1)</f>
        <v>1</v>
      </c>
      <c r="BL11" s="325">
        <f>SUM(F38:F44)/100</f>
        <v>0</v>
      </c>
      <c r="BM11" s="945">
        <f>IF(F35&lt;&gt;"",IF(SUMIF(Bau!$K$59:$K$92,B35,Bau!$K$59:$K$92)=0,0,IF(SUMIF(Bau!$K$59:$K$92,B35,Bau!$K$59:$K$92)&gt;B35,0,SUMIF(Bau!$K$59:$K$92,B35,Bau!$AH$50:$AH$91))),)</f>
        <v>0</v>
      </c>
      <c r="BN11" s="945">
        <f>IF(F35&lt;&gt;"",IF(SUMIF(Bau!$K$59:$K$92,B35,Bau!$K$59:$K$92)&gt;B35,2,1),1)</f>
        <v>1</v>
      </c>
      <c r="BP11" s="118" t="str">
        <f>Bauteile!C11</f>
        <v>2-IV, argon</v>
      </c>
      <c r="BQ11" s="325">
        <v>5</v>
      </c>
      <c r="BR11" s="1498" t="str">
        <f>Bauteile!L32</f>
        <v>Catégorie IV,  Châssis plastique, valeur U 2.2 W/m2K</v>
      </c>
      <c r="BS11" s="325">
        <v>5</v>
      </c>
      <c r="BU11" s="2098" t="str">
        <f>Bauteile!B63</f>
        <v>Acier</v>
      </c>
      <c r="BV11" s="1872">
        <f>Bauteile!H63</f>
        <v>50</v>
      </c>
      <c r="BW11" s="2098" t="str">
        <f>Bauteile!B307</f>
        <v>Panneau isolant Flumroc DECO</v>
      </c>
      <c r="BX11" s="2056">
        <f>Bauteile!H307</f>
        <v>3.5000000000000003E-2</v>
      </c>
    </row>
    <row r="12" spans="2:83" s="116" customFormat="1" ht="15.6" customHeight="1">
      <c r="B12" s="11">
        <v>4</v>
      </c>
      <c r="C12" s="2212"/>
      <c r="D12" s="2213"/>
      <c r="E12" s="2214"/>
      <c r="F12" s="26"/>
      <c r="G12" s="59">
        <f>INDEX(Bauteile!$H$57:$H$1159,BA12)</f>
        <v>0</v>
      </c>
      <c r="H12" s="312">
        <f t="shared" si="11"/>
        <v>0</v>
      </c>
      <c r="J12" s="11">
        <v>4</v>
      </c>
      <c r="K12" s="2212"/>
      <c r="L12" s="2213"/>
      <c r="M12" s="2214"/>
      <c r="N12" s="26"/>
      <c r="O12" s="59">
        <f>INDEX(Bauteile!$H$57:$H$1159,BB12)</f>
        <v>0</v>
      </c>
      <c r="P12" s="312">
        <f t="shared" si="12"/>
        <v>0</v>
      </c>
      <c r="Q12" s="250"/>
      <c r="S12" s="1039">
        <f t="shared" si="13"/>
        <v>0</v>
      </c>
      <c r="T12" s="989">
        <f>IF(SUM(H9:H18)&gt;0,20-T8/SUM(H9:H18)*SUM(H9:H12),20)</f>
        <v>20</v>
      </c>
      <c r="U12" s="1033">
        <f>INDEX(Bauteile!$I$57:$I$1159,BA12)</f>
        <v>0</v>
      </c>
      <c r="V12" s="997">
        <f t="shared" si="14"/>
        <v>0</v>
      </c>
      <c r="W12" s="1006">
        <f t="shared" si="15"/>
        <v>0</v>
      </c>
      <c r="X12" s="563">
        <f t="shared" si="1"/>
        <v>0</v>
      </c>
      <c r="Y12" s="931">
        <f t="shared" si="16"/>
        <v>0</v>
      </c>
      <c r="Z12" s="563" t="b">
        <f t="shared" si="17"/>
        <v>0</v>
      </c>
      <c r="AA12" s="439">
        <f t="shared" si="2"/>
        <v>0</v>
      </c>
      <c r="AB12" s="1009">
        <f t="shared" si="18"/>
        <v>0</v>
      </c>
      <c r="AC12" s="1010">
        <f t="shared" si="3"/>
        <v>0</v>
      </c>
      <c r="AD12" s="931">
        <f t="shared" si="4"/>
        <v>0</v>
      </c>
      <c r="AE12" s="7" t="b">
        <f t="shared" si="19"/>
        <v>0</v>
      </c>
      <c r="AF12" s="439">
        <f t="shared" si="5"/>
        <v>0</v>
      </c>
      <c r="AG12" s="1040">
        <f t="shared" si="20"/>
        <v>0</v>
      </c>
      <c r="AH12" s="439">
        <f>IF(SUM(H9:H18)&gt;0,20-AH8/SUM(H9:H18)*SUM(H12:H18),20)</f>
        <v>20</v>
      </c>
      <c r="AI12" s="2"/>
      <c r="AJ12" s="1039">
        <f t="shared" si="21"/>
        <v>0</v>
      </c>
      <c r="AK12" s="989">
        <f>IF(SUM(P9:P18)&gt;0,20-AK8/SUM(P9:P18)*SUM(P9:P12),20)</f>
        <v>20</v>
      </c>
      <c r="AL12" s="1033">
        <f>INDEX(Bauteile!$I$57:$I$1159,BB12)</f>
        <v>0</v>
      </c>
      <c r="AM12" s="997">
        <f t="shared" si="22"/>
        <v>0</v>
      </c>
      <c r="AN12" s="1006">
        <f t="shared" si="23"/>
        <v>0</v>
      </c>
      <c r="AO12" s="563">
        <f t="shared" si="6"/>
        <v>0</v>
      </c>
      <c r="AP12" s="931">
        <f t="shared" si="24"/>
        <v>0</v>
      </c>
      <c r="AQ12" s="7" t="b">
        <f t="shared" si="25"/>
        <v>0</v>
      </c>
      <c r="AR12" s="439">
        <f t="shared" si="7"/>
        <v>0</v>
      </c>
      <c r="AS12" s="5">
        <f t="shared" si="26"/>
        <v>0</v>
      </c>
      <c r="AT12" s="1010">
        <f t="shared" si="8"/>
        <v>0</v>
      </c>
      <c r="AU12" s="931">
        <f t="shared" si="9"/>
        <v>0</v>
      </c>
      <c r="AV12" s="7" t="b">
        <f t="shared" si="27"/>
        <v>0</v>
      </c>
      <c r="AW12" s="439">
        <f t="shared" si="10"/>
        <v>0</v>
      </c>
      <c r="AX12" s="1040">
        <f t="shared" si="28"/>
        <v>0</v>
      </c>
      <c r="AY12" s="439">
        <f>IF(SUM(P9:P18)&gt;0,20-AY8/SUM(P9:P18)*SUM(P12:P18),20)</f>
        <v>20</v>
      </c>
      <c r="BA12" s="341">
        <f t="shared" si="29"/>
        <v>1</v>
      </c>
      <c r="BB12" s="1504">
        <f t="shared" si="30"/>
        <v>1</v>
      </c>
      <c r="BC12" s="274">
        <v>6</v>
      </c>
      <c r="BD12" s="324" t="str">
        <f>N35</f>
        <v/>
      </c>
      <c r="BE12" s="325"/>
      <c r="BF12" s="323">
        <f>L34</f>
        <v>0</v>
      </c>
      <c r="BG12" s="274" t="b">
        <f t="shared" si="0"/>
        <v>0</v>
      </c>
      <c r="BH12" s="946">
        <f>IF(N35&lt;&gt;"",IF(SUMIF(Bau!$K$59:$K$92,J35,Bau!$K$59:$K$92)=0,1,IF(SUMIF(Bau!$K$59:$K$92,J35,Bau!$K$59:$K$92)&gt;J35,1,SUMIF(Bau!$K$59:$K$92,J35,Bau!$T$57:$T$92))),1)</f>
        <v>1</v>
      </c>
      <c r="BI12" s="947">
        <f>IF(N35&lt;&gt;"",IF(SUMIF(Bau!$K$59:$K$92,J35,Bau!$K$59:$K$92)=0,1,IF(SUMIF(Bau!$K$59:$K$92,J35,Bau!$K$59:$K$92)&gt;J35,1,SUMIF(Bau!$K$59:$K$92,J35,Bau!$AE$50:$AE$91))),1)</f>
        <v>1</v>
      </c>
      <c r="BJ12" s="947">
        <f>IF(N35&lt;&gt;"",IF(SUMIF(Bau!$K$59:$K$92,J35,Bau!$K$59:$K$92)=0,1,IF(SUMIF(Bau!$K$59:$K$92,J35,Bau!$K$59:$K$92)&gt;J35,1,SUMIF(Bau!$K$59:$K$92,J35,Bau!$AF$50:$AF$91))),1)</f>
        <v>1</v>
      </c>
      <c r="BK12" s="948">
        <f>IF(N35&lt;&gt;"",IF(SUMIF(Bau!$K$59:$K$92,J35,Bau!$K$59:$K$92)=0,1,IF(SUMIF(Bau!$K$59:$K$92,J35,Bau!$K$59:$K$92)&gt;J35,1,SUMIF(Bau!$K$59:$K$92,J35,Bau!$AG$50:$AG$91))),1)</f>
        <v>1</v>
      </c>
      <c r="BL12" s="325">
        <f>SUM(N38:N44)/100</f>
        <v>0</v>
      </c>
      <c r="BM12" s="945">
        <f>IF(N35&lt;&gt;"",IF(SUMIF(Bau!$K$59:$K$92,J35,Bau!$K$59:$K$92)=0,0,IF(SUMIF(Bau!$K$59:$K$92,J35,Bau!$K$59:$K$92)&gt;J35,0,SUMIF(Bau!$K$59:$K$92,J35,Bau!$AH$50:$AH$91))),)</f>
        <v>0</v>
      </c>
      <c r="BN12" s="945">
        <f>IF(N35&lt;&gt;"",IF(SUMIF(Bau!$K$59:$K$92,J35,Bau!$K$59:$K$92)&gt;J35,2,1),1)</f>
        <v>1</v>
      </c>
      <c r="BP12" s="118" t="str">
        <f>Bauteile!C12</f>
        <v>3-IV, fente pour l'air</v>
      </c>
      <c r="BQ12" s="325">
        <v>6</v>
      </c>
      <c r="BR12" s="1501" t="str">
        <f>Bauteile!L33</f>
        <v>Catégorie V,  Profiles collés isolés, valeur U 2.8 W/m2K</v>
      </c>
      <c r="BS12" s="1496">
        <v>6</v>
      </c>
      <c r="BU12" s="2098" t="str">
        <f>Bauteile!B64</f>
        <v>Acier inoxydable</v>
      </c>
      <c r="BV12" s="1872">
        <f>Bauteile!H64</f>
        <v>17</v>
      </c>
      <c r="BW12" s="2098" t="str">
        <f>Bauteile!B308</f>
        <v>Panneau isolant Flumroc 3</v>
      </c>
      <c r="BX12" s="2056">
        <f>Bauteile!H308</f>
        <v>3.3000000000000002E-2</v>
      </c>
    </row>
    <row r="13" spans="2:83" s="116" customFormat="1" ht="15.6" customHeight="1">
      <c r="B13" s="11">
        <v>5</v>
      </c>
      <c r="C13" s="2212"/>
      <c r="D13" s="2213"/>
      <c r="E13" s="2214"/>
      <c r="F13" s="26"/>
      <c r="G13" s="59">
        <f>INDEX(Bauteile!$H$57:$H$1159,BA13)</f>
        <v>0</v>
      </c>
      <c r="H13" s="312">
        <f t="shared" si="11"/>
        <v>0</v>
      </c>
      <c r="J13" s="11">
        <v>5</v>
      </c>
      <c r="K13" s="2212"/>
      <c r="L13" s="2213"/>
      <c r="M13" s="2214"/>
      <c r="N13" s="26"/>
      <c r="O13" s="59">
        <f>INDEX(Bauteile!$H$57:$H$1159,BB13)</f>
        <v>0</v>
      </c>
      <c r="P13" s="312">
        <f t="shared" si="12"/>
        <v>0</v>
      </c>
      <c r="Q13" s="250"/>
      <c r="S13" s="1039">
        <f t="shared" si="13"/>
        <v>0</v>
      </c>
      <c r="T13" s="989">
        <f>IF(SUM(H9:H18)&gt;0,20-T8/SUM(H9:H18)*SUM(H9:H13),20)</f>
        <v>20</v>
      </c>
      <c r="U13" s="1033">
        <f>INDEX(Bauteile!$I$57:$I$1159,BA13)</f>
        <v>0</v>
      </c>
      <c r="V13" s="997">
        <f t="shared" si="14"/>
        <v>0</v>
      </c>
      <c r="W13" s="1006">
        <f t="shared" si="15"/>
        <v>0</v>
      </c>
      <c r="X13" s="563">
        <f t="shared" si="1"/>
        <v>0</v>
      </c>
      <c r="Y13" s="931">
        <f t="shared" si="16"/>
        <v>0</v>
      </c>
      <c r="Z13" s="563" t="b">
        <f t="shared" si="17"/>
        <v>0</v>
      </c>
      <c r="AA13" s="439">
        <f t="shared" si="2"/>
        <v>0</v>
      </c>
      <c r="AB13" s="1009">
        <f t="shared" si="18"/>
        <v>0</v>
      </c>
      <c r="AC13" s="1010">
        <f t="shared" si="3"/>
        <v>0</v>
      </c>
      <c r="AD13" s="931">
        <f t="shared" si="4"/>
        <v>0</v>
      </c>
      <c r="AE13" s="7" t="b">
        <f t="shared" si="19"/>
        <v>0</v>
      </c>
      <c r="AF13" s="439">
        <f t="shared" si="5"/>
        <v>0</v>
      </c>
      <c r="AG13" s="1040">
        <f t="shared" si="20"/>
        <v>0</v>
      </c>
      <c r="AH13" s="439">
        <f>IF(SUM(H9:H18)&gt;0,20-AH8/SUM(H9:H18)*SUM(H13:H18),20)</f>
        <v>20</v>
      </c>
      <c r="AI13" s="2"/>
      <c r="AJ13" s="1039">
        <f t="shared" si="21"/>
        <v>0</v>
      </c>
      <c r="AK13" s="989">
        <f>IF(SUM(P9:P18)&gt;0,20-AK8/SUM(P9:P18)*SUM(P9:P13),20)</f>
        <v>20</v>
      </c>
      <c r="AL13" s="1033">
        <f>INDEX(Bauteile!$I$57:$I$1159,BB13)</f>
        <v>0</v>
      </c>
      <c r="AM13" s="997">
        <f t="shared" si="22"/>
        <v>0</v>
      </c>
      <c r="AN13" s="1006">
        <f t="shared" si="23"/>
        <v>0</v>
      </c>
      <c r="AO13" s="563">
        <f t="shared" si="6"/>
        <v>0</v>
      </c>
      <c r="AP13" s="931">
        <f t="shared" si="24"/>
        <v>0</v>
      </c>
      <c r="AQ13" s="7" t="b">
        <f t="shared" si="25"/>
        <v>0</v>
      </c>
      <c r="AR13" s="439">
        <f t="shared" si="7"/>
        <v>0</v>
      </c>
      <c r="AS13" s="5">
        <f t="shared" si="26"/>
        <v>0</v>
      </c>
      <c r="AT13" s="1010">
        <f t="shared" si="8"/>
        <v>0</v>
      </c>
      <c r="AU13" s="931">
        <f t="shared" si="9"/>
        <v>0</v>
      </c>
      <c r="AV13" s="7" t="b">
        <f t="shared" si="27"/>
        <v>0</v>
      </c>
      <c r="AW13" s="439">
        <f t="shared" si="10"/>
        <v>0</v>
      </c>
      <c r="AX13" s="1040">
        <f t="shared" si="28"/>
        <v>0</v>
      </c>
      <c r="AY13" s="439">
        <f>IF(SUM(P9:P18)&gt;0,20-AY8/SUM(P9:P18)*SUM(P13:P18),20)</f>
        <v>20</v>
      </c>
      <c r="BA13" s="341">
        <f t="shared" si="29"/>
        <v>1</v>
      </c>
      <c r="BB13" s="1504">
        <f t="shared" si="30"/>
        <v>1</v>
      </c>
      <c r="BC13" s="274">
        <v>7</v>
      </c>
      <c r="BD13" s="324" t="str">
        <f>F49</f>
        <v/>
      </c>
      <c r="BE13" s="325"/>
      <c r="BF13" s="323">
        <f>D48</f>
        <v>0</v>
      </c>
      <c r="BG13" s="274" t="b">
        <f t="shared" si="0"/>
        <v>0</v>
      </c>
      <c r="BH13" s="946">
        <f>IF(F49&lt;&gt;"",IF(SUMIF(Bau!$K$59:$K$92,B49,Bau!$K$59:$K$92)=0,1,IF(SUMIF(Bau!$K$59:$K$92,B49,Bau!$K$59:$K$92)&gt;B49,1,SUMIF(Bau!$K$59:$K$92,B49,Bau!$T$57:$T$92))),1)</f>
        <v>1</v>
      </c>
      <c r="BI13" s="947">
        <f>IF(F49&lt;&gt;"",IF(SUMIF(Bau!$K$59:$K$92,B49,Bau!$K$59:$K$92)=0,1,IF(SUMIF(Bau!$K$59:$K$92,B49,Bau!$K$59:$K$92)&gt;B49,1,SUMIF(Bau!$K$59:$K$92,B49,Bau!$AE$50:$AE$91))),1)</f>
        <v>1</v>
      </c>
      <c r="BJ13" s="947">
        <f>IF(F49&lt;&gt;"",IF(SUMIF(Bau!$K$59:$K$92,B49,Bau!$K$59:$K$92)=0,1,IF(SUMIF(Bau!$K$59:$K$92,B49,Bau!$K$59:$K$92)&gt;B49,1,SUMIF(Bau!$K$59:$K$92,B49,Bau!$AF$50:$AF$91))),1)</f>
        <v>1</v>
      </c>
      <c r="BK13" s="948">
        <f>IF(F49&lt;&gt;"",IF(SUMIF(Bau!$K$59:$K$92,B49,Bau!$K$59:$K$92)=0,1,IF(SUMIF(Bau!$K$59:$K$92,B49,Bau!$K$59:$K$92)&gt;B49,1,SUMIF(Bau!$K$59:$K$92,B49,Bau!$AG$50:$AG$91))),1)</f>
        <v>1</v>
      </c>
      <c r="BL13" s="325">
        <f>SUM(F52:F58)/100</f>
        <v>0</v>
      </c>
      <c r="BM13" s="945">
        <f>IF(F49&lt;&gt;"",IF(SUMIF(Bau!$K$59:$K$92,B49,Bau!$K$59:$K$92)=0,0,IF(SUMIF(Bau!$K$59:$K$92,B49,Bau!$K$59:$K$92)&gt;B49,0,SUMIF(Bau!$K$59:$K$92,B49,Bau!$AH$50:$AH$91))),)</f>
        <v>0</v>
      </c>
      <c r="BN13" s="945">
        <f>IF(F49&lt;&gt;"",IF(SUMIF(Bau!$K$59:$K$92,B49,Bau!$K$59:$K$92)&gt;B49,2,1),1)</f>
        <v>1</v>
      </c>
      <c r="BP13" s="118" t="str">
        <f>Bauteile!C13</f>
        <v>3-IV, argon</v>
      </c>
      <c r="BQ13" s="325">
        <v>7</v>
      </c>
      <c r="BR13" s="1497"/>
      <c r="BS13" s="1495"/>
      <c r="BU13" s="2098" t="str">
        <f>Bauteile!B65</f>
        <v>Agglomérés creux bois-ciment</v>
      </c>
      <c r="BV13" s="1872">
        <f>Bauteile!H65</f>
        <v>0.12</v>
      </c>
      <c r="BW13" s="2098" t="str">
        <f>Bauteile!B309</f>
        <v>Panneau isolant Flumroc 341</v>
      </c>
      <c r="BX13" s="2056">
        <f>Bauteile!H309</f>
        <v>0.04</v>
      </c>
    </row>
    <row r="14" spans="2:83" s="116" customFormat="1" ht="15.6" customHeight="1">
      <c r="B14" s="11">
        <v>6</v>
      </c>
      <c r="C14" s="2212"/>
      <c r="D14" s="2213"/>
      <c r="E14" s="2214"/>
      <c r="F14" s="26"/>
      <c r="G14" s="59">
        <f>INDEX(Bauteile!$H$57:$H$1159,BA14)</f>
        <v>0</v>
      </c>
      <c r="H14" s="312">
        <f t="shared" si="11"/>
        <v>0</v>
      </c>
      <c r="J14" s="11">
        <v>6</v>
      </c>
      <c r="K14" s="2212"/>
      <c r="L14" s="2213"/>
      <c r="M14" s="2214"/>
      <c r="N14" s="26"/>
      <c r="O14" s="59">
        <f>INDEX(Bauteile!$H$57:$H$1159,BB14)</f>
        <v>0</v>
      </c>
      <c r="P14" s="312">
        <f t="shared" si="12"/>
        <v>0</v>
      </c>
      <c r="Q14" s="250"/>
      <c r="S14" s="1039">
        <f t="shared" si="13"/>
        <v>0</v>
      </c>
      <c r="T14" s="989">
        <f>IF(SUM(H9:H18)&gt;0,20-T8/SUM(H9:H18)*SUM(H9:H14),20)</f>
        <v>20</v>
      </c>
      <c r="U14" s="1033">
        <f>INDEX(Bauteile!$I$57:$I$1159,BA14)</f>
        <v>0</v>
      </c>
      <c r="V14" s="997">
        <f t="shared" si="14"/>
        <v>0</v>
      </c>
      <c r="W14" s="1006">
        <f t="shared" si="15"/>
        <v>0</v>
      </c>
      <c r="X14" s="563">
        <f t="shared" si="1"/>
        <v>0</v>
      </c>
      <c r="Y14" s="931">
        <f t="shared" si="16"/>
        <v>0</v>
      </c>
      <c r="Z14" s="563" t="b">
        <f t="shared" si="17"/>
        <v>0</v>
      </c>
      <c r="AA14" s="439">
        <f t="shared" si="2"/>
        <v>0</v>
      </c>
      <c r="AB14" s="1009">
        <f t="shared" si="18"/>
        <v>0</v>
      </c>
      <c r="AC14" s="1010">
        <f t="shared" si="3"/>
        <v>0</v>
      </c>
      <c r="AD14" s="931">
        <f t="shared" si="4"/>
        <v>0</v>
      </c>
      <c r="AE14" s="7" t="b">
        <f t="shared" si="19"/>
        <v>0</v>
      </c>
      <c r="AF14" s="439">
        <f t="shared" si="5"/>
        <v>0</v>
      </c>
      <c r="AG14" s="1040">
        <f t="shared" si="20"/>
        <v>0</v>
      </c>
      <c r="AH14" s="439">
        <f>IF(SUM(H9:H18)&gt;0,20-AH8/SUM(H9:H18)*SUM(H14:H18),20)</f>
        <v>20</v>
      </c>
      <c r="AI14" s="2"/>
      <c r="AJ14" s="1039">
        <f t="shared" si="21"/>
        <v>0</v>
      </c>
      <c r="AK14" s="989">
        <f>IF(SUM(P9:P18)&gt;0,20-AK8/SUM(P9:P18)*SUM(P9:P14),20)</f>
        <v>20</v>
      </c>
      <c r="AL14" s="1033">
        <f>INDEX(Bauteile!$I$57:$I$1159,BB14)</f>
        <v>0</v>
      </c>
      <c r="AM14" s="997">
        <f t="shared" si="22"/>
        <v>0</v>
      </c>
      <c r="AN14" s="1006">
        <f t="shared" si="23"/>
        <v>0</v>
      </c>
      <c r="AO14" s="563">
        <f t="shared" si="6"/>
        <v>0</v>
      </c>
      <c r="AP14" s="931">
        <f t="shared" si="24"/>
        <v>0</v>
      </c>
      <c r="AQ14" s="7" t="b">
        <f t="shared" si="25"/>
        <v>0</v>
      </c>
      <c r="AR14" s="439">
        <f t="shared" si="7"/>
        <v>0</v>
      </c>
      <c r="AS14" s="5">
        <f t="shared" si="26"/>
        <v>0</v>
      </c>
      <c r="AT14" s="1010">
        <f t="shared" si="8"/>
        <v>0</v>
      </c>
      <c r="AU14" s="931">
        <f t="shared" si="9"/>
        <v>0</v>
      </c>
      <c r="AV14" s="7" t="b">
        <f t="shared" si="27"/>
        <v>0</v>
      </c>
      <c r="AW14" s="439">
        <f t="shared" si="10"/>
        <v>0</v>
      </c>
      <c r="AX14" s="1040">
        <f t="shared" si="28"/>
        <v>0</v>
      </c>
      <c r="AY14" s="439">
        <f>IF(SUM(P9:P18)&gt;0,20-AY8/SUM(P9:P18)*SUM(P14:P18),20)</f>
        <v>20</v>
      </c>
      <c r="BA14" s="341">
        <f t="shared" si="29"/>
        <v>1</v>
      </c>
      <c r="BB14" s="1504">
        <f t="shared" si="30"/>
        <v>1</v>
      </c>
      <c r="BC14" s="274">
        <v>8</v>
      </c>
      <c r="BD14" s="324" t="str">
        <f>N49</f>
        <v/>
      </c>
      <c r="BE14" s="325"/>
      <c r="BF14" s="323">
        <f>L48</f>
        <v>0</v>
      </c>
      <c r="BG14" s="274" t="b">
        <f t="shared" si="0"/>
        <v>0</v>
      </c>
      <c r="BH14" s="946">
        <f>IF(N49&lt;&gt;"",IF(SUMIF(Bau!$K$59:$K$92,J49,Bau!$K$59:$K$92)=0,1,IF(SUMIF(Bau!$K$59:$K$92,J49,Bau!$K$59:$K$92)&gt;J49,1,SUMIF(Bau!$K$59:$K$92,J49,Bau!$T$57:$T$92))),1)</f>
        <v>1</v>
      </c>
      <c r="BI14" s="947">
        <f>IF(N49&lt;&gt;"",IF(SUMIF(Bau!$K$59:$K$92,J49,Bau!$K$59:$K$92)=0,1,IF(SUMIF(Bau!$K$59:$K$92,J49,Bau!$K$59:$K$92)&gt;J49,1,SUMIF(Bau!$K$59:$K$92,J49,Bau!$AE$50:$AE$91))),1)</f>
        <v>1</v>
      </c>
      <c r="BJ14" s="947">
        <f>IF(N49&lt;&gt;"",IF(SUMIF(Bau!$K$59:$K$92,J49,Bau!$K$59:$K$92)=0,1,IF(SUMIF(Bau!$K$59:$K$92,J49,Bau!$K$59:$K$92)&gt;J49,1,SUMIF(Bau!$K$59:$K$92,J49,Bau!$AF$50:$AF$91))),1)</f>
        <v>1</v>
      </c>
      <c r="BK14" s="948">
        <f>IF(N49&lt;&gt;"",IF(SUMIF(Bau!$K$59:$K$92,J49,Bau!$K$59:$K$92)=0,1,IF(SUMIF(Bau!$K$59:$K$92,J49,Bau!$K$59:$K$92)&gt;J49,1,SUMIF(Bau!$K$59:$K$92,J49,Bau!$AG$50:$AG$91))),1)</f>
        <v>1</v>
      </c>
      <c r="BL14" s="325">
        <f>SUM(N52:N58)/100</f>
        <v>0</v>
      </c>
      <c r="BM14" s="945">
        <f>IF(N49&lt;&gt;"",IF(SUMIF(Bau!$K$59:$K$92,J49,Bau!$K$59:$K$92)=0,0,IF(SUMIF(Bau!$K$59:$K$92,J49,Bau!$K$59:$K$92)&gt;J49,0,SUMIF(Bau!$K$59:$K$92,J49,Bau!$AH$50:$AH$91))),)</f>
        <v>0</v>
      </c>
      <c r="BN14" s="945">
        <f>IF(N49&lt;&gt;"",IF(SUMIF(Bau!$K$59:$K$92,J49,Bau!$K$59:$K$92)&gt;J49,2,1),1)</f>
        <v>1</v>
      </c>
      <c r="BP14" s="118" t="str">
        <f>Bauteile!C14</f>
        <v>2-IV-IR, valeur U (verre) 1.8 W/m2K</v>
      </c>
      <c r="BQ14" s="325">
        <v>8</v>
      </c>
      <c r="BR14" s="1497"/>
      <c r="BS14" s="1495"/>
      <c r="BU14" s="2098" t="str">
        <f>Bauteile!B66</f>
        <v>Agglomérés creux en ciment</v>
      </c>
      <c r="BV14" s="1872">
        <f>Bauteile!H66</f>
        <v>0.7</v>
      </c>
      <c r="BW14" s="2098" t="str">
        <f>Bauteile!B310</f>
        <v>Panneau isolant Flumroc DUO / DUO C / DUO D20</v>
      </c>
      <c r="BX14" s="2056">
        <f>Bauteile!H310</f>
        <v>3.4000000000000002E-2</v>
      </c>
    </row>
    <row r="15" spans="2:83" s="116" customFormat="1" ht="15.6" customHeight="1">
      <c r="B15" s="11">
        <v>7</v>
      </c>
      <c r="C15" s="2212"/>
      <c r="D15" s="2213"/>
      <c r="E15" s="2214"/>
      <c r="F15" s="26"/>
      <c r="G15" s="59">
        <f>INDEX(Bauteile!$H$57:$H$1159,BA15)</f>
        <v>0</v>
      </c>
      <c r="H15" s="312">
        <f t="shared" si="11"/>
        <v>0</v>
      </c>
      <c r="J15" s="11">
        <v>7</v>
      </c>
      <c r="K15" s="2212"/>
      <c r="L15" s="2213"/>
      <c r="M15" s="2214"/>
      <c r="N15" s="26"/>
      <c r="O15" s="59">
        <f>INDEX(Bauteile!$H$57:$H$1159,BB15)</f>
        <v>0</v>
      </c>
      <c r="P15" s="312">
        <f t="shared" si="12"/>
        <v>0</v>
      </c>
      <c r="Q15" s="250"/>
      <c r="S15" s="1039">
        <f t="shared" si="13"/>
        <v>0</v>
      </c>
      <c r="T15" s="989">
        <f>IF(SUM(H9:H18)&gt;0,20-T8/SUM(H9:H18)*SUM(H9:H15),20)</f>
        <v>20</v>
      </c>
      <c r="U15" s="1033">
        <f>INDEX(Bauteile!$I$57:$I$1159,BA15)</f>
        <v>0</v>
      </c>
      <c r="V15" s="997">
        <f t="shared" si="14"/>
        <v>0</v>
      </c>
      <c r="W15" s="1006">
        <f t="shared" si="15"/>
        <v>0</v>
      </c>
      <c r="X15" s="563">
        <f t="shared" si="1"/>
        <v>0</v>
      </c>
      <c r="Y15" s="931">
        <f t="shared" si="16"/>
        <v>0</v>
      </c>
      <c r="Z15" s="563" t="b">
        <f t="shared" si="17"/>
        <v>0</v>
      </c>
      <c r="AA15" s="439">
        <f t="shared" si="2"/>
        <v>0</v>
      </c>
      <c r="AB15" s="1009">
        <f t="shared" si="18"/>
        <v>0</v>
      </c>
      <c r="AC15" s="1010">
        <f t="shared" si="3"/>
        <v>0</v>
      </c>
      <c r="AD15" s="931">
        <f t="shared" si="4"/>
        <v>0</v>
      </c>
      <c r="AE15" s="7" t="b">
        <f t="shared" si="19"/>
        <v>0</v>
      </c>
      <c r="AF15" s="439">
        <f t="shared" si="5"/>
        <v>0</v>
      </c>
      <c r="AG15" s="1040">
        <f t="shared" si="20"/>
        <v>0</v>
      </c>
      <c r="AH15" s="439">
        <f>IF(SUM(H9:H18)&gt;0,20-AH8/SUM(H9:H18)*SUM(H15:H18),20)</f>
        <v>20</v>
      </c>
      <c r="AI15" s="2"/>
      <c r="AJ15" s="1039">
        <f t="shared" si="21"/>
        <v>0</v>
      </c>
      <c r="AK15" s="989">
        <f>IF(SUM(P9:P18)&gt;0,20-AK8/SUM(P9:P18)*SUM(P9:P15),20)</f>
        <v>20</v>
      </c>
      <c r="AL15" s="1033">
        <f>INDEX(Bauteile!$I$57:$I$1159,BB15)</f>
        <v>0</v>
      </c>
      <c r="AM15" s="997">
        <f t="shared" si="22"/>
        <v>0</v>
      </c>
      <c r="AN15" s="1006">
        <f t="shared" si="23"/>
        <v>0</v>
      </c>
      <c r="AO15" s="563">
        <f t="shared" si="6"/>
        <v>0</v>
      </c>
      <c r="AP15" s="931">
        <f t="shared" si="24"/>
        <v>0</v>
      </c>
      <c r="AQ15" s="7" t="b">
        <f t="shared" si="25"/>
        <v>0</v>
      </c>
      <c r="AR15" s="439">
        <f t="shared" si="7"/>
        <v>0</v>
      </c>
      <c r="AS15" s="5">
        <f t="shared" si="26"/>
        <v>0</v>
      </c>
      <c r="AT15" s="1010">
        <f t="shared" si="8"/>
        <v>0</v>
      </c>
      <c r="AU15" s="931">
        <f t="shared" si="9"/>
        <v>0</v>
      </c>
      <c r="AV15" s="7" t="b">
        <f t="shared" si="27"/>
        <v>0</v>
      </c>
      <c r="AW15" s="439">
        <f t="shared" si="10"/>
        <v>0</v>
      </c>
      <c r="AX15" s="1040">
        <f t="shared" si="28"/>
        <v>0</v>
      </c>
      <c r="AY15" s="439">
        <f>IF(SUM(P9:P18)&gt;0,20-AY8/SUM(P9:P18)*SUM(P15:P18),20)</f>
        <v>20</v>
      </c>
      <c r="BA15" s="341">
        <f t="shared" si="29"/>
        <v>1</v>
      </c>
      <c r="BB15" s="1504">
        <f t="shared" si="30"/>
        <v>1</v>
      </c>
      <c r="BC15" s="274">
        <v>9</v>
      </c>
      <c r="BD15" s="324" t="str">
        <f>F63</f>
        <v/>
      </c>
      <c r="BE15" s="325"/>
      <c r="BF15" s="323">
        <f>D62</f>
        <v>0</v>
      </c>
      <c r="BG15" s="274" t="b">
        <f t="shared" si="0"/>
        <v>0</v>
      </c>
      <c r="BH15" s="946">
        <f>IF(F63&lt;&gt;"",IF(SUMIF(Bau!$K$59:$K$92,B63,Bau!$K$59:$K$92)=0,1,IF(SUMIF(Bau!$K$59:$K$92,B63,Bau!$K$59:$K$92)&gt;B63,1,SUMIF(Bau!$K$59:$K$92,B63,Bau!$T$57:$T$92))),1)</f>
        <v>1</v>
      </c>
      <c r="BI15" s="947">
        <f>IF(F63&lt;&gt;"",IF(SUMIF(Bau!$K$59:$K$92,B63,Bau!$K$59:$K$92)=0,1,IF(SUMIF(Bau!$K$59:$K$92,B63,Bau!$K$59:$K$92)&gt;B63,1,SUMIF(Bau!$K$59:$K$92,B63,Bau!$AE$50:$AE$91))),1)</f>
        <v>1</v>
      </c>
      <c r="BJ15" s="947">
        <f>IF(F63&lt;&gt;"",IF(SUMIF(Bau!$K$59:$K$92,B63,Bau!$K$59:$K$92)=0,1,IF(SUMIF(Bau!$K$59:$K$92,B63,Bau!$K$59:$K$92)&gt;B63,1,SUMIF(Bau!$K$59:$K$92,B63,Bau!$AF$50:$AF$91))),1)</f>
        <v>1</v>
      </c>
      <c r="BK15" s="948">
        <f>IF(F63&lt;&gt;"",IF(SUMIF(Bau!$K$59:$K$92,B63,Bau!$K$59:$K$92)=0,1,IF(SUMIF(Bau!$K$59:$K$92,B63,Bau!$K$59:$K$92)&gt;B63,1,SUMIF(Bau!$K$59:$K$92,B63,Bau!$AG$50:$AG$91))),1)</f>
        <v>1</v>
      </c>
      <c r="BL15" s="325">
        <f>SUM(F66:F72)/100</f>
        <v>0</v>
      </c>
      <c r="BM15" s="945">
        <f>IF(F63&lt;&gt;"",IF(SUMIF(Bau!$K$59:$K$92,B63,Bau!$K$59:$K$92)=0,0,IF(SUMIF(Bau!$K$59:$K$92,B63,Bau!$K$59:$K$92)&gt;B63,0,SUMIF(Bau!$K$59:$K$92,B63,Bau!$AH$50:$AH$91))),)</f>
        <v>0</v>
      </c>
      <c r="BN15" s="945">
        <f>IF(F63&lt;&gt;"",IF(SUMIF(Bau!$K$59:$K$92,B63,Bau!$K$59:$K$92)&gt;B63,2,1),1)</f>
        <v>1</v>
      </c>
      <c r="BP15" s="118" t="str">
        <f>Bauteile!C15</f>
        <v>2-IV-IR, valeur U (verre) 1.7 W/m2K</v>
      </c>
      <c r="BQ15" s="325">
        <v>9</v>
      </c>
      <c r="BR15" s="1497"/>
      <c r="BS15" s="1495"/>
      <c r="BU15" s="2098" t="str">
        <f>Bauteile!B67</f>
        <v>Agglomérés pleins en ciment</v>
      </c>
      <c r="BV15" s="1872">
        <f>Bauteile!H67</f>
        <v>1.1000000000000001</v>
      </c>
      <c r="BW15" s="2098" t="str">
        <f>Bauteile!B311</f>
        <v>Panneau isolant Flumroc ECCO</v>
      </c>
      <c r="BX15" s="2056">
        <f>Bauteile!H311</f>
        <v>3.5999999999999997E-2</v>
      </c>
    </row>
    <row r="16" spans="2:83" s="116" customFormat="1" ht="15.6" customHeight="1" thickBot="1">
      <c r="B16" s="11">
        <v>8</v>
      </c>
      <c r="C16" s="2212"/>
      <c r="D16" s="2213"/>
      <c r="E16" s="2214"/>
      <c r="F16" s="26"/>
      <c r="G16" s="59">
        <f>INDEX(Bauteile!$H$57:$H$1159,BA16)</f>
        <v>0</v>
      </c>
      <c r="H16" s="312">
        <f t="shared" si="11"/>
        <v>0</v>
      </c>
      <c r="J16" s="11">
        <v>8</v>
      </c>
      <c r="K16" s="2212"/>
      <c r="L16" s="2213"/>
      <c r="M16" s="2214"/>
      <c r="N16" s="26"/>
      <c r="O16" s="59">
        <f>INDEX(Bauteile!$H$57:$H$1159,BB16)</f>
        <v>0</v>
      </c>
      <c r="P16" s="312">
        <f t="shared" si="12"/>
        <v>0</v>
      </c>
      <c r="Q16" s="250"/>
      <c r="S16" s="1041">
        <f t="shared" si="13"/>
        <v>0</v>
      </c>
      <c r="T16" s="1014">
        <f>IF(SUM(H9:H18)&gt;0,20-T8/SUM(H9:H18)*SUM(H9:H16),20)</f>
        <v>20</v>
      </c>
      <c r="U16" s="1033">
        <f>INDEX(Bauteile!$I$57:$I$1159,BA16)</f>
        <v>0</v>
      </c>
      <c r="V16" s="997">
        <f t="shared" si="14"/>
        <v>0</v>
      </c>
      <c r="W16" s="1004">
        <f t="shared" si="15"/>
        <v>0</v>
      </c>
      <c r="X16" s="11"/>
      <c r="Y16" s="1042">
        <f t="shared" si="16"/>
        <v>0</v>
      </c>
      <c r="Z16" s="11" t="b">
        <f t="shared" si="17"/>
        <v>0</v>
      </c>
      <c r="AA16" s="1043"/>
      <c r="AB16" s="1011">
        <f t="shared" si="18"/>
        <v>0</v>
      </c>
      <c r="AC16" s="1012">
        <f>V16*U16</f>
        <v>0</v>
      </c>
      <c r="AD16" s="1042">
        <f>IF(AND(AB16&gt;0,AC16&gt;0),Ak/AC16-Bk/AB16,)</f>
        <v>0</v>
      </c>
      <c r="AE16" s="9" t="b">
        <f t="shared" si="19"/>
        <v>0</v>
      </c>
      <c r="AF16" s="1043"/>
      <c r="AG16" s="1044">
        <f t="shared" si="20"/>
        <v>0</v>
      </c>
      <c r="AH16" s="1043">
        <f>IF(SUM(H9:H18)&gt;0,20-AH8/SUM(H9:H18)*SUM(H16:H18),20)</f>
        <v>20</v>
      </c>
      <c r="AI16" s="2"/>
      <c r="AJ16" s="1041">
        <f t="shared" si="21"/>
        <v>0</v>
      </c>
      <c r="AK16" s="1014">
        <f>IF(SUM(P9:P18)&gt;0,20-AK8/SUM(P9:P18)*SUM(P9:P16),20)</f>
        <v>20</v>
      </c>
      <c r="AL16" s="1033">
        <f>INDEX(Bauteile!$I$57:$I$1159,BB16)</f>
        <v>0</v>
      </c>
      <c r="AM16" s="997">
        <f t="shared" si="22"/>
        <v>0</v>
      </c>
      <c r="AN16" s="1004">
        <f t="shared" si="23"/>
        <v>0</v>
      </c>
      <c r="AO16" s="11"/>
      <c r="AP16" s="1042">
        <f t="shared" si="24"/>
        <v>0</v>
      </c>
      <c r="AQ16" s="9" t="b">
        <f t="shared" si="25"/>
        <v>0</v>
      </c>
      <c r="AR16" s="1043"/>
      <c r="AS16" s="10">
        <f t="shared" si="26"/>
        <v>0</v>
      </c>
      <c r="AT16" s="1012">
        <f>AM16*AL16</f>
        <v>0</v>
      </c>
      <c r="AU16" s="1042">
        <f>IF(AND(AS16&gt;0,AT16&gt;0),Ak/AT16-Bk/AS16,)</f>
        <v>0</v>
      </c>
      <c r="AV16" s="9" t="b">
        <f t="shared" si="27"/>
        <v>0</v>
      </c>
      <c r="AW16" s="1043"/>
      <c r="AX16" s="1044">
        <f t="shared" si="28"/>
        <v>0</v>
      </c>
      <c r="AY16" s="1043">
        <f>IF(SUM(P9:P18)&gt;0,20-AY8/SUM(P9:P18)*SUM(P16:P18),20)</f>
        <v>20</v>
      </c>
      <c r="BA16" s="341">
        <f t="shared" si="29"/>
        <v>1</v>
      </c>
      <c r="BB16" s="1504">
        <f t="shared" si="30"/>
        <v>1</v>
      </c>
      <c r="BC16" s="274">
        <v>10</v>
      </c>
      <c r="BD16" s="324" t="str">
        <f>N63</f>
        <v/>
      </c>
      <c r="BE16" s="325"/>
      <c r="BF16" s="323">
        <f>L62</f>
        <v>0</v>
      </c>
      <c r="BG16" s="274" t="b">
        <f t="shared" si="0"/>
        <v>0</v>
      </c>
      <c r="BH16" s="946">
        <f>IF(N63&lt;&gt;"",IF(SUMIF(Bau!$K$59:$K$92,J63,Bau!$K$59:$K$92)=0,1,IF(SUMIF(Bau!$K$59:$K$92,J63,Bau!$K$59:$K$92)&gt;J63,1,SUMIF(Bau!$K$59:$K$92,J63,Bau!$T$57:$T$92))),1)</f>
        <v>1</v>
      </c>
      <c r="BI16" s="947">
        <f>IF(N63&lt;&gt;"",IF(SUMIF(Bau!$K$59:$K$92,J63,Bau!$K$59:$K$92)=0,1,IF(SUMIF(Bau!$K$59:$K$92,J63,Bau!$K$59:$K$92)&gt;J63,1,SUMIF(Bau!$K$59:$K$92,J63,Bau!$AE$50:$AE$91))),1)</f>
        <v>1</v>
      </c>
      <c r="BJ16" s="947">
        <f>IF(N63&lt;&gt;"",IF(SUMIF(Bau!$K$59:$K$92,J63,Bau!$K$59:$K$92)=0,1,IF(SUMIF(Bau!$K$59:$K$92,J63,Bau!$K$59:$K$92)&gt;J63,1,SUMIF(Bau!$K$59:$K$92,J63,Bau!$AF$50:$AF$91))),1)</f>
        <v>1</v>
      </c>
      <c r="BK16" s="948">
        <f>IF(N63&lt;&gt;"",IF(SUMIF(Bau!$K$59:$K$92,J63,Bau!$K$59:$K$92)=0,1,IF(SUMIF(Bau!$K$59:$K$92,J63,Bau!$K$59:$K$92)&gt;J63,1,SUMIF(Bau!$K$59:$K$92,J63,Bau!$AG$50:$AG$91))),1)</f>
        <v>1</v>
      </c>
      <c r="BL16" s="325">
        <f>SUM(N66:N72)/100</f>
        <v>0</v>
      </c>
      <c r="BM16" s="945">
        <f>IF(N63&lt;&gt;"",IF(SUMIF(Bau!$K$59:$K$92,J63,Bau!$K$59:$K$92)=0,0,IF(SUMIF(Bau!$K$59:$K$92,J63,Bau!$K$59:$K$92)&gt;J63,0,SUMIF(Bau!$K$59:$K$92,J63,Bau!$AH$50:$AH$91))),)</f>
        <v>0</v>
      </c>
      <c r="BN16" s="945">
        <f>IF(N63&lt;&gt;"",IF(SUMIF(Bau!$K$59:$K$92,J63,Bau!$K$59:$K$92)&gt;J63,2,1),1)</f>
        <v>1</v>
      </c>
      <c r="BP16" s="118" t="str">
        <f>Bauteile!C16</f>
        <v>2-IV-IR, valeur U (verre) 1.6 W/m2K</v>
      </c>
      <c r="BQ16" s="325">
        <v>10</v>
      </c>
      <c r="BR16" s="1497"/>
      <c r="BS16" s="1495"/>
      <c r="BU16" s="2098" t="str">
        <f>Bauteile!B68</f>
        <v>Aluminium</v>
      </c>
      <c r="BV16" s="1872">
        <f>Bauteile!H68</f>
        <v>200</v>
      </c>
      <c r="BW16" s="2098" t="str">
        <f>Bauteile!B312</f>
        <v>Panneau isolant Flumroc MEGA</v>
      </c>
      <c r="BX16" s="2056">
        <f>Bauteile!H312</f>
        <v>4.4999999999999998E-2</v>
      </c>
    </row>
    <row r="17" spans="2:78" s="116" customFormat="1" ht="15.6" customHeight="1" thickBot="1">
      <c r="B17" s="11">
        <v>9</v>
      </c>
      <c r="C17" s="2212"/>
      <c r="D17" s="2213"/>
      <c r="E17" s="2214"/>
      <c r="F17" s="10"/>
      <c r="G17" s="610">
        <f>INDEX(Bauteile!$P$284:$P$296,BA17,1)</f>
        <v>0</v>
      </c>
      <c r="H17" s="312">
        <f>IF(G17=0,0,1/G17)</f>
        <v>0</v>
      </c>
      <c r="J17" s="11">
        <v>9</v>
      </c>
      <c r="K17" s="2212"/>
      <c r="L17" s="2213"/>
      <c r="M17" s="2214"/>
      <c r="N17" s="10"/>
      <c r="O17" s="59">
        <f>INDEX(Bauteile!$P$284:$P$296,BB17,1)</f>
        <v>0</v>
      </c>
      <c r="P17" s="312">
        <f>IF(O17=0,0,1/O17)</f>
        <v>0</v>
      </c>
      <c r="Q17" s="250"/>
      <c r="S17" s="1045"/>
      <c r="T17" s="1046"/>
      <c r="U17" s="1047" t="b">
        <f>IF(AND(V7,V8&lt;&gt;TRUE),Z17,IF(AND(V8,V7&lt;&gt;TRUE),AE17,FALSE))</f>
        <v>0</v>
      </c>
      <c r="V17" s="1015" t="str">
        <f>IF(AND(V7,V8&lt;&gt;TRUE),AA17,IF(AND(V8,V7&lt;&gt;TRUE),AF17,""))</f>
        <v/>
      </c>
      <c r="W17" s="990"/>
      <c r="X17" s="991"/>
      <c r="Y17" s="991"/>
      <c r="Z17" s="1048" t="b">
        <f>IF(OR(Z10,Z11,Z12,Z13,Z14,Z15,Z16),TRUE,FALSE)</f>
        <v>0</v>
      </c>
      <c r="AA17" s="993">
        <f>MAX(AA10:AA16)</f>
        <v>0</v>
      </c>
      <c r="AB17" s="990"/>
      <c r="AC17" s="991"/>
      <c r="AD17" s="991"/>
      <c r="AE17" s="1048" t="b">
        <f>IF(OR(AE10,AE11,AE12,AE13,AE14,AE15,AE16),TRUE,FALSE)</f>
        <v>0</v>
      </c>
      <c r="AF17" s="1049">
        <f>MAX(AF10:AF16)</f>
        <v>0</v>
      </c>
      <c r="AG17" s="1045"/>
      <c r="AH17" s="1046"/>
      <c r="AI17" s="2"/>
      <c r="AJ17" s="1045"/>
      <c r="AK17" s="1046"/>
      <c r="AL17" s="1047" t="b">
        <f>IF(AND(AM7,AM8&lt;&gt;TRUE),AQ17,IF(AND(AM8,AM7&lt;&gt;TRUE),AV17,FALSE))</f>
        <v>0</v>
      </c>
      <c r="AM17" s="1015" t="str">
        <f>IF(AND(AM7,AM8&lt;&gt;TRUE),AR17,IF(AND(AM8,AM7&lt;&gt;TRUE),AW17,""))</f>
        <v/>
      </c>
      <c r="AN17" s="990"/>
      <c r="AO17" s="991"/>
      <c r="AP17" s="991"/>
      <c r="AQ17" s="1048" t="b">
        <f>IF(OR(AQ10,AQ11,AQ12,AQ13,AQ14,AQ15,AQ16),TRUE,FALSE)</f>
        <v>0</v>
      </c>
      <c r="AR17" s="1049">
        <f>MAX(AR10:AR16)</f>
        <v>0</v>
      </c>
      <c r="AS17" s="990"/>
      <c r="AT17" s="991"/>
      <c r="AU17" s="991"/>
      <c r="AV17" s="1048" t="b">
        <f>IF(OR(AV10,AV11,AV12,AV13,AV14,AV15,AV16),TRUE,FALSE)</f>
        <v>0</v>
      </c>
      <c r="AW17" s="1049">
        <f>MAX(AW10:AW16)</f>
        <v>0</v>
      </c>
      <c r="AX17" s="1045"/>
      <c r="AY17" s="1046"/>
      <c r="BA17" s="341">
        <f>IF($C17="",1,VLOOKUP($C17,$BR$40:$BS$52,2,FALSE))</f>
        <v>1</v>
      </c>
      <c r="BB17" s="1504">
        <f>IF($K17="",1,VLOOKUP($K17,$BR$40:$BS$52,2,FALSE))</f>
        <v>1</v>
      </c>
      <c r="BC17" s="274">
        <v>11</v>
      </c>
      <c r="BD17" s="324" t="str">
        <f>F84</f>
        <v/>
      </c>
      <c r="BE17" s="325"/>
      <c r="BF17" s="323">
        <f>D83</f>
        <v>0</v>
      </c>
      <c r="BG17" s="274" t="b">
        <f t="shared" si="0"/>
        <v>0</v>
      </c>
      <c r="BH17" s="946">
        <f>IF(F84&lt;&gt;"",IF(SUMIF(Bau!$K$59:$K$92,B84,Bau!$K$59:$K$92)=0,1,IF(SUMIF(Bau!$K$59:$K$92,B84,Bau!$K$59:$K$92)&gt;B84,1,SUMIF(Bau!$K$59:$K$92,B84,Bau!$T$57:$T$92))),1)</f>
        <v>1</v>
      </c>
      <c r="BI17" s="947">
        <f>IF(F84&lt;&gt;"",IF(SUMIF(Bau!$K$59:$K$92,B84,Bau!$K$59:$K$92)=0,1,IF(SUMIF(Bau!$K$59:$K$92,B84,Bau!$K$59:$K$92)&gt;B84,1,SUMIF(Bau!$K$59:$K$92,B84,Bau!$AE$50:$AE$91))),1)</f>
        <v>1</v>
      </c>
      <c r="BJ17" s="947">
        <f>IF(F84&lt;&gt;"",IF(SUMIF(Bau!$K$59:$K$92,B84,Bau!$K$59:$K$92)=0,1,IF(SUMIF(Bau!$K$59:$K$92,B84,Bau!$K$59:$K$92)&gt;B84,1,SUMIF(Bau!$K$59:$K$92,B84,Bau!$AF$50:$AF$91))),1)</f>
        <v>1</v>
      </c>
      <c r="BK17" s="948">
        <f>IF(F84&lt;&gt;"",IF(SUMIF(Bau!$K$59:$K$92,B84,Bau!$K$59:$K$92)=0,1,IF(SUMIF(Bau!$K$59:$K$92,B84,Bau!$K$59:$K$92)&gt;B84,1,SUMIF(Bau!$K$59:$K$92,B84,Bau!$AG$50:$AG$91))),1)</f>
        <v>1</v>
      </c>
      <c r="BL17" s="325">
        <f>SUM(F87:F93)/100</f>
        <v>0</v>
      </c>
      <c r="BM17" s="945">
        <f>IF(F84&lt;&gt;"",IF(SUMIF(Bau!$K$59:$K$92,B84,Bau!$K$59:$K$92)=0,0,IF(SUMIF(Bau!$K$59:$K$92,B84,Bau!$K$59:$K$92)&gt;B84,0,SUMIF(Bau!$K$59:$K$92,B84,Bau!$AH$50:$AH$91))),)</f>
        <v>0</v>
      </c>
      <c r="BN17" s="944">
        <f>IF(F84&lt;&gt;"",IF(SUMIF(Bau!$K$59:$K$92,B84,Bau!$K$59:$K$92)&gt;B84,2,1),1)</f>
        <v>1</v>
      </c>
      <c r="BO17" s="2"/>
      <c r="BP17" s="118" t="str">
        <f>Bauteile!C17</f>
        <v>2-IV-IR, valeur U (verre) 1.5 W/m2K</v>
      </c>
      <c r="BQ17" s="325">
        <v>11</v>
      </c>
      <c r="BR17" s="7"/>
      <c r="BS17" s="5"/>
      <c r="BT17" s="2"/>
      <c r="BU17" s="2098" t="str">
        <f>Bauteile!B69</f>
        <v>Alliages d'aluminium</v>
      </c>
      <c r="BV17" s="1872">
        <f>Bauteile!H69</f>
        <v>160</v>
      </c>
      <c r="BW17" s="2098" t="str">
        <f>Bauteile!B313</f>
        <v>Panneau isolant Flumroc MONO</v>
      </c>
      <c r="BX17" s="2056">
        <f>Bauteile!H313</f>
        <v>3.3000000000000002E-2</v>
      </c>
    </row>
    <row r="18" spans="2:78" s="116" customFormat="1" ht="15.6" customHeight="1">
      <c r="B18" s="11">
        <v>10</v>
      </c>
      <c r="C18" s="2212"/>
      <c r="D18" s="2213"/>
      <c r="E18" s="2214"/>
      <c r="F18" s="10"/>
      <c r="G18" s="59">
        <f>INDEX(Bauteile!$O$280:$O$282,BA18)</f>
        <v>0</v>
      </c>
      <c r="H18" s="312">
        <f>IF(G18=0,0,1/G18)</f>
        <v>0</v>
      </c>
      <c r="J18" s="11">
        <v>10</v>
      </c>
      <c r="K18" s="2212"/>
      <c r="L18" s="2213"/>
      <c r="M18" s="2214"/>
      <c r="N18" s="10"/>
      <c r="O18" s="59">
        <f>INDEX(Bauteile!$O$280:$O$282,BB18)</f>
        <v>0</v>
      </c>
      <c r="P18" s="312">
        <f>IF(O18=0,0,1/O18)</f>
        <v>0</v>
      </c>
      <c r="Q18" s="250"/>
      <c r="S18" s="1017"/>
      <c r="T18" s="250"/>
      <c r="V18" s="27"/>
      <c r="W18" s="27"/>
      <c r="X18" s="27"/>
      <c r="Y18" s="27"/>
      <c r="Z18" s="27"/>
      <c r="AA18" s="27"/>
      <c r="AB18" s="27"/>
      <c r="AC18" s="27"/>
      <c r="AD18" s="27"/>
      <c r="AE18" s="27"/>
      <c r="AF18" s="27"/>
      <c r="AG18" s="27"/>
      <c r="AL18" s="2"/>
      <c r="AM18" s="2"/>
      <c r="AN18" s="2"/>
      <c r="AO18" s="2"/>
      <c r="AP18" s="2"/>
      <c r="AQ18" s="2"/>
      <c r="AR18" s="2"/>
      <c r="AS18" s="2"/>
      <c r="AT18" s="2"/>
      <c r="AU18" s="2"/>
      <c r="AV18" s="2"/>
      <c r="AW18" s="2"/>
      <c r="AX18" s="2"/>
      <c r="AZ18" s="27"/>
      <c r="BA18" s="340">
        <f>IF($C18="",3,VLOOKUP($C18,$BR$36:$BS$38,2,FALSE))</f>
        <v>3</v>
      </c>
      <c r="BB18" s="1505">
        <f>IF($K18="",3,VLOOKUP($K18,$BR$36:$BS$38,2,FALSE))</f>
        <v>3</v>
      </c>
      <c r="BC18" s="274">
        <v>12</v>
      </c>
      <c r="BD18" s="324" t="str">
        <f>N84</f>
        <v/>
      </c>
      <c r="BE18" s="325"/>
      <c r="BF18" s="323">
        <f>L83</f>
        <v>0</v>
      </c>
      <c r="BG18" s="274" t="b">
        <f t="shared" si="0"/>
        <v>0</v>
      </c>
      <c r="BH18" s="946">
        <f>IF(N84&lt;&gt;"",IF(SUMIF(Bau!$K$59:$K$92,J84,Bau!$K$59:$K$92)=0,1,IF(SUMIF(Bau!$K$59:$K$92,J84,Bau!$K$59:$K$92)&gt;J84,1,SUMIF(Bau!$K$59:$K$92,J84,Bau!$T$57:$T$92))),1)</f>
        <v>1</v>
      </c>
      <c r="BI18" s="947">
        <f>IF(N84&lt;&gt;"",IF(SUMIF(Bau!$K$59:$K$92,J84,Bau!$K$59:$K$92)=0,1,IF(SUMIF(Bau!$K$59:$K$92,J84,Bau!$K$59:$K$92)&gt;J84,1,SUMIF(Bau!$K$59:$K$92,J84,Bau!$AE$50:$AE$91))),1)</f>
        <v>1</v>
      </c>
      <c r="BJ18" s="947">
        <f>IF(N84&lt;&gt;"",IF(SUMIF(Bau!$K$59:$K$92,J84,Bau!$K$59:$K$92)=0,1,IF(SUMIF(Bau!$K$59:$K$92,J84,Bau!$K$59:$K$92)&gt;J84,1,SUMIF(Bau!$K$59:$K$92,J84,Bau!$AF$50:$AF$91))),1)</f>
        <v>1</v>
      </c>
      <c r="BK18" s="948">
        <f>IF(N84&lt;&gt;"",IF(SUMIF(Bau!$K$59:$K$92,J84,Bau!$K$59:$K$92)=0,1,IF(SUMIF(Bau!$K$59:$K$92,J84,Bau!$K$59:$K$92)&gt;J84,1,SUMIF(Bau!$K$59:$K$92,J84,Bau!$AG$50:$AG$91))),1)</f>
        <v>1</v>
      </c>
      <c r="BL18" s="325">
        <f>SUM(N87:N93)/100</f>
        <v>0</v>
      </c>
      <c r="BM18" s="945">
        <f>IF(N84&lt;&gt;"",IF(SUMIF(Bau!$K$59:$K$92,J84,Bau!$K$59:$K$92)=0,0,IF(SUMIF(Bau!$K$59:$K$92,J84,Bau!$K$59:$K$92)&gt;J84,0,SUMIF(Bau!$K$59:$K$92,J84,Bau!$AH$50:$AH$91))),)</f>
        <v>0</v>
      </c>
      <c r="BN18" s="944">
        <f>IF(N84&lt;&gt;"",IF(SUMIF(Bau!$K$59:$K$92,J84,Bau!$K$59:$K$92)&gt;J84,2,1),1)</f>
        <v>1</v>
      </c>
      <c r="BO18" s="2"/>
      <c r="BP18" s="118" t="str">
        <f>Bauteile!C18</f>
        <v>2-IV-IR, valeur U (verre) 1.4 W/m2K</v>
      </c>
      <c r="BQ18" s="325">
        <v>12</v>
      </c>
      <c r="BR18" s="7"/>
      <c r="BS18" s="5"/>
      <c r="BT18" s="2"/>
      <c r="BU18" s="2098" t="str">
        <f>Bauteile!B70</f>
        <v>Argile expansée, lambda 0.11</v>
      </c>
      <c r="BV18" s="1872">
        <f>Bauteile!H70</f>
        <v>0.11</v>
      </c>
      <c r="BW18" s="2098" t="str">
        <f>Bauteile!B314</f>
        <v>Panneau isolant Flumroc PARA</v>
      </c>
      <c r="BX18" s="2056">
        <f>Bauteile!H314</f>
        <v>3.5000000000000003E-2</v>
      </c>
    </row>
    <row r="19" spans="2:78" ht="7.15" customHeight="1">
      <c r="G19" s="28"/>
      <c r="H19" s="28"/>
      <c r="O19" s="28"/>
      <c r="P19" s="28"/>
      <c r="V19" s="27"/>
      <c r="W19" s="27"/>
      <c r="X19" s="27"/>
      <c r="Y19" s="27"/>
      <c r="Z19" s="27"/>
      <c r="AA19" s="27"/>
      <c r="AB19" s="27"/>
      <c r="AC19" s="27"/>
      <c r="AD19" s="27"/>
      <c r="AE19" s="27"/>
      <c r="AF19" s="27"/>
      <c r="AG19" s="27"/>
      <c r="AH19" s="467"/>
      <c r="AI19" s="467"/>
      <c r="AJ19" s="467"/>
      <c r="AK19" s="467"/>
      <c r="AY19" s="4"/>
      <c r="AZ19" s="467"/>
      <c r="BA19" s="467"/>
      <c r="BB19" s="335"/>
      <c r="BC19" s="323">
        <v>13</v>
      </c>
      <c r="BD19" s="324" t="str">
        <f>F98</f>
        <v/>
      </c>
      <c r="BE19" s="325"/>
      <c r="BF19" s="323">
        <f>D97</f>
        <v>0</v>
      </c>
      <c r="BG19" s="274" t="b">
        <f t="shared" si="0"/>
        <v>0</v>
      </c>
      <c r="BH19" s="946">
        <f>IF(F98&lt;&gt;"",IF(SUMIF(Bau!$K$59:$K$92,B98,Bau!$K$59:$K$92)=0,1,IF(SUMIF(Bau!$K$59:$K$92,B98,Bau!$K$59:$K$92)&gt;B98,1,SUMIF(Bau!$K$59:$K$92,B98,Bau!$T$57:$T$92))),1)</f>
        <v>1</v>
      </c>
      <c r="BI19" s="947">
        <f>IF(F98&lt;&gt;"",IF(SUMIF(Bau!$K$59:$K$92,B98,Bau!$K$59:$K$92)=0,1,IF(SUMIF(Bau!$K$59:$K$92,B98,Bau!$K$59:$K$92)&gt;B98,1,SUMIF(Bau!$K$59:$K$92,B98,Bau!$AE$50:$AE$91))),1)</f>
        <v>1</v>
      </c>
      <c r="BJ19" s="947">
        <f>IF(F98&lt;&gt;"",IF(SUMIF(Bau!$K$59:$K$92,B98,Bau!$K$59:$K$92)=0,1,IF(SUMIF(Bau!$K$59:$K$92,B98,Bau!$K$59:$K$92)&gt;B98,1,SUMIF(Bau!$K$59:$K$92,B98,Bau!$AF$50:$AF$91))),1)</f>
        <v>1</v>
      </c>
      <c r="BK19" s="948">
        <f>IF(F98&lt;&gt;"",IF(SUMIF(Bau!$K$59:$K$92,B98,Bau!$K$59:$K$92)=0,1,IF(SUMIF(Bau!$K$59:$K$92,B98,Bau!$K$59:$K$92)&gt;B98,1,SUMIF(Bau!$K$59:$K$92,B98,Bau!$AG$50:$AG$91))),1)</f>
        <v>1</v>
      </c>
      <c r="BL19" s="325">
        <f>SUM(F101:F107)/100</f>
        <v>0</v>
      </c>
      <c r="BM19" s="944">
        <f>IF(F98&lt;&gt;"",IF(SUMIF(Bau!$K$59:$K$92,B98,Bau!$K$59:$K$92)=0,0,IF(SUMIF(Bau!$K$59:$K$92,B98,Bau!$K$59:$K$92)&gt;B98,0,SUMIF(Bau!$K$59:$K$92,B98,Bau!$AH$50:$AH$91))),)</f>
        <v>0</v>
      </c>
      <c r="BN19" s="944">
        <f>IF(F98&lt;&gt;"",IF(SUMIF(Bau!$K$59:$K$92,B98,Bau!$K$59:$K$92)&gt;B98,2,1),1)</f>
        <v>1</v>
      </c>
      <c r="BP19" s="118" t="str">
        <f>Bauteile!C19</f>
        <v>2-IV-IR, valeur U (verre) 1.3 W/m2K</v>
      </c>
      <c r="BQ19" s="325">
        <v>13</v>
      </c>
      <c r="BR19" s="7"/>
      <c r="BS19" s="5"/>
      <c r="BU19" s="2098"/>
      <c r="BV19" s="2051"/>
      <c r="BW19" s="2098" t="str">
        <f>Bauteile!B315</f>
        <v>Panneau isolant Flumroc PRIMA</v>
      </c>
      <c r="BX19" s="2056">
        <f>Bauteile!H315</f>
        <v>3.7999999999999999E-2</v>
      </c>
    </row>
    <row r="20" spans="2:78" ht="15.6" customHeight="1" thickBot="1">
      <c r="B20" s="110" t="s">
        <v>1198</v>
      </c>
      <c r="C20" s="111" t="str">
        <f>C6</f>
        <v>Désignation:</v>
      </c>
      <c r="D20" s="938"/>
      <c r="E20" s="925" t="s">
        <v>438</v>
      </c>
      <c r="F20" s="111" t="str">
        <f>F6</f>
        <v>Valeur U total:</v>
      </c>
      <c r="G20" s="213"/>
      <c r="H20" s="307" t="s">
        <v>1759</v>
      </c>
      <c r="J20" s="110" t="s">
        <v>1198</v>
      </c>
      <c r="K20" s="111" t="str">
        <f>C20</f>
        <v>Désignation:</v>
      </c>
      <c r="L20" s="938"/>
      <c r="M20" s="925" t="s">
        <v>438</v>
      </c>
      <c r="N20" s="111" t="str">
        <f>N6</f>
        <v>Valeur U total:</v>
      </c>
      <c r="O20" s="213"/>
      <c r="P20" s="307" t="s">
        <v>1759</v>
      </c>
      <c r="U20" s="27"/>
      <c r="V20" s="27"/>
      <c r="W20" s="27"/>
      <c r="X20" s="27"/>
      <c r="Y20" s="15"/>
      <c r="Z20" s="15"/>
      <c r="AA20" s="15"/>
      <c r="AB20" s="27"/>
      <c r="AC20" s="27"/>
      <c r="AD20" s="27"/>
      <c r="AE20" s="27"/>
      <c r="AF20" s="27"/>
      <c r="AG20" s="27"/>
      <c r="BA20" s="335"/>
      <c r="BB20" s="335"/>
      <c r="BC20" s="323">
        <v>14</v>
      </c>
      <c r="BD20" s="324">
        <f>T114</f>
        <v>0</v>
      </c>
      <c r="BE20" s="325"/>
      <c r="BF20" s="323">
        <f>L97</f>
        <v>0</v>
      </c>
      <c r="BG20" s="274" t="b">
        <f t="shared" si="0"/>
        <v>0</v>
      </c>
      <c r="BH20" s="946">
        <f>IF(N98&lt;&gt;"",IF(SUMIF(Bau!$K$59:$K$92,J98,Bau!$K$59:$K$92)=0,1,IF(SUMIF(Bau!$K$59:$K$92,J98,Bau!$K$59:$K$92)&gt;J98,1,SUMIF(Bau!$K$59:$K$92,J98,Bau!$T$57:$T$92))),1)</f>
        <v>1</v>
      </c>
      <c r="BI20" s="947">
        <f>IF(N98&lt;&gt;"",IF(SUMIF(Bau!$K$59:$K$92,J98,Bau!$K$59:$K$92)=0,1,IF(SUMIF(Bau!$K$59:$K$92,J98,Bau!$K$59:$K$92)&gt;J98,1,SUMIF(Bau!$K$59:$K$92,J98,Bau!$AE$50:$AE$91))),1)</f>
        <v>1</v>
      </c>
      <c r="BJ20" s="947">
        <f>IF(N98&lt;&gt;"",IF(SUMIF(Bau!$K$59:$K$92,J98,Bau!$K$59:$K$92)=0,1,IF(SUMIF(Bau!$K$59:$K$92,J98,Bau!$K$59:$K$92)&gt;J98,1,SUMIF(Bau!$K$59:$K$92,J98,Bau!$AF$50:$AF$91))),1)</f>
        <v>1</v>
      </c>
      <c r="BK20" s="948">
        <f>IF(N98&lt;&gt;"",IF(SUMIF(Bau!$K$59:$K$92,J98,Bau!$K$59:$K$92)=0,1,IF(SUMIF(Bau!$K$59:$K$92,J98,Bau!$K$59:$K$92)&gt;J98,1,SUMIF(Bau!$K$59:$K$92,J98,Bau!$AG$50:$AG$91))),1)</f>
        <v>1</v>
      </c>
      <c r="BL20" s="325">
        <f>SUM(N101:N107)/100</f>
        <v>0</v>
      </c>
      <c r="BM20" s="944">
        <f>IF(N98&lt;&gt;"",IF(SUMIF(Bau!$K$59:$K$92,J98,Bau!$K$59:$K$92)=0,0,IF(SUMIF(Bau!$K$59:$K$92,J98,Bau!$K$59:$K$92)&gt;J98,0,SUMIF(Bau!$K$59:$K$92,J98,Bau!$AH$50:$AH$91))),)</f>
        <v>0</v>
      </c>
      <c r="BN20" s="944">
        <f>IF(N98&lt;&gt;"",IF(SUMIF(Bau!$K$59:$K$92,J98,Bau!$K$59:$K$92)&gt;J98,2,1),1)</f>
        <v>1</v>
      </c>
      <c r="BP20" s="118" t="str">
        <f>Bauteile!C20</f>
        <v>2-IV-IR, valeur U (verre) 1.2 W/m2K</v>
      </c>
      <c r="BQ20" s="325">
        <v>14</v>
      </c>
      <c r="BR20" s="7"/>
      <c r="BS20" s="5"/>
      <c r="BU20" s="2098" t="str">
        <f>Bauteile!B71</f>
        <v>Argile expansée, lambda 0.13</v>
      </c>
      <c r="BV20" s="1872">
        <f>Bauteile!H71</f>
        <v>0.13</v>
      </c>
      <c r="BW20" s="2098" t="str">
        <f>Bauteile!B316</f>
        <v>Panneau isolant Flumroc SIGMA</v>
      </c>
      <c r="BX20" s="2056">
        <f>Bauteile!H316</f>
        <v>3.5999999999999997E-2</v>
      </c>
    </row>
    <row r="21" spans="2:78" ht="15.6" customHeight="1" thickBot="1">
      <c r="B21" s="19">
        <v>3</v>
      </c>
      <c r="C21" s="2219"/>
      <c r="D21" s="2220"/>
      <c r="E21" s="2221"/>
      <c r="F21" s="313" t="str">
        <f>IF(SUM(H23:H32)&lt;&gt;0,1/SUM(H23:H32),"")</f>
        <v/>
      </c>
      <c r="G21" s="308" t="s">
        <v>245</v>
      </c>
      <c r="H21" s="309" t="str">
        <f>IF(OR(G23=8,G32=8),ROUND(Thetai-(Thetai-Thetamin)*(1/(1/F21)-(1/8)+(1/6))*(1/6),1)&amp;" °C","")</f>
        <v/>
      </c>
      <c r="J21" s="19">
        <v>4</v>
      </c>
      <c r="K21" s="2219"/>
      <c r="L21" s="2220"/>
      <c r="M21" s="2221"/>
      <c r="N21" s="313" t="str">
        <f>IF(SUM(P23:P32)&lt;&gt;0,1/SUM(P23:P32),"")</f>
        <v/>
      </c>
      <c r="O21" s="308" t="s">
        <v>245</v>
      </c>
      <c r="P21" s="309" t="str">
        <f>IF(OR(O23=8,O32=8),ROUND(Thetai-(Thetai-Thetamin)*(1/(1/N21)-(1/8)+(1/6))*(1/6),1)&amp;" °C","")</f>
        <v/>
      </c>
      <c r="S21" s="1018"/>
      <c r="T21" s="987"/>
      <c r="U21" s="1019" t="s">
        <v>451</v>
      </c>
      <c r="V21" s="998" t="b">
        <f>IF(BA23=1,TRUE,FALSE)</f>
        <v>0</v>
      </c>
      <c r="W21" s="1016" t="s">
        <v>453</v>
      </c>
      <c r="X21" s="1000"/>
      <c r="Y21" s="1000"/>
      <c r="Z21" s="1000"/>
      <c r="AA21" s="1000"/>
      <c r="AB21" s="1000"/>
      <c r="AC21" s="1001"/>
      <c r="AD21" s="1001"/>
      <c r="AE21" s="1001"/>
      <c r="AF21" s="1002"/>
      <c r="AG21" s="1020"/>
      <c r="AH21" s="1021"/>
      <c r="AJ21" s="1018"/>
      <c r="AK21" s="987"/>
      <c r="AL21" s="1019" t="s">
        <v>451</v>
      </c>
      <c r="AM21" s="998" t="b">
        <f>IF(BB23=1,TRUE,FALSE)</f>
        <v>0</v>
      </c>
      <c r="AN21" s="1016" t="s">
        <v>460</v>
      </c>
      <c r="AO21" s="1000"/>
      <c r="AP21" s="1000"/>
      <c r="AQ21" s="1000"/>
      <c r="AR21" s="1000"/>
      <c r="AS21" s="1000"/>
      <c r="AT21" s="1001"/>
      <c r="AU21" s="1001"/>
      <c r="AV21" s="1001"/>
      <c r="AW21" s="1002"/>
      <c r="AX21" s="1020"/>
      <c r="AY21" s="1021"/>
      <c r="BA21" s="335"/>
      <c r="BB21" s="335"/>
      <c r="BC21" s="323">
        <v>15</v>
      </c>
      <c r="BD21" s="324" t="str">
        <f>F114</f>
        <v/>
      </c>
      <c r="BE21" s="325" t="str">
        <f>H114</f>
        <v/>
      </c>
      <c r="BF21" s="323">
        <f>D113</f>
        <v>0</v>
      </c>
      <c r="BG21" s="274" t="b">
        <f t="shared" si="0"/>
        <v>0</v>
      </c>
      <c r="BH21" s="946">
        <f>IF(F114&lt;&gt;"",IF(SUMIF(Bau!$K$59:$K$92,B114,Bau!$K$59:$K$92)=0,1,IF(SUMIF(Bau!$K$59:$K$92,B114,Bau!$K$59:$K$92)&gt;B114,1,SUMIF(Bau!$K$59:$K$92,B114,Bau!$T$57:$T$92))),1)</f>
        <v>1</v>
      </c>
      <c r="BI21" s="947">
        <f>IF(F114&lt;&gt;"",IF(SUMIF(Bau!$K$59:$K$92,B114,Bau!$K$59:$K$92)=0,1,IF(SUMIF(Bau!$K$59:$K$92,B114,Bau!$K$59:$K$92)&gt;B114,1,SUMIF(Bau!$K$59:$K$92,B114,Bau!$AE$50:$AE$91))),1)</f>
        <v>1</v>
      </c>
      <c r="BJ21" s="947">
        <f>IF(F114&lt;&gt;"",IF(SUMIF(Bau!$K$59:$K$92,B114,Bau!$K$59:$K$92)=0,1,IF(SUMIF(Bau!$K$59:$K$92,B114,Bau!$K$59:$K$92)&gt;B114,1,SUMIF(Bau!$K$59:$K$92,B114,Bau!$AF$50:$AF$91))),1)</f>
        <v>1</v>
      </c>
      <c r="BK21" s="948">
        <f>IF(F114&lt;&gt;"",IF(SUMIF(Bau!$K$59:$K$92,B114,Bau!$K$59:$K$92)=0,1,IF(SUMIF(Bau!$K$59:$K$92,B114,Bau!$K$59:$K$92)&gt;B114,1,SUMIF(Bau!$K$59:$K$92,B114,Bau!$AG$50:$AG$91))),1)</f>
        <v>1</v>
      </c>
      <c r="BL21" s="325"/>
      <c r="BM21" s="944">
        <f>IF(F114&lt;&gt;"",IF(SUMIF(Bau!$K$59:$K$92,B114,Bau!$K$59:$K$92)=0,0,IF(SUMIF(Bau!$K$59:$K$92,B114,Bau!$K$59:$K$92)&gt;B114,0,SUMIF(Bau!$K$59:$K$92,B114,Bau!$AH$50:$AH$91))),)</f>
        <v>0</v>
      </c>
      <c r="BN21" s="944">
        <f>IF(F114&lt;&gt;"",IF(SUMIF(Bau!$K$59:$K$92,B114,Bau!$K$59:$K$92)&gt;B114,2,1),1)</f>
        <v>1</v>
      </c>
      <c r="BP21" s="118" t="str">
        <f>Bauteile!C21</f>
        <v>2-IV-IR, valeur U (verre) 1.1 W/m2K</v>
      </c>
      <c r="BQ21" s="325">
        <v>15</v>
      </c>
      <c r="BR21" s="7"/>
      <c r="BS21" s="5"/>
      <c r="BU21" s="2098" t="str">
        <f>Bauteile!B72</f>
        <v>Argile expansée, lambda 0.15</v>
      </c>
      <c r="BV21" s="1872">
        <f>Bauteile!H72</f>
        <v>0.15</v>
      </c>
      <c r="BW21" s="2098" t="str">
        <f>Bauteile!B317</f>
        <v>Panneau isolant Flumroc 1</v>
      </c>
      <c r="BX21" s="2056">
        <f>Bauteile!H317</f>
        <v>3.5000000000000003E-2</v>
      </c>
    </row>
    <row r="22" spans="2:78" s="3" customFormat="1" ht="15.6" customHeight="1" thickBot="1">
      <c r="B22" s="2234">
        <f>IF(GraueEnergie,Uebersetzung!D651,IF(AND(U31,V31&gt;0),Uebersetzung!D652&amp;ROUND(V31,0)&amp;" g/m2",))</f>
        <v>0</v>
      </c>
      <c r="C22" s="2235"/>
      <c r="D22" s="2217"/>
      <c r="E22" s="2218"/>
      <c r="F22" s="12" t="s">
        <v>1918</v>
      </c>
      <c r="G22" s="310" t="s">
        <v>1800</v>
      </c>
      <c r="H22" s="311" t="s">
        <v>1801</v>
      </c>
      <c r="J22" s="2234">
        <f>IF(GraueEnergie,Uebersetzung!D651,IF(AND(AL31,AM31&gt;0),Uebersetzung!D652&amp;ROUND(AM31,0)&amp;" g/m2",))</f>
        <v>0</v>
      </c>
      <c r="K22" s="2235"/>
      <c r="L22" s="2217"/>
      <c r="M22" s="2218"/>
      <c r="N22" s="12" t="s">
        <v>1918</v>
      </c>
      <c r="O22" s="310" t="s">
        <v>1800</v>
      </c>
      <c r="P22" s="311" t="s">
        <v>1801</v>
      </c>
      <c r="S22" s="1022" t="s">
        <v>795</v>
      </c>
      <c r="T22" s="1023">
        <f ca="1">20-TaMin-8</f>
        <v>20</v>
      </c>
      <c r="U22" s="1024" t="s">
        <v>452</v>
      </c>
      <c r="V22" s="999" t="b">
        <f>IF(BA32=1,TRUE,FALSE)</f>
        <v>0</v>
      </c>
      <c r="W22" s="992" t="s">
        <v>577</v>
      </c>
      <c r="X22" s="465"/>
      <c r="Y22" s="465"/>
      <c r="Z22" s="465"/>
      <c r="AA22" s="987"/>
      <c r="AB22" s="994" t="s">
        <v>450</v>
      </c>
      <c r="AC22" s="4"/>
      <c r="AD22" s="4"/>
      <c r="AE22" s="4"/>
      <c r="AF22" s="564"/>
      <c r="AG22" s="1022" t="s">
        <v>795</v>
      </c>
      <c r="AH22" s="1023">
        <f ca="1">20-TaMin-8</f>
        <v>20</v>
      </c>
      <c r="AI22" s="2"/>
      <c r="AJ22" s="1022" t="s">
        <v>795</v>
      </c>
      <c r="AK22" s="1023">
        <f ca="1">20-TaMin-8</f>
        <v>20</v>
      </c>
      <c r="AL22" s="1024" t="s">
        <v>452</v>
      </c>
      <c r="AM22" s="999" t="b">
        <f>IF(BB32=1,TRUE,FALSE)</f>
        <v>0</v>
      </c>
      <c r="AN22" s="992" t="s">
        <v>577</v>
      </c>
      <c r="AO22" s="465"/>
      <c r="AP22" s="465"/>
      <c r="AQ22" s="465"/>
      <c r="AR22" s="987"/>
      <c r="AS22" s="994" t="s">
        <v>450</v>
      </c>
      <c r="AT22" s="4"/>
      <c r="AU22" s="4"/>
      <c r="AV22" s="4"/>
      <c r="AW22" s="564"/>
      <c r="AX22" s="1022" t="s">
        <v>795</v>
      </c>
      <c r="AY22" s="1023">
        <f ca="1">20-TaMin-8</f>
        <v>20</v>
      </c>
      <c r="BA22" s="335" t="s">
        <v>2031</v>
      </c>
      <c r="BB22" s="336"/>
      <c r="BC22" s="323">
        <v>16</v>
      </c>
      <c r="BD22" s="324" t="str">
        <f>N114</f>
        <v/>
      </c>
      <c r="BE22" s="325" t="str">
        <f>P114</f>
        <v/>
      </c>
      <c r="BF22" s="323">
        <f>L113</f>
        <v>0</v>
      </c>
      <c r="BG22" s="274" t="b">
        <f t="shared" si="0"/>
        <v>0</v>
      </c>
      <c r="BH22" s="946">
        <f>IF(N114&lt;&gt;"",IF(SUMIF(Bau!$K$59:$K$92,J114,Bau!$K$59:$K$92)=0,1,IF(SUMIF(Bau!$K$59:$K$92,J114,Bau!$K$59:$K$92)&gt;J114,1,SUMIF(Bau!$K$59:$K$92,J114,Bau!$T$57:$T$92))),1)</f>
        <v>1</v>
      </c>
      <c r="BI22" s="947">
        <f>IF(N114&lt;&gt;"",IF(SUMIF(Bau!$K$59:$K$92,J114,Bau!$K$59:$K$92)=0,1,IF(SUMIF(Bau!$K$59:$K$92,J114,Bau!$K$59:$K$92)&gt;J114,1,SUMIF(Bau!$K$59:$K$92,J114,Bau!$AE$50:$AE$91))),1)</f>
        <v>1</v>
      </c>
      <c r="BJ22" s="947">
        <f>IF(N114&lt;&gt;"",IF(SUMIF(Bau!$K$59:$K$92,J114,Bau!$K$59:$K$92)=0,1,IF(SUMIF(Bau!$K$59:$K$92,J114,Bau!$K$59:$K$92)&gt;J114,1,SUMIF(Bau!$K$59:$K$92,J114,Bau!$AF$50:$AF$91))),1)</f>
        <v>1</v>
      </c>
      <c r="BK22" s="948">
        <f>IF(N114&lt;&gt;"",IF(SUMIF(Bau!$K$59:$K$92,J114,Bau!$K$59:$K$92)=0,1,IF(SUMIF(Bau!$K$59:$K$92,J114,Bau!$K$59:$K$92)&gt;J114,1,SUMIF(Bau!$K$59:$K$92,J114,Bau!$AG$50:$AG$91))),1)</f>
        <v>1</v>
      </c>
      <c r="BL22" s="325"/>
      <c r="BM22" s="944">
        <f>IF(N114&lt;&gt;"",IF(SUMIF(Bau!$K$59:$K$92,J114,Bau!$K$59:$K$92)=0,0,IF(SUMIF(Bau!$K$59:$K$92,J114,Bau!$K$59:$K$92)&gt;J114,0,SUMIF(Bau!$K$59:$K$92,J114,Bau!$AH$50:$AH$91))),)</f>
        <v>0</v>
      </c>
      <c r="BN22" s="944">
        <f>IF(N114&lt;&gt;"",IF(SUMIF(Bau!$K$59:$K$92,J114,Bau!$K$59:$K$92)&gt;J114,2,1),1)</f>
        <v>1</v>
      </c>
      <c r="BP22" s="118" t="str">
        <f>Bauteile!C22</f>
        <v>3-IV-IR-IR, valeur U (verre) 1.2 W/m2K</v>
      </c>
      <c r="BQ22" s="325">
        <v>16</v>
      </c>
      <c r="BR22" s="1499"/>
      <c r="BS22" s="1494"/>
      <c r="BU22" s="2098" t="str">
        <f>Bauteile!B73</f>
        <v xml:space="preserve">Asphalte </v>
      </c>
      <c r="BV22" s="1872">
        <f>Bauteile!H73</f>
        <v>7</v>
      </c>
      <c r="BW22" s="2098" t="str">
        <f>Bauteile!B318</f>
        <v>Panneau isolant Flumroc SOLO</v>
      </c>
      <c r="BX22" s="2056">
        <f>Bauteile!H318</f>
        <v>3.5000000000000003E-2</v>
      </c>
    </row>
    <row r="23" spans="2:78" ht="15.6" customHeight="1">
      <c r="B23" s="11">
        <v>1</v>
      </c>
      <c r="C23" s="2212"/>
      <c r="D23" s="2213"/>
      <c r="E23" s="2214"/>
      <c r="F23" s="10"/>
      <c r="G23" s="59">
        <f>INDEX(Bauteile!$O$280:$O$282,BA23)</f>
        <v>0</v>
      </c>
      <c r="H23" s="312">
        <f>IF(G23=0,0,1/G23)</f>
        <v>0</v>
      </c>
      <c r="J23" s="11">
        <v>1</v>
      </c>
      <c r="K23" s="2212"/>
      <c r="L23" s="2213"/>
      <c r="M23" s="2214"/>
      <c r="N23" s="10"/>
      <c r="O23" s="59">
        <f>INDEX(Bauteile!$O$280:$O$282,BB23)</f>
        <v>0</v>
      </c>
      <c r="P23" s="312">
        <f>IF(O23=0,0,1/O23)</f>
        <v>0</v>
      </c>
      <c r="S23" s="1025" t="s">
        <v>796</v>
      </c>
      <c r="T23" s="1026" t="s">
        <v>797</v>
      </c>
      <c r="U23" s="1027" t="s">
        <v>808</v>
      </c>
      <c r="V23" s="996" t="s">
        <v>571</v>
      </c>
      <c r="W23" s="988" t="s">
        <v>570</v>
      </c>
      <c r="X23" s="466" t="s">
        <v>569</v>
      </c>
      <c r="Y23" s="466" t="s">
        <v>103</v>
      </c>
      <c r="Z23" s="1028" t="s">
        <v>572</v>
      </c>
      <c r="AA23" s="1007" t="s">
        <v>572</v>
      </c>
      <c r="AB23" s="988" t="s">
        <v>569</v>
      </c>
      <c r="AC23" s="464" t="s">
        <v>570</v>
      </c>
      <c r="AD23" s="986" t="s">
        <v>103</v>
      </c>
      <c r="AE23" s="1029" t="s">
        <v>572</v>
      </c>
      <c r="AF23" s="1030" t="s">
        <v>572</v>
      </c>
      <c r="AG23" s="1025" t="s">
        <v>796</v>
      </c>
      <c r="AH23" s="1026" t="s">
        <v>797</v>
      </c>
      <c r="AJ23" s="1025" t="s">
        <v>796</v>
      </c>
      <c r="AK23" s="1026" t="s">
        <v>797</v>
      </c>
      <c r="AL23" s="1027" t="s">
        <v>808</v>
      </c>
      <c r="AM23" s="996" t="s">
        <v>571</v>
      </c>
      <c r="AN23" s="988" t="s">
        <v>570</v>
      </c>
      <c r="AO23" s="466" t="s">
        <v>569</v>
      </c>
      <c r="AP23" s="466" t="s">
        <v>103</v>
      </c>
      <c r="AQ23" s="1028" t="s">
        <v>572</v>
      </c>
      <c r="AR23" s="1031" t="s">
        <v>572</v>
      </c>
      <c r="AS23" s="988" t="s">
        <v>569</v>
      </c>
      <c r="AT23" s="464" t="s">
        <v>570</v>
      </c>
      <c r="AU23" s="986" t="s">
        <v>103</v>
      </c>
      <c r="AV23" s="1029" t="s">
        <v>572</v>
      </c>
      <c r="AW23" s="1030" t="s">
        <v>572</v>
      </c>
      <c r="AX23" s="1025" t="s">
        <v>796</v>
      </c>
      <c r="AY23" s="1026" t="s">
        <v>797</v>
      </c>
      <c r="BA23" s="339">
        <f>IF($C23="",3,VLOOKUP($C23,$BR$36:$BS$38,2,FALSE))</f>
        <v>3</v>
      </c>
      <c r="BB23" s="1502">
        <f>IF($K23="",3,VLOOKUP($K23,$BR$36:$BS$38,2,FALSE))</f>
        <v>3</v>
      </c>
      <c r="BC23" s="323">
        <v>17</v>
      </c>
      <c r="BD23" s="324" t="str">
        <f>F123</f>
        <v/>
      </c>
      <c r="BE23" s="325"/>
      <c r="BF23" s="323">
        <f>D122</f>
        <v>0</v>
      </c>
      <c r="BG23" s="274" t="b">
        <f t="shared" si="0"/>
        <v>0</v>
      </c>
      <c r="BH23" s="946">
        <f>IF(F123&lt;&gt;"",IF(SUMIF(Bau!$K$59:$K$92,B123,Bau!$K$59:$K$92)=0,1,IF(SUMIF(Bau!$K$59:$K$92,B123,Bau!$K$59:$K$92)&gt;B123,1,SUMIF(Bau!$K$59:$K$92,B123,Bau!$T$57:$T$92))),1)</f>
        <v>1</v>
      </c>
      <c r="BI23" s="947">
        <f>IF(F123&lt;&gt;"",IF(SUMIF(Bau!$K$59:$K$92,B123,Bau!$K$59:$K$92)=0,1,IF(SUMIF(Bau!$K$59:$K$92,B123,Bau!$K$59:$K$92)&gt;B123,1,SUMIF(Bau!$K$59:$K$92,B123,Bau!$AE$50:$AE$91))),1)</f>
        <v>1</v>
      </c>
      <c r="BJ23" s="947">
        <f>IF(F123&lt;&gt;"",IF(SUMIF(Bau!$K$59:$K$92,B123,Bau!$K$59:$K$92)=0,1,IF(SUMIF(Bau!$K$59:$K$92,B123,Bau!$K$59:$K$92)&gt;B123,1,SUMIF(Bau!$K$59:$K$92,B123,Bau!$AF$50:$AF$91))),1)</f>
        <v>1</v>
      </c>
      <c r="BK23" s="948">
        <f>IF(F123&lt;&gt;"",IF(SUMIF(Bau!$K$59:$K$92,B123,Bau!$K$59:$K$92)=0,1,IF(SUMIF(Bau!$K$59:$K$92,B123,Bau!$K$59:$K$92)&gt;B123,1,SUMIF(Bau!$K$59:$K$92,B123,Bau!$AG$50:$AG$91))),1)</f>
        <v>1</v>
      </c>
      <c r="BL23" s="325"/>
      <c r="BM23" s="944">
        <f>IF(F123&lt;&gt;"",IF(SUMIF(Bau!$K$59:$K$92,B123,Bau!$K$59:$K$92)=0,0,IF(SUMIF(Bau!$K$59:$K$92,B123,Bau!$K$59:$K$92)&gt;B123,0,SUMIF(Bau!$K$59:$K$92,B123,Bau!$AH$50:$AH$91))),)</f>
        <v>0</v>
      </c>
      <c r="BN23" s="945">
        <f>IF(F123&lt;&gt;"",IF(SUMIF(Bau!$K$59:$K$92,B123,Bau!$K$59:$K$92)&gt;B123,2,1),1)</f>
        <v>1</v>
      </c>
      <c r="BO23" s="116"/>
      <c r="BP23" s="118" t="str">
        <f>Bauteile!C23</f>
        <v>3-IV-IR-IR, valeur U (verre) 1.1 W/m2K</v>
      </c>
      <c r="BQ23" s="325">
        <v>17</v>
      </c>
      <c r="BR23" s="1500"/>
      <c r="BS23" s="1495"/>
      <c r="BT23" s="116"/>
      <c r="BU23" s="2098" t="str">
        <f>Bauteile!B74</f>
        <v>Asphalte coulé</v>
      </c>
      <c r="BV23" s="1872">
        <f>Bauteile!H74</f>
        <v>0.69</v>
      </c>
      <c r="BW23" s="2098" t="str">
        <f>Bauteile!B319</f>
        <v>Panneau isolant Flumroc FHW 80</v>
      </c>
      <c r="BX23" s="2056">
        <f>Bauteile!H319</f>
        <v>3.4000000000000002E-2</v>
      </c>
      <c r="BY23" s="116"/>
      <c r="BZ23" s="116"/>
    </row>
    <row r="24" spans="2:78" ht="15.6" customHeight="1">
      <c r="B24" s="11">
        <v>2</v>
      </c>
      <c r="C24" s="2212"/>
      <c r="D24" s="2213"/>
      <c r="E24" s="2214"/>
      <c r="F24" s="26"/>
      <c r="G24" s="59">
        <f>INDEX(Bauteile!$H$57:$H$1159,BA24)</f>
        <v>0</v>
      </c>
      <c r="H24" s="312">
        <f>IF(G24&lt;&gt;0,F24/100/G24,0)</f>
        <v>0</v>
      </c>
      <c r="J24" s="11">
        <v>2</v>
      </c>
      <c r="K24" s="2212"/>
      <c r="L24" s="2213"/>
      <c r="M24" s="2214"/>
      <c r="N24" s="26"/>
      <c r="O24" s="59">
        <f>INDEX(Bauteile!$H$57:$H$1159,BB24)</f>
        <v>0</v>
      </c>
      <c r="P24" s="312">
        <f>IF(O24&lt;&gt;0,N24/100/O24,0)</f>
        <v>0</v>
      </c>
      <c r="S24" s="1032">
        <f>IF(AND(W24&gt;0,X24&gt;0),1/LN(1168*X24/(0.2*W24+X24)/14057400000)*(-3928.5)-231.667,)</f>
        <v>0</v>
      </c>
      <c r="T24" s="1013">
        <f>IF(SUM(H23:H32)&gt;0,20-T22/SUM(H23:H32)*SUM(H23:H24),20)</f>
        <v>20</v>
      </c>
      <c r="U24" s="1033">
        <f>INDEX(Bauteile!$I$57:$I$1159,BA24)</f>
        <v>0</v>
      </c>
      <c r="V24" s="997">
        <f>F24/100</f>
        <v>0</v>
      </c>
      <c r="W24" s="1006">
        <f>V24*U24</f>
        <v>0</v>
      </c>
      <c r="X24" s="563">
        <f t="shared" ref="X24:X29" si="31">U25*V25+X25</f>
        <v>0</v>
      </c>
      <c r="Y24" s="931">
        <f>IF(AND(W24&gt;0,X24&gt;0),Ak/W24-Bk/X24,)</f>
        <v>0</v>
      </c>
      <c r="Z24" s="1034" t="b">
        <f>IF(T24&lt;S24,IF(W24&gt;mj*X24,FALSE,TRUE),FALSE)</f>
        <v>0</v>
      </c>
      <c r="AA24" s="1036">
        <f t="shared" ref="AA24:AA29" si="32">IF(OR(Z25=FALSE,AND(Z24=TRUE,Z25=TRUE)),Y24,0)</f>
        <v>0</v>
      </c>
      <c r="AB24" s="1005"/>
      <c r="AC24" s="1008">
        <f t="shared" ref="AC24:AC29" si="33">V24*U24+AC25</f>
        <v>0</v>
      </c>
      <c r="AD24" s="1035">
        <f t="shared" ref="AD24:AD29" si="34">IF(AND(AB24&gt;0,AC24&gt;0),Ak/AC24-Bk/AB24,)</f>
        <v>0</v>
      </c>
      <c r="AE24" s="995" t="b">
        <f>IF(AH24&lt;AG24,IF(AC24&gt;mj*AB24,FALSE,TRUE),FALSE)</f>
        <v>0</v>
      </c>
      <c r="AF24" s="1036">
        <f t="shared" ref="AF24:AF29" si="35">IF(OR(AE25=FALSE,AND(AE24=TRUE,AE25=TRUE)),AD24,0)</f>
        <v>0</v>
      </c>
      <c r="AG24" s="1037">
        <f>IF(AND(AB24&gt;0,AC24&gt;0),1/LN(1168*AB24/(0.2*AC24+AB24)/14057400000)*(-3928.5)-231.667,)</f>
        <v>0</v>
      </c>
      <c r="AH24" s="1036">
        <f>IF(SUM(H23:H32)&gt;0,20-AH22/SUM(H23:H32)*SUM(H24:H32),20)</f>
        <v>20</v>
      </c>
      <c r="AJ24" s="1032">
        <f>IF(AND(AN24&gt;0,AO24&gt;0),1/LN(1168*AO24/(0.2*AN24+AO24)/14057400000)*(-3928.5)-231.667,)</f>
        <v>0</v>
      </c>
      <c r="AK24" s="1013">
        <f>IF(SUM(P23:P32)&gt;0,20-AK22/SUM(P23:P32)*SUM(P23:P24),20)</f>
        <v>20</v>
      </c>
      <c r="AL24" s="1033">
        <f>INDEX(Bauteile!$I$57:$I$1159,BB24)</f>
        <v>0</v>
      </c>
      <c r="AM24" s="997">
        <f>N24/100</f>
        <v>0</v>
      </c>
      <c r="AN24" s="1006">
        <f>AM24*AL24</f>
        <v>0</v>
      </c>
      <c r="AO24" s="563">
        <f t="shared" ref="AO24:AO29" si="36">AL25*AM25+AO25</f>
        <v>0</v>
      </c>
      <c r="AP24" s="931">
        <f>IF(AND(AN24&gt;0,AO24&gt;0),Ak/AN24-Bk/AO24,)</f>
        <v>0</v>
      </c>
      <c r="AQ24" s="995" t="b">
        <f>IF(AK24&lt;AJ24,IF(AN24&gt;mj*AO24,FALSE,TRUE),FALSE)</f>
        <v>0</v>
      </c>
      <c r="AR24" s="1036">
        <f t="shared" ref="AR24:AR29" si="37">IF(OR(AQ25=FALSE,AND(AQ24=TRUE,AQ25=TRUE)),AP24,0)</f>
        <v>0</v>
      </c>
      <c r="AS24" s="1038"/>
      <c r="AT24" s="1008">
        <f t="shared" ref="AT24:AT29" si="38">AM24*AL24+AT25</f>
        <v>0</v>
      </c>
      <c r="AU24" s="1035">
        <f t="shared" ref="AU24:AU29" si="39">IF(AND(AS24&gt;0,AT24&gt;0),Ak/AT24-Bk/AS24,)</f>
        <v>0</v>
      </c>
      <c r="AV24" s="995" t="b">
        <f>IF(AY24&lt;AX24,IF(AT24&gt;mj*AS24,FALSE,TRUE),FALSE)</f>
        <v>0</v>
      </c>
      <c r="AW24" s="1036">
        <f t="shared" ref="AW24:AW29" si="40">IF(OR(AV25=FALSE,AND(AV24=TRUE,AV25=TRUE)),AU24,0)</f>
        <v>0</v>
      </c>
      <c r="AX24" s="1037">
        <f>IF(AND(AS24&gt;0,AT24&gt;0),1/LN(1168*AS24/(0.2*AT24+AS24)/14057400000)*(-3928.5)-231.667,)</f>
        <v>0</v>
      </c>
      <c r="AY24" s="1036">
        <f>IF(SUM(P23:P32)&gt;0,20-AY22/SUM(P23:P32)*SUM(P24:P32),20)</f>
        <v>20</v>
      </c>
      <c r="BA24" s="341">
        <f>IF($C24="",1,VLOOKUP($C24,$BP$57:$BQ$1010,2,FALSE))</f>
        <v>1</v>
      </c>
      <c r="BB24" s="1504">
        <f>IF($K24="",1,VLOOKUP($K24,$BP$57:$BQ$1010,2,FALSE))</f>
        <v>1</v>
      </c>
      <c r="BC24" s="323">
        <v>18</v>
      </c>
      <c r="BD24" s="324" t="str">
        <f>N123</f>
        <v/>
      </c>
      <c r="BE24" s="325"/>
      <c r="BF24" s="323">
        <f>L122</f>
        <v>0</v>
      </c>
      <c r="BG24" s="274" t="b">
        <f t="shared" si="0"/>
        <v>0</v>
      </c>
      <c r="BH24" s="946">
        <f>IF(N123&lt;&gt;"",IF(SUMIF(Bau!$K$59:$K$92,J123,Bau!$K$59:$K$92)=0,1,IF(SUMIF(Bau!$K$59:$K$92,J123,Bau!$K$59:$K$92)&gt;J123,1,SUMIF(Bau!$K$59:$K$92,J123,Bau!$T$57:$T$92))),1)</f>
        <v>1</v>
      </c>
      <c r="BI24" s="947">
        <f>IF(N123&lt;&gt;"",IF(SUMIF(Bau!$K$59:$K$92,J123,Bau!$K$59:$K$92)=0,1,IF(SUMIF(Bau!$K$59:$K$92,J123,Bau!$K$59:$K$92)&gt;J123,1,SUMIF(Bau!$K$59:$K$92,J123,Bau!$AE$50:$AE$91))),1)</f>
        <v>1</v>
      </c>
      <c r="BJ24" s="947">
        <f>IF(N123&lt;&gt;"",IF(SUMIF(Bau!$K$59:$K$92,J123,Bau!$K$59:$K$92)=0,1,IF(SUMIF(Bau!$K$59:$K$92,J123,Bau!$K$59:$K$92)&gt;J123,1,SUMIF(Bau!$K$59:$K$92,J123,Bau!$AF$50:$AF$91))),1)</f>
        <v>1</v>
      </c>
      <c r="BK24" s="948">
        <f>IF(N123&lt;&gt;"",IF(SUMIF(Bau!$K$59:$K$92,J123,Bau!$K$59:$K$92)=0,1,IF(SUMIF(Bau!$K$59:$K$92,J123,Bau!$K$59:$K$92)&gt;J123,1,SUMIF(Bau!$K$59:$K$92,J123,Bau!$AG$50:$AG$91))),1)</f>
        <v>1</v>
      </c>
      <c r="BL24" s="325"/>
      <c r="BM24" s="944">
        <f>IF(N123&lt;&gt;"",IF(SUMIF(Bau!$K$59:$K$92,J123,Bau!$K$59:$K$92)=0,0,IF(SUMIF(Bau!$K$59:$K$92,J123,Bau!$K$59:$K$92)&gt;J123,0,SUMIF(Bau!$K$59:$K$92,J123,Bau!$AH$50:$AH$91))),)</f>
        <v>0</v>
      </c>
      <c r="BN24" s="944">
        <f>IF(N123&lt;&gt;"",IF(SUMIF(Bau!$K$59:$K$92,J123,Bau!$K$59:$K$92)&gt;J123,2,1),1)</f>
        <v>1</v>
      </c>
      <c r="BP24" s="118" t="str">
        <f>Bauteile!C24</f>
        <v>3-IV-IR-IR, valeur U (verre) 0.9 W/m2K</v>
      </c>
      <c r="BQ24" s="325">
        <v>18</v>
      </c>
      <c r="BR24" s="7"/>
      <c r="BS24" s="5"/>
      <c r="BU24" s="2098" t="str">
        <f>Bauteile!B75</f>
        <v>Aussenabrieb</v>
      </c>
      <c r="BV24" s="1872">
        <f>Bauteile!H75</f>
        <v>0.8</v>
      </c>
      <c r="BW24" s="2098" t="str">
        <f>Bauteile!B320</f>
        <v>Panneau isolant Flumroc COMPACT PRO</v>
      </c>
      <c r="BX24" s="2056">
        <f>Bauteile!H320</f>
        <v>3.4000000000000002E-2</v>
      </c>
    </row>
    <row r="25" spans="2:78" ht="15.6" customHeight="1">
      <c r="B25" s="11">
        <v>3</v>
      </c>
      <c r="C25" s="2212"/>
      <c r="D25" s="2213"/>
      <c r="E25" s="2214"/>
      <c r="F25" s="26"/>
      <c r="G25" s="59">
        <f>INDEX(Bauteile!$H$57:$H$1159,BA25)</f>
        <v>0</v>
      </c>
      <c r="H25" s="312">
        <f t="shared" ref="H25:H30" si="41">IF(G25&lt;&gt;0,F25/100/G25,0)</f>
        <v>0</v>
      </c>
      <c r="J25" s="11">
        <v>3</v>
      </c>
      <c r="K25" s="2212"/>
      <c r="L25" s="2213"/>
      <c r="M25" s="2214"/>
      <c r="N25" s="26"/>
      <c r="O25" s="59">
        <f>INDEX(Bauteile!$H$57:$H$1159,BB25)</f>
        <v>0</v>
      </c>
      <c r="P25" s="312">
        <f t="shared" ref="P25:P30" si="42">IF(O25&lt;&gt;0,N25/100/O25,0)</f>
        <v>0</v>
      </c>
      <c r="S25" s="1039">
        <f t="shared" ref="S25:S30" si="43">IF(AND(W25&gt;0,X25&gt;0),1/LN(1168*X25/(0.2*W25+X25)/14057400000)*(-3928.5)-231.667,)</f>
        <v>0</v>
      </c>
      <c r="T25" s="989">
        <f>IF(SUM(H23:H32)&gt;0,20-T22/SUM(H23:H32)*SUM(H23:H25),20)</f>
        <v>20</v>
      </c>
      <c r="U25" s="1033">
        <f>INDEX(Bauteile!$I$57:$I$1159,BA25)</f>
        <v>0</v>
      </c>
      <c r="V25" s="997">
        <f t="shared" ref="V25:V30" si="44">F25/100</f>
        <v>0</v>
      </c>
      <c r="W25" s="1006">
        <f t="shared" ref="W25:W30" si="45">V25*U25+W24</f>
        <v>0</v>
      </c>
      <c r="X25" s="563">
        <f t="shared" si="31"/>
        <v>0</v>
      </c>
      <c r="Y25" s="931">
        <f t="shared" ref="Y25:Y30" si="46">IF(AND(W25&gt;0,X25&gt;0),Ak/W25-Bk/X25,)</f>
        <v>0</v>
      </c>
      <c r="Z25" s="563" t="b">
        <f t="shared" ref="Z25:Z30" si="47">IF(T25&lt;S25,IF(W25&gt;mj*X25,FALSE,TRUE),FALSE)</f>
        <v>0</v>
      </c>
      <c r="AA25" s="439">
        <f t="shared" si="32"/>
        <v>0</v>
      </c>
      <c r="AB25" s="1009">
        <f t="shared" ref="AB25:AB30" si="48">U24*V24+AB24</f>
        <v>0</v>
      </c>
      <c r="AC25" s="1010">
        <f t="shared" si="33"/>
        <v>0</v>
      </c>
      <c r="AD25" s="931">
        <f t="shared" si="34"/>
        <v>0</v>
      </c>
      <c r="AE25" s="7" t="b">
        <f t="shared" ref="AE25:AE30" si="49">IF(AH25&lt;AG25,IF(AC25&gt;mj*AB25,FALSE,TRUE),FALSE)</f>
        <v>0</v>
      </c>
      <c r="AF25" s="439">
        <f t="shared" si="35"/>
        <v>0</v>
      </c>
      <c r="AG25" s="1040">
        <f t="shared" ref="AG25:AG30" si="50">IF(AND(AB25&gt;0,AC25&gt;0),1/LN(1168*AB25/(0.2*AC25+AB25)/14057400000)*(-3928.5)-231.667,)</f>
        <v>0</v>
      </c>
      <c r="AH25" s="439">
        <f>IF(SUM(H23:H32)&gt;0,20-AH22/SUM(H23:H32)*SUM(H25:H32),20)</f>
        <v>20</v>
      </c>
      <c r="AJ25" s="1039">
        <f t="shared" ref="AJ25:AJ30" si="51">IF(AND(AN25&gt;0,AO25&gt;0),1/LN(1168*AO25/(0.2*AN25+AO25)/14057400000)*(-3928.5)-231.667,)</f>
        <v>0</v>
      </c>
      <c r="AK25" s="989">
        <f>IF(SUM(P23:P32)&gt;0,20-AK22/SUM(P23:P32)*SUM(P23:P25),20)</f>
        <v>20</v>
      </c>
      <c r="AL25" s="1033">
        <f>INDEX(Bauteile!$I$57:$I$1159,BB25)</f>
        <v>0</v>
      </c>
      <c r="AM25" s="997">
        <f t="shared" ref="AM25:AM30" si="52">N25/100</f>
        <v>0</v>
      </c>
      <c r="AN25" s="1006">
        <f t="shared" ref="AN25:AN30" si="53">AM25*AL25+AN24</f>
        <v>0</v>
      </c>
      <c r="AO25" s="563">
        <f t="shared" si="36"/>
        <v>0</v>
      </c>
      <c r="AP25" s="931">
        <f t="shared" ref="AP25:AP30" si="54">IF(AND(AN25&gt;0,AO25&gt;0),Ak/AN25-Bk/AO25,)</f>
        <v>0</v>
      </c>
      <c r="AQ25" s="7" t="b">
        <f t="shared" ref="AQ25:AQ30" si="55">IF(AK25&lt;AJ25,IF(AN25&gt;mj*AO25,FALSE,TRUE),FALSE)</f>
        <v>0</v>
      </c>
      <c r="AR25" s="439">
        <f t="shared" si="37"/>
        <v>0</v>
      </c>
      <c r="AS25" s="5">
        <f t="shared" ref="AS25:AS30" si="56">AL24*AM24+AS24</f>
        <v>0</v>
      </c>
      <c r="AT25" s="1010">
        <f t="shared" si="38"/>
        <v>0</v>
      </c>
      <c r="AU25" s="931">
        <f t="shared" si="39"/>
        <v>0</v>
      </c>
      <c r="AV25" s="7" t="b">
        <f t="shared" ref="AV25:AV30" si="57">IF(AY25&lt;AX25,IF(AT25&gt;mj*AS25,FALSE,TRUE),FALSE)</f>
        <v>0</v>
      </c>
      <c r="AW25" s="439">
        <f t="shared" si="40"/>
        <v>0</v>
      </c>
      <c r="AX25" s="1040">
        <f t="shared" ref="AX25:AX30" si="58">IF(AND(AS25&gt;0,AT25&gt;0),1/LN(1168*AS25/(0.2*AT25+AS25)/14057400000)*(-3928.5)-231.667,)</f>
        <v>0</v>
      </c>
      <c r="AY25" s="439">
        <f>IF(SUM(P23:P32)&gt;0,20-AY22/SUM(P23:P32)*SUM(P25:P32),20)</f>
        <v>20</v>
      </c>
      <c r="BA25" s="341">
        <f t="shared" ref="BA25:BA30" si="59">IF($C25="",1,VLOOKUP($C25,$BP$57:$BQ$1010,2,FALSE))</f>
        <v>1</v>
      </c>
      <c r="BB25" s="1504">
        <f t="shared" ref="BB25:BB30" si="60">IF($K25="",1,VLOOKUP($K25,$BP$57:$BQ$1010,2,FALSE))</f>
        <v>1</v>
      </c>
      <c r="BC25" s="323">
        <v>19</v>
      </c>
      <c r="BD25" s="324" t="str">
        <f>F128</f>
        <v/>
      </c>
      <c r="BE25" s="325"/>
      <c r="BF25" s="323">
        <f>D127</f>
        <v>0</v>
      </c>
      <c r="BG25" s="274" t="b">
        <f t="shared" si="0"/>
        <v>0</v>
      </c>
      <c r="BH25" s="946">
        <f>IF(F128&lt;&gt;"",IF(SUMIF(Bau!$K$59:$K$92,B128,Bau!$K$59:$K$92)=0,1,IF(SUMIF(Bau!$K$59:$K$92,B128,Bau!$K$59:$K$92)&gt;B128,1,SUMIF(Bau!$K$59:$K$92,B128,Bau!$T$57:$T$92))),1)</f>
        <v>1</v>
      </c>
      <c r="BI25" s="947">
        <f>IF(F128&lt;&gt;"",IF(SUMIF(Bau!$K$59:$K$92,B128,Bau!$K$59:$K$92)=0,1,IF(SUMIF(Bau!$K$59:$K$92,B128,Bau!$K$59:$K$92)&gt;B128,1,SUMIF(Bau!$K$59:$K$92,B128,Bau!$AE$50:$AE$91))),1)</f>
        <v>1</v>
      </c>
      <c r="BJ25" s="947">
        <f>IF(F128&lt;&gt;"",IF(SUMIF(Bau!$K$59:$K$92,B128,Bau!$K$59:$K$92)=0,1,IF(SUMIF(Bau!$K$59:$K$92,B128,Bau!$K$59:$K$92)&gt;B128,1,SUMIF(Bau!$K$59:$K$92,B128,Bau!$AF$50:$AF$91))),1)</f>
        <v>1</v>
      </c>
      <c r="BK25" s="948">
        <f>IF(F128&lt;&gt;"",IF(SUMIF(Bau!$K$59:$K$92,B128,Bau!$K$59:$K$92)=0,1,IF(SUMIF(Bau!$K$59:$K$92,B128,Bau!$K$59:$K$92)&gt;B128,1,SUMIF(Bau!$K$59:$K$92,B128,Bau!$AG$50:$AG$91))),1)</f>
        <v>1</v>
      </c>
      <c r="BL25" s="325"/>
      <c r="BM25" s="944">
        <f>IF(F128&lt;&gt;"",IF(SUMIF(Bau!$K$59:$K$92,B128,Bau!$K$59:$K$92)=0,0,IF(SUMIF(Bau!$K$59:$K$92,B128,Bau!$K$59:$K$92)&gt;B128,0,SUMIF(Bau!$K$59:$K$92,B128,Bau!$AH$50:$AH$91))),)</f>
        <v>0</v>
      </c>
      <c r="BN25" s="944">
        <f>IF(F128&lt;&gt;"",IF(SUMIF(Bau!$K$59:$K$92,B128,Bau!$K$59:$K$92)&gt;B128,2,1),1)</f>
        <v>1</v>
      </c>
      <c r="BP25" s="118" t="str">
        <f>Bauteile!C25</f>
        <v>3-IV-IR-IR, valeur U (verre) 0.8 W/m2K</v>
      </c>
      <c r="BQ25" s="325">
        <v>19</v>
      </c>
      <c r="BR25" s="7"/>
      <c r="BS25" s="5"/>
      <c r="BU25" s="2098" t="str">
        <f>Bauteile!B76</f>
        <v>Aerogel (N)</v>
      </c>
      <c r="BV25" s="1872">
        <f>Bauteile!H76</f>
        <v>0.02</v>
      </c>
      <c r="BW25" s="2098" t="str">
        <f>Bauteile!B321</f>
        <v>Élément pour sol de combles Flumroc ESTRA</v>
      </c>
      <c r="BX25" s="2056">
        <f>Bauteile!H321</f>
        <v>3.4000000000000002E-2</v>
      </c>
    </row>
    <row r="26" spans="2:78" ht="15.6" customHeight="1">
      <c r="B26" s="11">
        <v>4</v>
      </c>
      <c r="C26" s="2212"/>
      <c r="D26" s="2213"/>
      <c r="E26" s="2214"/>
      <c r="F26" s="26"/>
      <c r="G26" s="59">
        <f>INDEX(Bauteile!$H$57:$H$1159,BA26)</f>
        <v>0</v>
      </c>
      <c r="H26" s="312">
        <f t="shared" si="41"/>
        <v>0</v>
      </c>
      <c r="J26" s="11">
        <v>4</v>
      </c>
      <c r="K26" s="2212"/>
      <c r="L26" s="2213"/>
      <c r="M26" s="2214"/>
      <c r="N26" s="26"/>
      <c r="O26" s="59">
        <f>INDEX(Bauteile!$H$57:$H$1159,BB26)</f>
        <v>0</v>
      </c>
      <c r="P26" s="312">
        <f t="shared" si="42"/>
        <v>0</v>
      </c>
      <c r="S26" s="1039">
        <f t="shared" si="43"/>
        <v>0</v>
      </c>
      <c r="T26" s="989">
        <f>IF(SUM(H23:H32)&gt;0,20-T22/SUM(H23:H32)*SUM(H23:H26),20)</f>
        <v>20</v>
      </c>
      <c r="U26" s="1033">
        <f>INDEX(Bauteile!$I$57:$I$1159,BA26)</f>
        <v>0</v>
      </c>
      <c r="V26" s="997">
        <f t="shared" si="44"/>
        <v>0</v>
      </c>
      <c r="W26" s="1006">
        <f t="shared" si="45"/>
        <v>0</v>
      </c>
      <c r="X26" s="563">
        <f t="shared" si="31"/>
        <v>0</v>
      </c>
      <c r="Y26" s="931">
        <f t="shared" si="46"/>
        <v>0</v>
      </c>
      <c r="Z26" s="563" t="b">
        <f t="shared" si="47"/>
        <v>0</v>
      </c>
      <c r="AA26" s="439">
        <f t="shared" si="32"/>
        <v>0</v>
      </c>
      <c r="AB26" s="1009">
        <f t="shared" si="48"/>
        <v>0</v>
      </c>
      <c r="AC26" s="1010">
        <f t="shared" si="33"/>
        <v>0</v>
      </c>
      <c r="AD26" s="931">
        <f t="shared" si="34"/>
        <v>0</v>
      </c>
      <c r="AE26" s="7" t="b">
        <f t="shared" si="49"/>
        <v>0</v>
      </c>
      <c r="AF26" s="439">
        <f t="shared" si="35"/>
        <v>0</v>
      </c>
      <c r="AG26" s="1040">
        <f t="shared" si="50"/>
        <v>0</v>
      </c>
      <c r="AH26" s="439">
        <f>IF(SUM(H23:H32)&gt;0,20-AH22/SUM(H23:H32)*SUM(H26:H32),20)</f>
        <v>20</v>
      </c>
      <c r="AJ26" s="1039">
        <f t="shared" si="51"/>
        <v>0</v>
      </c>
      <c r="AK26" s="989">
        <f>IF(SUM(P23:P32)&gt;0,20-AK22/SUM(P23:P32)*SUM(P23:P26),20)</f>
        <v>20</v>
      </c>
      <c r="AL26" s="1033">
        <f>INDEX(Bauteile!$I$57:$I$1159,BB26)</f>
        <v>0</v>
      </c>
      <c r="AM26" s="997">
        <f t="shared" si="52"/>
        <v>0</v>
      </c>
      <c r="AN26" s="1006">
        <f t="shared" si="53"/>
        <v>0</v>
      </c>
      <c r="AO26" s="563">
        <f t="shared" si="36"/>
        <v>0</v>
      </c>
      <c r="AP26" s="931">
        <f t="shared" si="54"/>
        <v>0</v>
      </c>
      <c r="AQ26" s="7" t="b">
        <f t="shared" si="55"/>
        <v>0</v>
      </c>
      <c r="AR26" s="439">
        <f t="shared" si="37"/>
        <v>0</v>
      </c>
      <c r="AS26" s="5">
        <f t="shared" si="56"/>
        <v>0</v>
      </c>
      <c r="AT26" s="1010">
        <f t="shared" si="38"/>
        <v>0</v>
      </c>
      <c r="AU26" s="931">
        <f t="shared" si="39"/>
        <v>0</v>
      </c>
      <c r="AV26" s="7" t="b">
        <f t="shared" si="57"/>
        <v>0</v>
      </c>
      <c r="AW26" s="439">
        <f t="shared" si="40"/>
        <v>0</v>
      </c>
      <c r="AX26" s="1040">
        <f t="shared" si="58"/>
        <v>0</v>
      </c>
      <c r="AY26" s="439">
        <f>IF(SUM(P23:P32)&gt;0,20-AY22/SUM(P23:P32)*SUM(P26:P32),20)</f>
        <v>20</v>
      </c>
      <c r="BA26" s="341">
        <f t="shared" si="59"/>
        <v>1</v>
      </c>
      <c r="BB26" s="1504">
        <f t="shared" si="60"/>
        <v>1</v>
      </c>
      <c r="BC26" s="323">
        <v>20</v>
      </c>
      <c r="BD26" s="274" t="str">
        <f>F184</f>
        <v/>
      </c>
      <c r="BE26" s="325"/>
      <c r="BF26" s="323">
        <f>H184</f>
        <v>0</v>
      </c>
      <c r="BG26" s="274" t="b">
        <f t="shared" si="0"/>
        <v>0</v>
      </c>
      <c r="BH26" s="946">
        <f>IF(F184&lt;&gt;"",IF(SUMIF(Bau!$K$59:$K$92,B184,Bau!$K$59:$K$92)=0,1,IF(SUMIF(Bau!$K$59:$K$92,B184,Bau!$K$59:$K$92)&gt;B184,1,SUMIF(Bau!$K$59:$K$92,B184,Bau!$T$57:$T$92))),1)</f>
        <v>1</v>
      </c>
      <c r="BI26" s="947">
        <f>IF(F184&lt;&gt;"",IF(SUMIF(Bau!$K$59:$K$92,B184,Bau!$K$59:$K$92)=0,1,IF(SUMIF(Bau!$K$59:$K$92,B184,Bau!$K$59:$K$92)&gt;B184,1,SUMIF(Bau!$K$59:$K$92,B184,Bau!$AE$50:$AE$91))),1)</f>
        <v>1</v>
      </c>
      <c r="BJ26" s="947">
        <f>IF(F184&lt;&gt;"",IF(SUMIF(Bau!$K$59:$K$92,B184,Bau!$K$59:$K$92)=0,1,IF(SUMIF(Bau!$K$59:$K$92,B184,Bau!$K$59:$K$92)&gt;B184,1,SUMIF(Bau!$K$59:$K$92,B184,Bau!$AF$50:$AF$91))),1)</f>
        <v>1</v>
      </c>
      <c r="BK26" s="948">
        <f>IF(F184&lt;&gt;"",IF(SUMIF(Bau!$K$59:$K$92,B184,Bau!$K$59:$K$92)=0,1,IF(SUMIF(Bau!$K$59:$K$92,B184,Bau!$K$59:$K$92)&gt;B184,1,SUMIF(Bau!$K$59:$K$92,B184,Bau!$AG$50:$AG$91))),1)</f>
        <v>1</v>
      </c>
      <c r="BL26" s="325"/>
      <c r="BM26" s="944">
        <f>IF(F184&lt;&gt;"",IF(SUMIF(Bau!$K$59:$K$92,B184,Bau!$K$59:$K$92)=0,0,IF(SUMIF(Bau!$K$59:$K$92,B184,Bau!$K$59:$K$92)&gt;B184,0,SUMIF(Bau!$K$59:$K$92,B184,Bau!$AH$50:$AH$91))),)</f>
        <v>0</v>
      </c>
      <c r="BN26" s="944">
        <f>IF(F184&lt;&gt;"",IF(SUMIF(Bau!$K$59:$K$92,B184,Bau!$K$59:$K$92)&gt;B184,2,1),1)</f>
        <v>1</v>
      </c>
      <c r="BP26" s="118" t="str">
        <f>Bauteile!C26</f>
        <v>3-IV-IR-IR, valeur U (verre) 0.5 W/m2K</v>
      </c>
      <c r="BQ26" s="325">
        <v>20</v>
      </c>
      <c r="BR26" s="7"/>
      <c r="BS26" s="5"/>
      <c r="BU26" s="2098" t="str">
        <f>Bauteile!B77</f>
        <v>Barrière de vapeur feuille de PVC</v>
      </c>
      <c r="BV26" s="1872">
        <f>Bauteile!H77</f>
        <v>0.22</v>
      </c>
      <c r="BW26" s="2098" t="str">
        <f>Bauteile!B322</f>
        <v>Panneau isolant Flumroc FUTURO 1</v>
      </c>
      <c r="BX26" s="2056">
        <f>Bauteile!H322</f>
        <v>3.5000000000000003E-2</v>
      </c>
    </row>
    <row r="27" spans="2:78" ht="15.6" customHeight="1">
      <c r="B27" s="11">
        <v>5</v>
      </c>
      <c r="C27" s="2212"/>
      <c r="D27" s="2213"/>
      <c r="E27" s="2214"/>
      <c r="F27" s="26"/>
      <c r="G27" s="59">
        <f>INDEX(Bauteile!$H$57:$H$1159,BA27)</f>
        <v>0</v>
      </c>
      <c r="H27" s="312">
        <f t="shared" si="41"/>
        <v>0</v>
      </c>
      <c r="J27" s="11">
        <v>5</v>
      </c>
      <c r="K27" s="2212"/>
      <c r="L27" s="2213"/>
      <c r="M27" s="2214"/>
      <c r="N27" s="26"/>
      <c r="O27" s="59">
        <f>INDEX(Bauteile!$H$57:$H$1159,BB27)</f>
        <v>0</v>
      </c>
      <c r="P27" s="312">
        <f t="shared" si="42"/>
        <v>0</v>
      </c>
      <c r="S27" s="1039">
        <f t="shared" si="43"/>
        <v>0</v>
      </c>
      <c r="T27" s="989">
        <f>IF(SUM(H23:H32)&gt;0,20-T22/SUM(H23:H32)*SUM(H23:H27),20)</f>
        <v>20</v>
      </c>
      <c r="U27" s="1033">
        <f>INDEX(Bauteile!$I$57:$I$1159,BA27)</f>
        <v>0</v>
      </c>
      <c r="V27" s="997">
        <f t="shared" si="44"/>
        <v>0</v>
      </c>
      <c r="W27" s="1006">
        <f t="shared" si="45"/>
        <v>0</v>
      </c>
      <c r="X27" s="563">
        <f t="shared" si="31"/>
        <v>0</v>
      </c>
      <c r="Y27" s="931">
        <f t="shared" si="46"/>
        <v>0</v>
      </c>
      <c r="Z27" s="563" t="b">
        <f t="shared" si="47"/>
        <v>0</v>
      </c>
      <c r="AA27" s="439">
        <f t="shared" si="32"/>
        <v>0</v>
      </c>
      <c r="AB27" s="1009">
        <f t="shared" si="48"/>
        <v>0</v>
      </c>
      <c r="AC27" s="1010">
        <f t="shared" si="33"/>
        <v>0</v>
      </c>
      <c r="AD27" s="931">
        <f t="shared" si="34"/>
        <v>0</v>
      </c>
      <c r="AE27" s="7" t="b">
        <f t="shared" si="49"/>
        <v>0</v>
      </c>
      <c r="AF27" s="439">
        <f t="shared" si="35"/>
        <v>0</v>
      </c>
      <c r="AG27" s="1040">
        <f t="shared" si="50"/>
        <v>0</v>
      </c>
      <c r="AH27" s="439">
        <f>IF(SUM(H23:H32)&gt;0,20-AH22/SUM(H23:H32)*SUM(H27:H32),20)</f>
        <v>20</v>
      </c>
      <c r="AJ27" s="1039">
        <f t="shared" si="51"/>
        <v>0</v>
      </c>
      <c r="AK27" s="989">
        <f>IF(SUM(P23:P32)&gt;0,20-AK22/SUM(P23:P32)*SUM(P23:P27),20)</f>
        <v>20</v>
      </c>
      <c r="AL27" s="1033">
        <f>INDEX(Bauteile!$I$57:$I$1159,BB27)</f>
        <v>0</v>
      </c>
      <c r="AM27" s="997">
        <f t="shared" si="52"/>
        <v>0</v>
      </c>
      <c r="AN27" s="1006">
        <f t="shared" si="53"/>
        <v>0</v>
      </c>
      <c r="AO27" s="563">
        <f t="shared" si="36"/>
        <v>0</v>
      </c>
      <c r="AP27" s="931">
        <f t="shared" si="54"/>
        <v>0</v>
      </c>
      <c r="AQ27" s="7" t="b">
        <f t="shared" si="55"/>
        <v>0</v>
      </c>
      <c r="AR27" s="439">
        <f t="shared" si="37"/>
        <v>0</v>
      </c>
      <c r="AS27" s="5">
        <f t="shared" si="56"/>
        <v>0</v>
      </c>
      <c r="AT27" s="1010">
        <f t="shared" si="38"/>
        <v>0</v>
      </c>
      <c r="AU27" s="931">
        <f t="shared" si="39"/>
        <v>0</v>
      </c>
      <c r="AV27" s="7" t="b">
        <f t="shared" si="57"/>
        <v>0</v>
      </c>
      <c r="AW27" s="439">
        <f t="shared" si="40"/>
        <v>0</v>
      </c>
      <c r="AX27" s="1040">
        <f t="shared" si="58"/>
        <v>0</v>
      </c>
      <c r="AY27" s="439">
        <f>IF(SUM(P23:P32)&gt;0,20-AY22/SUM(P23:P32)*SUM(P27:P32),20)</f>
        <v>20</v>
      </c>
      <c r="BA27" s="341">
        <f t="shared" si="59"/>
        <v>1</v>
      </c>
      <c r="BB27" s="1504">
        <f t="shared" si="60"/>
        <v>1</v>
      </c>
      <c r="BC27" s="323">
        <v>21</v>
      </c>
      <c r="BD27" s="274" t="str">
        <f>N184</f>
        <v/>
      </c>
      <c r="BE27" s="325"/>
      <c r="BF27" s="323">
        <f>P184</f>
        <v>0</v>
      </c>
      <c r="BG27" s="274" t="b">
        <f t="shared" si="0"/>
        <v>0</v>
      </c>
      <c r="BH27" s="946">
        <f>IF(N184&lt;&gt;"",IF(SUMIF(Bau!$K$59:$K$92,J184,Bau!$K$59:$K$92)=0,1,IF(SUMIF(Bau!$K$59:$K$92,J184,Bau!$K$59:$K$92)&gt;J184,1,SUMIF(Bau!$K$59:$K$92,J184,Bau!$T$57:$T$92))),1)</f>
        <v>1</v>
      </c>
      <c r="BI27" s="947">
        <f>IF(N184&lt;&gt;"",IF(SUMIF(Bau!$K$59:$K$92,J184,Bau!$K$59:$K$92)=0,1,IF(SUMIF(Bau!$K$59:$K$92,J184,Bau!$K$59:$K$92)&gt;J184,1,SUMIF(Bau!$K$59:$K$92,J184,Bau!$AE$50:$AE$91))),1)</f>
        <v>1</v>
      </c>
      <c r="BJ27" s="947">
        <f>IF(N184&lt;&gt;"",IF(SUMIF(Bau!$K$59:$K$92,J184,Bau!$K$59:$K$92)=0,1,IF(SUMIF(Bau!$K$59:$K$92,J184,Bau!$K$59:$K$92)&gt;J184,1,SUMIF(Bau!$K$59:$K$92,J184,Bau!$AF$50:$AF$91))),1)</f>
        <v>1</v>
      </c>
      <c r="BK27" s="948">
        <f>IF(N184&lt;&gt;"",IF(SUMIF(Bau!$K$59:$K$92,J184,Bau!$K$59:$K$92)=0,1,IF(SUMIF(Bau!$K$59:$K$92,J184,Bau!$K$59:$K$92)&gt;J184,1,SUMIF(Bau!$K$59:$K$92,J184,Bau!$AG$50:$AG$91))),1)</f>
        <v>1</v>
      </c>
      <c r="BL27" s="325"/>
      <c r="BM27" s="944">
        <f>IF(N184&lt;&gt;"",IF(SUMIF(Bau!$K$59:$K$92,J184,Bau!$K$59:$K$92)=0,0,IF(SUMIF(Bau!$K$59:$K$92,J184,Bau!$K$59:$K$92)&gt;J184,0,SUMIF(Bau!$K$59:$K$92,J184,Bau!$AH$50:$AH$91))),)</f>
        <v>0</v>
      </c>
      <c r="BN27" s="944">
        <f>IF(N184&lt;&gt;"",IF(SUMIF(Bau!$K$59:$K$92,J184,Bau!$K$59:$K$92)&gt;J184,2,1),1)</f>
        <v>1</v>
      </c>
      <c r="BP27" s="118">
        <f>Bauteile!C27</f>
        <v>0</v>
      </c>
      <c r="BQ27" s="325">
        <v>21</v>
      </c>
      <c r="BR27" s="7"/>
      <c r="BS27" s="5"/>
      <c r="BU27" s="2098" t="str">
        <f>Bauteile!B78</f>
        <v>Basalte</v>
      </c>
      <c r="BV27" s="1872">
        <f>Bauteile!H78</f>
        <v>3.5</v>
      </c>
      <c r="BW27" s="2098" t="str">
        <f>Bauteile!B323</f>
        <v>Panneau isolant Flumroc ROCA</v>
      </c>
      <c r="BX27" s="2056">
        <f>Bauteile!H323</f>
        <v>3.5000000000000003E-2</v>
      </c>
    </row>
    <row r="28" spans="2:78" ht="15.6" customHeight="1">
      <c r="B28" s="11">
        <v>6</v>
      </c>
      <c r="C28" s="2212"/>
      <c r="D28" s="2213"/>
      <c r="E28" s="2214"/>
      <c r="F28" s="26"/>
      <c r="G28" s="59">
        <f>INDEX(Bauteile!$H$57:$H$1159,BA28)</f>
        <v>0</v>
      </c>
      <c r="H28" s="312">
        <f t="shared" si="41"/>
        <v>0</v>
      </c>
      <c r="J28" s="11">
        <v>6</v>
      </c>
      <c r="K28" s="2212"/>
      <c r="L28" s="2213"/>
      <c r="M28" s="2214"/>
      <c r="N28" s="26"/>
      <c r="O28" s="59">
        <f>INDEX(Bauteile!$H$57:$H$1159,BB28)</f>
        <v>0</v>
      </c>
      <c r="P28" s="312">
        <f t="shared" si="42"/>
        <v>0</v>
      </c>
      <c r="S28" s="1039">
        <f t="shared" si="43"/>
        <v>0</v>
      </c>
      <c r="T28" s="989">
        <f>IF(SUM(H23:H32)&gt;0,20-T22/SUM(H23:H32)*SUM(H23:H28),20)</f>
        <v>20</v>
      </c>
      <c r="U28" s="1033">
        <f>INDEX(Bauteile!$I$57:$I$1159,BA28)</f>
        <v>0</v>
      </c>
      <c r="V28" s="997">
        <f t="shared" si="44"/>
        <v>0</v>
      </c>
      <c r="W28" s="1006">
        <f t="shared" si="45"/>
        <v>0</v>
      </c>
      <c r="X28" s="563">
        <f t="shared" si="31"/>
        <v>0</v>
      </c>
      <c r="Y28" s="931">
        <f t="shared" si="46"/>
        <v>0</v>
      </c>
      <c r="Z28" s="563" t="b">
        <f t="shared" si="47"/>
        <v>0</v>
      </c>
      <c r="AA28" s="439">
        <f t="shared" si="32"/>
        <v>0</v>
      </c>
      <c r="AB28" s="1009">
        <f t="shared" si="48"/>
        <v>0</v>
      </c>
      <c r="AC28" s="1010">
        <f t="shared" si="33"/>
        <v>0</v>
      </c>
      <c r="AD28" s="931">
        <f t="shared" si="34"/>
        <v>0</v>
      </c>
      <c r="AE28" s="7" t="b">
        <f t="shared" si="49"/>
        <v>0</v>
      </c>
      <c r="AF28" s="439">
        <f t="shared" si="35"/>
        <v>0</v>
      </c>
      <c r="AG28" s="1040">
        <f t="shared" si="50"/>
        <v>0</v>
      </c>
      <c r="AH28" s="439">
        <f>IF(SUM(H23:H32)&gt;0,20-AH22/SUM(H23:H32)*SUM(H28:H32),20)</f>
        <v>20</v>
      </c>
      <c r="AJ28" s="1039">
        <f t="shared" si="51"/>
        <v>0</v>
      </c>
      <c r="AK28" s="989">
        <f>IF(SUM(P23:P32)&gt;0,20-AK22/SUM(P23:P32)*SUM(P23:P28),20)</f>
        <v>20</v>
      </c>
      <c r="AL28" s="1033">
        <f>INDEX(Bauteile!$I$57:$I$1159,BB28)</f>
        <v>0</v>
      </c>
      <c r="AM28" s="997">
        <f t="shared" si="52"/>
        <v>0</v>
      </c>
      <c r="AN28" s="1006">
        <f t="shared" si="53"/>
        <v>0</v>
      </c>
      <c r="AO28" s="563">
        <f t="shared" si="36"/>
        <v>0</v>
      </c>
      <c r="AP28" s="931">
        <f t="shared" si="54"/>
        <v>0</v>
      </c>
      <c r="AQ28" s="7" t="b">
        <f t="shared" si="55"/>
        <v>0</v>
      </c>
      <c r="AR28" s="439">
        <f t="shared" si="37"/>
        <v>0</v>
      </c>
      <c r="AS28" s="5">
        <f t="shared" si="56"/>
        <v>0</v>
      </c>
      <c r="AT28" s="1010">
        <f t="shared" si="38"/>
        <v>0</v>
      </c>
      <c r="AU28" s="931">
        <f t="shared" si="39"/>
        <v>0</v>
      </c>
      <c r="AV28" s="7" t="b">
        <f t="shared" si="57"/>
        <v>0</v>
      </c>
      <c r="AW28" s="439">
        <f t="shared" si="40"/>
        <v>0</v>
      </c>
      <c r="AX28" s="1040">
        <f t="shared" si="58"/>
        <v>0</v>
      </c>
      <c r="AY28" s="439">
        <f>IF(SUM(P23:P32)&gt;0,20-AY22/SUM(P23:P32)*SUM(P28:P32),20)</f>
        <v>20</v>
      </c>
      <c r="BA28" s="341">
        <f t="shared" si="59"/>
        <v>1</v>
      </c>
      <c r="BB28" s="1504">
        <f t="shared" si="60"/>
        <v>1</v>
      </c>
      <c r="BC28" s="323">
        <v>22</v>
      </c>
      <c r="BD28" s="274">
        <f>F185</f>
        <v>0</v>
      </c>
      <c r="BE28" s="325"/>
      <c r="BF28" s="323">
        <f>H185</f>
        <v>0</v>
      </c>
      <c r="BG28" s="274" t="b">
        <f t="shared" si="0"/>
        <v>0</v>
      </c>
      <c r="BH28" s="946">
        <f>IF(F185&lt;&gt;"",IF(SUMIF(Bau!$K$59:$K$92,B185,Bau!$K$59:$K$92)=0,1,IF(SUMIF(Bau!$K$59:$K$92,B185,Bau!$K$59:$K$92)&gt;B185,1,SUMIF(Bau!$K$59:$K$92,B185,Bau!$T$57:$T$92))),1)</f>
        <v>1</v>
      </c>
      <c r="BI28" s="947">
        <f>IF(F185&lt;&gt;"",IF(SUMIF(Bau!$K$59:$K$92,B185,Bau!$K$59:$K$92)=0,1,IF(SUMIF(Bau!$K$59:$K$92,B185,Bau!$K$59:$K$92)&gt;B185,1,SUMIF(Bau!$K$59:$K$92,B185,Bau!$AE$50:$AE$91))),1)</f>
        <v>1</v>
      </c>
      <c r="BJ28" s="947">
        <f>IF(F185&lt;&gt;"",IF(SUMIF(Bau!$K$59:$K$92,B185,Bau!$K$59:$K$92)=0,1,IF(SUMIF(Bau!$K$59:$K$92,B185,Bau!$K$59:$K$92)&gt;B185,1,SUMIF(Bau!$K$59:$K$92,B185,Bau!$AF$50:$AF$91))),1)</f>
        <v>1</v>
      </c>
      <c r="BK28" s="948">
        <f>IF(F185&lt;&gt;"",IF(SUMIF(Bau!$K$59:$K$92,B185,Bau!$K$59:$K$92)=0,1,IF(SUMIF(Bau!$K$59:$K$92,B185,Bau!$K$59:$K$92)&gt;B185,1,SUMIF(Bau!$K$59:$K$92,B185,Bau!$AG$50:$AG$91))),1)</f>
        <v>1</v>
      </c>
      <c r="BL28" s="325"/>
      <c r="BM28" s="944">
        <f>IF(F185&lt;&gt;"",IF(SUMIF(Bau!$K$59:$K$92,B185,Bau!$K$59:$K$92)=0,0,IF(SUMIF(Bau!$K$59:$K$92,B185,Bau!$K$59:$K$92)&gt;B185,0,SUMIF(Bau!$K$59:$K$92,B185,Bau!$AH$50:$AH$91))),)</f>
        <v>0</v>
      </c>
      <c r="BN28" s="944">
        <f>IF(F185&lt;&gt;"",IF(SUMIF(Bau!$K$59:$K$92,B185,Bau!$K$59:$K$92)&gt;B185,2,1),1)</f>
        <v>1</v>
      </c>
      <c r="BP28" s="118">
        <f>Bauteile!C28</f>
        <v>0</v>
      </c>
      <c r="BQ28" s="325">
        <v>22</v>
      </c>
      <c r="BR28" s="7"/>
      <c r="BS28" s="5"/>
      <c r="BU28" s="2098" t="str">
        <f>Bauteile!B79</f>
        <v>Béton armé (1% d'acier)</v>
      </c>
      <c r="BV28" s="1872">
        <f>Bauteile!H79</f>
        <v>2.2999999999999998</v>
      </c>
      <c r="BW28" s="2098" t="str">
        <f>Bauteile!B324</f>
        <v>Protect BSP 30</v>
      </c>
      <c r="BX28" s="2056">
        <f>Bauteile!H324</f>
        <v>3.6999999999999998E-2</v>
      </c>
    </row>
    <row r="29" spans="2:78" ht="15.6" customHeight="1">
      <c r="B29" s="11">
        <v>7</v>
      </c>
      <c r="C29" s="2212"/>
      <c r="D29" s="2213"/>
      <c r="E29" s="2214"/>
      <c r="F29" s="26"/>
      <c r="G29" s="59">
        <f>INDEX(Bauteile!$H$57:$H$1159,BA29)</f>
        <v>0</v>
      </c>
      <c r="H29" s="312">
        <f t="shared" si="41"/>
        <v>0</v>
      </c>
      <c r="J29" s="11">
        <v>7</v>
      </c>
      <c r="K29" s="2212"/>
      <c r="L29" s="2213"/>
      <c r="M29" s="2214"/>
      <c r="N29" s="26"/>
      <c r="O29" s="59">
        <f>INDEX(Bauteile!$H$57:$H$1159,BB29)</f>
        <v>0</v>
      </c>
      <c r="P29" s="312">
        <f t="shared" si="42"/>
        <v>0</v>
      </c>
      <c r="S29" s="1039">
        <f t="shared" si="43"/>
        <v>0</v>
      </c>
      <c r="T29" s="989">
        <f>IF(SUM(H23:H32)&gt;0,20-T22/SUM(H23:H32)*SUM(H23:H29),20)</f>
        <v>20</v>
      </c>
      <c r="U29" s="1033">
        <f>INDEX(Bauteile!$I$57:$I$1159,BA29)</f>
        <v>0</v>
      </c>
      <c r="V29" s="997">
        <f t="shared" si="44"/>
        <v>0</v>
      </c>
      <c r="W29" s="1006">
        <f t="shared" si="45"/>
        <v>0</v>
      </c>
      <c r="X29" s="563">
        <f t="shared" si="31"/>
        <v>0</v>
      </c>
      <c r="Y29" s="931">
        <f t="shared" si="46"/>
        <v>0</v>
      </c>
      <c r="Z29" s="563" t="b">
        <f t="shared" si="47"/>
        <v>0</v>
      </c>
      <c r="AA29" s="439">
        <f t="shared" si="32"/>
        <v>0</v>
      </c>
      <c r="AB29" s="1009">
        <f t="shared" si="48"/>
        <v>0</v>
      </c>
      <c r="AC29" s="1010">
        <f t="shared" si="33"/>
        <v>0</v>
      </c>
      <c r="AD29" s="931">
        <f t="shared" si="34"/>
        <v>0</v>
      </c>
      <c r="AE29" s="7" t="b">
        <f t="shared" si="49"/>
        <v>0</v>
      </c>
      <c r="AF29" s="439">
        <f t="shared" si="35"/>
        <v>0</v>
      </c>
      <c r="AG29" s="1040">
        <f t="shared" si="50"/>
        <v>0</v>
      </c>
      <c r="AH29" s="439">
        <f>IF(SUM(H23:H32)&gt;0,20-AH22/SUM(H23:H32)*SUM(H29:H32),20)</f>
        <v>20</v>
      </c>
      <c r="AJ29" s="1039">
        <f t="shared" si="51"/>
        <v>0</v>
      </c>
      <c r="AK29" s="989">
        <f>IF(SUM(P23:P32)&gt;0,20-AK22/SUM(P23:P32)*SUM(P23:P29),20)</f>
        <v>20</v>
      </c>
      <c r="AL29" s="1033">
        <f>INDEX(Bauteile!$I$57:$I$1159,BB29)</f>
        <v>0</v>
      </c>
      <c r="AM29" s="997">
        <f t="shared" si="52"/>
        <v>0</v>
      </c>
      <c r="AN29" s="1006">
        <f t="shared" si="53"/>
        <v>0</v>
      </c>
      <c r="AO29" s="563">
        <f t="shared" si="36"/>
        <v>0</v>
      </c>
      <c r="AP29" s="931">
        <f t="shared" si="54"/>
        <v>0</v>
      </c>
      <c r="AQ29" s="7" t="b">
        <f t="shared" si="55"/>
        <v>0</v>
      </c>
      <c r="AR29" s="439">
        <f t="shared" si="37"/>
        <v>0</v>
      </c>
      <c r="AS29" s="5">
        <f t="shared" si="56"/>
        <v>0</v>
      </c>
      <c r="AT29" s="1010">
        <f t="shared" si="38"/>
        <v>0</v>
      </c>
      <c r="AU29" s="931">
        <f t="shared" si="39"/>
        <v>0</v>
      </c>
      <c r="AV29" s="7" t="b">
        <f t="shared" si="57"/>
        <v>0</v>
      </c>
      <c r="AW29" s="439">
        <f t="shared" si="40"/>
        <v>0</v>
      </c>
      <c r="AX29" s="1040">
        <f t="shared" si="58"/>
        <v>0</v>
      </c>
      <c r="AY29" s="439">
        <f>IF(SUM(P23:P32)&gt;0,20-AY22/SUM(P23:P32)*SUM(P29:P32),20)</f>
        <v>20</v>
      </c>
      <c r="BA29" s="341">
        <f t="shared" si="59"/>
        <v>1</v>
      </c>
      <c r="BB29" s="1504">
        <f t="shared" si="60"/>
        <v>1</v>
      </c>
      <c r="BC29" s="323">
        <v>23</v>
      </c>
      <c r="BD29" s="274">
        <f>F186</f>
        <v>0</v>
      </c>
      <c r="BE29" s="325"/>
      <c r="BF29" s="323">
        <f>H186</f>
        <v>0</v>
      </c>
      <c r="BG29" s="274" t="b">
        <f t="shared" si="0"/>
        <v>0</v>
      </c>
      <c r="BH29" s="946">
        <f>IF(F186&lt;&gt;"",IF(SUMIF(Bau!$K$59:$K$92,B186,Bau!$K$59:$K$92)=0,1,IF(SUMIF(Bau!$K$59:$K$92,B186,Bau!$K$59:$K$92)&gt;B186,1,SUMIF(Bau!$K$59:$K$92,B186,Bau!$T$57:$T$92))),1)</f>
        <v>1</v>
      </c>
      <c r="BI29" s="947">
        <f>IF(F186&lt;&gt;"",IF(SUMIF(Bau!$K$59:$K$92,B186,Bau!$K$59:$K$92)=0,1,IF(SUMIF(Bau!$K$59:$K$92,B186,Bau!$K$59:$K$92)&gt;B186,1,SUMIF(Bau!$K$59:$K$92,B186,Bau!$AE$50:$AE$91))),1)</f>
        <v>1</v>
      </c>
      <c r="BJ29" s="947">
        <f>IF(F186&lt;&gt;"",IF(SUMIF(Bau!$K$59:$K$92,B186,Bau!$K$59:$K$92)=0,1,IF(SUMIF(Bau!$K$59:$K$92,B186,Bau!$K$59:$K$92)&gt;B186,1,SUMIF(Bau!$K$59:$K$92,B186,Bau!$AF$50:$AF$91))),1)</f>
        <v>1</v>
      </c>
      <c r="BK29" s="948">
        <f>IF(F186&lt;&gt;"",IF(SUMIF(Bau!$K$59:$K$92,B186,Bau!$K$59:$K$92)=0,1,IF(SUMIF(Bau!$K$59:$K$92,B186,Bau!$K$59:$K$92)&gt;B186,1,SUMIF(Bau!$K$59:$K$92,B186,Bau!$AG$50:$AG$91))),1)</f>
        <v>1</v>
      </c>
      <c r="BL29" s="325"/>
      <c r="BM29" s="944">
        <f>IF(F186&lt;&gt;"",IF(SUMIF(Bau!$K$59:$K$92,B186,Bau!$K$59:$K$92)=0,0,IF(SUMIF(Bau!$K$59:$K$92,B186,Bau!$K$59:$K$92)&gt;B186,0,SUMIF(Bau!$K$59:$K$92,B186,Bau!$AH$50:$AH$91))),)</f>
        <v>0</v>
      </c>
      <c r="BN29" s="944">
        <f>IF(F186&lt;&gt;"",IF(SUMIF(Bau!$K$59:$K$92,B186,Bau!$K$59:$K$92)&gt;B186,2,1),1)</f>
        <v>1</v>
      </c>
      <c r="BP29" s="118">
        <f>Bauteile!C29</f>
        <v>0</v>
      </c>
      <c r="BQ29" s="325">
        <v>23</v>
      </c>
      <c r="BR29" s="7"/>
      <c r="BS29" s="5"/>
      <c r="BU29" s="2098" t="str">
        <f>Bauteile!B80</f>
        <v>Béton armé (2% d'acier)</v>
      </c>
      <c r="BV29" s="1872">
        <f>Bauteile!H80</f>
        <v>2.5</v>
      </c>
      <c r="BW29" s="2098" t="str">
        <f>Bauteile!B325</f>
        <v>Protect BSP 50</v>
      </c>
      <c r="BX29" s="2056">
        <f>Bauteile!H325</f>
        <v>3.4000000000000002E-2</v>
      </c>
    </row>
    <row r="30" spans="2:78" ht="15.6" customHeight="1" thickBot="1">
      <c r="B30" s="11">
        <v>8</v>
      </c>
      <c r="C30" s="2212"/>
      <c r="D30" s="2213"/>
      <c r="E30" s="2214"/>
      <c r="F30" s="26"/>
      <c r="G30" s="59">
        <f>INDEX(Bauteile!$H$57:$H$1159,BA30)</f>
        <v>0</v>
      </c>
      <c r="H30" s="312">
        <f t="shared" si="41"/>
        <v>0</v>
      </c>
      <c r="J30" s="11">
        <v>8</v>
      </c>
      <c r="K30" s="2212"/>
      <c r="L30" s="2213"/>
      <c r="M30" s="2214"/>
      <c r="N30" s="26"/>
      <c r="O30" s="59">
        <f>INDEX(Bauteile!$H$57:$H$1159,BB30)</f>
        <v>0</v>
      </c>
      <c r="P30" s="312">
        <f t="shared" si="42"/>
        <v>0</v>
      </c>
      <c r="S30" s="1041">
        <f t="shared" si="43"/>
        <v>0</v>
      </c>
      <c r="T30" s="1014">
        <f>IF(SUM(H23:H32)&gt;0,20-T22/SUM(H23:H32)*SUM(H23:H30),20)</f>
        <v>20</v>
      </c>
      <c r="U30" s="1033">
        <f>INDEX(Bauteile!$I$57:$I$1159,BA30)</f>
        <v>0</v>
      </c>
      <c r="V30" s="997">
        <f t="shared" si="44"/>
        <v>0</v>
      </c>
      <c r="W30" s="1004">
        <f t="shared" si="45"/>
        <v>0</v>
      </c>
      <c r="X30" s="11"/>
      <c r="Y30" s="1042">
        <f t="shared" si="46"/>
        <v>0</v>
      </c>
      <c r="Z30" s="11" t="b">
        <f t="shared" si="47"/>
        <v>0</v>
      </c>
      <c r="AA30" s="1043"/>
      <c r="AB30" s="1011">
        <f t="shared" si="48"/>
        <v>0</v>
      </c>
      <c r="AC30" s="1012">
        <f>V30*U30</f>
        <v>0</v>
      </c>
      <c r="AD30" s="1042">
        <f>IF(AND(AB30&gt;0,AC30&gt;0),Ak/AC30-Bk/AB30,)</f>
        <v>0</v>
      </c>
      <c r="AE30" s="9" t="b">
        <f t="shared" si="49"/>
        <v>0</v>
      </c>
      <c r="AF30" s="1043"/>
      <c r="AG30" s="1044">
        <f t="shared" si="50"/>
        <v>0</v>
      </c>
      <c r="AH30" s="1043">
        <f>IF(SUM(H23:H32)&gt;0,20-AH22/SUM(H23:H32)*SUM(H30:H32),20)</f>
        <v>20</v>
      </c>
      <c r="AJ30" s="1041">
        <f t="shared" si="51"/>
        <v>0</v>
      </c>
      <c r="AK30" s="1014">
        <f>IF(SUM(P23:P32)&gt;0,20-AK22/SUM(P23:P32)*SUM(P23:P30),20)</f>
        <v>20</v>
      </c>
      <c r="AL30" s="1033">
        <f>INDEX(Bauteile!$I$57:$I$1159,BB30)</f>
        <v>0</v>
      </c>
      <c r="AM30" s="997">
        <f t="shared" si="52"/>
        <v>0</v>
      </c>
      <c r="AN30" s="1004">
        <f t="shared" si="53"/>
        <v>0</v>
      </c>
      <c r="AO30" s="11"/>
      <c r="AP30" s="1042">
        <f t="shared" si="54"/>
        <v>0</v>
      </c>
      <c r="AQ30" s="9" t="b">
        <f t="shared" si="55"/>
        <v>0</v>
      </c>
      <c r="AR30" s="1043"/>
      <c r="AS30" s="10">
        <f t="shared" si="56"/>
        <v>0</v>
      </c>
      <c r="AT30" s="1012">
        <f>AM30*AL30</f>
        <v>0</v>
      </c>
      <c r="AU30" s="1042">
        <f>IF(AND(AS30&gt;0,AT30&gt;0),Ak/AT30-Bk/AS30,)</f>
        <v>0</v>
      </c>
      <c r="AV30" s="9" t="b">
        <f t="shared" si="57"/>
        <v>0</v>
      </c>
      <c r="AW30" s="1043"/>
      <c r="AX30" s="1044">
        <f t="shared" si="58"/>
        <v>0</v>
      </c>
      <c r="AY30" s="1043">
        <f>IF(SUM(P23:P32)&gt;0,20-AY22/SUM(P23:P32)*SUM(P30:P32),20)</f>
        <v>20</v>
      </c>
      <c r="BA30" s="341">
        <f t="shared" si="59"/>
        <v>1</v>
      </c>
      <c r="BB30" s="1504">
        <f t="shared" si="60"/>
        <v>1</v>
      </c>
      <c r="BC30" s="323">
        <v>24</v>
      </c>
      <c r="BD30" s="274">
        <f>F187</f>
        <v>0</v>
      </c>
      <c r="BE30" s="325"/>
      <c r="BF30" s="323">
        <f>H187</f>
        <v>0</v>
      </c>
      <c r="BG30" s="274" t="b">
        <f t="shared" si="0"/>
        <v>0</v>
      </c>
      <c r="BH30" s="946">
        <f>IF(F187&lt;&gt;"",IF(SUMIF(Bau!$K$59:$K$92,B187,Bau!$K$59:$K$92)=0,1,IF(SUMIF(Bau!$K$59:$K$92,B187,Bau!$K$59:$K$92)&gt;B187,1,SUMIF(Bau!$K$59:$K$92,B187,Bau!$T$57:$T$92))),1)</f>
        <v>1</v>
      </c>
      <c r="BI30" s="947">
        <f>IF(F187&lt;&gt;"",IF(SUMIF(Bau!$K$59:$K$92,B187,Bau!$K$59:$K$92)=0,1,IF(SUMIF(Bau!$K$59:$K$92,B187,Bau!$K$59:$K$92)&gt;B187,1,SUMIF(Bau!$K$59:$K$92,B187,Bau!$AE$50:$AE$91))),1)</f>
        <v>1</v>
      </c>
      <c r="BJ30" s="947">
        <f>IF(F187&lt;&gt;"",IF(SUMIF(Bau!$K$59:$K$92,B187,Bau!$K$59:$K$92)=0,1,IF(SUMIF(Bau!$K$59:$K$92,B187,Bau!$K$59:$K$92)&gt;B187,1,SUMIF(Bau!$K$59:$K$92,B187,Bau!$AF$50:$AF$91))),1)</f>
        <v>1</v>
      </c>
      <c r="BK30" s="948">
        <f>IF(F187&lt;&gt;"",IF(SUMIF(Bau!$K$59:$K$92,B187,Bau!$K$59:$K$92)=0,1,IF(SUMIF(Bau!$K$59:$K$92,B187,Bau!$K$59:$K$92)&gt;B187,1,SUMIF(Bau!$K$59:$K$92,B187,Bau!$AG$50:$AG$91))),1)</f>
        <v>1</v>
      </c>
      <c r="BL30" s="325"/>
      <c r="BM30" s="944">
        <f>IF(F187&lt;&gt;"",IF(SUMIF(Bau!$K$59:$K$92,B187,Bau!$K$59:$K$92)=0,0,IF(SUMIF(Bau!$K$59:$K$92,B187,Bau!$K$59:$K$92)&gt;B187,0,SUMIF(Bau!$K$59:$K$92,B187,Bau!$AH$50:$AH$91))),)</f>
        <v>0</v>
      </c>
      <c r="BN30" s="944">
        <f>IF(F187&lt;&gt;"",IF(SUMIF(Bau!$K$59:$K$92,B187,Bau!$K$59:$K$92)&gt;B187,2,1),1)</f>
        <v>1</v>
      </c>
      <c r="BP30" s="118">
        <f>Bauteile!C30</f>
        <v>0</v>
      </c>
      <c r="BQ30" s="325">
        <v>24</v>
      </c>
      <c r="BR30" s="7"/>
      <c r="BS30" s="5"/>
      <c r="BU30" s="2098" t="str">
        <f>Bauteile!B81</f>
        <v>Béton (densité 1800)</v>
      </c>
      <c r="BV30" s="1872">
        <f>Bauteile!H81</f>
        <v>1.1499999999999999</v>
      </c>
      <c r="BW30" s="2098" t="str">
        <f>Bauteile!B326</f>
        <v>COVERROCK II</v>
      </c>
      <c r="BX30" s="2056">
        <f>Bauteile!H326</f>
        <v>3.5000000000000003E-2</v>
      </c>
    </row>
    <row r="31" spans="2:78" ht="15.6" customHeight="1" thickBot="1">
      <c r="B31" s="11">
        <v>9</v>
      </c>
      <c r="C31" s="2212"/>
      <c r="D31" s="2213"/>
      <c r="E31" s="2214"/>
      <c r="F31" s="10"/>
      <c r="G31" s="59">
        <f>INDEX(Bauteile!$P$284:$P$296,BA31,1)</f>
        <v>0</v>
      </c>
      <c r="H31" s="312">
        <f>IF(G31=0,0,1/G31)</f>
        <v>0</v>
      </c>
      <c r="J31" s="11">
        <v>9</v>
      </c>
      <c r="K31" s="2212"/>
      <c r="L31" s="2213"/>
      <c r="M31" s="2214"/>
      <c r="N31" s="10"/>
      <c r="O31" s="59">
        <f>INDEX(Bauteile!$P$284:$P$296,BB31,1)</f>
        <v>0</v>
      </c>
      <c r="P31" s="312">
        <f>IF(O31=0,0,1/O31)</f>
        <v>0</v>
      </c>
      <c r="S31" s="1045"/>
      <c r="T31" s="1046"/>
      <c r="U31" s="1047" t="b">
        <f>IF(AND(V21,V22&lt;&gt;TRUE),Z31,IF(AND(V22,V21&lt;&gt;TRUE),AE31,FALSE))</f>
        <v>0</v>
      </c>
      <c r="V31" s="1015" t="str">
        <f>IF(AND(V21,V22&lt;&gt;TRUE),AA31,IF(AND(V22,V21&lt;&gt;TRUE),AF31,""))</f>
        <v/>
      </c>
      <c r="W31" s="990"/>
      <c r="X31" s="991"/>
      <c r="Y31" s="991"/>
      <c r="Z31" s="1048" t="b">
        <f>IF(OR(Z24,Z25,Z26,Z27,Z28,Z29,Z30),TRUE,FALSE)</f>
        <v>0</v>
      </c>
      <c r="AA31" s="993">
        <f>MAX(AA24:AA30)</f>
        <v>0</v>
      </c>
      <c r="AB31" s="990"/>
      <c r="AC31" s="991"/>
      <c r="AD31" s="991"/>
      <c r="AE31" s="1048" t="b">
        <f>IF(OR(AE24,AE25,AE26,AE27,AE28,AE29,AE30),TRUE,FALSE)</f>
        <v>0</v>
      </c>
      <c r="AF31" s="1049">
        <f>MAX(AF24:AF30)</f>
        <v>0</v>
      </c>
      <c r="AG31" s="1045"/>
      <c r="AH31" s="1046"/>
      <c r="AJ31" s="1045"/>
      <c r="AK31" s="1046"/>
      <c r="AL31" s="1047" t="b">
        <f>IF(AND(AM21,AM22&lt;&gt;TRUE),AQ31,IF(AND(AM22,AM21&lt;&gt;TRUE),AV31,FALSE))</f>
        <v>0</v>
      </c>
      <c r="AM31" s="1015" t="str">
        <f>IF(AND(AM21,AM22&lt;&gt;TRUE),AR31,IF(AND(AM22,AM21&lt;&gt;TRUE),AW31,""))</f>
        <v/>
      </c>
      <c r="AN31" s="990"/>
      <c r="AO31" s="991"/>
      <c r="AP31" s="991"/>
      <c r="AQ31" s="1048" t="b">
        <f>IF(OR(AQ24,AQ25,AQ26,AQ27,AQ28,AQ29,AQ30),TRUE,FALSE)</f>
        <v>0</v>
      </c>
      <c r="AR31" s="1049">
        <f>MAX(AR24:AR30)</f>
        <v>0</v>
      </c>
      <c r="AS31" s="990"/>
      <c r="AT31" s="991"/>
      <c r="AU31" s="991"/>
      <c r="AV31" s="1048" t="b">
        <f>IF(OR(AV24,AV25,AV26,AV27,AV28,AV29,AV30),TRUE,FALSE)</f>
        <v>0</v>
      </c>
      <c r="AW31" s="1049">
        <f>MAX(AW24:AW30)</f>
        <v>0</v>
      </c>
      <c r="AX31" s="1045"/>
      <c r="AY31" s="1046"/>
      <c r="BA31" s="341">
        <f>IF($C31="",1,VLOOKUP($C31,$BR$40:$BS$52,2,FALSE))</f>
        <v>1</v>
      </c>
      <c r="BB31" s="1504">
        <f>IF($K31="",1,VLOOKUP($K31,$BR$40:$BS$52,2,FALSE))</f>
        <v>1</v>
      </c>
      <c r="BC31" s="323">
        <v>25</v>
      </c>
      <c r="BD31" s="274">
        <f>F188</f>
        <v>0</v>
      </c>
      <c r="BE31" s="325"/>
      <c r="BF31" s="323">
        <f>H188</f>
        <v>0</v>
      </c>
      <c r="BG31" s="274" t="b">
        <f t="shared" si="0"/>
        <v>0</v>
      </c>
      <c r="BH31" s="946">
        <f>IF(F188&lt;&gt;"",IF(SUMIF(Bau!$K$59:$K$92,B188,Bau!$K$59:$K$92)=0,1,IF(SUMIF(Bau!$K$59:$K$92,B188,Bau!$K$59:$K$92)&gt;B188,1,SUMIF(Bau!$K$59:$K$92,B188,Bau!$T$57:$T$92))),1)</f>
        <v>1</v>
      </c>
      <c r="BI31" s="947">
        <f>IF(F188&lt;&gt;"",IF(SUMIF(Bau!$K$59:$K$92,B188,Bau!$K$59:$K$92)=0,1,IF(SUMIF(Bau!$K$59:$K$92,B188,Bau!$K$59:$K$92)&gt;B188,1,SUMIF(Bau!$K$59:$K$92,B188,Bau!$AE$50:$AE$91))),1)</f>
        <v>1</v>
      </c>
      <c r="BJ31" s="947">
        <f>IF(F188&lt;&gt;"",IF(SUMIF(Bau!$K$59:$K$92,B188,Bau!$K$59:$K$92)=0,1,IF(SUMIF(Bau!$K$59:$K$92,B188,Bau!$K$59:$K$92)&gt;B188,1,SUMIF(Bau!$K$59:$K$92,B188,Bau!$AF$50:$AF$91))),1)</f>
        <v>1</v>
      </c>
      <c r="BK31" s="948">
        <f>IF(F188&lt;&gt;"",IF(SUMIF(Bau!$K$59:$K$92,B188,Bau!$K$59:$K$92)=0,1,IF(SUMIF(Bau!$K$59:$K$92,B188,Bau!$K$59:$K$92)&gt;B188,1,SUMIF(Bau!$K$59:$K$92,B188,Bau!$AG$50:$AG$91))),1)</f>
        <v>1</v>
      </c>
      <c r="BL31" s="325"/>
      <c r="BM31" s="944">
        <f>IF(F188&lt;&gt;"",IF(SUMIF(Bau!$K$59:$K$92,B188,Bau!$K$59:$K$92)=0,0,IF(SUMIF(Bau!$K$59:$K$92,B188,Bau!$K$59:$K$92)&gt;B188,0,SUMIF(Bau!$K$59:$K$92,B188,Bau!$AH$50:$AH$91))),)</f>
        <v>0</v>
      </c>
      <c r="BN31" s="944">
        <f>IF(F188&lt;&gt;"",IF(SUMIF(Bau!$K$59:$K$92,B188,Bau!$K$59:$K$92)&gt;B188,2,1),1)</f>
        <v>1</v>
      </c>
      <c r="BP31" s="118">
        <f>Bauteile!C31</f>
        <v>0</v>
      </c>
      <c r="BQ31" s="325">
        <v>25</v>
      </c>
      <c r="BR31" s="7"/>
      <c r="BS31" s="5"/>
      <c r="BU31" s="2098" t="str">
        <f>Bauteile!B82</f>
        <v>Béton (densité 2000)</v>
      </c>
      <c r="BV31" s="1872">
        <f>Bauteile!H82</f>
        <v>1.35</v>
      </c>
      <c r="BW31" s="2098" t="str">
        <f>Bauteile!B327</f>
        <v>COVERROCK 036</v>
      </c>
      <c r="BX31" s="2056">
        <f>Bauteile!H327</f>
        <v>3.5999999999999997E-2</v>
      </c>
    </row>
    <row r="32" spans="2:78" ht="15.6" customHeight="1">
      <c r="B32" s="11">
        <v>10</v>
      </c>
      <c r="C32" s="2212"/>
      <c r="D32" s="2213"/>
      <c r="E32" s="2214"/>
      <c r="F32" s="10"/>
      <c r="G32" s="59">
        <f>INDEX(Bauteile!$O$280:$O$282,BA32)</f>
        <v>0</v>
      </c>
      <c r="H32" s="312">
        <f>IF(G32=0,0,1/G32)</f>
        <v>0</v>
      </c>
      <c r="J32" s="11">
        <v>10</v>
      </c>
      <c r="K32" s="2212"/>
      <c r="L32" s="2213"/>
      <c r="M32" s="2214"/>
      <c r="N32" s="10"/>
      <c r="O32" s="59">
        <f>INDEX(Bauteile!$O$280:$O$282,BB32)</f>
        <v>0</v>
      </c>
      <c r="P32" s="312">
        <f>IF(O32=0,0,1/O32)</f>
        <v>0</v>
      </c>
      <c r="AH32" s="27"/>
      <c r="AI32" s="27"/>
      <c r="AJ32" s="27"/>
      <c r="AK32" s="27"/>
      <c r="BA32" s="340">
        <f>IF($C32="",3,VLOOKUP($C32,$BR$36:$BS$38,2,FALSE))</f>
        <v>3</v>
      </c>
      <c r="BB32" s="1505">
        <f>IF($K32="",3,VLOOKUP($K32,$BR$36:$BS$38,2,FALSE))</f>
        <v>3</v>
      </c>
      <c r="BC32" s="323">
        <v>26</v>
      </c>
      <c r="BD32" s="274">
        <f>F189</f>
        <v>0</v>
      </c>
      <c r="BE32" s="325"/>
      <c r="BF32" s="323">
        <f>H189</f>
        <v>0</v>
      </c>
      <c r="BG32" s="274" t="b">
        <f t="shared" si="0"/>
        <v>0</v>
      </c>
      <c r="BH32" s="946">
        <f>IF(F189&lt;&gt;"",IF(SUMIF(Bau!$K$59:$K$92,B189,Bau!$K$59:$K$92)=0,1,IF(SUMIF(Bau!$K$59:$K$92,B189,Bau!$K$59:$K$92)&gt;B189,1,SUMIF(Bau!$K$59:$K$92,B189,Bau!$T$57:$T$92))),1)</f>
        <v>1</v>
      </c>
      <c r="BI32" s="947">
        <f>IF(F189&lt;&gt;"",IF(SUMIF(Bau!$K$59:$K$92,B189,Bau!$K$59:$K$92)=0,1,IF(SUMIF(Bau!$K$59:$K$92,B189,Bau!$K$59:$K$92)&gt;B189,1,SUMIF(Bau!$K$59:$K$92,B189,Bau!$AE$50:$AE$91))),1)</f>
        <v>1</v>
      </c>
      <c r="BJ32" s="947">
        <f>IF(F189&lt;&gt;"",IF(SUMIF(Bau!$K$59:$K$92,B189,Bau!$K$59:$K$92)=0,1,IF(SUMIF(Bau!$K$59:$K$92,B189,Bau!$K$59:$K$92)&gt;B189,1,SUMIF(Bau!$K$59:$K$92,B189,Bau!$AF$50:$AF$91))),1)</f>
        <v>1</v>
      </c>
      <c r="BK32" s="948">
        <f>IF(F189&lt;&gt;"",IF(SUMIF(Bau!$K$59:$K$92,B189,Bau!$K$59:$K$92)=0,1,IF(SUMIF(Bau!$K$59:$K$92,B189,Bau!$K$59:$K$92)&gt;B189,1,SUMIF(Bau!$K$59:$K$92,B189,Bau!$AG$50:$AG$91))),1)</f>
        <v>1</v>
      </c>
      <c r="BL32" s="325"/>
      <c r="BM32" s="944">
        <f>IF(F189&lt;&gt;"",IF(SUMIF(Bau!$K$59:$K$92,B189,Bau!$K$59:$K$92)=0,0,IF(SUMIF(Bau!$K$59:$K$92,B189,Bau!$K$59:$K$92)&gt;B189,0,SUMIF(Bau!$K$59:$K$92,B189,Bau!$AH$50:$AH$91))),)</f>
        <v>0</v>
      </c>
      <c r="BN32" s="944">
        <f>IF(F189&lt;&gt;"",IF(SUMIF(Bau!$K$59:$K$92,B189,Bau!$K$59:$K$92)&gt;B189,2,1),1)</f>
        <v>1</v>
      </c>
      <c r="BP32" s="118">
        <f>Bauteile!C32</f>
        <v>0</v>
      </c>
      <c r="BQ32" s="325">
        <v>26</v>
      </c>
      <c r="BR32" s="7"/>
      <c r="BS32" s="5"/>
      <c r="BU32" s="2098" t="str">
        <f>Bauteile!B83</f>
        <v>Béton (densité 2200)</v>
      </c>
      <c r="BV32" s="1872">
        <f>Bauteile!H83</f>
        <v>1.65</v>
      </c>
      <c r="BW32" s="2098" t="str">
        <f>Bauteile!B328</f>
        <v>SONOROCK</v>
      </c>
      <c r="BX32" s="2056">
        <f>Bauteile!H328</f>
        <v>3.9E-2</v>
      </c>
    </row>
    <row r="33" spans="2:76" ht="7.9" customHeight="1">
      <c r="G33" s="28"/>
      <c r="H33" s="28"/>
      <c r="O33" s="28"/>
      <c r="P33" s="28"/>
      <c r="AH33" s="467"/>
      <c r="AI33" s="467"/>
      <c r="AJ33" s="467"/>
      <c r="AK33" s="467"/>
      <c r="AY33" s="4"/>
      <c r="AZ33" s="4"/>
      <c r="BA33" s="4"/>
      <c r="BB33" s="335"/>
      <c r="BC33" s="323">
        <v>27</v>
      </c>
      <c r="BD33" s="274">
        <f>N185</f>
        <v>0</v>
      </c>
      <c r="BE33" s="325"/>
      <c r="BF33" s="323">
        <f>P185</f>
        <v>0</v>
      </c>
      <c r="BG33" s="274" t="b">
        <f t="shared" si="0"/>
        <v>0</v>
      </c>
      <c r="BH33" s="946">
        <f>IF(N185&lt;&gt;"",IF(SUMIF(Bau!$K$59:$K$92,J185,Bau!$K$59:$K$92)=0,1,IF(SUMIF(Bau!$K$59:$K$92,J185,Bau!$K$59:$K$92)&gt;J185,1,SUMIF(Bau!$K$59:$K$92,J185,Bau!$T$57:$T$92))),1)</f>
        <v>1</v>
      </c>
      <c r="BI33" s="947">
        <f>IF(N185&lt;&gt;"",IF(SUMIF(Bau!$K$59:$K$92,J185,Bau!$K$59:$K$92)=0,1,IF(SUMIF(Bau!$K$59:$K$92,J185,Bau!$K$59:$K$92)&gt;J185,1,SUMIF(Bau!$K$59:$K$92,J185,Bau!$AE$50:$AE$91))),1)</f>
        <v>1</v>
      </c>
      <c r="BJ33" s="947">
        <f>IF(N185&lt;&gt;"",IF(SUMIF(Bau!$K$59:$K$92,J185,Bau!$K$59:$K$92)=0,1,IF(SUMIF(Bau!$K$59:$K$92,J185,Bau!$K$59:$K$92)&gt;J185,1,SUMIF(Bau!$K$59:$K$92,J185,Bau!$AF$50:$AF$91))),1)</f>
        <v>1</v>
      </c>
      <c r="BK33" s="948">
        <f>IF(N185&lt;&gt;"",IF(SUMIF(Bau!$K$59:$K$92,J185,Bau!$K$59:$K$92)=0,1,IF(SUMIF(Bau!$K$59:$K$92,J185,Bau!$K$59:$K$92)&gt;J185,1,SUMIF(Bau!$K$59:$K$92,J185,Bau!$AG$50:$AG$91))),1)</f>
        <v>1</v>
      </c>
      <c r="BL33" s="325"/>
      <c r="BM33" s="944">
        <f>IF(N185&lt;&gt;"",IF(SUMIF(Bau!$K$59:$K$92,J185,Bau!$K$59:$K$92)=0,0,IF(SUMIF(Bau!$K$59:$K$92,J185,Bau!$K$59:$K$92)&gt;J185,0,SUMIF(Bau!$K$59:$K$92,J185,Bau!$AH$50:$AH$91))),)</f>
        <v>0</v>
      </c>
      <c r="BN33" s="944">
        <f>IF(N185&lt;&gt;"",IF(SUMIF(Bau!$K$59:$K$92,J185,Bau!$K$59:$K$92)&gt;J185,2,1),1)</f>
        <v>1</v>
      </c>
      <c r="BP33" s="119">
        <f>Bauteile!C33</f>
        <v>0</v>
      </c>
      <c r="BQ33" s="1496">
        <v>27</v>
      </c>
      <c r="BR33" s="9"/>
      <c r="BS33" s="10"/>
      <c r="BU33" s="1528"/>
      <c r="BV33" s="247"/>
      <c r="BW33" s="2098" t="str">
        <f>Bauteile!B329</f>
        <v>COVERROCK II</v>
      </c>
      <c r="BX33" s="2056">
        <f>Bauteile!H329</f>
        <v>3.5000000000000003E-2</v>
      </c>
    </row>
    <row r="34" spans="2:76" ht="15.6" customHeight="1" thickBot="1">
      <c r="B34" s="110" t="s">
        <v>1198</v>
      </c>
      <c r="C34" s="111" t="str">
        <f>C20</f>
        <v>Désignation:</v>
      </c>
      <c r="D34" s="938"/>
      <c r="E34" s="925" t="s">
        <v>438</v>
      </c>
      <c r="F34" s="111" t="str">
        <f>F20</f>
        <v>Valeur U total:</v>
      </c>
      <c r="G34" s="213"/>
      <c r="H34" s="307" t="s">
        <v>1759</v>
      </c>
      <c r="J34" s="110" t="s">
        <v>1198</v>
      </c>
      <c r="K34" s="111" t="str">
        <f>K20</f>
        <v>Désignation:</v>
      </c>
      <c r="L34" s="938"/>
      <c r="M34" s="925" t="s">
        <v>438</v>
      </c>
      <c r="N34" s="111" t="str">
        <f>N20</f>
        <v>Valeur U total:</v>
      </c>
      <c r="O34" s="213"/>
      <c r="P34" s="307" t="s">
        <v>1759</v>
      </c>
      <c r="BA34" s="335"/>
      <c r="BB34" s="335"/>
      <c r="BC34" s="323">
        <v>28</v>
      </c>
      <c r="BD34" s="274">
        <f>N186</f>
        <v>0</v>
      </c>
      <c r="BE34" s="325"/>
      <c r="BF34" s="323">
        <f>P186</f>
        <v>0</v>
      </c>
      <c r="BG34" s="274" t="b">
        <f t="shared" si="0"/>
        <v>0</v>
      </c>
      <c r="BH34" s="946">
        <f>IF(N186&lt;&gt;"",IF(SUMIF(Bau!$K$59:$K$92,J186,Bau!$K$59:$K$92)=0,1,IF(SUMIF(Bau!$K$59:$K$92,J186,Bau!$K$59:$K$92)&gt;J186,1,SUMIF(Bau!$K$59:$K$92,J186,Bau!$T$57:$T$92))),1)</f>
        <v>1</v>
      </c>
      <c r="BI34" s="947">
        <f>IF(N186&lt;&gt;"",IF(SUMIF(Bau!$K$59:$K$92,J186,Bau!$K$59:$K$92)=0,1,IF(SUMIF(Bau!$K$59:$K$92,J186,Bau!$K$59:$K$92)&gt;J186,1,SUMIF(Bau!$K$59:$K$92,J186,Bau!$AE$50:$AE$91))),1)</f>
        <v>1</v>
      </c>
      <c r="BJ34" s="947">
        <f>IF(N186&lt;&gt;"",IF(SUMIF(Bau!$K$59:$K$92,J186,Bau!$K$59:$K$92)=0,1,IF(SUMIF(Bau!$K$59:$K$92,J186,Bau!$K$59:$K$92)&gt;J186,1,SUMIF(Bau!$K$59:$K$92,J186,Bau!$AF$50:$AF$91))),1)</f>
        <v>1</v>
      </c>
      <c r="BK34" s="948">
        <f>IF(N186&lt;&gt;"",IF(SUMIF(Bau!$K$59:$K$92,J186,Bau!$K$59:$K$92)=0,1,IF(SUMIF(Bau!$K$59:$K$92,J186,Bau!$K$59:$K$92)&gt;J186,1,SUMIF(Bau!$K$59:$K$92,J186,Bau!$AG$50:$AG$91))),1)</f>
        <v>1</v>
      </c>
      <c r="BL34" s="325"/>
      <c r="BM34" s="944">
        <f>IF(N186&lt;&gt;"",IF(SUMIF(Bau!$K$59:$K$92,J186,Bau!$K$59:$K$92)=0,0,IF(SUMIF(Bau!$K$59:$K$92,J186,Bau!$K$59:$K$92)&gt;J186,0,SUMIF(Bau!$K$59:$K$92,J186,Bau!$AH$50:$AH$91))),)</f>
        <v>0</v>
      </c>
      <c r="BN34" s="944">
        <f>IF(N186&lt;&gt;"",IF(SUMIF(Bau!$K$59:$K$92,J186,Bau!$K$59:$K$92)&gt;J186,2,1),1)</f>
        <v>1</v>
      </c>
      <c r="BP34" s="30"/>
      <c r="BQ34" s="4"/>
      <c r="BU34" s="2098" t="str">
        <f>Bauteile!B84</f>
        <v>Béton (densité 2400)</v>
      </c>
      <c r="BV34" s="1872">
        <f>Bauteile!H84</f>
        <v>2</v>
      </c>
      <c r="BW34" s="2098" t="str">
        <f>Bauteile!B330</f>
        <v>COVERROCK 036</v>
      </c>
      <c r="BX34" s="2056">
        <f>Bauteile!H330</f>
        <v>3.5999999999999997E-2</v>
      </c>
    </row>
    <row r="35" spans="2:76" ht="15.6" customHeight="1" thickBot="1">
      <c r="B35" s="19">
        <v>5</v>
      </c>
      <c r="C35" s="2219"/>
      <c r="D35" s="2220"/>
      <c r="E35" s="2221"/>
      <c r="F35" s="313" t="str">
        <f>IF(SUM(H37:H46)&lt;&gt;0,1/SUM(H37:H46),"")</f>
        <v/>
      </c>
      <c r="G35" s="308" t="s">
        <v>245</v>
      </c>
      <c r="H35" s="309" t="str">
        <f>IF(OR(G37=8,G46=8),ROUND(Thetai-(Thetai-Thetamin)*(1/(1/F35)-(1/8)+(1/6))*(1/6),1)&amp;" °C","")</f>
        <v/>
      </c>
      <c r="J35" s="19">
        <v>6</v>
      </c>
      <c r="K35" s="2219"/>
      <c r="L35" s="2220"/>
      <c r="M35" s="2221"/>
      <c r="N35" s="313" t="str">
        <f>IF(SUM(P37:P46)&lt;&gt;0,1/SUM(P37:P46),"")</f>
        <v/>
      </c>
      <c r="O35" s="308" t="s">
        <v>245</v>
      </c>
      <c r="P35" s="309" t="str">
        <f>IF(OR(O37=8,O46=8),ROUND(Thetai-(Thetai-Thetamin)*(1/(1/N35)-(1/8)+(1/6))*(1/6),1)&amp;" °C","")</f>
        <v/>
      </c>
      <c r="S35" s="1018"/>
      <c r="T35" s="987"/>
      <c r="U35" s="1019" t="s">
        <v>451</v>
      </c>
      <c r="V35" s="998" t="b">
        <f>IF(BA37=1,TRUE,FALSE)</f>
        <v>0</v>
      </c>
      <c r="W35" s="1016" t="s">
        <v>454</v>
      </c>
      <c r="X35" s="1000"/>
      <c r="Y35" s="1000"/>
      <c r="Z35" s="1000"/>
      <c r="AA35" s="1000"/>
      <c r="AB35" s="1000"/>
      <c r="AC35" s="1001"/>
      <c r="AD35" s="1001"/>
      <c r="AE35" s="1001"/>
      <c r="AF35" s="1002"/>
      <c r="AG35" s="1020"/>
      <c r="AH35" s="1021"/>
      <c r="AJ35" s="1018"/>
      <c r="AK35" s="987"/>
      <c r="AL35" s="1019" t="s">
        <v>451</v>
      </c>
      <c r="AM35" s="998" t="b">
        <f>IF(BB37=1,TRUE,FALSE)</f>
        <v>0</v>
      </c>
      <c r="AN35" s="1016" t="s">
        <v>798</v>
      </c>
      <c r="AO35" s="1000"/>
      <c r="AP35" s="1000"/>
      <c r="AQ35" s="1000"/>
      <c r="AR35" s="1000"/>
      <c r="AS35" s="1000"/>
      <c r="AT35" s="1001"/>
      <c r="AU35" s="1001"/>
      <c r="AV35" s="1001"/>
      <c r="AW35" s="1002"/>
      <c r="AX35" s="1020"/>
      <c r="AY35" s="1021"/>
      <c r="BA35" s="335"/>
      <c r="BB35" s="335"/>
      <c r="BC35" s="323">
        <v>29</v>
      </c>
      <c r="BD35" s="274">
        <f>N187</f>
        <v>0</v>
      </c>
      <c r="BE35" s="325"/>
      <c r="BF35" s="323">
        <f>P187</f>
        <v>0</v>
      </c>
      <c r="BG35" s="274" t="b">
        <f t="shared" si="0"/>
        <v>0</v>
      </c>
      <c r="BH35" s="946">
        <f>IF(N187&lt;&gt;"",IF(SUMIF(Bau!$K$59:$K$92,J187,Bau!$K$59:$K$92)=0,1,IF(SUMIF(Bau!$K$59:$K$92,J187,Bau!$K$59:$K$92)&gt;J187,1,SUMIF(Bau!$K$59:$K$92,J187,Bau!$T$57:$T$92))),1)</f>
        <v>1</v>
      </c>
      <c r="BI35" s="947">
        <f>IF(N187&lt;&gt;"",IF(SUMIF(Bau!$K$59:$K$92,J187,Bau!$K$59:$K$92)=0,1,IF(SUMIF(Bau!$K$59:$K$92,J187,Bau!$K$59:$K$92)&gt;J187,1,SUMIF(Bau!$K$59:$K$92,J187,Bau!$AE$50:$AE$91))),1)</f>
        <v>1</v>
      </c>
      <c r="BJ35" s="947">
        <f>IF(N187&lt;&gt;"",IF(SUMIF(Bau!$K$59:$K$92,J187,Bau!$K$59:$K$92)=0,1,IF(SUMIF(Bau!$K$59:$K$92,J187,Bau!$K$59:$K$92)&gt;J187,1,SUMIF(Bau!$K$59:$K$92,J187,Bau!$AF$50:$AF$91))),1)</f>
        <v>1</v>
      </c>
      <c r="BK35" s="948">
        <f>IF(N187&lt;&gt;"",IF(SUMIF(Bau!$K$59:$K$92,J187,Bau!$K$59:$K$92)=0,1,IF(SUMIF(Bau!$K$59:$K$92,J187,Bau!$K$59:$K$92)&gt;J187,1,SUMIF(Bau!$K$59:$K$92,J187,Bau!$AG$50:$AG$91))),1)</f>
        <v>1</v>
      </c>
      <c r="BL35" s="325"/>
      <c r="BM35" s="944">
        <f>IF(N187&lt;&gt;"",IF(SUMIF(Bau!$K$59:$K$92,J187,Bau!$K$59:$K$92)=0,0,IF(SUMIF(Bau!$K$59:$K$92,J187,Bau!$K$59:$K$92)&gt;J187,0,SUMIF(Bau!$K$59:$K$92,J187,Bau!$AH$50:$AH$91))),)</f>
        <v>0</v>
      </c>
      <c r="BN35" s="944">
        <f>IF(N187&lt;&gt;"",IF(SUMIF(Bau!$K$59:$K$92,J187,Bau!$K$59:$K$92)&gt;J187,2,1),1)</f>
        <v>1</v>
      </c>
      <c r="BP35" s="401" t="str">
        <f>Bauteile!B35</f>
        <v>Portes</v>
      </c>
      <c r="BQ35" s="122">
        <f>Bauteile!C35</f>
        <v>0</v>
      </c>
      <c r="BR35" s="1506" t="str">
        <f>Bauteile!K279</f>
        <v>Transmission thermique alpha</v>
      </c>
      <c r="BS35" s="17"/>
      <c r="BU35" s="2098" t="str">
        <f>Bauteile!B85</f>
        <v>Béton d'argile expansée, lambda 0.3</v>
      </c>
      <c r="BV35" s="1872">
        <f>Bauteile!H85</f>
        <v>0.3</v>
      </c>
      <c r="BW35" s="2098" t="str">
        <f>Bauteile!B331</f>
        <v>SPEEDROCK II</v>
      </c>
      <c r="BX35" s="2056">
        <f>Bauteile!H331</f>
        <v>4.1000000000000002E-2</v>
      </c>
    </row>
    <row r="36" spans="2:76" s="3" customFormat="1" ht="15.6" customHeight="1" thickBot="1">
      <c r="B36" s="2234">
        <f>IF(GraueEnergie,Uebersetzung!D651,IF(AND(U45,V45&gt;0),Uebersetzung!D652&amp;ROUND(V45,0)&amp;" g/m2",))</f>
        <v>0</v>
      </c>
      <c r="C36" s="2235"/>
      <c r="D36" s="2217"/>
      <c r="E36" s="2218"/>
      <c r="F36" s="12" t="s">
        <v>1918</v>
      </c>
      <c r="G36" s="310" t="s">
        <v>1800</v>
      </c>
      <c r="H36" s="311" t="s">
        <v>1801</v>
      </c>
      <c r="J36" s="2234">
        <f>IF(GraueEnergie,Uebersetzung!D651,IF(AND(AL45,AM45&gt;0),Uebersetzung!E652&amp;ROUND(AM45,0)&amp;" g/m2",))</f>
        <v>0</v>
      </c>
      <c r="K36" s="2235"/>
      <c r="L36" s="2217"/>
      <c r="M36" s="2218"/>
      <c r="N36" s="12" t="s">
        <v>1918</v>
      </c>
      <c r="O36" s="310" t="s">
        <v>1800</v>
      </c>
      <c r="P36" s="311" t="s">
        <v>1801</v>
      </c>
      <c r="S36" s="1022" t="s">
        <v>795</v>
      </c>
      <c r="T36" s="1023">
        <f ca="1">20-TaMin-8</f>
        <v>20</v>
      </c>
      <c r="U36" s="1024" t="s">
        <v>452</v>
      </c>
      <c r="V36" s="999" t="b">
        <f>IF(BA46=1,TRUE,FALSE)</f>
        <v>0</v>
      </c>
      <c r="W36" s="992" t="s">
        <v>577</v>
      </c>
      <c r="X36" s="465"/>
      <c r="Y36" s="465"/>
      <c r="Z36" s="465"/>
      <c r="AA36" s="987"/>
      <c r="AB36" s="994" t="s">
        <v>450</v>
      </c>
      <c r="AC36" s="4"/>
      <c r="AD36" s="4"/>
      <c r="AE36" s="4"/>
      <c r="AF36" s="564"/>
      <c r="AG36" s="1022" t="s">
        <v>795</v>
      </c>
      <c r="AH36" s="1023">
        <f ca="1">20-TaMin-8</f>
        <v>20</v>
      </c>
      <c r="AI36" s="2"/>
      <c r="AJ36" s="1022" t="s">
        <v>795</v>
      </c>
      <c r="AK36" s="1023">
        <f ca="1">20-TaMin-8</f>
        <v>20</v>
      </c>
      <c r="AL36" s="1024" t="s">
        <v>452</v>
      </c>
      <c r="AM36" s="999" t="b">
        <f>IF(BB46=1,TRUE,FALSE)</f>
        <v>0</v>
      </c>
      <c r="AN36" s="992" t="s">
        <v>577</v>
      </c>
      <c r="AO36" s="465"/>
      <c r="AP36" s="465"/>
      <c r="AQ36" s="465"/>
      <c r="AR36" s="987"/>
      <c r="AS36" s="994" t="s">
        <v>450</v>
      </c>
      <c r="AT36" s="4"/>
      <c r="AU36" s="4"/>
      <c r="AV36" s="4"/>
      <c r="AW36" s="564"/>
      <c r="AX36" s="1022" t="s">
        <v>795</v>
      </c>
      <c r="AY36" s="1023">
        <f ca="1">20-TaMin-8</f>
        <v>20</v>
      </c>
      <c r="BA36" s="335" t="s">
        <v>2031</v>
      </c>
      <c r="BB36" s="336"/>
      <c r="BC36" s="323">
        <v>30</v>
      </c>
      <c r="BD36" s="274">
        <f>N188</f>
        <v>0</v>
      </c>
      <c r="BE36" s="325"/>
      <c r="BF36" s="323">
        <f>P188</f>
        <v>0</v>
      </c>
      <c r="BG36" s="274" t="b">
        <f t="shared" si="0"/>
        <v>0</v>
      </c>
      <c r="BH36" s="946">
        <f>IF(N188&lt;&gt;"",IF(SUMIF(Bau!$K$59:$K$92,J188,Bau!$K$59:$K$92)=0,1,IF(SUMIF(Bau!$K$59:$K$92,J188,Bau!$K$59:$K$92)&gt;J188,1,SUMIF(Bau!$K$59:$K$92,J188,Bau!$T$57:$T$92))),1)</f>
        <v>1</v>
      </c>
      <c r="BI36" s="947">
        <f>IF(N188&lt;&gt;"",IF(SUMIF(Bau!$K$59:$K$92,J188,Bau!$K$59:$K$92)=0,1,IF(SUMIF(Bau!$K$59:$K$92,J188,Bau!$K$59:$K$92)&gt;J188,1,SUMIF(Bau!$K$59:$K$92,J188,Bau!$AE$50:$AE$91))),1)</f>
        <v>1</v>
      </c>
      <c r="BJ36" s="947">
        <f>IF(N188&lt;&gt;"",IF(SUMIF(Bau!$K$59:$K$92,J188,Bau!$K$59:$K$92)=0,1,IF(SUMIF(Bau!$K$59:$K$92,J188,Bau!$K$59:$K$92)&gt;J188,1,SUMIF(Bau!$K$59:$K$92,J188,Bau!$AF$50:$AF$91))),1)</f>
        <v>1</v>
      </c>
      <c r="BK36" s="948">
        <f>IF(N188&lt;&gt;"",IF(SUMIF(Bau!$K$59:$K$92,J188,Bau!$K$59:$K$92)=0,1,IF(SUMIF(Bau!$K$59:$K$92,J188,Bau!$K$59:$K$92)&gt;J188,1,SUMIF(Bau!$K$59:$K$92,J188,Bau!$AG$50:$AG$91))),1)</f>
        <v>1</v>
      </c>
      <c r="BL36" s="325"/>
      <c r="BM36" s="944">
        <f>IF(N188&lt;&gt;"",IF(SUMIF(Bau!$K$59:$K$92,J188,Bau!$K$59:$K$92)=0,0,IF(SUMIF(Bau!$K$59:$K$92,J188,Bau!$K$59:$K$92)&gt;J188,0,SUMIF(Bau!$K$59:$K$92,J188,Bau!$AH$50:$AH$91))),)</f>
        <v>0</v>
      </c>
      <c r="BN36" s="944">
        <f>IF(N188&lt;&gt;"",IF(SUMIF(Bau!$K$59:$K$92,J188,Bau!$K$59:$K$92)&gt;J188,2,1),1)</f>
        <v>1</v>
      </c>
      <c r="BP36" s="118"/>
      <c r="BQ36" s="274">
        <v>1</v>
      </c>
      <c r="BR36" s="1498" t="str">
        <f>Bauteile!M280</f>
        <v>Transmission thermique à l'intérieur</v>
      </c>
      <c r="BS36" s="325">
        <v>1</v>
      </c>
      <c r="BU36" s="2098" t="str">
        <f>Bauteile!B86</f>
        <v>Béton d'argile expansée, lambda 0.5</v>
      </c>
      <c r="BV36" s="1872">
        <f>Bauteile!H86</f>
        <v>0.5</v>
      </c>
      <c r="BW36" s="2098" t="str">
        <f>Bauteile!B332</f>
        <v>RP-PL</v>
      </c>
      <c r="BX36" s="2056">
        <f>Bauteile!H332</f>
        <v>4.1000000000000002E-2</v>
      </c>
    </row>
    <row r="37" spans="2:76" ht="15.6" customHeight="1">
      <c r="B37" s="11">
        <v>1</v>
      </c>
      <c r="C37" s="2212"/>
      <c r="D37" s="2213"/>
      <c r="E37" s="2214"/>
      <c r="F37" s="10"/>
      <c r="G37" s="59">
        <f>INDEX(Bauteile!$O$280:$O$282,BA37)</f>
        <v>0</v>
      </c>
      <c r="H37" s="312">
        <f>IF(G37=0,0,1/G37)</f>
        <v>0</v>
      </c>
      <c r="J37" s="11">
        <v>1</v>
      </c>
      <c r="K37" s="2212"/>
      <c r="L37" s="2213"/>
      <c r="M37" s="2214"/>
      <c r="N37" s="10"/>
      <c r="O37" s="59">
        <f>INDEX(Bauteile!$O$280:$O$282,BB37)</f>
        <v>0</v>
      </c>
      <c r="P37" s="312">
        <f>IF(O37=0,0,1/O37)</f>
        <v>0</v>
      </c>
      <c r="S37" s="1025" t="s">
        <v>796</v>
      </c>
      <c r="T37" s="1026" t="s">
        <v>797</v>
      </c>
      <c r="U37" s="1027" t="s">
        <v>808</v>
      </c>
      <c r="V37" s="996" t="s">
        <v>571</v>
      </c>
      <c r="W37" s="988" t="s">
        <v>570</v>
      </c>
      <c r="X37" s="466" t="s">
        <v>569</v>
      </c>
      <c r="Y37" s="466" t="s">
        <v>103</v>
      </c>
      <c r="Z37" s="1028" t="s">
        <v>572</v>
      </c>
      <c r="AA37" s="1007" t="s">
        <v>572</v>
      </c>
      <c r="AB37" s="988" t="s">
        <v>569</v>
      </c>
      <c r="AC37" s="464" t="s">
        <v>570</v>
      </c>
      <c r="AD37" s="986" t="s">
        <v>103</v>
      </c>
      <c r="AE37" s="1029" t="s">
        <v>572</v>
      </c>
      <c r="AF37" s="1030" t="s">
        <v>572</v>
      </c>
      <c r="AG37" s="1025" t="s">
        <v>796</v>
      </c>
      <c r="AH37" s="1026" t="s">
        <v>797</v>
      </c>
      <c r="AJ37" s="1025" t="s">
        <v>796</v>
      </c>
      <c r="AK37" s="1026" t="s">
        <v>797</v>
      </c>
      <c r="AL37" s="1027" t="s">
        <v>808</v>
      </c>
      <c r="AM37" s="996" t="s">
        <v>571</v>
      </c>
      <c r="AN37" s="988" t="s">
        <v>570</v>
      </c>
      <c r="AO37" s="466" t="s">
        <v>569</v>
      </c>
      <c r="AP37" s="466" t="s">
        <v>103</v>
      </c>
      <c r="AQ37" s="1028" t="s">
        <v>572</v>
      </c>
      <c r="AR37" s="1031" t="s">
        <v>572</v>
      </c>
      <c r="AS37" s="988" t="s">
        <v>569</v>
      </c>
      <c r="AT37" s="464" t="s">
        <v>570</v>
      </c>
      <c r="AU37" s="986" t="s">
        <v>103</v>
      </c>
      <c r="AV37" s="1029" t="s">
        <v>572</v>
      </c>
      <c r="AW37" s="1030" t="s">
        <v>572</v>
      </c>
      <c r="AX37" s="1025" t="s">
        <v>796</v>
      </c>
      <c r="AY37" s="1026" t="s">
        <v>797</v>
      </c>
      <c r="BA37" s="339">
        <f>IF($C37="",3,VLOOKUP($C37,$BR$36:$BS$38,2,FALSE))</f>
        <v>3</v>
      </c>
      <c r="BB37" s="1502">
        <f>IF($K37="",3,VLOOKUP($K37,$BR$36:$BS$38,2,FALSE))</f>
        <v>3</v>
      </c>
      <c r="BC37" s="323">
        <v>31</v>
      </c>
      <c r="BD37" s="274">
        <f>N189</f>
        <v>0</v>
      </c>
      <c r="BE37" s="325"/>
      <c r="BF37" s="323">
        <f>P189</f>
        <v>0</v>
      </c>
      <c r="BG37" s="274" t="b">
        <f t="shared" si="0"/>
        <v>0</v>
      </c>
      <c r="BH37" s="946">
        <f>IF(N189&lt;&gt;"",IF(SUMIF(Bau!$K$59:$K$92,J189,Bau!$K$59:$K$92)=0,1,IF(SUMIF(Bau!$K$59:$K$92,J189,Bau!$K$59:$K$92)&gt;J189,1,SUMIF(Bau!$K$59:$K$92,J189,Bau!$T$57:$T$92))),1)</f>
        <v>1</v>
      </c>
      <c r="BI37" s="947">
        <f>IF(N189&lt;&gt;"",IF(SUMIF(Bau!$K$59:$K$92,J189,Bau!$K$59:$K$92)=0,1,IF(SUMIF(Bau!$K$59:$K$92,J189,Bau!$K$59:$K$92)&gt;J189,1,SUMIF(Bau!$K$59:$K$92,J189,Bau!$AE$50:$AE$91))),1)</f>
        <v>1</v>
      </c>
      <c r="BJ37" s="947">
        <f>IF(N189&lt;&gt;"",IF(SUMIF(Bau!$K$59:$K$92,J189,Bau!$K$59:$K$92)=0,1,IF(SUMIF(Bau!$K$59:$K$92,J189,Bau!$K$59:$K$92)&gt;J189,1,SUMIF(Bau!$K$59:$K$92,J189,Bau!$AF$50:$AF$91))),1)</f>
        <v>1</v>
      </c>
      <c r="BK37" s="948">
        <f>IF(N189&lt;&gt;"",IF(SUMIF(Bau!$K$59:$K$92,J189,Bau!$K$59:$K$92)=0,1,IF(SUMIF(Bau!$K$59:$K$92,J189,Bau!$K$59:$K$92)&gt;J189,1,SUMIF(Bau!$K$59:$K$92,J189,Bau!$AG$50:$AG$91))),1)</f>
        <v>1</v>
      </c>
      <c r="BL37" s="325"/>
      <c r="BM37" s="944">
        <f>IF(N189&lt;&gt;"",IF(SUMIF(Bau!$K$59:$K$92,J189,Bau!$K$59:$K$92)=0,0,IF(SUMIF(Bau!$K$59:$K$92,J189,Bau!$K$59:$K$92)&gt;J189,0,SUMIF(Bau!$K$59:$K$92,J189,Bau!$AH$50:$AH$91))),)</f>
        <v>0</v>
      </c>
      <c r="BN37" s="944">
        <f>IF(N189&lt;&gt;"",IF(SUMIF(Bau!$K$59:$K$92,J189,Bau!$K$59:$K$92)&gt;J189,2,1),1)</f>
        <v>1</v>
      </c>
      <c r="BP37" s="118" t="str">
        <f>Bauteile!C37</f>
        <v>Plaque d'aggloméré 22mm, Isolation thermique 30mm, Täferaufdop. 21 mm</v>
      </c>
      <c r="BQ37" s="274">
        <v>2</v>
      </c>
      <c r="BR37" s="1498" t="str">
        <f>Bauteile!M281</f>
        <v>Transmission thermique à l'extérieur</v>
      </c>
      <c r="BS37" s="5">
        <v>2</v>
      </c>
      <c r="BU37" s="2098" t="str">
        <f>Bauteile!B87</f>
        <v>Béton d'argile expansée, lambda 0.7</v>
      </c>
      <c r="BV37" s="1872">
        <f>Bauteile!H87</f>
        <v>0.7</v>
      </c>
      <c r="BW37" s="2098" t="str">
        <f>Bauteile!B333</f>
        <v>ISOPANEL-AT</v>
      </c>
      <c r="BX37" s="2056">
        <f>Bauteile!H333</f>
        <v>3.5999999999999997E-2</v>
      </c>
    </row>
    <row r="38" spans="2:76" ht="15.6" customHeight="1">
      <c r="B38" s="11">
        <v>2</v>
      </c>
      <c r="C38" s="2212"/>
      <c r="D38" s="2213"/>
      <c r="E38" s="2214"/>
      <c r="F38" s="26"/>
      <c r="G38" s="59">
        <f>INDEX(Bauteile!$H$57:$H$1159,BA38)</f>
        <v>0</v>
      </c>
      <c r="H38" s="312">
        <f>IF(G38&lt;&gt;0,F38/100/G38,0)</f>
        <v>0</v>
      </c>
      <c r="J38" s="11">
        <v>2</v>
      </c>
      <c r="K38" s="2212"/>
      <c r="L38" s="2213"/>
      <c r="M38" s="2214"/>
      <c r="N38" s="26"/>
      <c r="O38" s="59">
        <f>INDEX(Bauteile!$H$57:$H$1159,BB38)</f>
        <v>0</v>
      </c>
      <c r="P38" s="312">
        <f>IF(O38&lt;&gt;0,N38/100/O38,0)</f>
        <v>0</v>
      </c>
      <c r="S38" s="1032">
        <f>IF(AND(W38&gt;0,X38&gt;0),1/LN(1168*X38/(0.2*W38+X38)/14057400000)*(-3928.5)-231.667,)</f>
        <v>0</v>
      </c>
      <c r="T38" s="1013">
        <f>IF(SUM(H37:H46)&gt;0,20-T36/SUM(H37:H46)*SUM(H37:H38),20)</f>
        <v>20</v>
      </c>
      <c r="U38" s="1033">
        <f>INDEX(Bauteile!$I$57:$I$1159,BA38)</f>
        <v>0</v>
      </c>
      <c r="V38" s="997">
        <f>F38/100</f>
        <v>0</v>
      </c>
      <c r="W38" s="1006">
        <f>V38*U38</f>
        <v>0</v>
      </c>
      <c r="X38" s="563">
        <f t="shared" ref="X38:X43" si="61">U39*V39+X39</f>
        <v>0</v>
      </c>
      <c r="Y38" s="931">
        <f>IF(AND(W38&gt;0,X38&gt;0),Ak/W38-Bk/X38,)</f>
        <v>0</v>
      </c>
      <c r="Z38" s="1034" t="b">
        <f>IF(T38&lt;S38,IF(W38&gt;mj*X38,FALSE,TRUE),FALSE)</f>
        <v>0</v>
      </c>
      <c r="AA38" s="1036">
        <f t="shared" ref="AA38:AA43" si="62">IF(OR(Z39=FALSE,AND(Z38=TRUE,Z39=TRUE)),Y38,0)</f>
        <v>0</v>
      </c>
      <c r="AB38" s="1005"/>
      <c r="AC38" s="1008">
        <f t="shared" ref="AC38:AC43" si="63">V38*U38+AC39</f>
        <v>0</v>
      </c>
      <c r="AD38" s="1035">
        <f t="shared" ref="AD38:AD43" si="64">IF(AND(AB38&gt;0,AC38&gt;0),Ak/AC38-Bk/AB38,)</f>
        <v>0</v>
      </c>
      <c r="AE38" s="995" t="b">
        <f>IF(AH38&lt;AG38,IF(AC38&gt;mj*AB38,FALSE,TRUE),FALSE)</f>
        <v>0</v>
      </c>
      <c r="AF38" s="1036">
        <f t="shared" ref="AF38:AF43" si="65">IF(OR(AE39=FALSE,AND(AE38=TRUE,AE39=TRUE)),AD38,0)</f>
        <v>0</v>
      </c>
      <c r="AG38" s="1037">
        <f>IF(AND(AB38&gt;0,AC38&gt;0),1/LN(1168*AB38/(0.2*AC38+AB38)/14057400000)*(-3928.5)-231.667,)</f>
        <v>0</v>
      </c>
      <c r="AH38" s="1036">
        <f>IF(SUM(H37:H46)&gt;0,20-AH36/SUM(H37:H46)*SUM(H38:H46),20)</f>
        <v>20</v>
      </c>
      <c r="AJ38" s="1032">
        <f>IF(AND(AN38&gt;0,AO38&gt;0),1/LN(1168*AO38/(0.2*AN38+AO38)/14057400000)*(-3928.5)-231.667,)</f>
        <v>0</v>
      </c>
      <c r="AK38" s="1013">
        <f>IF(SUM(P37:P46)&gt;0,20-AK36/SUM(P37:P46)*SUM(P37:P38),20)</f>
        <v>20</v>
      </c>
      <c r="AL38" s="1033">
        <f>INDEX(Bauteile!$I$57:$I$1159,BB38)</f>
        <v>0</v>
      </c>
      <c r="AM38" s="997">
        <f>N38/100</f>
        <v>0</v>
      </c>
      <c r="AN38" s="1006">
        <f>AM38*AL38</f>
        <v>0</v>
      </c>
      <c r="AO38" s="563">
        <f t="shared" ref="AO38:AO43" si="66">AL39*AM39+AO39</f>
        <v>0</v>
      </c>
      <c r="AP38" s="931">
        <f>IF(AND(AN38&gt;0,AO38&gt;0),Ak/AN38-Bk/AO38,)</f>
        <v>0</v>
      </c>
      <c r="AQ38" s="995" t="b">
        <f>IF(AK38&lt;AJ38,IF(AN38&gt;mj*AO38,FALSE,TRUE),FALSE)</f>
        <v>0</v>
      </c>
      <c r="AR38" s="1036">
        <f t="shared" ref="AR38:AR43" si="67">IF(OR(AQ39=FALSE,AND(AQ38=TRUE,AQ39=TRUE)),AP38,0)</f>
        <v>0</v>
      </c>
      <c r="AS38" s="1038"/>
      <c r="AT38" s="1008">
        <f t="shared" ref="AT38:AT43" si="68">AM38*AL38+AT39</f>
        <v>0</v>
      </c>
      <c r="AU38" s="1035">
        <f t="shared" ref="AU38:AU43" si="69">IF(AND(AS38&gt;0,AT38&gt;0),Ak/AT38-Bk/AS38,)</f>
        <v>0</v>
      </c>
      <c r="AV38" s="995" t="b">
        <f>IF(AY38&lt;AX38,IF(AT38&gt;mj*AS38,FALSE,TRUE),FALSE)</f>
        <v>0</v>
      </c>
      <c r="AW38" s="1036">
        <f t="shared" ref="AW38:AW43" si="70">IF(OR(AV39=FALSE,AND(AV38=TRUE,AV39=TRUE)),AU38,0)</f>
        <v>0</v>
      </c>
      <c r="AX38" s="1037">
        <f>IF(AND(AS38&gt;0,AT38&gt;0),1/LN(1168*AS38/(0.2*AT38+AS38)/14057400000)*(-3928.5)-231.667,)</f>
        <v>0</v>
      </c>
      <c r="AY38" s="1036">
        <f>IF(SUM(P37:P46)&gt;0,20-AY36/SUM(P37:P46)*SUM(P38:P46),20)</f>
        <v>20</v>
      </c>
      <c r="BA38" s="341">
        <f>IF($C38="",1,VLOOKUP($C38,$BP$57:$BQ$1010,2,FALSE))</f>
        <v>1</v>
      </c>
      <c r="BB38" s="1504">
        <f>IF($K38="",1,VLOOKUP($K38,$BP$57:$BQ$1010,2,FALSE))</f>
        <v>1</v>
      </c>
      <c r="BC38" s="323">
        <v>32</v>
      </c>
      <c r="BD38" s="445">
        <f>F192</f>
        <v>100</v>
      </c>
      <c r="BE38" s="438">
        <f>H192</f>
        <v>0</v>
      </c>
      <c r="BF38" s="930"/>
      <c r="BG38" s="274" t="b">
        <f t="shared" si="0"/>
        <v>0</v>
      </c>
      <c r="BH38" s="946">
        <v>1</v>
      </c>
      <c r="BI38" s="947">
        <v>1</v>
      </c>
      <c r="BJ38" s="947">
        <v>1</v>
      </c>
      <c r="BK38" s="948">
        <v>1</v>
      </c>
      <c r="BL38" s="325">
        <v>0</v>
      </c>
      <c r="BM38" s="944">
        <v>0</v>
      </c>
      <c r="BN38" s="944">
        <v>1</v>
      </c>
      <c r="BP38" s="118" t="str">
        <f>Bauteile!C38</f>
        <v>Plaque d'aggloméré 22 mm, Isolation thermique 10 mm, Täferaufdop. 21 mm</v>
      </c>
      <c r="BQ38" s="274">
        <v>3</v>
      </c>
      <c r="BR38" s="1498"/>
      <c r="BS38" s="5">
        <v>3</v>
      </c>
      <c r="BU38" s="2098" t="str">
        <f>Bauteile!B88</f>
        <v>Béton d'argile expansée, lambda 1.0</v>
      </c>
      <c r="BV38" s="1872">
        <f>Bauteile!H88</f>
        <v>1</v>
      </c>
      <c r="BW38" s="2098" t="str">
        <f>Bauteile!B334</f>
        <v>DDP-RT</v>
      </c>
      <c r="BX38" s="2056">
        <f>Bauteile!H334</f>
        <v>3.5999999999999997E-2</v>
      </c>
    </row>
    <row r="39" spans="2:76" ht="15.6" customHeight="1">
      <c r="B39" s="11">
        <v>3</v>
      </c>
      <c r="C39" s="2212"/>
      <c r="D39" s="2213"/>
      <c r="E39" s="2214"/>
      <c r="F39" s="26"/>
      <c r="G39" s="59">
        <f>INDEX(Bauteile!$H$57:$H$1159,BA39)</f>
        <v>0</v>
      </c>
      <c r="H39" s="312">
        <f t="shared" ref="H39:H44" si="71">IF(G39&lt;&gt;0,F39/100/G39,0)</f>
        <v>0</v>
      </c>
      <c r="J39" s="11">
        <v>3</v>
      </c>
      <c r="K39" s="2212"/>
      <c r="L39" s="2213"/>
      <c r="M39" s="2214"/>
      <c r="N39" s="26"/>
      <c r="O39" s="59">
        <f>INDEX(Bauteile!$H$57:$H$1159,BB39)</f>
        <v>0</v>
      </c>
      <c r="P39" s="312">
        <f t="shared" ref="P39:P44" si="72">IF(O39&lt;&gt;0,N39/100/O39,0)</f>
        <v>0</v>
      </c>
      <c r="S39" s="1039">
        <f t="shared" ref="S39:S44" si="73">IF(AND(W39&gt;0,X39&gt;0),1/LN(1168*X39/(0.2*W39+X39)/14057400000)*(-3928.5)-231.667,)</f>
        <v>0</v>
      </c>
      <c r="T39" s="989">
        <f>IF(SUM(H37:H46)&gt;0,20-T36/SUM(H37:H46)*SUM(H37:H39),20)</f>
        <v>20</v>
      </c>
      <c r="U39" s="1033">
        <f>INDEX(Bauteile!$I$57:$I$1159,BA39)</f>
        <v>0</v>
      </c>
      <c r="V39" s="997">
        <f t="shared" ref="V39:V44" si="74">F39/100</f>
        <v>0</v>
      </c>
      <c r="W39" s="1006">
        <f t="shared" ref="W39:W44" si="75">V39*U39+W38</f>
        <v>0</v>
      </c>
      <c r="X39" s="563">
        <f t="shared" si="61"/>
        <v>0</v>
      </c>
      <c r="Y39" s="931">
        <f t="shared" ref="Y39:Y44" si="76">IF(AND(W39&gt;0,X39&gt;0),Ak/W39-Bk/X39,)</f>
        <v>0</v>
      </c>
      <c r="Z39" s="563" t="b">
        <f t="shared" ref="Z39:Z44" si="77">IF(T39&lt;S39,IF(W39&gt;mj*X39,FALSE,TRUE),FALSE)</f>
        <v>0</v>
      </c>
      <c r="AA39" s="439">
        <f t="shared" si="62"/>
        <v>0</v>
      </c>
      <c r="AB39" s="1009">
        <f t="shared" ref="AB39:AB44" si="78">U38*V38+AB38</f>
        <v>0</v>
      </c>
      <c r="AC39" s="1010">
        <f t="shared" si="63"/>
        <v>0</v>
      </c>
      <c r="AD39" s="931">
        <f t="shared" si="64"/>
        <v>0</v>
      </c>
      <c r="AE39" s="7" t="b">
        <f t="shared" ref="AE39:AE44" si="79">IF(AH39&lt;AG39,IF(AC39&gt;mj*AB39,FALSE,TRUE),FALSE)</f>
        <v>0</v>
      </c>
      <c r="AF39" s="439">
        <f t="shared" si="65"/>
        <v>0</v>
      </c>
      <c r="AG39" s="1040">
        <f t="shared" ref="AG39:AG44" si="80">IF(AND(AB39&gt;0,AC39&gt;0),1/LN(1168*AB39/(0.2*AC39+AB39)/14057400000)*(-3928.5)-231.667,)</f>
        <v>0</v>
      </c>
      <c r="AH39" s="439">
        <f>IF(SUM(H37:H46)&gt;0,20-AH36/SUM(H37:H46)*SUM(H39:H46),20)</f>
        <v>20</v>
      </c>
      <c r="AJ39" s="1039">
        <f t="shared" ref="AJ39:AJ44" si="81">IF(AND(AN39&gt;0,AO39&gt;0),1/LN(1168*AO39/(0.2*AN39+AO39)/14057400000)*(-3928.5)-231.667,)</f>
        <v>0</v>
      </c>
      <c r="AK39" s="989">
        <f>IF(SUM(P37:P46)&gt;0,20-AK36/SUM(P37:P46)*SUM(P37:P39),20)</f>
        <v>20</v>
      </c>
      <c r="AL39" s="1033">
        <f>INDEX(Bauteile!$I$57:$I$1159,BB39)</f>
        <v>0</v>
      </c>
      <c r="AM39" s="997">
        <f t="shared" ref="AM39:AM44" si="82">N39/100</f>
        <v>0</v>
      </c>
      <c r="AN39" s="1006">
        <f t="shared" ref="AN39:AN44" si="83">AM39*AL39+AN38</f>
        <v>0</v>
      </c>
      <c r="AO39" s="563">
        <f t="shared" si="66"/>
        <v>0</v>
      </c>
      <c r="AP39" s="931">
        <f t="shared" ref="AP39:AP44" si="84">IF(AND(AN39&gt;0,AO39&gt;0),Ak/AN39-Bk/AO39,)</f>
        <v>0</v>
      </c>
      <c r="AQ39" s="7" t="b">
        <f t="shared" ref="AQ39:AQ44" si="85">IF(AK39&lt;AJ39,IF(AN39&gt;mj*AO39,FALSE,TRUE),FALSE)</f>
        <v>0</v>
      </c>
      <c r="AR39" s="439">
        <f t="shared" si="67"/>
        <v>0</v>
      </c>
      <c r="AS39" s="5">
        <f t="shared" ref="AS39:AS44" si="86">AL38*AM38+AS38</f>
        <v>0</v>
      </c>
      <c r="AT39" s="1010">
        <f t="shared" si="68"/>
        <v>0</v>
      </c>
      <c r="AU39" s="931">
        <f t="shared" si="69"/>
        <v>0</v>
      </c>
      <c r="AV39" s="7" t="b">
        <f t="shared" ref="AV39:AV44" si="87">IF(AY39&lt;AX39,IF(AT39&gt;mj*AS39,FALSE,TRUE),FALSE)</f>
        <v>0</v>
      </c>
      <c r="AW39" s="439">
        <f t="shared" si="70"/>
        <v>0</v>
      </c>
      <c r="AX39" s="1040">
        <f t="shared" ref="AX39:AX44" si="88">IF(AND(AS39&gt;0,AT39&gt;0),1/LN(1168*AS39/(0.2*AT39+AS39)/14057400000)*(-3928.5)-231.667,)</f>
        <v>0</v>
      </c>
      <c r="AY39" s="439">
        <f>IF(SUM(P37:P46)&gt;0,20-AY36/SUM(P37:P46)*SUM(P39:P46),20)</f>
        <v>20</v>
      </c>
      <c r="BA39" s="341">
        <f t="shared" ref="BA39:BA44" si="89">IF($C39="",1,VLOOKUP($C39,$BP$57:$BQ$1010,2,FALSE))</f>
        <v>1</v>
      </c>
      <c r="BB39" s="1504">
        <f t="shared" ref="BB39:BB44" si="90">IF($K39="",1,VLOOKUP($K39,$BP$57:$BQ$1010,2,FALSE))</f>
        <v>1</v>
      </c>
      <c r="BC39" s="323">
        <v>33</v>
      </c>
      <c r="BD39" s="445">
        <f>N192</f>
        <v>100</v>
      </c>
      <c r="BE39" s="438">
        <f>P192</f>
        <v>0</v>
      </c>
      <c r="BF39" s="930"/>
      <c r="BG39" s="274" t="b">
        <f t="shared" si="0"/>
        <v>0</v>
      </c>
      <c r="BH39" s="946">
        <v>1</v>
      </c>
      <c r="BI39" s="947">
        <v>1</v>
      </c>
      <c r="BJ39" s="947">
        <v>1</v>
      </c>
      <c r="BK39" s="948">
        <v>1</v>
      </c>
      <c r="BL39" s="325">
        <v>0</v>
      </c>
      <c r="BM39" s="944">
        <v>0</v>
      </c>
      <c r="BN39" s="944">
        <v>1</v>
      </c>
      <c r="BP39" s="118" t="str">
        <f>Bauteile!C39</f>
        <v>Epicéa massive, collé 40 mm</v>
      </c>
      <c r="BQ39" s="274">
        <v>4</v>
      </c>
      <c r="BR39" s="1508" t="str">
        <f>Bauteile!$M$283</f>
        <v/>
      </c>
      <c r="BS39" s="10">
        <v>4</v>
      </c>
      <c r="BU39" s="2098" t="str">
        <f>Bauteile!B89</f>
        <v>Béton Béton cellulaire (densité 1000)</v>
      </c>
      <c r="BV39" s="1872">
        <f>Bauteile!H89</f>
        <v>0.3</v>
      </c>
      <c r="BW39" s="2098" t="str">
        <f>Bauteile!B335</f>
        <v>DPF 40</v>
      </c>
      <c r="BX39" s="2056">
        <f>Bauteile!H335</f>
        <v>3.5999999999999997E-2</v>
      </c>
    </row>
    <row r="40" spans="2:76" ht="15.6" customHeight="1">
      <c r="B40" s="11">
        <v>4</v>
      </c>
      <c r="C40" s="2212"/>
      <c r="D40" s="2213"/>
      <c r="E40" s="2214"/>
      <c r="F40" s="26"/>
      <c r="G40" s="59">
        <f>INDEX(Bauteile!$H$57:$H$1159,BA40)</f>
        <v>0</v>
      </c>
      <c r="H40" s="312">
        <f t="shared" si="71"/>
        <v>0</v>
      </c>
      <c r="J40" s="11">
        <v>4</v>
      </c>
      <c r="K40" s="2212"/>
      <c r="L40" s="2213"/>
      <c r="M40" s="2214"/>
      <c r="N40" s="26"/>
      <c r="O40" s="59">
        <f>INDEX(Bauteile!$H$57:$H$1159,BB40)</f>
        <v>0</v>
      </c>
      <c r="P40" s="312">
        <f t="shared" si="72"/>
        <v>0</v>
      </c>
      <c r="S40" s="1039">
        <f t="shared" si="73"/>
        <v>0</v>
      </c>
      <c r="T40" s="989">
        <f>IF(SUM(H37:H46)&gt;0,20-T36/SUM(H37:H46)*SUM(H37:H40),20)</f>
        <v>20</v>
      </c>
      <c r="U40" s="1033">
        <f>INDEX(Bauteile!$I$57:$I$1159,BA40)</f>
        <v>0</v>
      </c>
      <c r="V40" s="997">
        <f t="shared" si="74"/>
        <v>0</v>
      </c>
      <c r="W40" s="1006">
        <f t="shared" si="75"/>
        <v>0</v>
      </c>
      <c r="X40" s="563">
        <f t="shared" si="61"/>
        <v>0</v>
      </c>
      <c r="Y40" s="931">
        <f t="shared" si="76"/>
        <v>0</v>
      </c>
      <c r="Z40" s="563" t="b">
        <f t="shared" si="77"/>
        <v>0</v>
      </c>
      <c r="AA40" s="439">
        <f t="shared" si="62"/>
        <v>0</v>
      </c>
      <c r="AB40" s="1009">
        <f t="shared" si="78"/>
        <v>0</v>
      </c>
      <c r="AC40" s="1010">
        <f t="shared" si="63"/>
        <v>0</v>
      </c>
      <c r="AD40" s="931">
        <f t="shared" si="64"/>
        <v>0</v>
      </c>
      <c r="AE40" s="7" t="b">
        <f t="shared" si="79"/>
        <v>0</v>
      </c>
      <c r="AF40" s="439">
        <f t="shared" si="65"/>
        <v>0</v>
      </c>
      <c r="AG40" s="1040">
        <f t="shared" si="80"/>
        <v>0</v>
      </c>
      <c r="AH40" s="439">
        <f>IF(SUM(H37:H46)&gt;0,20-AH36/SUM(H37:H46)*SUM(H40:H46),20)</f>
        <v>20</v>
      </c>
      <c r="AJ40" s="1039">
        <f t="shared" si="81"/>
        <v>0</v>
      </c>
      <c r="AK40" s="989">
        <f>IF(SUM(P37:P46)&gt;0,20-AK36/SUM(P37:P46)*SUM(P37:P40),20)</f>
        <v>20</v>
      </c>
      <c r="AL40" s="1033">
        <f>INDEX(Bauteile!$I$57:$I$1159,BB40)</f>
        <v>0</v>
      </c>
      <c r="AM40" s="997">
        <f t="shared" si="82"/>
        <v>0</v>
      </c>
      <c r="AN40" s="1006">
        <f t="shared" si="83"/>
        <v>0</v>
      </c>
      <c r="AO40" s="563">
        <f t="shared" si="66"/>
        <v>0</v>
      </c>
      <c r="AP40" s="931">
        <f t="shared" si="84"/>
        <v>0</v>
      </c>
      <c r="AQ40" s="7" t="b">
        <f t="shared" si="85"/>
        <v>0</v>
      </c>
      <c r="AR40" s="439">
        <f t="shared" si="67"/>
        <v>0</v>
      </c>
      <c r="AS40" s="5">
        <f t="shared" si="86"/>
        <v>0</v>
      </c>
      <c r="AT40" s="1010">
        <f t="shared" si="68"/>
        <v>0</v>
      </c>
      <c r="AU40" s="931">
        <f t="shared" si="69"/>
        <v>0</v>
      </c>
      <c r="AV40" s="7" t="b">
        <f t="shared" si="87"/>
        <v>0</v>
      </c>
      <c r="AW40" s="439">
        <f t="shared" si="70"/>
        <v>0</v>
      </c>
      <c r="AX40" s="1040">
        <f t="shared" si="88"/>
        <v>0</v>
      </c>
      <c r="AY40" s="439">
        <f>IF(SUM(P37:P46)&gt;0,20-AY36/SUM(P37:P46)*SUM(P40:P46),20)</f>
        <v>20</v>
      </c>
      <c r="BA40" s="341">
        <f t="shared" si="89"/>
        <v>1</v>
      </c>
      <c r="BB40" s="1504">
        <f t="shared" si="90"/>
        <v>1</v>
      </c>
      <c r="BC40" s="7">
        <v>34</v>
      </c>
      <c r="BD40" s="440">
        <f>F207</f>
        <v>100</v>
      </c>
      <c r="BE40" s="439">
        <f>H207</f>
        <v>0</v>
      </c>
      <c r="BF40" s="931"/>
      <c r="BG40" s="274" t="b">
        <f t="shared" si="0"/>
        <v>0</v>
      </c>
      <c r="BH40" s="946">
        <v>1</v>
      </c>
      <c r="BI40" s="947">
        <v>1</v>
      </c>
      <c r="BJ40" s="947">
        <v>1</v>
      </c>
      <c r="BK40" s="948">
        <v>1</v>
      </c>
      <c r="BL40" s="325">
        <v>0</v>
      </c>
      <c r="BM40" s="944">
        <v>0</v>
      </c>
      <c r="BN40" s="944">
        <v>1</v>
      </c>
      <c r="BP40" s="118" t="str">
        <f>Bauteile!C40</f>
        <v>Chêne massive, collé 40 mm</v>
      </c>
      <c r="BQ40" s="274">
        <v>5</v>
      </c>
      <c r="BR40" s="7"/>
      <c r="BS40" s="5">
        <v>1</v>
      </c>
      <c r="BU40" s="2098" t="str">
        <f>Bauteile!B90</f>
        <v>Béton Béton cellulaire (densité 1250)</v>
      </c>
      <c r="BV40" s="1872">
        <f>Bauteile!H90</f>
        <v>0.5</v>
      </c>
      <c r="BW40" s="2098" t="str">
        <f>Bauteile!B336</f>
        <v>FKD-S, FKD-S C1, FKD-S C2</v>
      </c>
      <c r="BX40" s="2056">
        <f>Bauteile!H336</f>
        <v>3.5999999999999997E-2</v>
      </c>
    </row>
    <row r="41" spans="2:76" ht="15.6" customHeight="1">
      <c r="B41" s="11">
        <v>5</v>
      </c>
      <c r="C41" s="2212"/>
      <c r="D41" s="2213"/>
      <c r="E41" s="2214"/>
      <c r="F41" s="26"/>
      <c r="G41" s="59">
        <f>INDEX(Bauteile!$H$57:$H$1159,BA41)</f>
        <v>0</v>
      </c>
      <c r="H41" s="312">
        <f t="shared" si="71"/>
        <v>0</v>
      </c>
      <c r="J41" s="11">
        <v>5</v>
      </c>
      <c r="K41" s="2212"/>
      <c r="L41" s="2213"/>
      <c r="M41" s="2214"/>
      <c r="N41" s="26"/>
      <c r="O41" s="59">
        <f>INDEX(Bauteile!$H$57:$H$1159,BB41)</f>
        <v>0</v>
      </c>
      <c r="P41" s="312">
        <f t="shared" si="72"/>
        <v>0</v>
      </c>
      <c r="S41" s="1039">
        <f t="shared" si="73"/>
        <v>0</v>
      </c>
      <c r="T41" s="989">
        <f>IF(SUM(H37:H46)&gt;0,20-T36/SUM(H37:H46)*SUM(H37:H41),20)</f>
        <v>20</v>
      </c>
      <c r="U41" s="1033">
        <f>INDEX(Bauteile!$I$57:$I$1159,BA41)</f>
        <v>0</v>
      </c>
      <c r="V41" s="997">
        <f t="shared" si="74"/>
        <v>0</v>
      </c>
      <c r="W41" s="1006">
        <f t="shared" si="75"/>
        <v>0</v>
      </c>
      <c r="X41" s="563">
        <f t="shared" si="61"/>
        <v>0</v>
      </c>
      <c r="Y41" s="931">
        <f t="shared" si="76"/>
        <v>0</v>
      </c>
      <c r="Z41" s="563" t="b">
        <f t="shared" si="77"/>
        <v>0</v>
      </c>
      <c r="AA41" s="439">
        <f t="shared" si="62"/>
        <v>0</v>
      </c>
      <c r="AB41" s="1009">
        <f t="shared" si="78"/>
        <v>0</v>
      </c>
      <c r="AC41" s="1010">
        <f t="shared" si="63"/>
        <v>0</v>
      </c>
      <c r="AD41" s="931">
        <f t="shared" si="64"/>
        <v>0</v>
      </c>
      <c r="AE41" s="7" t="b">
        <f t="shared" si="79"/>
        <v>0</v>
      </c>
      <c r="AF41" s="439">
        <f t="shared" si="65"/>
        <v>0</v>
      </c>
      <c r="AG41" s="1040">
        <f t="shared" si="80"/>
        <v>0</v>
      </c>
      <c r="AH41" s="439">
        <f>IF(SUM(H37:H46)&gt;0,20-AH36/SUM(H37:H46)*SUM(H41:H46),20)</f>
        <v>20</v>
      </c>
      <c r="AJ41" s="1039">
        <f t="shared" si="81"/>
        <v>0</v>
      </c>
      <c r="AK41" s="989">
        <f>IF(SUM(P37:P46)&gt;0,20-AK36/SUM(P37:P46)*SUM(P37:P41),20)</f>
        <v>20</v>
      </c>
      <c r="AL41" s="1033">
        <f>INDEX(Bauteile!$I$57:$I$1159,BB41)</f>
        <v>0</v>
      </c>
      <c r="AM41" s="997">
        <f t="shared" si="82"/>
        <v>0</v>
      </c>
      <c r="AN41" s="1006">
        <f t="shared" si="83"/>
        <v>0</v>
      </c>
      <c r="AO41" s="563">
        <f t="shared" si="66"/>
        <v>0</v>
      </c>
      <c r="AP41" s="931">
        <f t="shared" si="84"/>
        <v>0</v>
      </c>
      <c r="AQ41" s="7" t="b">
        <f t="shared" si="85"/>
        <v>0</v>
      </c>
      <c r="AR41" s="439">
        <f t="shared" si="67"/>
        <v>0</v>
      </c>
      <c r="AS41" s="5">
        <f t="shared" si="86"/>
        <v>0</v>
      </c>
      <c r="AT41" s="1010">
        <f t="shared" si="68"/>
        <v>0</v>
      </c>
      <c r="AU41" s="931">
        <f t="shared" si="69"/>
        <v>0</v>
      </c>
      <c r="AV41" s="7" t="b">
        <f t="shared" si="87"/>
        <v>0</v>
      </c>
      <c r="AW41" s="439">
        <f t="shared" si="70"/>
        <v>0</v>
      </c>
      <c r="AX41" s="1040">
        <f t="shared" si="88"/>
        <v>0</v>
      </c>
      <c r="AY41" s="439">
        <f>IF(SUM(P37:P46)&gt;0,20-AY36/SUM(P37:P46)*SUM(P41:P46),20)</f>
        <v>20</v>
      </c>
      <c r="BA41" s="341">
        <f t="shared" si="89"/>
        <v>1</v>
      </c>
      <c r="BB41" s="1504">
        <f t="shared" si="90"/>
        <v>1</v>
      </c>
      <c r="BC41" s="7">
        <v>35</v>
      </c>
      <c r="BD41" s="440">
        <f>N207</f>
        <v>100</v>
      </c>
      <c r="BE41" s="439">
        <f>P207</f>
        <v>0</v>
      </c>
      <c r="BF41" s="931"/>
      <c r="BG41" s="274" t="b">
        <f t="shared" si="0"/>
        <v>0</v>
      </c>
      <c r="BH41" s="946">
        <v>1</v>
      </c>
      <c r="BI41" s="947">
        <v>1</v>
      </c>
      <c r="BJ41" s="947">
        <v>1</v>
      </c>
      <c r="BK41" s="948">
        <v>1</v>
      </c>
      <c r="BL41" s="325">
        <v>0</v>
      </c>
      <c r="BM41" s="944">
        <v>0</v>
      </c>
      <c r="BN41" s="944">
        <v>1</v>
      </c>
      <c r="BP41" s="118" t="str">
        <f>Bauteile!C41</f>
        <v>Plaque d'aggloméré 40 mm, avec couche d'aluminium 2 faces</v>
      </c>
      <c r="BQ41" s="274">
        <v>6</v>
      </c>
      <c r="BR41" s="1507" t="str">
        <f>Bauteile!L285</f>
        <v>Façade, ventilée</v>
      </c>
      <c r="BS41" s="5">
        <v>2</v>
      </c>
      <c r="BU41" s="2098" t="str">
        <f>Bauteile!B91</f>
        <v>Béton Béton cellulaire (densité 1500)</v>
      </c>
      <c r="BV41" s="1872">
        <f>Bauteile!H91</f>
        <v>0.7</v>
      </c>
      <c r="BW41" s="2098" t="str">
        <f>Bauteile!B337</f>
        <v>FKD-T C2, FKD-T FB C2</v>
      </c>
      <c r="BX41" s="2056">
        <f>Bauteile!H337</f>
        <v>3.4000000000000002E-2</v>
      </c>
    </row>
    <row r="42" spans="2:76" ht="15.6" customHeight="1">
      <c r="B42" s="11">
        <v>6</v>
      </c>
      <c r="C42" s="2212"/>
      <c r="D42" s="2213"/>
      <c r="E42" s="2214"/>
      <c r="F42" s="26"/>
      <c r="G42" s="59">
        <f>INDEX(Bauteile!$H$57:$H$1159,BA42)</f>
        <v>0</v>
      </c>
      <c r="H42" s="312">
        <f t="shared" si="71"/>
        <v>0</v>
      </c>
      <c r="J42" s="11">
        <v>6</v>
      </c>
      <c r="K42" s="2212"/>
      <c r="L42" s="2213"/>
      <c r="M42" s="2214"/>
      <c r="N42" s="26"/>
      <c r="O42" s="59">
        <f>INDEX(Bauteile!$H$57:$H$1159,BB42)</f>
        <v>0</v>
      </c>
      <c r="P42" s="312">
        <f t="shared" si="72"/>
        <v>0</v>
      </c>
      <c r="S42" s="1039">
        <f t="shared" si="73"/>
        <v>0</v>
      </c>
      <c r="T42" s="989">
        <f>IF(SUM(H37:H46)&gt;0,20-T36/SUM(H37:H46)*SUM(H37:H42),20)</f>
        <v>20</v>
      </c>
      <c r="U42" s="1033">
        <f>INDEX(Bauteile!$I$57:$I$1159,BA42)</f>
        <v>0</v>
      </c>
      <c r="V42" s="997">
        <f t="shared" si="74"/>
        <v>0</v>
      </c>
      <c r="W42" s="1006">
        <f t="shared" si="75"/>
        <v>0</v>
      </c>
      <c r="X42" s="563">
        <f t="shared" si="61"/>
        <v>0</v>
      </c>
      <c r="Y42" s="931">
        <f t="shared" si="76"/>
        <v>0</v>
      </c>
      <c r="Z42" s="563" t="b">
        <f t="shared" si="77"/>
        <v>0</v>
      </c>
      <c r="AA42" s="439">
        <f t="shared" si="62"/>
        <v>0</v>
      </c>
      <c r="AB42" s="1009">
        <f t="shared" si="78"/>
        <v>0</v>
      </c>
      <c r="AC42" s="1010">
        <f t="shared" si="63"/>
        <v>0</v>
      </c>
      <c r="AD42" s="931">
        <f t="shared" si="64"/>
        <v>0</v>
      </c>
      <c r="AE42" s="7" t="b">
        <f t="shared" si="79"/>
        <v>0</v>
      </c>
      <c r="AF42" s="439">
        <f t="shared" si="65"/>
        <v>0</v>
      </c>
      <c r="AG42" s="1040">
        <f t="shared" si="80"/>
        <v>0</v>
      </c>
      <c r="AH42" s="439">
        <f>IF(SUM(H37:H46)&gt;0,20-AH36/SUM(H37:H46)*SUM(H42:H46),20)</f>
        <v>20</v>
      </c>
      <c r="AJ42" s="1039">
        <f t="shared" si="81"/>
        <v>0</v>
      </c>
      <c r="AK42" s="989">
        <f>IF(SUM(P37:P46)&gt;0,20-AK36/SUM(P37:P46)*SUM(P37:P42),20)</f>
        <v>20</v>
      </c>
      <c r="AL42" s="1033">
        <f>INDEX(Bauteile!$I$57:$I$1159,BB42)</f>
        <v>0</v>
      </c>
      <c r="AM42" s="997">
        <f t="shared" si="82"/>
        <v>0</v>
      </c>
      <c r="AN42" s="1006">
        <f t="shared" si="83"/>
        <v>0</v>
      </c>
      <c r="AO42" s="563">
        <f t="shared" si="66"/>
        <v>0</v>
      </c>
      <c r="AP42" s="931">
        <f t="shared" si="84"/>
        <v>0</v>
      </c>
      <c r="AQ42" s="7" t="b">
        <f t="shared" si="85"/>
        <v>0</v>
      </c>
      <c r="AR42" s="439">
        <f t="shared" si="67"/>
        <v>0</v>
      </c>
      <c r="AS42" s="5">
        <f t="shared" si="86"/>
        <v>0</v>
      </c>
      <c r="AT42" s="1010">
        <f t="shared" si="68"/>
        <v>0</v>
      </c>
      <c r="AU42" s="931">
        <f t="shared" si="69"/>
        <v>0</v>
      </c>
      <c r="AV42" s="7" t="b">
        <f t="shared" si="87"/>
        <v>0</v>
      </c>
      <c r="AW42" s="439">
        <f t="shared" si="70"/>
        <v>0</v>
      </c>
      <c r="AX42" s="1040">
        <f t="shared" si="88"/>
        <v>0</v>
      </c>
      <c r="AY42" s="439">
        <f>IF(SUM(P37:P46)&gt;0,20-AY36/SUM(P37:P46)*SUM(P42:P46),20)</f>
        <v>20</v>
      </c>
      <c r="BA42" s="341">
        <f t="shared" si="89"/>
        <v>1</v>
      </c>
      <c r="BB42" s="1504">
        <f t="shared" si="90"/>
        <v>1</v>
      </c>
      <c r="BC42" s="7">
        <v>36</v>
      </c>
      <c r="BD42" s="445">
        <f>Fenster!L27</f>
        <v>20</v>
      </c>
      <c r="BE42" s="438">
        <f>Fenster!N27</f>
        <v>0</v>
      </c>
      <c r="BF42" s="930"/>
      <c r="BG42" s="274" t="b">
        <f t="shared" si="0"/>
        <v>0</v>
      </c>
      <c r="BH42" s="946">
        <v>1</v>
      </c>
      <c r="BI42" s="947">
        <v>1</v>
      </c>
      <c r="BJ42" s="947">
        <v>1</v>
      </c>
      <c r="BK42" s="948">
        <v>1</v>
      </c>
      <c r="BL42" s="325">
        <v>0</v>
      </c>
      <c r="BM42" s="944">
        <v>0</v>
      </c>
      <c r="BN42" s="944">
        <v>1</v>
      </c>
      <c r="BP42" s="118" t="str">
        <f>Bauteile!C42</f>
        <v>Tôle d'aluminium 2 faces, isolation thermique 20 mm</v>
      </c>
      <c r="BQ42" s="274">
        <v>7</v>
      </c>
      <c r="BR42" s="1507" t="str">
        <f>Bauteile!L286</f>
        <v>xxx suivant les région d'air dans la construction xxx</v>
      </c>
      <c r="BS42" s="5">
        <v>3</v>
      </c>
      <c r="BU42" s="2098" t="str">
        <f>Bauteile!B92</f>
        <v>Béton Béton cellulaire (densité 1700)</v>
      </c>
      <c r="BV42" s="1872">
        <f>Bauteile!H92</f>
        <v>1</v>
      </c>
      <c r="BW42" s="2098" t="str">
        <f>Bauteile!B338</f>
        <v>FKD-U C2</v>
      </c>
      <c r="BX42" s="2056">
        <f>Bauteile!H338</f>
        <v>3.5000000000000003E-2</v>
      </c>
    </row>
    <row r="43" spans="2:76" ht="15.6" customHeight="1">
      <c r="B43" s="11">
        <v>7</v>
      </c>
      <c r="C43" s="2212"/>
      <c r="D43" s="2213"/>
      <c r="E43" s="2214"/>
      <c r="F43" s="26"/>
      <c r="G43" s="59">
        <f>INDEX(Bauteile!$H$57:$H$1159,BA43)</f>
        <v>0</v>
      </c>
      <c r="H43" s="312">
        <f t="shared" si="71"/>
        <v>0</v>
      </c>
      <c r="J43" s="11">
        <v>7</v>
      </c>
      <c r="K43" s="2212"/>
      <c r="L43" s="2213"/>
      <c r="M43" s="2214"/>
      <c r="N43" s="26"/>
      <c r="O43" s="59">
        <f>INDEX(Bauteile!$H$57:$H$1159,BB43)</f>
        <v>0</v>
      </c>
      <c r="P43" s="312">
        <f t="shared" si="72"/>
        <v>0</v>
      </c>
      <c r="S43" s="1039">
        <f t="shared" si="73"/>
        <v>0</v>
      </c>
      <c r="T43" s="989">
        <f>IF(SUM(H37:H46)&gt;0,20-T36/SUM(H37:H46)*SUM(H37:H43),20)</f>
        <v>20</v>
      </c>
      <c r="U43" s="1033">
        <f>INDEX(Bauteile!$I$57:$I$1159,BA43)</f>
        <v>0</v>
      </c>
      <c r="V43" s="997">
        <f t="shared" si="74"/>
        <v>0</v>
      </c>
      <c r="W43" s="1006">
        <f t="shared" si="75"/>
        <v>0</v>
      </c>
      <c r="X43" s="563">
        <f t="shared" si="61"/>
        <v>0</v>
      </c>
      <c r="Y43" s="931">
        <f t="shared" si="76"/>
        <v>0</v>
      </c>
      <c r="Z43" s="563" t="b">
        <f t="shared" si="77"/>
        <v>0</v>
      </c>
      <c r="AA43" s="439">
        <f t="shared" si="62"/>
        <v>0</v>
      </c>
      <c r="AB43" s="1009">
        <f t="shared" si="78"/>
        <v>0</v>
      </c>
      <c r="AC43" s="1010">
        <f t="shared" si="63"/>
        <v>0</v>
      </c>
      <c r="AD43" s="931">
        <f t="shared" si="64"/>
        <v>0</v>
      </c>
      <c r="AE43" s="7" t="b">
        <f t="shared" si="79"/>
        <v>0</v>
      </c>
      <c r="AF43" s="439">
        <f t="shared" si="65"/>
        <v>0</v>
      </c>
      <c r="AG43" s="1040">
        <f t="shared" si="80"/>
        <v>0</v>
      </c>
      <c r="AH43" s="439">
        <f>IF(SUM(H37:H46)&gt;0,20-AH36/SUM(H37:H46)*SUM(H43:H46),20)</f>
        <v>20</v>
      </c>
      <c r="AJ43" s="1039">
        <f t="shared" si="81"/>
        <v>0</v>
      </c>
      <c r="AK43" s="989">
        <f>IF(SUM(P37:P46)&gt;0,20-AK36/SUM(P37:P46)*SUM(P37:P43),20)</f>
        <v>20</v>
      </c>
      <c r="AL43" s="1033">
        <f>INDEX(Bauteile!$I$57:$I$1159,BB43)</f>
        <v>0</v>
      </c>
      <c r="AM43" s="997">
        <f t="shared" si="82"/>
        <v>0</v>
      </c>
      <c r="AN43" s="1006">
        <f t="shared" si="83"/>
        <v>0</v>
      </c>
      <c r="AO43" s="563">
        <f t="shared" si="66"/>
        <v>0</v>
      </c>
      <c r="AP43" s="931">
        <f t="shared" si="84"/>
        <v>0</v>
      </c>
      <c r="AQ43" s="7" t="b">
        <f t="shared" si="85"/>
        <v>0</v>
      </c>
      <c r="AR43" s="439">
        <f t="shared" si="67"/>
        <v>0</v>
      </c>
      <c r="AS43" s="5">
        <f t="shared" si="86"/>
        <v>0</v>
      </c>
      <c r="AT43" s="1010">
        <f t="shared" si="68"/>
        <v>0</v>
      </c>
      <c r="AU43" s="931">
        <f t="shared" si="69"/>
        <v>0</v>
      </c>
      <c r="AV43" s="7" t="b">
        <f t="shared" si="87"/>
        <v>0</v>
      </c>
      <c r="AW43" s="439">
        <f t="shared" si="70"/>
        <v>0</v>
      </c>
      <c r="AX43" s="1040">
        <f t="shared" si="88"/>
        <v>0</v>
      </c>
      <c r="AY43" s="439">
        <f>IF(SUM(P37:P46)&gt;0,20-AY36/SUM(P37:P46)*SUM(P43:P46),20)</f>
        <v>20</v>
      </c>
      <c r="BA43" s="341">
        <f t="shared" si="89"/>
        <v>1</v>
      </c>
      <c r="BB43" s="1504">
        <f t="shared" si="90"/>
        <v>1</v>
      </c>
      <c r="BC43" s="7">
        <v>37</v>
      </c>
      <c r="BD43" s="445">
        <f>Fenster!L50</f>
        <v>20</v>
      </c>
      <c r="BE43" s="438">
        <f>Fenster!N50</f>
        <v>0</v>
      </c>
      <c r="BF43" s="930"/>
      <c r="BG43" s="274" t="b">
        <f t="shared" si="0"/>
        <v>0</v>
      </c>
      <c r="BH43" s="946">
        <v>1</v>
      </c>
      <c r="BI43" s="947">
        <v>1</v>
      </c>
      <c r="BJ43" s="947">
        <v>1</v>
      </c>
      <c r="BK43" s="948">
        <v>1</v>
      </c>
      <c r="BL43" s="325">
        <v>0</v>
      </c>
      <c r="BM43" s="944">
        <v>0</v>
      </c>
      <c r="BN43" s="944">
        <v>1</v>
      </c>
      <c r="BP43" s="118" t="str">
        <f>Bauteile!C43</f>
        <v>Tôle d'aluminium 2 faces, isolation thermique 40 mm</v>
      </c>
      <c r="BQ43" s="274">
        <v>8</v>
      </c>
      <c r="BR43" s="1507" t="str">
        <f>Bauteile!L287</f>
        <v>Région d'air horizontale 5mm, plafond</v>
      </c>
      <c r="BS43" s="5">
        <v>4</v>
      </c>
      <c r="BU43" s="2098" t="str">
        <f>Bauteile!B93</f>
        <v>-Bitume</v>
      </c>
      <c r="BV43" s="1872">
        <f>Bauteile!H93</f>
        <v>0</v>
      </c>
      <c r="BW43" s="2098" t="str">
        <f>Bauteile!B339</f>
        <v>FPS</v>
      </c>
      <c r="BX43" s="2056">
        <f>Bauteile!H339</f>
        <v>3.4000000000000002E-2</v>
      </c>
    </row>
    <row r="44" spans="2:76" ht="15.6" customHeight="1" thickBot="1">
      <c r="B44" s="11">
        <v>8</v>
      </c>
      <c r="C44" s="2212"/>
      <c r="D44" s="2213"/>
      <c r="E44" s="2214"/>
      <c r="F44" s="26"/>
      <c r="G44" s="59">
        <f>INDEX(Bauteile!$H$57:$H$1159,BA44)</f>
        <v>0</v>
      </c>
      <c r="H44" s="312">
        <f t="shared" si="71"/>
        <v>0</v>
      </c>
      <c r="J44" s="11">
        <v>8</v>
      </c>
      <c r="K44" s="2212"/>
      <c r="L44" s="2213"/>
      <c r="M44" s="2214"/>
      <c r="N44" s="26"/>
      <c r="O44" s="59">
        <f>INDEX(Bauteile!$H$57:$H$1159,BB44)</f>
        <v>0</v>
      </c>
      <c r="P44" s="312">
        <f t="shared" si="72"/>
        <v>0</v>
      </c>
      <c r="S44" s="1041">
        <f t="shared" si="73"/>
        <v>0</v>
      </c>
      <c r="T44" s="1014">
        <f>IF(SUM(H37:H46)&gt;0,20-T36/SUM(H37:H46)*SUM(H37:H44),20)</f>
        <v>20</v>
      </c>
      <c r="U44" s="1033">
        <f>INDEX(Bauteile!$I$57:$I$1159,BA44)</f>
        <v>0</v>
      </c>
      <c r="V44" s="997">
        <f t="shared" si="74"/>
        <v>0</v>
      </c>
      <c r="W44" s="1004">
        <f t="shared" si="75"/>
        <v>0</v>
      </c>
      <c r="X44" s="11"/>
      <c r="Y44" s="1042">
        <f t="shared" si="76"/>
        <v>0</v>
      </c>
      <c r="Z44" s="11" t="b">
        <f t="shared" si="77"/>
        <v>0</v>
      </c>
      <c r="AA44" s="1043"/>
      <c r="AB44" s="1011">
        <f t="shared" si="78"/>
        <v>0</v>
      </c>
      <c r="AC44" s="1012">
        <f>V44*U44</f>
        <v>0</v>
      </c>
      <c r="AD44" s="1042">
        <f>IF(AND(AB44&gt;0,AC44&gt;0),Ak/AC44-Bk/AB44,)</f>
        <v>0</v>
      </c>
      <c r="AE44" s="9" t="b">
        <f t="shared" si="79"/>
        <v>0</v>
      </c>
      <c r="AF44" s="1043"/>
      <c r="AG44" s="1044">
        <f t="shared" si="80"/>
        <v>0</v>
      </c>
      <c r="AH44" s="1043">
        <f>IF(SUM(H37:H46)&gt;0,20-AH36/SUM(H37:H46)*SUM(H44:H46),20)</f>
        <v>20</v>
      </c>
      <c r="AJ44" s="1041">
        <f t="shared" si="81"/>
        <v>0</v>
      </c>
      <c r="AK44" s="1014">
        <f>IF(SUM(P37:P46)&gt;0,20-AK36/SUM(P37:P46)*SUM(P37:P44),20)</f>
        <v>20</v>
      </c>
      <c r="AL44" s="1033">
        <f>INDEX(Bauteile!$I$57:$I$1159,BB44)</f>
        <v>0</v>
      </c>
      <c r="AM44" s="997">
        <f t="shared" si="82"/>
        <v>0</v>
      </c>
      <c r="AN44" s="1004">
        <f t="shared" si="83"/>
        <v>0</v>
      </c>
      <c r="AO44" s="11"/>
      <c r="AP44" s="1042">
        <f t="shared" si="84"/>
        <v>0</v>
      </c>
      <c r="AQ44" s="9" t="b">
        <f t="shared" si="85"/>
        <v>0</v>
      </c>
      <c r="AR44" s="1043"/>
      <c r="AS44" s="10">
        <f t="shared" si="86"/>
        <v>0</v>
      </c>
      <c r="AT44" s="1012">
        <f>AM44*AL44</f>
        <v>0</v>
      </c>
      <c r="AU44" s="1042">
        <f>IF(AND(AS44&gt;0,AT44&gt;0),Ak/AT44-Bk/AS44,)</f>
        <v>0</v>
      </c>
      <c r="AV44" s="9" t="b">
        <f t="shared" si="87"/>
        <v>0</v>
      </c>
      <c r="AW44" s="1043"/>
      <c r="AX44" s="1044">
        <f t="shared" si="88"/>
        <v>0</v>
      </c>
      <c r="AY44" s="1043">
        <f>IF(SUM(P37:P46)&gt;0,20-AY36/SUM(P37:P46)*SUM(P44:P46),20)</f>
        <v>20</v>
      </c>
      <c r="BA44" s="341">
        <f t="shared" si="89"/>
        <v>1</v>
      </c>
      <c r="BB44" s="1504">
        <f t="shared" si="90"/>
        <v>1</v>
      </c>
      <c r="BC44" s="7">
        <v>38</v>
      </c>
      <c r="BD44" s="445">
        <f>Fenster!L73</f>
        <v>20</v>
      </c>
      <c r="BE44" s="438">
        <f>Fenster!N73</f>
        <v>0</v>
      </c>
      <c r="BF44" s="930"/>
      <c r="BG44" s="274" t="b">
        <f t="shared" si="0"/>
        <v>0</v>
      </c>
      <c r="BH44" s="946">
        <v>1</v>
      </c>
      <c r="BI44" s="947">
        <v>1</v>
      </c>
      <c r="BJ44" s="947">
        <v>1</v>
      </c>
      <c r="BK44" s="948">
        <v>1</v>
      </c>
      <c r="BL44" s="325">
        <v>0</v>
      </c>
      <c r="BM44" s="944">
        <v>0</v>
      </c>
      <c r="BN44" s="944">
        <v>1</v>
      </c>
      <c r="BP44" s="118" t="str">
        <f>Bauteile!C44</f>
        <v>Feuille de placage, plaque d'aggloméré 40mm, aluminium 2 faces</v>
      </c>
      <c r="BQ44" s="274">
        <v>9</v>
      </c>
      <c r="BR44" s="1507" t="str">
        <f>Bauteile!L288</f>
        <v>Région d'air horizontale 10mm, plafond</v>
      </c>
      <c r="BS44" s="5">
        <v>5</v>
      </c>
      <c r="BU44" s="2098" t="str">
        <f>Bauteile!B94</f>
        <v>Bitume V60</v>
      </c>
      <c r="BV44" s="1872">
        <f>Bauteile!H94</f>
        <v>0.5</v>
      </c>
      <c r="BW44" s="2098" t="str">
        <f>Bauteile!B340</f>
        <v>KP-035/HB</v>
      </c>
      <c r="BX44" s="2056">
        <f>Bauteile!H340</f>
        <v>3.5000000000000003E-2</v>
      </c>
    </row>
    <row r="45" spans="2:76" ht="15.6" customHeight="1" thickBot="1">
      <c r="B45" s="11">
        <v>9</v>
      </c>
      <c r="C45" s="2212"/>
      <c r="D45" s="2213"/>
      <c r="E45" s="2214"/>
      <c r="F45" s="10"/>
      <c r="G45" s="59">
        <f>INDEX(Bauteile!$P$284:$P$296,BA45,1)</f>
        <v>0</v>
      </c>
      <c r="H45" s="312">
        <f>IF(G45=0,0,1/G45)</f>
        <v>0</v>
      </c>
      <c r="J45" s="11">
        <v>9</v>
      </c>
      <c r="K45" s="2212"/>
      <c r="L45" s="2213"/>
      <c r="M45" s="2214"/>
      <c r="N45" s="10"/>
      <c r="O45" s="59">
        <f>INDEX(Bauteile!$P$284:$P$296,BB45,1)</f>
        <v>0</v>
      </c>
      <c r="P45" s="312">
        <f>IF(O45=0,0,1/O45)</f>
        <v>0</v>
      </c>
      <c r="S45" s="1045"/>
      <c r="T45" s="1046"/>
      <c r="U45" s="1047" t="b">
        <f>IF(AND(V35,V36&lt;&gt;TRUE),Z45,IF(AND(V36,V35&lt;&gt;TRUE),AE45,FALSE))</f>
        <v>0</v>
      </c>
      <c r="V45" s="1015" t="str">
        <f>IF(AND(V35,V36&lt;&gt;TRUE),AA45,IF(AND(V36,V35&lt;&gt;TRUE),AF45,""))</f>
        <v/>
      </c>
      <c r="W45" s="990"/>
      <c r="X45" s="991"/>
      <c r="Y45" s="991"/>
      <c r="Z45" s="1048" t="b">
        <f>IF(OR(Z38,Z39,Z40,Z41,Z42,Z43,Z44),TRUE,FALSE)</f>
        <v>0</v>
      </c>
      <c r="AA45" s="993">
        <f>MAX(AA38:AA44)</f>
        <v>0</v>
      </c>
      <c r="AB45" s="990"/>
      <c r="AC45" s="991"/>
      <c r="AD45" s="991"/>
      <c r="AE45" s="1048" t="b">
        <f>IF(OR(AE38,AE39,AE40,AE41,AE42,AE43,AE44),TRUE,FALSE)</f>
        <v>0</v>
      </c>
      <c r="AF45" s="1049">
        <f>MAX(AF38:AF44)</f>
        <v>0</v>
      </c>
      <c r="AG45" s="1045"/>
      <c r="AH45" s="1046"/>
      <c r="AJ45" s="1045"/>
      <c r="AK45" s="1046"/>
      <c r="AL45" s="1047" t="b">
        <f>IF(AND(AM35,AM36&lt;&gt;TRUE),AQ45,IF(AND(AM36,AM35&lt;&gt;TRUE),AV45,FALSE))</f>
        <v>0</v>
      </c>
      <c r="AM45" s="1015" t="str">
        <f>IF(AND(AM35,AM36&lt;&gt;TRUE),AR45,IF(AND(AM36,AM35&lt;&gt;TRUE),AW45,""))</f>
        <v/>
      </c>
      <c r="AN45" s="990"/>
      <c r="AO45" s="991"/>
      <c r="AP45" s="991"/>
      <c r="AQ45" s="1048" t="b">
        <f>IF(OR(AQ38,AQ39,AQ40,AQ41,AQ42,AQ43,AQ44),TRUE,FALSE)</f>
        <v>0</v>
      </c>
      <c r="AR45" s="1049">
        <f>MAX(AR38:AR44)</f>
        <v>0</v>
      </c>
      <c r="AS45" s="990"/>
      <c r="AT45" s="991"/>
      <c r="AU45" s="991"/>
      <c r="AV45" s="1048" t="b">
        <f>IF(OR(AV38,AV39,AV40,AV41,AV42,AV43,AV44),TRUE,FALSE)</f>
        <v>0</v>
      </c>
      <c r="AW45" s="1049">
        <f>MAX(AW38:AW44)</f>
        <v>0</v>
      </c>
      <c r="AX45" s="1045"/>
      <c r="AY45" s="1046"/>
      <c r="BA45" s="341">
        <f>IF($C45="",1,VLOOKUP($C45,$BR$40:$BS$52,2,FALSE))</f>
        <v>1</v>
      </c>
      <c r="BB45" s="1504">
        <f>IF($K45="",1,VLOOKUP($K45,$BR$40:$BS$52,2,FALSE))</f>
        <v>1</v>
      </c>
      <c r="BC45" s="7">
        <v>39</v>
      </c>
      <c r="BD45" s="445">
        <f>Fenster!L96</f>
        <v>20</v>
      </c>
      <c r="BE45" s="438">
        <f>Fenster!N96</f>
        <v>0</v>
      </c>
      <c r="BF45" s="930"/>
      <c r="BG45" s="274" t="b">
        <f t="shared" si="0"/>
        <v>0</v>
      </c>
      <c r="BH45" s="946">
        <v>1</v>
      </c>
      <c r="BI45" s="947">
        <v>1</v>
      </c>
      <c r="BJ45" s="947">
        <v>1</v>
      </c>
      <c r="BK45" s="948">
        <v>1</v>
      </c>
      <c r="BL45" s="325">
        <v>0</v>
      </c>
      <c r="BM45" s="944">
        <v>0</v>
      </c>
      <c r="BN45" s="944">
        <v>1</v>
      </c>
      <c r="BP45" s="118" t="str">
        <f>Bauteile!C45</f>
        <v>Feuille de placage, plaque d'aggloméré 16mm, isolation th. 18mm, alu 2 faces</v>
      </c>
      <c r="BQ45" s="274">
        <v>10</v>
      </c>
      <c r="BR45" s="1507" t="str">
        <f>Bauteile!L289</f>
        <v>Région d'air horizontale &gt;15mm, plafond</v>
      </c>
      <c r="BS45" s="5">
        <v>6</v>
      </c>
      <c r="BU45" s="2098" t="str">
        <f>Bauteile!B95</f>
        <v>Bitume F3+J2+V60</v>
      </c>
      <c r="BV45" s="1872">
        <f>Bauteile!H95</f>
        <v>0.5</v>
      </c>
      <c r="BW45" s="2098" t="str">
        <f>Bauteile!B341</f>
        <v>KP-036/HB</v>
      </c>
      <c r="BX45" s="2056">
        <f>Bauteile!H341</f>
        <v>3.5999999999999997E-2</v>
      </c>
    </row>
    <row r="46" spans="2:76" ht="15.6" customHeight="1">
      <c r="B46" s="11">
        <v>10</v>
      </c>
      <c r="C46" s="2212"/>
      <c r="D46" s="2213"/>
      <c r="E46" s="2214"/>
      <c r="F46" s="10"/>
      <c r="G46" s="59">
        <f>INDEX(Bauteile!$O$280:$O$282,BA46)</f>
        <v>0</v>
      </c>
      <c r="H46" s="312">
        <f>IF(G46=0,0,1/G46)</f>
        <v>0</v>
      </c>
      <c r="J46" s="11">
        <v>10</v>
      </c>
      <c r="K46" s="2212"/>
      <c r="L46" s="2213"/>
      <c r="M46" s="2214"/>
      <c r="N46" s="10"/>
      <c r="O46" s="59">
        <f>INDEX(Bauteile!$O$280:$O$282,BB46)</f>
        <v>0</v>
      </c>
      <c r="P46" s="312">
        <f>IF(O46=0,0,1/O46)</f>
        <v>0</v>
      </c>
      <c r="BA46" s="340">
        <f>IF($C46="",3,VLOOKUP($C46,$BR$36:$BS$38,2,FALSE))</f>
        <v>3</v>
      </c>
      <c r="BB46" s="1505">
        <f>IF($K46="",3,VLOOKUP($K46,$BR$36:$BS$38,2,FALSE))</f>
        <v>3</v>
      </c>
      <c r="BC46" s="9">
        <v>40</v>
      </c>
      <c r="BD46" s="555">
        <f>Fenster!L119</f>
        <v>20</v>
      </c>
      <c r="BE46" s="556">
        <f>Fenster!N119</f>
        <v>0</v>
      </c>
      <c r="BF46" s="932"/>
      <c r="BG46" s="942" t="b">
        <f t="shared" si="0"/>
        <v>0</v>
      </c>
      <c r="BH46" s="949">
        <v>1</v>
      </c>
      <c r="BI46" s="950">
        <v>1</v>
      </c>
      <c r="BJ46" s="950">
        <v>1</v>
      </c>
      <c r="BK46" s="951">
        <v>1</v>
      </c>
      <c r="BL46" s="468">
        <v>0</v>
      </c>
      <c r="BM46" s="468">
        <v>0</v>
      </c>
      <c r="BN46" s="468">
        <v>1</v>
      </c>
      <c r="BP46" s="118" t="str">
        <f>Bauteile!C46</f>
        <v>Porte intérieure appuyée, 36mm  avec remplissage de bois</v>
      </c>
      <c r="BQ46" s="274">
        <v>11</v>
      </c>
      <c r="BR46" s="1507" t="str">
        <f>Bauteile!L290</f>
        <v>Région d'air verticale 5mm</v>
      </c>
      <c r="BS46" s="5">
        <v>7</v>
      </c>
      <c r="BU46" s="2098" t="str">
        <f>Bauteile!B96</f>
        <v>Bitume F3+J2+J2</v>
      </c>
      <c r="BV46" s="1872">
        <f>Bauteile!H96</f>
        <v>0.5</v>
      </c>
      <c r="BW46" s="2098" t="str">
        <f>Bauteile!B342</f>
        <v>Quick White</v>
      </c>
      <c r="BX46" s="2056">
        <f>Bauteile!H342</f>
        <v>3.5000000000000003E-2</v>
      </c>
    </row>
    <row r="47" spans="2:76" ht="6" customHeight="1">
      <c r="G47" s="28"/>
      <c r="H47" s="28"/>
      <c r="O47" s="28"/>
      <c r="P47" s="28"/>
      <c r="BA47" s="335"/>
      <c r="BB47" s="335"/>
      <c r="BP47" s="118" t="str">
        <f>Bauteile!C47</f>
        <v>Porte creuse intérieure 40mm</v>
      </c>
      <c r="BQ47" s="274">
        <v>12</v>
      </c>
      <c r="BR47" s="1507" t="str">
        <f>Bauteile!L291</f>
        <v>Région d'air verticale 10mm</v>
      </c>
      <c r="BS47" s="5">
        <v>8</v>
      </c>
      <c r="BU47" s="1528"/>
      <c r="BV47" s="247"/>
      <c r="BW47" s="2098" t="str">
        <f>Bauteile!B343</f>
        <v>SDP-035</v>
      </c>
      <c r="BX47" s="2056">
        <f>Bauteile!H343</f>
        <v>3.5000000000000003E-2</v>
      </c>
    </row>
    <row r="48" spans="2:76" ht="15.6" customHeight="1" thickBot="1">
      <c r="B48" s="110" t="s">
        <v>1198</v>
      </c>
      <c r="C48" s="111" t="str">
        <f>C34</f>
        <v>Désignation:</v>
      </c>
      <c r="D48" s="938"/>
      <c r="E48" s="925" t="s">
        <v>438</v>
      </c>
      <c r="F48" s="111" t="str">
        <f>F34</f>
        <v>Valeur U total:</v>
      </c>
      <c r="G48" s="213"/>
      <c r="H48" s="307" t="s">
        <v>1759</v>
      </c>
      <c r="J48" s="110" t="s">
        <v>1198</v>
      </c>
      <c r="K48" s="111" t="str">
        <f>K34</f>
        <v>Désignation:</v>
      </c>
      <c r="L48" s="938"/>
      <c r="M48" s="925" t="s">
        <v>438</v>
      </c>
      <c r="N48" s="111" t="str">
        <f>N34</f>
        <v>Valeur U total:</v>
      </c>
      <c r="O48" s="213"/>
      <c r="P48" s="307" t="s">
        <v>1759</v>
      </c>
      <c r="BA48" s="335"/>
      <c r="BB48" s="335"/>
      <c r="BP48" s="118" t="str">
        <f>Bauteile!C48</f>
        <v>Porte pleine intérieure 40mm</v>
      </c>
      <c r="BQ48" s="274">
        <v>13</v>
      </c>
      <c r="BR48" s="1507" t="str">
        <f>Bauteile!L292</f>
        <v>Région d'air verticale &gt;25mm</v>
      </c>
      <c r="BS48" s="5">
        <v>9</v>
      </c>
      <c r="BU48" s="2098" t="str">
        <f>Bauteile!B97</f>
        <v>Couches de bitume</v>
      </c>
      <c r="BV48" s="1872">
        <f>Bauteile!H97</f>
        <v>0.5</v>
      </c>
      <c r="BW48" s="2098" t="str">
        <f>Bauteile!B344</f>
        <v>SKP-035</v>
      </c>
      <c r="BX48" s="2056">
        <f>Bauteile!H344</f>
        <v>3.5000000000000003E-2</v>
      </c>
    </row>
    <row r="49" spans="2:76" ht="15.6" customHeight="1" thickBot="1">
      <c r="B49" s="19">
        <v>7</v>
      </c>
      <c r="C49" s="2219"/>
      <c r="D49" s="2220"/>
      <c r="E49" s="2221"/>
      <c r="F49" s="313" t="str">
        <f>IF(SUM(H51:H60)&lt;&gt;0,1/SUM(H51:H60),"")</f>
        <v/>
      </c>
      <c r="G49" s="308" t="s">
        <v>245</v>
      </c>
      <c r="H49" s="309" t="str">
        <f>IF(OR(G51=8,G60=8),ROUND(Thetai-(Thetai-Thetamin)*(1/(1/F49)-(1/8)+(1/6))*(1/6),1)&amp;" °C","")</f>
        <v/>
      </c>
      <c r="J49" s="19">
        <v>8</v>
      </c>
      <c r="K49" s="2219"/>
      <c r="L49" s="2220"/>
      <c r="M49" s="2221"/>
      <c r="N49" s="313" t="str">
        <f>IF(SUM(P51:P60)&lt;&gt;0,1/SUM(P51:P60),"")</f>
        <v/>
      </c>
      <c r="O49" s="308" t="s">
        <v>245</v>
      </c>
      <c r="P49" s="309" t="str">
        <f>IF(OR(O51=8,O60=8),ROUND(Thetai-(Thetai-Thetamin)*(1/(1/N49)-(1/8)+(1/6))*(1/6),1)&amp;" °C","")</f>
        <v/>
      </c>
      <c r="S49" s="1018"/>
      <c r="T49" s="987"/>
      <c r="U49" s="1019" t="s">
        <v>451</v>
      </c>
      <c r="V49" s="998" t="b">
        <f>IF(BA51=1,TRUE,FALSE)</f>
        <v>0</v>
      </c>
      <c r="W49" s="1016" t="s">
        <v>455</v>
      </c>
      <c r="X49" s="1000"/>
      <c r="Y49" s="1000"/>
      <c r="Z49" s="1000"/>
      <c r="AA49" s="1000"/>
      <c r="AB49" s="1000"/>
      <c r="AC49" s="1001"/>
      <c r="AD49" s="1001"/>
      <c r="AE49" s="1001"/>
      <c r="AF49" s="1002"/>
      <c r="AG49" s="1020"/>
      <c r="AH49" s="1021"/>
      <c r="AJ49" s="1018"/>
      <c r="AK49" s="987"/>
      <c r="AL49" s="1019" t="s">
        <v>451</v>
      </c>
      <c r="AM49" s="998" t="b">
        <f>IF(BB51=1,TRUE,FALSE)</f>
        <v>0</v>
      </c>
      <c r="AN49" s="1016" t="s">
        <v>461</v>
      </c>
      <c r="AO49" s="1000"/>
      <c r="AP49" s="1000"/>
      <c r="AQ49" s="1000"/>
      <c r="AR49" s="1000"/>
      <c r="AS49" s="1000"/>
      <c r="AT49" s="1001"/>
      <c r="AU49" s="1001"/>
      <c r="AV49" s="1001"/>
      <c r="AW49" s="1002"/>
      <c r="AX49" s="1020"/>
      <c r="AY49" s="1021"/>
      <c r="BA49" s="335"/>
      <c r="BB49" s="335"/>
      <c r="BP49" s="118">
        <f>Bauteile!C49</f>
        <v>0</v>
      </c>
      <c r="BQ49" s="274">
        <v>14</v>
      </c>
      <c r="BR49" s="1507" t="str">
        <f>Bauteile!L293</f>
        <v>Région d'air horizontale 5mm, plancher</v>
      </c>
      <c r="BS49" s="5">
        <v>10</v>
      </c>
      <c r="BU49" s="2098" t="str">
        <f>Bauteile!B98</f>
        <v>Bitume d'aluminium 10 B</v>
      </c>
      <c r="BV49" s="1872">
        <f>Bauteile!H98</f>
        <v>0.5</v>
      </c>
      <c r="BW49" s="2098" t="str">
        <f>Bauteile!B345</f>
        <v>TPD</v>
      </c>
      <c r="BX49" s="2056">
        <f>Bauteile!H345</f>
        <v>0.04</v>
      </c>
    </row>
    <row r="50" spans="2:76" s="3" customFormat="1" ht="15.6" customHeight="1" thickBot="1">
      <c r="B50" s="2234">
        <f>IF(GraueEnergie,Uebersetzung!D651,IF(AND(U59,V59&gt;0),Uebersetzung!D652&amp;ROUND(V59,0)&amp;" g/m2",))</f>
        <v>0</v>
      </c>
      <c r="C50" s="2235"/>
      <c r="D50" s="2217"/>
      <c r="E50" s="2218"/>
      <c r="F50" s="12" t="s">
        <v>1918</v>
      </c>
      <c r="G50" s="310" t="s">
        <v>1800</v>
      </c>
      <c r="H50" s="311" t="s">
        <v>1801</v>
      </c>
      <c r="J50" s="2234">
        <f>IF(GraueEnergie,Uebersetzung!D651,IF(AND(AL59,AM59&gt;0),Uebersetzung!D652&amp;ROUND(AM59,0)&amp;" g/m2",))</f>
        <v>0</v>
      </c>
      <c r="K50" s="2235"/>
      <c r="L50" s="2217"/>
      <c r="M50" s="2218"/>
      <c r="N50" s="12" t="s">
        <v>1918</v>
      </c>
      <c r="O50" s="310" t="s">
        <v>1800</v>
      </c>
      <c r="P50" s="311" t="s">
        <v>1801</v>
      </c>
      <c r="S50" s="1022" t="s">
        <v>795</v>
      </c>
      <c r="T50" s="1023">
        <f ca="1">20-TaMin-8</f>
        <v>20</v>
      </c>
      <c r="U50" s="1024" t="s">
        <v>452</v>
      </c>
      <c r="V50" s="999" t="b">
        <f>IF(BA60=1,TRUE,FALSE)</f>
        <v>0</v>
      </c>
      <c r="W50" s="992" t="s">
        <v>577</v>
      </c>
      <c r="X50" s="465"/>
      <c r="Y50" s="465"/>
      <c r="Z50" s="465"/>
      <c r="AA50" s="987"/>
      <c r="AB50" s="994" t="s">
        <v>450</v>
      </c>
      <c r="AC50" s="4"/>
      <c r="AD50" s="4"/>
      <c r="AE50" s="4"/>
      <c r="AF50" s="564"/>
      <c r="AG50" s="1022" t="s">
        <v>795</v>
      </c>
      <c r="AH50" s="1023">
        <f ca="1">20-TaMin-8</f>
        <v>20</v>
      </c>
      <c r="AI50" s="2"/>
      <c r="AJ50" s="1022" t="s">
        <v>795</v>
      </c>
      <c r="AK50" s="1023">
        <f ca="1">20-TaMin-8</f>
        <v>20</v>
      </c>
      <c r="AL50" s="1024" t="s">
        <v>452</v>
      </c>
      <c r="AM50" s="999" t="b">
        <f>IF(BB60=1,TRUE,FALSE)</f>
        <v>0</v>
      </c>
      <c r="AN50" s="992" t="s">
        <v>577</v>
      </c>
      <c r="AO50" s="465"/>
      <c r="AP50" s="465"/>
      <c r="AQ50" s="465"/>
      <c r="AR50" s="987"/>
      <c r="AS50" s="994" t="s">
        <v>450</v>
      </c>
      <c r="AT50" s="4"/>
      <c r="AU50" s="4"/>
      <c r="AV50" s="4"/>
      <c r="AW50" s="564"/>
      <c r="AX50" s="1022" t="s">
        <v>795</v>
      </c>
      <c r="AY50" s="1023">
        <f ca="1">20-TaMin-8</f>
        <v>20</v>
      </c>
      <c r="AZ50" s="2"/>
      <c r="BA50" s="335" t="s">
        <v>2031</v>
      </c>
      <c r="BB50" s="2"/>
      <c r="BC50" s="2"/>
      <c r="BD50" s="2"/>
      <c r="BE50" s="2"/>
      <c r="BF50" s="2"/>
      <c r="BG50" s="2"/>
      <c r="BH50" s="2"/>
      <c r="BI50" s="2"/>
      <c r="BJ50" s="2"/>
      <c r="BK50" s="2"/>
      <c r="BL50" s="2"/>
      <c r="BP50" s="119">
        <f>Bauteile!C50</f>
        <v>0</v>
      </c>
      <c r="BQ50" s="942">
        <v>15</v>
      </c>
      <c r="BR50" s="1507" t="str">
        <f>Bauteile!L294</f>
        <v>Région d'air horizontale 10mm, plancher</v>
      </c>
      <c r="BS50" s="5">
        <v>11</v>
      </c>
      <c r="BU50" s="2098" t="str">
        <f>Bauteile!B99</f>
        <v>Boue de chaux</v>
      </c>
      <c r="BV50" s="1872">
        <f>Bauteile!H99</f>
        <v>0.8</v>
      </c>
      <c r="BW50" s="2098" t="str">
        <f>Bauteile!B346</f>
        <v>TPE</v>
      </c>
      <c r="BX50" s="2056">
        <f>Bauteile!H346</f>
        <v>3.5000000000000003E-2</v>
      </c>
    </row>
    <row r="51" spans="2:76" ht="15.6" customHeight="1">
      <c r="B51" s="11">
        <v>1</v>
      </c>
      <c r="C51" s="2212"/>
      <c r="D51" s="2213"/>
      <c r="E51" s="2214"/>
      <c r="F51" s="10"/>
      <c r="G51" s="59">
        <f>INDEX(Bauteile!$O$280:$O$282,BA51)</f>
        <v>0</v>
      </c>
      <c r="H51" s="312">
        <f>IF(G51=0,0,1/G51)</f>
        <v>0</v>
      </c>
      <c r="J51" s="11">
        <v>1</v>
      </c>
      <c r="K51" s="2212"/>
      <c r="L51" s="2213"/>
      <c r="M51" s="2214"/>
      <c r="N51" s="10"/>
      <c r="O51" s="59">
        <f>INDEX(Bauteile!$O$280:$O$282,BB51)</f>
        <v>0</v>
      </c>
      <c r="P51" s="312">
        <f>IF(O51=0,0,1/O51)</f>
        <v>0</v>
      </c>
      <c r="S51" s="1025" t="s">
        <v>796</v>
      </c>
      <c r="T51" s="1026" t="s">
        <v>797</v>
      </c>
      <c r="U51" s="1027" t="s">
        <v>808</v>
      </c>
      <c r="V51" s="996" t="s">
        <v>571</v>
      </c>
      <c r="W51" s="988" t="s">
        <v>570</v>
      </c>
      <c r="X51" s="466" t="s">
        <v>569</v>
      </c>
      <c r="Y51" s="466" t="s">
        <v>103</v>
      </c>
      <c r="Z51" s="1028" t="s">
        <v>572</v>
      </c>
      <c r="AA51" s="1007" t="s">
        <v>572</v>
      </c>
      <c r="AB51" s="988" t="s">
        <v>569</v>
      </c>
      <c r="AC51" s="464" t="s">
        <v>570</v>
      </c>
      <c r="AD51" s="986" t="s">
        <v>103</v>
      </c>
      <c r="AE51" s="1029" t="s">
        <v>572</v>
      </c>
      <c r="AF51" s="1030" t="s">
        <v>572</v>
      </c>
      <c r="AG51" s="1025" t="s">
        <v>796</v>
      </c>
      <c r="AH51" s="1026" t="s">
        <v>797</v>
      </c>
      <c r="AJ51" s="1025" t="s">
        <v>796</v>
      </c>
      <c r="AK51" s="1026" t="s">
        <v>797</v>
      </c>
      <c r="AL51" s="1027" t="s">
        <v>808</v>
      </c>
      <c r="AM51" s="996" t="s">
        <v>571</v>
      </c>
      <c r="AN51" s="988" t="s">
        <v>570</v>
      </c>
      <c r="AO51" s="466" t="s">
        <v>569</v>
      </c>
      <c r="AP51" s="466" t="s">
        <v>103</v>
      </c>
      <c r="AQ51" s="1028" t="s">
        <v>572</v>
      </c>
      <c r="AR51" s="1031" t="s">
        <v>572</v>
      </c>
      <c r="AS51" s="988" t="s">
        <v>569</v>
      </c>
      <c r="AT51" s="464" t="s">
        <v>570</v>
      </c>
      <c r="AU51" s="986" t="s">
        <v>103</v>
      </c>
      <c r="AV51" s="1029" t="s">
        <v>572</v>
      </c>
      <c r="AW51" s="1030" t="s">
        <v>572</v>
      </c>
      <c r="AX51" s="1025" t="s">
        <v>796</v>
      </c>
      <c r="AY51" s="1026" t="s">
        <v>797</v>
      </c>
      <c r="AZ51" s="3"/>
      <c r="BA51" s="339">
        <f>IF($C51="",3,VLOOKUP($C51,$BR$36:$BS$38,2,FALSE))</f>
        <v>3</v>
      </c>
      <c r="BB51" s="1502">
        <f>IF($K51="",3,VLOOKUP($K51,$BR$36:$BS$38,2,FALSE))</f>
        <v>3</v>
      </c>
      <c r="BC51" s="3"/>
      <c r="BD51" s="3"/>
      <c r="BE51" s="3"/>
      <c r="BF51" s="3"/>
      <c r="BG51" s="3"/>
      <c r="BH51" s="3"/>
      <c r="BI51" s="3"/>
      <c r="BJ51" s="3"/>
      <c r="BK51" s="3"/>
      <c r="BL51" s="3"/>
      <c r="BP51" s="30">
        <f>Bauteile!B51</f>
        <v>0</v>
      </c>
      <c r="BQ51" s="4"/>
      <c r="BR51" s="1507" t="str">
        <f>Bauteile!L295</f>
        <v>Région d'air horizontale 25mm, plancher</v>
      </c>
      <c r="BS51" s="5">
        <v>12</v>
      </c>
      <c r="BU51" s="2098" t="str">
        <f>Bauteile!B100</f>
        <v>Brique klinker</v>
      </c>
      <c r="BV51" s="1872">
        <f>Bauteile!H100</f>
        <v>1.8</v>
      </c>
      <c r="BW51" s="2098" t="str">
        <f>Bauteile!B347</f>
        <v>TPS</v>
      </c>
      <c r="BX51" s="2056">
        <f>Bauteile!H347</f>
        <v>3.5000000000000003E-2</v>
      </c>
    </row>
    <row r="52" spans="2:76" ht="15.6" customHeight="1">
      <c r="B52" s="11">
        <v>2</v>
      </c>
      <c r="C52" s="2212"/>
      <c r="D52" s="2213"/>
      <c r="E52" s="2214"/>
      <c r="F52" s="26"/>
      <c r="G52" s="59">
        <f>INDEX(Bauteile!$H$57:$H$1159,BA52)</f>
        <v>0</v>
      </c>
      <c r="H52" s="312">
        <f>IF(G52&lt;&gt;0,F52/100/G52,0)</f>
        <v>0</v>
      </c>
      <c r="J52" s="11">
        <v>2</v>
      </c>
      <c r="K52" s="2212"/>
      <c r="L52" s="2213"/>
      <c r="M52" s="2214"/>
      <c r="N52" s="26"/>
      <c r="O52" s="59">
        <f>INDEX(Bauteile!$H$57:$H$1159,BB52)</f>
        <v>0</v>
      </c>
      <c r="P52" s="312">
        <f>IF(O52&lt;&gt;0,N52/100/O52,0)</f>
        <v>0</v>
      </c>
      <c r="S52" s="1032">
        <f>IF(AND(W52&gt;0,X52&gt;0),1/LN(1168*X52/(0.2*W52+X52)/14057400000)*(-3928.5)-231.667,)</f>
        <v>0</v>
      </c>
      <c r="T52" s="1013">
        <f>IF(SUM(H51:H60)&gt;0,20-T50/SUM(H51:H60)*SUM(H51:H52),20)</f>
        <v>20</v>
      </c>
      <c r="U52" s="1033">
        <f>INDEX(Bauteile!$I$57:$I$1159,BA52)</f>
        <v>0</v>
      </c>
      <c r="V52" s="997">
        <f>F52/100</f>
        <v>0</v>
      </c>
      <c r="W52" s="1006">
        <f>V52*U52</f>
        <v>0</v>
      </c>
      <c r="X52" s="563">
        <f t="shared" ref="X52:X57" si="91">U53*V53+X53</f>
        <v>0</v>
      </c>
      <c r="Y52" s="931">
        <f>IF(AND(W52&gt;0,X52&gt;0),Ak/W52-Bk/X52,)</f>
        <v>0</v>
      </c>
      <c r="Z52" s="1034" t="b">
        <f>IF(T52&lt;S52,IF(W52&gt;mj*X52,FALSE,TRUE),FALSE)</f>
        <v>0</v>
      </c>
      <c r="AA52" s="1036">
        <f t="shared" ref="AA52:AA57" si="92">IF(OR(Z53=FALSE,AND(Z52=TRUE,Z53=TRUE)),Y52,0)</f>
        <v>0</v>
      </c>
      <c r="AB52" s="1005"/>
      <c r="AC52" s="1008">
        <f t="shared" ref="AC52:AC57" si="93">V52*U52+AC53</f>
        <v>0</v>
      </c>
      <c r="AD52" s="1035">
        <f t="shared" ref="AD52:AD57" si="94">IF(AND(AB52&gt;0,AC52&gt;0),Ak/AC52-Bk/AB52,)</f>
        <v>0</v>
      </c>
      <c r="AE52" s="995" t="b">
        <f>IF(AH52&lt;AG52,IF(AC52&gt;mj*AB52,FALSE,TRUE),FALSE)</f>
        <v>0</v>
      </c>
      <c r="AF52" s="1036">
        <f t="shared" ref="AF52:AF57" si="95">IF(OR(AE53=FALSE,AND(AE52=TRUE,AE53=TRUE)),AD52,0)</f>
        <v>0</v>
      </c>
      <c r="AG52" s="1037">
        <f>IF(AND(AB52&gt;0,AC52&gt;0),1/LN(1168*AB52/(0.2*AC52+AB52)/14057400000)*(-3928.5)-231.667,)</f>
        <v>0</v>
      </c>
      <c r="AH52" s="1036">
        <f>IF(SUM(H51:H60)&gt;0,20-AH50/SUM(H51:H60)*SUM(H52:H60),20)</f>
        <v>20</v>
      </c>
      <c r="AJ52" s="1032">
        <f>IF(AND(AN52&gt;0,AO52&gt;0),1/LN(1168*AO52/(0.2*AN52+AO52)/14057400000)*(-3928.5)-231.667,)</f>
        <v>0</v>
      </c>
      <c r="AK52" s="1013">
        <f>IF(SUM(P51:P60)&gt;0,20-AK50/SUM(P51:P60)*SUM(P51:P52),20)</f>
        <v>20</v>
      </c>
      <c r="AL52" s="1033">
        <f>INDEX(Bauteile!$I$57:$I$1159,BB52)</f>
        <v>0</v>
      </c>
      <c r="AM52" s="997">
        <f>N52/100</f>
        <v>0</v>
      </c>
      <c r="AN52" s="1006">
        <f>AM52*AL52</f>
        <v>0</v>
      </c>
      <c r="AO52" s="563">
        <f t="shared" ref="AO52:AO57" si="96">AL53*AM53+AO53</f>
        <v>0</v>
      </c>
      <c r="AP52" s="931">
        <f>IF(AND(AN52&gt;0,AO52&gt;0),Ak/AN52-Bk/AO52,)</f>
        <v>0</v>
      </c>
      <c r="AQ52" s="995" t="b">
        <f>IF(AK52&lt;AJ52,IF(AN52&gt;mj*AO52,FALSE,TRUE),FALSE)</f>
        <v>0</v>
      </c>
      <c r="AR52" s="1036">
        <f t="shared" ref="AR52:AR57" si="97">IF(OR(AQ53=FALSE,AND(AQ52=TRUE,AQ53=TRUE)),AP52,0)</f>
        <v>0</v>
      </c>
      <c r="AS52" s="1038"/>
      <c r="AT52" s="1008">
        <f t="shared" ref="AT52:AT57" si="98">AM52*AL52+AT53</f>
        <v>0</v>
      </c>
      <c r="AU52" s="1035">
        <f t="shared" ref="AU52:AU57" si="99">IF(AND(AS52&gt;0,AT52&gt;0),Ak/AT52-Bk/AS52,)</f>
        <v>0</v>
      </c>
      <c r="AV52" s="995" t="b">
        <f>IF(AY52&lt;AX52,IF(AT52&gt;mj*AS52,FALSE,TRUE),FALSE)</f>
        <v>0</v>
      </c>
      <c r="AW52" s="1036">
        <f t="shared" ref="AW52:AW57" si="100">IF(OR(AV53=FALSE,AND(AV52=TRUE,AV53=TRUE)),AU52,0)</f>
        <v>0</v>
      </c>
      <c r="AX52" s="1037">
        <f>IF(AND(AS52&gt;0,AT52&gt;0),1/LN(1168*AS52/(0.2*AT52+AS52)/14057400000)*(-3928.5)-231.667,)</f>
        <v>0</v>
      </c>
      <c r="AY52" s="1036">
        <f>IF(SUM(P51:P60)&gt;0,20-AY50/SUM(P51:P60)*SUM(P52:P60),20)</f>
        <v>20</v>
      </c>
      <c r="BA52" s="341">
        <f>IF($C52="",1,VLOOKUP($C52,$BP$57:$BQ$1010,2,FALSE))</f>
        <v>1</v>
      </c>
      <c r="BB52" s="1504">
        <f>IF($K52="",1,VLOOKUP($K52,$BP$57:$BQ$1010,2,FALSE))</f>
        <v>1</v>
      </c>
      <c r="BP52" s="31"/>
      <c r="BQ52" s="15"/>
      <c r="BR52" s="1507" t="str">
        <f>Bauteile!L296</f>
        <v>Région d'air horizontale 100mm, plancher</v>
      </c>
      <c r="BS52" s="5">
        <v>13</v>
      </c>
      <c r="BU52" s="2098" t="str">
        <f>Bauteile!B101</f>
        <v>Brique silico-calcaire, lambda 0.8</v>
      </c>
      <c r="BV52" s="1872">
        <f>Bauteile!H101</f>
        <v>0.8</v>
      </c>
      <c r="BW52" s="2098" t="str">
        <f>Bauteile!B348</f>
        <v>TW</v>
      </c>
      <c r="BX52" s="2056">
        <f>Bauteile!H348</f>
        <v>0.04</v>
      </c>
    </row>
    <row r="53" spans="2:76" ht="15.6" customHeight="1">
      <c r="B53" s="11">
        <v>3</v>
      </c>
      <c r="C53" s="2212"/>
      <c r="D53" s="2213"/>
      <c r="E53" s="2214"/>
      <c r="F53" s="26"/>
      <c r="G53" s="59">
        <f>INDEX(Bauteile!$H$57:$H$1159,BA53)</f>
        <v>0</v>
      </c>
      <c r="H53" s="312">
        <f t="shared" ref="H53:H58" si="101">IF(G53&lt;&gt;0,F53/100/G53,0)</f>
        <v>0</v>
      </c>
      <c r="J53" s="11">
        <v>3</v>
      </c>
      <c r="K53" s="2212"/>
      <c r="L53" s="2213"/>
      <c r="M53" s="2214"/>
      <c r="N53" s="26"/>
      <c r="O53" s="59">
        <f>INDEX(Bauteile!$H$57:$H$1159,BB53)</f>
        <v>0</v>
      </c>
      <c r="P53" s="312">
        <f t="shared" ref="P53:P58" si="102">IF(O53&lt;&gt;0,N53/100/O53,0)</f>
        <v>0</v>
      </c>
      <c r="S53" s="1039">
        <f t="shared" ref="S53:S58" si="103">IF(AND(W53&gt;0,X53&gt;0),1/LN(1168*X53/(0.2*W53+X53)/14057400000)*(-3928.5)-231.667,)</f>
        <v>0</v>
      </c>
      <c r="T53" s="989">
        <f>IF(SUM(H51:H60)&gt;0,20-T50/SUM(H51:H60)*SUM(H51:H53),20)</f>
        <v>20</v>
      </c>
      <c r="U53" s="1033">
        <f>INDEX(Bauteile!$I$57:$I$1159,BA53)</f>
        <v>0</v>
      </c>
      <c r="V53" s="997">
        <f t="shared" ref="V53:V58" si="104">F53/100</f>
        <v>0</v>
      </c>
      <c r="W53" s="1006">
        <f t="shared" ref="W53:W58" si="105">V53*U53+W52</f>
        <v>0</v>
      </c>
      <c r="X53" s="563">
        <f t="shared" si="91"/>
        <v>0</v>
      </c>
      <c r="Y53" s="931">
        <f t="shared" ref="Y53:Y58" si="106">IF(AND(W53&gt;0,X53&gt;0),Ak/W53-Bk/X53,)</f>
        <v>0</v>
      </c>
      <c r="Z53" s="563" t="b">
        <f t="shared" ref="Z53:Z58" si="107">IF(T53&lt;S53,IF(W53&gt;mj*X53,FALSE,TRUE),FALSE)</f>
        <v>0</v>
      </c>
      <c r="AA53" s="439">
        <f t="shared" si="92"/>
        <v>0</v>
      </c>
      <c r="AB53" s="1009">
        <f t="shared" ref="AB53:AB58" si="108">U52*V52+AB52</f>
        <v>0</v>
      </c>
      <c r="AC53" s="1010">
        <f t="shared" si="93"/>
        <v>0</v>
      </c>
      <c r="AD53" s="931">
        <f t="shared" si="94"/>
        <v>0</v>
      </c>
      <c r="AE53" s="7" t="b">
        <f t="shared" ref="AE53:AE58" si="109">IF(AH53&lt;AG53,IF(AC53&gt;mj*AB53,FALSE,TRUE),FALSE)</f>
        <v>0</v>
      </c>
      <c r="AF53" s="439">
        <f t="shared" si="95"/>
        <v>0</v>
      </c>
      <c r="AG53" s="1040">
        <f t="shared" ref="AG53:AG58" si="110">IF(AND(AB53&gt;0,AC53&gt;0),1/LN(1168*AB53/(0.2*AC53+AB53)/14057400000)*(-3928.5)-231.667,)</f>
        <v>0</v>
      </c>
      <c r="AH53" s="439">
        <f>IF(SUM(H51:H60)&gt;0,20-AH50/SUM(H51:H60)*SUM(H53:H60),20)</f>
        <v>20</v>
      </c>
      <c r="AJ53" s="1039">
        <f t="shared" ref="AJ53:AJ58" si="111">IF(AND(AN53&gt;0,AO53&gt;0),1/LN(1168*AO53/(0.2*AN53+AO53)/14057400000)*(-3928.5)-231.667,)</f>
        <v>0</v>
      </c>
      <c r="AK53" s="989">
        <f>IF(SUM(P51:P60)&gt;0,20-AK50/SUM(P51:P60)*SUM(P51:P53),20)</f>
        <v>20</v>
      </c>
      <c r="AL53" s="1033">
        <f>INDEX(Bauteile!$I$57:$I$1159,BB53)</f>
        <v>0</v>
      </c>
      <c r="AM53" s="997">
        <f t="shared" ref="AM53:AM58" si="112">N53/100</f>
        <v>0</v>
      </c>
      <c r="AN53" s="1006">
        <f t="shared" ref="AN53:AN58" si="113">AM53*AL53+AN52</f>
        <v>0</v>
      </c>
      <c r="AO53" s="563">
        <f t="shared" si="96"/>
        <v>0</v>
      </c>
      <c r="AP53" s="931">
        <f t="shared" ref="AP53:AP58" si="114">IF(AND(AN53&gt;0,AO53&gt;0),Ak/AN53-Bk/AO53,)</f>
        <v>0</v>
      </c>
      <c r="AQ53" s="7" t="b">
        <f t="shared" ref="AQ53:AQ58" si="115">IF(AK53&lt;AJ53,IF(AN53&gt;mj*AO53,FALSE,TRUE),FALSE)</f>
        <v>0</v>
      </c>
      <c r="AR53" s="439">
        <f t="shared" si="97"/>
        <v>0</v>
      </c>
      <c r="AS53" s="5">
        <f t="shared" ref="AS53:AS58" si="116">AL52*AM52+AS52</f>
        <v>0</v>
      </c>
      <c r="AT53" s="1010">
        <f t="shared" si="98"/>
        <v>0</v>
      </c>
      <c r="AU53" s="931">
        <f t="shared" si="99"/>
        <v>0</v>
      </c>
      <c r="AV53" s="7" t="b">
        <f t="shared" ref="AV53:AV58" si="117">IF(AY53&lt;AX53,IF(AT53&gt;mj*AS53,FALSE,TRUE),FALSE)</f>
        <v>0</v>
      </c>
      <c r="AW53" s="439">
        <f t="shared" si="100"/>
        <v>0</v>
      </c>
      <c r="AX53" s="1040">
        <f t="shared" ref="AX53:AX58" si="118">IF(AND(AS53&gt;0,AT53&gt;0),1/LN(1168*AS53/(0.2*AT53+AS53)/14057400000)*(-3928.5)-231.667,)</f>
        <v>0</v>
      </c>
      <c r="AY53" s="439">
        <f>IF(SUM(P51:P60)&gt;0,20-AY50/SUM(P51:P60)*SUM(P53:P60),20)</f>
        <v>20</v>
      </c>
      <c r="BA53" s="341">
        <f t="shared" ref="BA53:BA58" si="119">IF($C53="",1,VLOOKUP($C53,$BP$57:$BQ$1010,2,FALSE))</f>
        <v>1</v>
      </c>
      <c r="BB53" s="1504">
        <f t="shared" ref="BB53:BB58" si="120">IF($K53="",1,VLOOKUP($K53,$BP$57:$BQ$1010,2,FALSE))</f>
        <v>1</v>
      </c>
      <c r="BN53" s="1506" t="s">
        <v>2336</v>
      </c>
      <c r="BO53" s="17"/>
      <c r="BP53" s="401" t="str">
        <f>Bauteile!B53</f>
        <v>Eléments</v>
      </c>
      <c r="BQ53" s="17"/>
      <c r="BR53" s="1574" t="str">
        <f>Bauteile!K284</f>
        <v>Façade, ventilée</v>
      </c>
      <c r="BS53" s="10"/>
      <c r="BU53" s="2098" t="str">
        <f>Bauteile!B102</f>
        <v>Brique silico-calcaire, lambda 1.0</v>
      </c>
      <c r="BV53" s="1872">
        <f>Bauteile!H102</f>
        <v>1</v>
      </c>
      <c r="BW53" s="2098" t="str">
        <f>Bauteile!B349</f>
        <v>DDP2-U</v>
      </c>
      <c r="BX53" s="2056">
        <f>Bauteile!H349</f>
        <v>3.6999999999999998E-2</v>
      </c>
    </row>
    <row r="54" spans="2:76" ht="15.6" customHeight="1">
      <c r="B54" s="11">
        <v>4</v>
      </c>
      <c r="C54" s="2212"/>
      <c r="D54" s="2213"/>
      <c r="E54" s="2214"/>
      <c r="F54" s="26"/>
      <c r="G54" s="59">
        <f>INDEX(Bauteile!$H$57:$H$1159,BA54)</f>
        <v>0</v>
      </c>
      <c r="H54" s="312">
        <f t="shared" si="101"/>
        <v>0</v>
      </c>
      <c r="J54" s="11">
        <v>4</v>
      </c>
      <c r="K54" s="2212"/>
      <c r="L54" s="2213"/>
      <c r="M54" s="2214"/>
      <c r="N54" s="26"/>
      <c r="O54" s="59">
        <f>INDEX(Bauteile!$H$57:$H$1159,BB54)</f>
        <v>0</v>
      </c>
      <c r="P54" s="312">
        <f t="shared" si="102"/>
        <v>0</v>
      </c>
      <c r="S54" s="1039">
        <f t="shared" si="103"/>
        <v>0</v>
      </c>
      <c r="T54" s="989">
        <f>IF(SUM(H51:H60)&gt;0,20-T50/SUM(H51:H60)*SUM(H51:H54),20)</f>
        <v>20</v>
      </c>
      <c r="U54" s="1033">
        <f>INDEX(Bauteile!$I$57:$I$1159,BA54)</f>
        <v>0</v>
      </c>
      <c r="V54" s="997">
        <f t="shared" si="104"/>
        <v>0</v>
      </c>
      <c r="W54" s="1006">
        <f t="shared" si="105"/>
        <v>0</v>
      </c>
      <c r="X54" s="563">
        <f t="shared" si="91"/>
        <v>0</v>
      </c>
      <c r="Y54" s="931">
        <f t="shared" si="106"/>
        <v>0</v>
      </c>
      <c r="Z54" s="563" t="b">
        <f t="shared" si="107"/>
        <v>0</v>
      </c>
      <c r="AA54" s="439">
        <f t="shared" si="92"/>
        <v>0</v>
      </c>
      <c r="AB54" s="1009">
        <f t="shared" si="108"/>
        <v>0</v>
      </c>
      <c r="AC54" s="1010">
        <f t="shared" si="93"/>
        <v>0</v>
      </c>
      <c r="AD54" s="931">
        <f t="shared" si="94"/>
        <v>0</v>
      </c>
      <c r="AE54" s="7" t="b">
        <f t="shared" si="109"/>
        <v>0</v>
      </c>
      <c r="AF54" s="439">
        <f t="shared" si="95"/>
        <v>0</v>
      </c>
      <c r="AG54" s="1040">
        <f t="shared" si="110"/>
        <v>0</v>
      </c>
      <c r="AH54" s="439">
        <f>IF(SUM(H51:H60)&gt;0,20-AH50/SUM(H51:H60)*SUM(H54:H60),20)</f>
        <v>20</v>
      </c>
      <c r="AJ54" s="1039">
        <f t="shared" si="111"/>
        <v>0</v>
      </c>
      <c r="AK54" s="989">
        <f>IF(SUM(P51:P60)&gt;0,20-AK50/SUM(P51:P60)*SUM(P51:P54),20)</f>
        <v>20</v>
      </c>
      <c r="AL54" s="1033">
        <f>INDEX(Bauteile!$I$57:$I$1159,BB54)</f>
        <v>0</v>
      </c>
      <c r="AM54" s="997">
        <f t="shared" si="112"/>
        <v>0</v>
      </c>
      <c r="AN54" s="1006">
        <f t="shared" si="113"/>
        <v>0</v>
      </c>
      <c r="AO54" s="563">
        <f t="shared" si="96"/>
        <v>0</v>
      </c>
      <c r="AP54" s="931">
        <f t="shared" si="114"/>
        <v>0</v>
      </c>
      <c r="AQ54" s="7" t="b">
        <f t="shared" si="115"/>
        <v>0</v>
      </c>
      <c r="AR54" s="439">
        <f t="shared" si="97"/>
        <v>0</v>
      </c>
      <c r="AS54" s="5">
        <f t="shared" si="116"/>
        <v>0</v>
      </c>
      <c r="AT54" s="1010">
        <f t="shared" si="98"/>
        <v>0</v>
      </c>
      <c r="AU54" s="931">
        <f t="shared" si="99"/>
        <v>0</v>
      </c>
      <c r="AV54" s="7" t="b">
        <f t="shared" si="117"/>
        <v>0</v>
      </c>
      <c r="AW54" s="439">
        <f t="shared" si="100"/>
        <v>0</v>
      </c>
      <c r="AX54" s="1040">
        <f t="shared" si="118"/>
        <v>0</v>
      </c>
      <c r="AY54" s="439">
        <f>IF(SUM(P51:P60)&gt;0,20-AY50/SUM(P51:P60)*SUM(P54:P60),20)</f>
        <v>20</v>
      </c>
      <c r="BA54" s="341">
        <f t="shared" si="119"/>
        <v>1</v>
      </c>
      <c r="BB54" s="1504">
        <f t="shared" si="120"/>
        <v>1</v>
      </c>
      <c r="BN54" s="7" t="str">
        <f>Tab!C109</f>
        <v xml:space="preserve"> </v>
      </c>
      <c r="BO54" s="5">
        <v>1</v>
      </c>
      <c r="BP54" s="118"/>
      <c r="BQ54" s="2057"/>
      <c r="BU54" s="2098" t="str">
        <f>Bauteile!B103</f>
        <v>Brique silico-calcaire, lambda 1.1</v>
      </c>
      <c r="BV54" s="1872">
        <f>Bauteile!H103</f>
        <v>1.1000000000000001</v>
      </c>
      <c r="BW54" s="2098" t="str">
        <f>Bauteile!B350</f>
        <v>basic plus</v>
      </c>
      <c r="BX54" s="2056">
        <f>Bauteile!H350</f>
        <v>3.4000000000000002E-2</v>
      </c>
    </row>
    <row r="55" spans="2:76" ht="15.6" customHeight="1">
      <c r="B55" s="11">
        <v>5</v>
      </c>
      <c r="C55" s="2212"/>
      <c r="D55" s="2213"/>
      <c r="E55" s="2214"/>
      <c r="F55" s="26"/>
      <c r="G55" s="59">
        <f>INDEX(Bauteile!$H$57:$H$1159,BA55)</f>
        <v>0</v>
      </c>
      <c r="H55" s="312">
        <f t="shared" si="101"/>
        <v>0</v>
      </c>
      <c r="J55" s="11">
        <v>5</v>
      </c>
      <c r="K55" s="2212"/>
      <c r="L55" s="2213"/>
      <c r="M55" s="2214"/>
      <c r="N55" s="26"/>
      <c r="O55" s="59">
        <f>INDEX(Bauteile!$H$57:$H$1159,BB55)</f>
        <v>0</v>
      </c>
      <c r="P55" s="312">
        <f t="shared" si="102"/>
        <v>0</v>
      </c>
      <c r="S55" s="1039">
        <f t="shared" si="103"/>
        <v>0</v>
      </c>
      <c r="T55" s="989">
        <f>IF(SUM(H51:H60)&gt;0,20-T50/SUM(H51:H60)*SUM(H51:H55),20)</f>
        <v>20</v>
      </c>
      <c r="U55" s="1033">
        <f>INDEX(Bauteile!$I$57:$I$1159,BA55)</f>
        <v>0</v>
      </c>
      <c r="V55" s="997">
        <f t="shared" si="104"/>
        <v>0</v>
      </c>
      <c r="W55" s="1006">
        <f t="shared" si="105"/>
        <v>0</v>
      </c>
      <c r="X55" s="563">
        <f t="shared" si="91"/>
        <v>0</v>
      </c>
      <c r="Y55" s="931">
        <f t="shared" si="106"/>
        <v>0</v>
      </c>
      <c r="Z55" s="563" t="b">
        <f t="shared" si="107"/>
        <v>0</v>
      </c>
      <c r="AA55" s="439">
        <f t="shared" si="92"/>
        <v>0</v>
      </c>
      <c r="AB55" s="1009">
        <f t="shared" si="108"/>
        <v>0</v>
      </c>
      <c r="AC55" s="1010">
        <f t="shared" si="93"/>
        <v>0</v>
      </c>
      <c r="AD55" s="931">
        <f t="shared" si="94"/>
        <v>0</v>
      </c>
      <c r="AE55" s="7" t="b">
        <f t="shared" si="109"/>
        <v>0</v>
      </c>
      <c r="AF55" s="439">
        <f t="shared" si="95"/>
        <v>0</v>
      </c>
      <c r="AG55" s="1040">
        <f t="shared" si="110"/>
        <v>0</v>
      </c>
      <c r="AH55" s="439">
        <f>IF(SUM(H51:H60)&gt;0,20-AH50/SUM(H51:H60)*SUM(H55:H60),20)</f>
        <v>20</v>
      </c>
      <c r="AJ55" s="1039">
        <f t="shared" si="111"/>
        <v>0</v>
      </c>
      <c r="AK55" s="989">
        <f>IF(SUM(P51:P60)&gt;0,20-AK50/SUM(P51:P60)*SUM(P51:P55),20)</f>
        <v>20</v>
      </c>
      <c r="AL55" s="1033">
        <f>INDEX(Bauteile!$I$57:$I$1159,BB55)</f>
        <v>0</v>
      </c>
      <c r="AM55" s="997">
        <f t="shared" si="112"/>
        <v>0</v>
      </c>
      <c r="AN55" s="1006">
        <f t="shared" si="113"/>
        <v>0</v>
      </c>
      <c r="AO55" s="563">
        <f t="shared" si="96"/>
        <v>0</v>
      </c>
      <c r="AP55" s="931">
        <f t="shared" si="114"/>
        <v>0</v>
      </c>
      <c r="AQ55" s="7" t="b">
        <f t="shared" si="115"/>
        <v>0</v>
      </c>
      <c r="AR55" s="439">
        <f t="shared" si="97"/>
        <v>0</v>
      </c>
      <c r="AS55" s="5">
        <f t="shared" si="116"/>
        <v>0</v>
      </c>
      <c r="AT55" s="1010">
        <f t="shared" si="98"/>
        <v>0</v>
      </c>
      <c r="AU55" s="931">
        <f t="shared" si="99"/>
        <v>0</v>
      </c>
      <c r="AV55" s="7" t="b">
        <f t="shared" si="117"/>
        <v>0</v>
      </c>
      <c r="AW55" s="439">
        <f t="shared" si="100"/>
        <v>0</v>
      </c>
      <c r="AX55" s="1040">
        <f t="shared" si="118"/>
        <v>0</v>
      </c>
      <c r="AY55" s="439">
        <f>IF(SUM(P51:P60)&gt;0,20-AY50/SUM(P51:P60)*SUM(P55:P60),20)</f>
        <v>20</v>
      </c>
      <c r="BA55" s="341">
        <f t="shared" si="119"/>
        <v>1</v>
      </c>
      <c r="BB55" s="1504">
        <f t="shared" si="120"/>
        <v>1</v>
      </c>
      <c r="BN55" s="7" t="str">
        <f>Tab!C110</f>
        <v>Aarau</v>
      </c>
      <c r="BO55" s="5">
        <v>2</v>
      </c>
      <c r="BP55" s="118"/>
      <c r="BQ55" s="2057"/>
      <c r="BU55" s="2098" t="str">
        <f>Bauteile!B104</f>
        <v>Briques de terre cuite, modulaires parpaing</v>
      </c>
      <c r="BV55" s="1872">
        <f>Bauteile!H104</f>
        <v>0.44</v>
      </c>
      <c r="BW55" s="2098" t="str">
        <f>Bauteile!B351</f>
        <v>DDP-X</v>
      </c>
      <c r="BX55" s="2056">
        <f>Bauteile!H351</f>
        <v>0.04</v>
      </c>
    </row>
    <row r="56" spans="2:76" ht="15.6" customHeight="1">
      <c r="B56" s="11">
        <v>6</v>
      </c>
      <c r="C56" s="2212"/>
      <c r="D56" s="2213"/>
      <c r="E56" s="2214"/>
      <c r="F56" s="26"/>
      <c r="G56" s="59">
        <f>INDEX(Bauteile!$H$57:$H$1159,BA56)</f>
        <v>0</v>
      </c>
      <c r="H56" s="312">
        <f t="shared" si="101"/>
        <v>0</v>
      </c>
      <c r="J56" s="11">
        <v>6</v>
      </c>
      <c r="K56" s="2212"/>
      <c r="L56" s="2213"/>
      <c r="M56" s="2214"/>
      <c r="N56" s="26"/>
      <c r="O56" s="59">
        <f>INDEX(Bauteile!$H$57:$H$1159,BB56)</f>
        <v>0</v>
      </c>
      <c r="P56" s="312">
        <f t="shared" si="102"/>
        <v>0</v>
      </c>
      <c r="S56" s="1039">
        <f t="shared" si="103"/>
        <v>0</v>
      </c>
      <c r="T56" s="989">
        <f>IF(SUM(H51:H60)&gt;0,20-T50/SUM(H51:H60)*SUM(H51:H56),20)</f>
        <v>20</v>
      </c>
      <c r="U56" s="1033">
        <f>INDEX(Bauteile!$I$57:$I$1159,BA56)</f>
        <v>0</v>
      </c>
      <c r="V56" s="997">
        <f t="shared" si="104"/>
        <v>0</v>
      </c>
      <c r="W56" s="1006">
        <f t="shared" si="105"/>
        <v>0</v>
      </c>
      <c r="X56" s="563">
        <f t="shared" si="91"/>
        <v>0</v>
      </c>
      <c r="Y56" s="931">
        <f t="shared" si="106"/>
        <v>0</v>
      </c>
      <c r="Z56" s="563" t="b">
        <f t="shared" si="107"/>
        <v>0</v>
      </c>
      <c r="AA56" s="439">
        <f t="shared" si="92"/>
        <v>0</v>
      </c>
      <c r="AB56" s="1009">
        <f t="shared" si="108"/>
        <v>0</v>
      </c>
      <c r="AC56" s="1010">
        <f t="shared" si="93"/>
        <v>0</v>
      </c>
      <c r="AD56" s="931">
        <f t="shared" si="94"/>
        <v>0</v>
      </c>
      <c r="AE56" s="7" t="b">
        <f t="shared" si="109"/>
        <v>0</v>
      </c>
      <c r="AF56" s="439">
        <f t="shared" si="95"/>
        <v>0</v>
      </c>
      <c r="AG56" s="1040">
        <f t="shared" si="110"/>
        <v>0</v>
      </c>
      <c r="AH56" s="439">
        <f>IF(SUM(H51:H60)&gt;0,20-AH50/SUM(H51:H60)*SUM(H56:H60),20)</f>
        <v>20</v>
      </c>
      <c r="AJ56" s="1039">
        <f t="shared" si="111"/>
        <v>0</v>
      </c>
      <c r="AK56" s="989">
        <f>IF(SUM(P51:P60)&gt;0,20-AK50/SUM(P51:P60)*SUM(P51:P56),20)</f>
        <v>20</v>
      </c>
      <c r="AL56" s="1033">
        <f>INDEX(Bauteile!$I$57:$I$1159,BB56)</f>
        <v>0</v>
      </c>
      <c r="AM56" s="997">
        <f t="shared" si="112"/>
        <v>0</v>
      </c>
      <c r="AN56" s="1006">
        <f t="shared" si="113"/>
        <v>0</v>
      </c>
      <c r="AO56" s="563">
        <f t="shared" si="96"/>
        <v>0</v>
      </c>
      <c r="AP56" s="931">
        <f t="shared" si="114"/>
        <v>0</v>
      </c>
      <c r="AQ56" s="7" t="b">
        <f t="shared" si="115"/>
        <v>0</v>
      </c>
      <c r="AR56" s="439">
        <f t="shared" si="97"/>
        <v>0</v>
      </c>
      <c r="AS56" s="5">
        <f t="shared" si="116"/>
        <v>0</v>
      </c>
      <c r="AT56" s="1010">
        <f t="shared" si="98"/>
        <v>0</v>
      </c>
      <c r="AU56" s="931">
        <f t="shared" si="99"/>
        <v>0</v>
      </c>
      <c r="AV56" s="7" t="b">
        <f t="shared" si="117"/>
        <v>0</v>
      </c>
      <c r="AW56" s="439">
        <f t="shared" si="100"/>
        <v>0</v>
      </c>
      <c r="AX56" s="1040">
        <f t="shared" si="118"/>
        <v>0</v>
      </c>
      <c r="AY56" s="439">
        <f>IF(SUM(P51:P60)&gt;0,20-AY50/SUM(P51:P60)*SUM(P56:P60),20)</f>
        <v>20</v>
      </c>
      <c r="BA56" s="341">
        <f t="shared" si="119"/>
        <v>1</v>
      </c>
      <c r="BB56" s="1504">
        <f t="shared" si="120"/>
        <v>1</v>
      </c>
      <c r="BN56" s="7" t="str">
        <f>Tab!C111</f>
        <v>Adelboden</v>
      </c>
      <c r="BO56" s="5">
        <v>3</v>
      </c>
      <c r="BP56" s="358" t="str">
        <f>Bauteile!B56</f>
        <v>Alphabetisch geordnet:</v>
      </c>
      <c r="BQ56" s="2057"/>
      <c r="BU56" s="2098" t="str">
        <f>Bauteile!B105</f>
        <v>Briques en béton cellulaire, lambda 0.16</v>
      </c>
      <c r="BV56" s="1872">
        <f>Bauteile!H105</f>
        <v>0.16</v>
      </c>
      <c r="BW56" s="2098" t="str">
        <f>Bauteile!B352</f>
        <v>PAROC FAS 2, FAS 2cc (LINIO 10, LINIO 10cc)</v>
      </c>
      <c r="BX56" s="2056">
        <f>Bauteile!H352</f>
        <v>3.5000000000000003E-2</v>
      </c>
    </row>
    <row r="57" spans="2:76" ht="15.6" customHeight="1">
      <c r="B57" s="11">
        <v>7</v>
      </c>
      <c r="C57" s="2212"/>
      <c r="D57" s="2213"/>
      <c r="E57" s="2214"/>
      <c r="F57" s="26"/>
      <c r="G57" s="59">
        <f>INDEX(Bauteile!$H$57:$H$1159,BA57)</f>
        <v>0</v>
      </c>
      <c r="H57" s="312">
        <f t="shared" si="101"/>
        <v>0</v>
      </c>
      <c r="J57" s="11">
        <v>7</v>
      </c>
      <c r="K57" s="2212"/>
      <c r="L57" s="2213"/>
      <c r="M57" s="2214"/>
      <c r="N57" s="26"/>
      <c r="O57" s="59">
        <f>INDEX(Bauteile!$H$57:$H$1159,BB57)</f>
        <v>0</v>
      </c>
      <c r="P57" s="312">
        <f t="shared" si="102"/>
        <v>0</v>
      </c>
      <c r="S57" s="1039">
        <f t="shared" si="103"/>
        <v>0</v>
      </c>
      <c r="T57" s="989">
        <f>IF(SUM(H51:H60)&gt;0,20-T50/SUM(H51:H60)*SUM(H51:H57),20)</f>
        <v>20</v>
      </c>
      <c r="U57" s="1033">
        <f>INDEX(Bauteile!$I$57:$I$1159,BA57)</f>
        <v>0</v>
      </c>
      <c r="V57" s="997">
        <f t="shared" si="104"/>
        <v>0</v>
      </c>
      <c r="W57" s="1006">
        <f t="shared" si="105"/>
        <v>0</v>
      </c>
      <c r="X57" s="563">
        <f t="shared" si="91"/>
        <v>0</v>
      </c>
      <c r="Y57" s="931">
        <f t="shared" si="106"/>
        <v>0</v>
      </c>
      <c r="Z57" s="563" t="b">
        <f t="shared" si="107"/>
        <v>0</v>
      </c>
      <c r="AA57" s="439">
        <f t="shared" si="92"/>
        <v>0</v>
      </c>
      <c r="AB57" s="1009">
        <f t="shared" si="108"/>
        <v>0</v>
      </c>
      <c r="AC57" s="1010">
        <f t="shared" si="93"/>
        <v>0</v>
      </c>
      <c r="AD57" s="931">
        <f t="shared" si="94"/>
        <v>0</v>
      </c>
      <c r="AE57" s="7" t="b">
        <f t="shared" si="109"/>
        <v>0</v>
      </c>
      <c r="AF57" s="439">
        <f t="shared" si="95"/>
        <v>0</v>
      </c>
      <c r="AG57" s="1040">
        <f t="shared" si="110"/>
        <v>0</v>
      </c>
      <c r="AH57" s="439">
        <f>IF(SUM(H51:H60)&gt;0,20-AH50/SUM(H51:H60)*SUM(H57:H60),20)</f>
        <v>20</v>
      </c>
      <c r="AJ57" s="1039">
        <f t="shared" si="111"/>
        <v>0</v>
      </c>
      <c r="AK57" s="989">
        <f>IF(SUM(P51:P60)&gt;0,20-AK50/SUM(P51:P60)*SUM(P51:P57),20)</f>
        <v>20</v>
      </c>
      <c r="AL57" s="1033">
        <f>INDEX(Bauteile!$I$57:$I$1159,BB57)</f>
        <v>0</v>
      </c>
      <c r="AM57" s="997">
        <f t="shared" si="112"/>
        <v>0</v>
      </c>
      <c r="AN57" s="1006">
        <f t="shared" si="113"/>
        <v>0</v>
      </c>
      <c r="AO57" s="563">
        <f t="shared" si="96"/>
        <v>0</v>
      </c>
      <c r="AP57" s="931">
        <f t="shared" si="114"/>
        <v>0</v>
      </c>
      <c r="AQ57" s="7" t="b">
        <f t="shared" si="115"/>
        <v>0</v>
      </c>
      <c r="AR57" s="439">
        <f t="shared" si="97"/>
        <v>0</v>
      </c>
      <c r="AS57" s="5">
        <f t="shared" si="116"/>
        <v>0</v>
      </c>
      <c r="AT57" s="1010">
        <f t="shared" si="98"/>
        <v>0</v>
      </c>
      <c r="AU57" s="931">
        <f t="shared" si="99"/>
        <v>0</v>
      </c>
      <c r="AV57" s="7" t="b">
        <f t="shared" si="117"/>
        <v>0</v>
      </c>
      <c r="AW57" s="439">
        <f t="shared" si="100"/>
        <v>0</v>
      </c>
      <c r="AX57" s="1040">
        <f t="shared" si="118"/>
        <v>0</v>
      </c>
      <c r="AY57" s="439">
        <f>IF(SUM(P51:P60)&gt;0,20-AY50/SUM(P51:P60)*SUM(P57:P60),20)</f>
        <v>20</v>
      </c>
      <c r="BA57" s="341">
        <f t="shared" si="119"/>
        <v>1</v>
      </c>
      <c r="BB57" s="1504">
        <f t="shared" si="120"/>
        <v>1</v>
      </c>
      <c r="BN57" s="7" t="str">
        <f>Tab!C112</f>
        <v>Airolo</v>
      </c>
      <c r="BO57" s="5">
        <v>4</v>
      </c>
      <c r="BP57" s="118"/>
      <c r="BQ57" s="2057">
        <v>1</v>
      </c>
      <c r="BU57" s="2098" t="str">
        <f>Bauteile!B106</f>
        <v>Briques en béton cellulaire, lambda 0.18</v>
      </c>
      <c r="BV57" s="1872">
        <f>Bauteile!H106</f>
        <v>0.18</v>
      </c>
      <c r="BW57" s="2098" t="str">
        <f>Bauteile!B353</f>
        <v>Sillatherm WVP 1-035</v>
      </c>
      <c r="BX57" s="2056">
        <f>Bauteile!H353</f>
        <v>3.4000000000000002E-2</v>
      </c>
    </row>
    <row r="58" spans="2:76" ht="15.6" customHeight="1" thickBot="1">
      <c r="B58" s="11">
        <v>8</v>
      </c>
      <c r="C58" s="2212"/>
      <c r="D58" s="2213"/>
      <c r="E58" s="2214"/>
      <c r="F58" s="26"/>
      <c r="G58" s="59">
        <f>INDEX(Bauteile!$H$57:$H$1159,BA58)</f>
        <v>0</v>
      </c>
      <c r="H58" s="312">
        <f t="shared" si="101"/>
        <v>0</v>
      </c>
      <c r="J58" s="11">
        <v>8</v>
      </c>
      <c r="K58" s="2212"/>
      <c r="L58" s="2213"/>
      <c r="M58" s="2214"/>
      <c r="N58" s="26"/>
      <c r="O58" s="59">
        <f>INDEX(Bauteile!$H$57:$H$1159,BB58)</f>
        <v>0</v>
      </c>
      <c r="P58" s="312">
        <f t="shared" si="102"/>
        <v>0</v>
      </c>
      <c r="S58" s="1041">
        <f t="shared" si="103"/>
        <v>0</v>
      </c>
      <c r="T58" s="1014">
        <f>IF(SUM(H51:H60)&gt;0,20-T50/SUM(H51:H60)*SUM(H51:H58),20)</f>
        <v>20</v>
      </c>
      <c r="U58" s="1033">
        <f>INDEX(Bauteile!$I$57:$I$1159,BA58)</f>
        <v>0</v>
      </c>
      <c r="V58" s="997">
        <f t="shared" si="104"/>
        <v>0</v>
      </c>
      <c r="W58" s="1004">
        <f t="shared" si="105"/>
        <v>0</v>
      </c>
      <c r="X58" s="11"/>
      <c r="Y58" s="1042">
        <f t="shared" si="106"/>
        <v>0</v>
      </c>
      <c r="Z58" s="11" t="b">
        <f t="shared" si="107"/>
        <v>0</v>
      </c>
      <c r="AA58" s="1043"/>
      <c r="AB58" s="1011">
        <f t="shared" si="108"/>
        <v>0</v>
      </c>
      <c r="AC58" s="1012">
        <f>V58*U58</f>
        <v>0</v>
      </c>
      <c r="AD58" s="1042">
        <f>IF(AND(AB58&gt;0,AC58&gt;0),Ak/AC58-Bk/AB58,)</f>
        <v>0</v>
      </c>
      <c r="AE58" s="9" t="b">
        <f t="shared" si="109"/>
        <v>0</v>
      </c>
      <c r="AF58" s="1043"/>
      <c r="AG58" s="1044">
        <f t="shared" si="110"/>
        <v>0</v>
      </c>
      <c r="AH58" s="1043">
        <f>IF(SUM(H51:H60)&gt;0,20-AH50/SUM(H51:H60)*SUM(H58:H60),20)</f>
        <v>20</v>
      </c>
      <c r="AJ58" s="1041">
        <f t="shared" si="111"/>
        <v>0</v>
      </c>
      <c r="AK58" s="1014">
        <f>IF(SUM(P51:P60)&gt;0,20-AK50/SUM(P51:P60)*SUM(P51:P58),20)</f>
        <v>20</v>
      </c>
      <c r="AL58" s="1033">
        <f>INDEX(Bauteile!$I$57:$I$1159,BB58)</f>
        <v>0</v>
      </c>
      <c r="AM58" s="997">
        <f t="shared" si="112"/>
        <v>0</v>
      </c>
      <c r="AN58" s="1004">
        <f t="shared" si="113"/>
        <v>0</v>
      </c>
      <c r="AO58" s="11"/>
      <c r="AP58" s="1042">
        <f t="shared" si="114"/>
        <v>0</v>
      </c>
      <c r="AQ58" s="9" t="b">
        <f t="shared" si="115"/>
        <v>0</v>
      </c>
      <c r="AR58" s="1043"/>
      <c r="AS58" s="10">
        <f t="shared" si="116"/>
        <v>0</v>
      </c>
      <c r="AT58" s="1012">
        <f>AM58*AL58</f>
        <v>0</v>
      </c>
      <c r="AU58" s="1042">
        <f>IF(AND(AS58&gt;0,AT58&gt;0),Ak/AT58-Bk/AS58,)</f>
        <v>0</v>
      </c>
      <c r="AV58" s="9" t="b">
        <f t="shared" si="117"/>
        <v>0</v>
      </c>
      <c r="AW58" s="1043"/>
      <c r="AX58" s="1044">
        <f t="shared" si="118"/>
        <v>0</v>
      </c>
      <c r="AY58" s="1043">
        <f>IF(SUM(P51:P60)&gt;0,20-AY50/SUM(P51:P60)*SUM(P58:P60),20)</f>
        <v>20</v>
      </c>
      <c r="BA58" s="341">
        <f t="shared" si="119"/>
        <v>1</v>
      </c>
      <c r="BB58" s="1504">
        <f t="shared" si="120"/>
        <v>1</v>
      </c>
      <c r="BN58" s="7" t="str">
        <f>Tab!C113</f>
        <v>Altdorf</v>
      </c>
      <c r="BO58" s="5">
        <v>5</v>
      </c>
      <c r="BP58" s="118">
        <f>Bauteile!B58</f>
        <v>0</v>
      </c>
      <c r="BQ58" s="2057">
        <v>2</v>
      </c>
      <c r="BU58" s="2098" t="str">
        <f>Bauteile!B107</f>
        <v>Briques en béton cellulaire, lambda 0.21</v>
      </c>
      <c r="BV58" s="1872">
        <f>Bauteile!H107</f>
        <v>0.21</v>
      </c>
      <c r="BW58" s="2098" t="str">
        <f>Bauteile!B354</f>
        <v>swissporROC Type 1</v>
      </c>
      <c r="BX58" s="2056">
        <f>Bauteile!H354</f>
        <v>3.5999999999999997E-2</v>
      </c>
    </row>
    <row r="59" spans="2:76" ht="15.6" customHeight="1" thickBot="1">
      <c r="B59" s="11">
        <v>9</v>
      </c>
      <c r="C59" s="2212"/>
      <c r="D59" s="2213"/>
      <c r="E59" s="2214"/>
      <c r="F59" s="10"/>
      <c r="G59" s="59">
        <f>INDEX(Bauteile!$P$284:$P$296,BA59,1)</f>
        <v>0</v>
      </c>
      <c r="H59" s="312">
        <f>IF(G59=0,0,1/G59)</f>
        <v>0</v>
      </c>
      <c r="J59" s="11">
        <v>9</v>
      </c>
      <c r="K59" s="2212"/>
      <c r="L59" s="2213"/>
      <c r="M59" s="2214"/>
      <c r="N59" s="10"/>
      <c r="O59" s="59">
        <f>INDEX(Bauteile!$P$284:$P$296,BB59,1)</f>
        <v>0</v>
      </c>
      <c r="P59" s="312">
        <f>IF(O59=0,0,1/O59)</f>
        <v>0</v>
      </c>
      <c r="S59" s="1045"/>
      <c r="T59" s="1046"/>
      <c r="U59" s="1047" t="b">
        <f>IF(AND(V49,V50&lt;&gt;TRUE),Z59,IF(AND(V50,V49&lt;&gt;TRUE),AE59,FALSE))</f>
        <v>0</v>
      </c>
      <c r="V59" s="1015" t="str">
        <f>IF(AND(V49,V50&lt;&gt;TRUE),AA59,IF(AND(V50,V49&lt;&gt;TRUE),AF59,""))</f>
        <v/>
      </c>
      <c r="W59" s="990"/>
      <c r="X59" s="991"/>
      <c r="Y59" s="991"/>
      <c r="Z59" s="1048" t="b">
        <f>IF(OR(Z52,Z53,Z54,Z55,Z56,Z57,Z58),TRUE,FALSE)</f>
        <v>0</v>
      </c>
      <c r="AA59" s="993">
        <f>MAX(AA52:AA58)</f>
        <v>0</v>
      </c>
      <c r="AB59" s="990"/>
      <c r="AC59" s="991"/>
      <c r="AD59" s="991"/>
      <c r="AE59" s="1048" t="b">
        <f>IF(OR(AE52,AE53,AE54,AE55,AE56,AE57,AE58),TRUE,FALSE)</f>
        <v>0</v>
      </c>
      <c r="AF59" s="1049">
        <f>MAX(AF52:AF58)</f>
        <v>0</v>
      </c>
      <c r="AG59" s="1045"/>
      <c r="AH59" s="1046"/>
      <c r="AJ59" s="1045"/>
      <c r="AK59" s="1046"/>
      <c r="AL59" s="1047" t="b">
        <f>IF(AND(AM49,AM50&lt;&gt;TRUE),AQ59,IF(AND(AM50,AM49&lt;&gt;TRUE),AV59,FALSE))</f>
        <v>0</v>
      </c>
      <c r="AM59" s="1015" t="str">
        <f>IF(AND(AM49,AM50&lt;&gt;TRUE),AR59,IF(AND(AM50,AM49&lt;&gt;TRUE),AW59,""))</f>
        <v/>
      </c>
      <c r="AN59" s="990"/>
      <c r="AO59" s="991"/>
      <c r="AP59" s="991"/>
      <c r="AQ59" s="1048" t="b">
        <f>IF(OR(AQ52,AQ53,AQ54,AQ55,AQ56,AQ57,AQ58),TRUE,FALSE)</f>
        <v>0</v>
      </c>
      <c r="AR59" s="1049">
        <f>MAX(AR52:AR58)</f>
        <v>0</v>
      </c>
      <c r="AS59" s="990"/>
      <c r="AT59" s="991"/>
      <c r="AU59" s="991"/>
      <c r="AV59" s="1048" t="b">
        <f>IF(OR(AV52,AV53,AV54,AV55,AV56,AV57,AV58),TRUE,FALSE)</f>
        <v>0</v>
      </c>
      <c r="AW59" s="1049">
        <f>MAX(AW52:AW58)</f>
        <v>0</v>
      </c>
      <c r="AX59" s="1045"/>
      <c r="AY59" s="1046"/>
      <c r="BA59" s="341">
        <f>IF($C59="",1,VLOOKUP($C59,$BR$40:$BS$52,2,FALSE))</f>
        <v>1</v>
      </c>
      <c r="BB59" s="1504">
        <f>IF($K59="",1,VLOOKUP($K59,$BR$40:$BS$52,2,FALSE))</f>
        <v>1</v>
      </c>
      <c r="BN59" s="7" t="str">
        <f>Tab!C114</f>
        <v>Altstätten SG</v>
      </c>
      <c r="BO59" s="5">
        <v>6</v>
      </c>
      <c r="BP59" s="118">
        <f>Bauteile!B59</f>
        <v>0</v>
      </c>
      <c r="BQ59" s="2057">
        <v>3</v>
      </c>
      <c r="BU59" s="2098" t="str">
        <f>Bauteile!B108</f>
        <v>Bronze</v>
      </c>
      <c r="BV59" s="1872">
        <f>Bauteile!H108</f>
        <v>65</v>
      </c>
      <c r="BW59" s="2098" t="str">
        <f>Bauteile!B355</f>
        <v>swissporROC Type 3</v>
      </c>
      <c r="BX59" s="2056">
        <f>Bauteile!H355</f>
        <v>3.4000000000000002E-2</v>
      </c>
    </row>
    <row r="60" spans="2:76" ht="15.6" customHeight="1">
      <c r="B60" s="11">
        <v>10</v>
      </c>
      <c r="C60" s="2212"/>
      <c r="D60" s="2213"/>
      <c r="E60" s="2214"/>
      <c r="F60" s="10"/>
      <c r="G60" s="59">
        <f>INDEX(Bauteile!$O$280:$O$282,BA60)</f>
        <v>0</v>
      </c>
      <c r="H60" s="312">
        <f>IF(G60=0,0,1/G60)</f>
        <v>0</v>
      </c>
      <c r="J60" s="11">
        <v>10</v>
      </c>
      <c r="K60" s="2212"/>
      <c r="L60" s="2213"/>
      <c r="M60" s="2214"/>
      <c r="N60" s="10"/>
      <c r="O60" s="59">
        <f>INDEX(Bauteile!$O$280:$O$282,BB60)</f>
        <v>0</v>
      </c>
      <c r="P60" s="312">
        <f>IF(O60=0,0,1/O60)</f>
        <v>0</v>
      </c>
      <c r="BA60" s="340">
        <f>IF($C60="",3,VLOOKUP($C60,$BR$36:$BS$38,2,FALSE))</f>
        <v>3</v>
      </c>
      <c r="BB60" s="1505">
        <f>IF($K60="",3,VLOOKUP($K60,$BR$36:$BS$38,2,FALSE))</f>
        <v>3</v>
      </c>
      <c r="BN60" s="7" t="str">
        <f>Tab!C115</f>
        <v>Andermatt</v>
      </c>
      <c r="BO60" s="5">
        <v>7</v>
      </c>
      <c r="BP60" s="118">
        <f>Bauteile!B60</f>
        <v>0</v>
      </c>
      <c r="BQ60" s="2057">
        <v>4</v>
      </c>
      <c r="BU60" s="2098" t="str">
        <f>Bauteile!B109</f>
        <v>Bruchstein-Mauerwerk</v>
      </c>
      <c r="BV60" s="1872">
        <f>Bauteile!H109</f>
        <v>2</v>
      </c>
      <c r="BW60" s="2098" t="str">
        <f>Bauteile!B356</f>
        <v>swissporROC Type 150</v>
      </c>
      <c r="BX60" s="2056">
        <f>Bauteile!H356</f>
        <v>0.04</v>
      </c>
    </row>
    <row r="61" spans="2:76" ht="5.45" customHeight="1">
      <c r="B61" s="4"/>
      <c r="C61" s="8"/>
      <c r="D61" s="8"/>
      <c r="E61" s="8"/>
      <c r="F61" s="4"/>
      <c r="G61" s="63"/>
      <c r="H61" s="291"/>
      <c r="J61" s="4"/>
      <c r="K61" s="8"/>
      <c r="L61" s="8"/>
      <c r="M61" s="8"/>
      <c r="N61" s="4"/>
      <c r="O61" s="63"/>
      <c r="P61" s="291"/>
      <c r="BA61" s="335"/>
      <c r="BB61" s="335"/>
      <c r="BN61" s="7" t="str">
        <f>Tab!C116</f>
        <v>Arosa</v>
      </c>
      <c r="BO61" s="5">
        <v>8</v>
      </c>
      <c r="BP61" s="118">
        <f>Bauteile!B61</f>
        <v>0</v>
      </c>
      <c r="BQ61" s="2057">
        <v>5</v>
      </c>
      <c r="BU61" s="2098"/>
      <c r="BV61" s="2051"/>
      <c r="BW61" s="2098" t="str">
        <f>Bauteile!B357</f>
        <v>swissporROC Panneau à crépir</v>
      </c>
      <c r="BX61" s="2056">
        <f>Bauteile!H357</f>
        <v>3.5000000000000003E-2</v>
      </c>
    </row>
    <row r="62" spans="2:76" ht="15.6" customHeight="1" thickBot="1">
      <c r="B62" s="110" t="s">
        <v>1198</v>
      </c>
      <c r="C62" s="111" t="str">
        <f>C48</f>
        <v>Désignation:</v>
      </c>
      <c r="D62" s="938"/>
      <c r="E62" s="925" t="s">
        <v>438</v>
      </c>
      <c r="F62" s="111" t="str">
        <f>F48</f>
        <v>Valeur U total:</v>
      </c>
      <c r="G62" s="213"/>
      <c r="H62" s="307" t="s">
        <v>1759</v>
      </c>
      <c r="J62" s="110" t="s">
        <v>1198</v>
      </c>
      <c r="K62" s="111" t="str">
        <f>K48</f>
        <v>Désignation:</v>
      </c>
      <c r="L62" s="938"/>
      <c r="M62" s="925" t="s">
        <v>438</v>
      </c>
      <c r="N62" s="111" t="str">
        <f>N48</f>
        <v>Valeur U total:</v>
      </c>
      <c r="O62" s="213"/>
      <c r="P62" s="307" t="s">
        <v>1759</v>
      </c>
      <c r="BA62" s="335"/>
      <c r="BB62" s="335"/>
      <c r="BN62" s="7" t="str">
        <f>Tab!C117</f>
        <v>Bad Ragaz</v>
      </c>
      <c r="BO62" s="5">
        <v>9</v>
      </c>
      <c r="BP62" s="118">
        <f>Bauteile!B62</f>
        <v>0</v>
      </c>
      <c r="BQ62" s="2057">
        <v>6</v>
      </c>
      <c r="BU62" s="2098" t="str">
        <f>Bauteile!B110</f>
        <v>BTC de parement</v>
      </c>
      <c r="BV62" s="1872">
        <f>Bauteile!H110</f>
        <v>0.52</v>
      </c>
      <c r="BW62" s="2098" t="str">
        <f>Bauteile!B358</f>
        <v>swissporROC Panneau de sol TS</v>
      </c>
      <c r="BX62" s="2056">
        <f>Bauteile!H358</f>
        <v>3.6999999999999998E-2</v>
      </c>
    </row>
    <row r="63" spans="2:76" ht="15.6" customHeight="1" thickBot="1">
      <c r="B63" s="19">
        <v>9</v>
      </c>
      <c r="C63" s="2219"/>
      <c r="D63" s="2220"/>
      <c r="E63" s="2221"/>
      <c r="F63" s="313" t="str">
        <f>IF(SUM(H65:H74)&lt;&gt;0,1/SUM(H65:H74),"")</f>
        <v/>
      </c>
      <c r="G63" s="308" t="s">
        <v>245</v>
      </c>
      <c r="H63" s="309" t="str">
        <f>IF(OR(G65=8,G74=8),ROUND(Thetai-(Thetai-Thetamin)*(1/(1/F63)-(1/8)+(1/6))*(1/6),1)&amp;" °C","")</f>
        <v/>
      </c>
      <c r="J63" s="19">
        <v>10</v>
      </c>
      <c r="K63" s="2219"/>
      <c r="L63" s="2220"/>
      <c r="M63" s="2221"/>
      <c r="N63" s="313" t="str">
        <f>IF(SUM(P65:P74)&lt;&gt;0,1/SUM(P65:P74),"")</f>
        <v/>
      </c>
      <c r="O63" s="308" t="s">
        <v>245</v>
      </c>
      <c r="P63" s="309" t="str">
        <f>IF(OR(O65=8,O74=8),ROUND(Thetai-(Thetai-Thetamin)*(1/(1/N63)-(1/8)+(1/6))*(1/6),1)&amp;" °C","")</f>
        <v/>
      </c>
      <c r="S63" s="1018"/>
      <c r="T63" s="987"/>
      <c r="U63" s="1019" t="s">
        <v>451</v>
      </c>
      <c r="V63" s="998" t="b">
        <f>IF(BA65=1,TRUE,FALSE)</f>
        <v>0</v>
      </c>
      <c r="W63" s="1016" t="s">
        <v>456</v>
      </c>
      <c r="X63" s="1000"/>
      <c r="Y63" s="1000"/>
      <c r="Z63" s="1000"/>
      <c r="AA63" s="1000"/>
      <c r="AB63" s="1000"/>
      <c r="AC63" s="1001"/>
      <c r="AD63" s="1001"/>
      <c r="AE63" s="1001"/>
      <c r="AF63" s="1002"/>
      <c r="AG63" s="1020"/>
      <c r="AH63" s="1021"/>
      <c r="AJ63" s="1018"/>
      <c r="AK63" s="987"/>
      <c r="AL63" s="1019" t="s">
        <v>451</v>
      </c>
      <c r="AM63" s="998" t="b">
        <f>IF(BB65=1,TRUE,FALSE)</f>
        <v>0</v>
      </c>
      <c r="AN63" s="1016" t="s">
        <v>462</v>
      </c>
      <c r="AO63" s="1000"/>
      <c r="AP63" s="1000"/>
      <c r="AQ63" s="1000"/>
      <c r="AR63" s="1000"/>
      <c r="AS63" s="1000"/>
      <c r="AT63" s="1001"/>
      <c r="AU63" s="1001"/>
      <c r="AV63" s="1001"/>
      <c r="AW63" s="1002"/>
      <c r="AX63" s="1020"/>
      <c r="AY63" s="1021"/>
      <c r="BA63" s="335"/>
      <c r="BB63" s="335"/>
      <c r="BN63" s="7" t="str">
        <f>Tab!C118</f>
        <v>Basel</v>
      </c>
      <c r="BO63" s="5">
        <v>10</v>
      </c>
      <c r="BP63" s="118" t="str">
        <f>Bauteile!B63</f>
        <v>Acier</v>
      </c>
      <c r="BQ63" s="2057">
        <v>7</v>
      </c>
      <c r="BU63" s="2099" t="str">
        <f>Bauteile!B111</f>
        <v>BTC isolante</v>
      </c>
      <c r="BV63" s="1872">
        <f>Bauteile!H111</f>
        <v>0.47</v>
      </c>
      <c r="BW63" s="2098" t="str">
        <f>Bauteile!B359</f>
        <v>swissporROC Élément coupe-feu</v>
      </c>
      <c r="BX63" s="2056">
        <f>Bauteile!H359</f>
        <v>3.5999999999999997E-2</v>
      </c>
    </row>
    <row r="64" spans="2:76" ht="15.6" customHeight="1" thickBot="1">
      <c r="B64" s="2234">
        <f>IF(GraueEnergie,Uebersetzung!D651,IF(AND(U73,V73&gt;0),Uebersetzung!D652&amp;ROUND(V73,0)&amp;" g/m2",))</f>
        <v>0</v>
      </c>
      <c r="C64" s="2235"/>
      <c r="D64" s="2217"/>
      <c r="E64" s="2218"/>
      <c r="F64" s="12" t="s">
        <v>1918</v>
      </c>
      <c r="G64" s="310" t="s">
        <v>1800</v>
      </c>
      <c r="H64" s="311" t="s">
        <v>1801</v>
      </c>
      <c r="I64" s="3"/>
      <c r="J64" s="2234">
        <f>IF(GraueEnergie,Uebersetzung!D651,IF(AND(AL73,AM73&gt;0),Uebersetzung!D652&amp;ROUND(AM73,0)&amp;" g/m2",))</f>
        <v>0</v>
      </c>
      <c r="K64" s="2235"/>
      <c r="L64" s="2217"/>
      <c r="M64" s="2218"/>
      <c r="N64" s="12" t="s">
        <v>1918</v>
      </c>
      <c r="O64" s="310" t="s">
        <v>1800</v>
      </c>
      <c r="P64" s="311" t="s">
        <v>1801</v>
      </c>
      <c r="S64" s="1022" t="s">
        <v>795</v>
      </c>
      <c r="T64" s="1023">
        <f ca="1">20-TaMin-8</f>
        <v>20</v>
      </c>
      <c r="U64" s="1024" t="s">
        <v>452</v>
      </c>
      <c r="V64" s="999" t="b">
        <f>IF(BA74=1,TRUE,FALSE)</f>
        <v>0</v>
      </c>
      <c r="W64" s="992" t="s">
        <v>577</v>
      </c>
      <c r="X64" s="465"/>
      <c r="Y64" s="465"/>
      <c r="Z64" s="465"/>
      <c r="AA64" s="987"/>
      <c r="AB64" s="994" t="s">
        <v>450</v>
      </c>
      <c r="AC64" s="4"/>
      <c r="AD64" s="4"/>
      <c r="AE64" s="4"/>
      <c r="AF64" s="564"/>
      <c r="AG64" s="1022" t="s">
        <v>795</v>
      </c>
      <c r="AH64" s="1023">
        <f ca="1">20-TaMin-8</f>
        <v>20</v>
      </c>
      <c r="AJ64" s="1022" t="s">
        <v>795</v>
      </c>
      <c r="AK64" s="1023">
        <f ca="1">20-TaMin-8</f>
        <v>20</v>
      </c>
      <c r="AL64" s="1024" t="s">
        <v>452</v>
      </c>
      <c r="AM64" s="999" t="b">
        <f>IF(BB74=1,TRUE,FALSE)</f>
        <v>0</v>
      </c>
      <c r="AN64" s="992" t="s">
        <v>577</v>
      </c>
      <c r="AO64" s="465"/>
      <c r="AP64" s="465"/>
      <c r="AQ64" s="465"/>
      <c r="AR64" s="987"/>
      <c r="AS64" s="994" t="s">
        <v>450</v>
      </c>
      <c r="AT64" s="4"/>
      <c r="AU64" s="4"/>
      <c r="AV64" s="4"/>
      <c r="AW64" s="564"/>
      <c r="AX64" s="1022" t="s">
        <v>795</v>
      </c>
      <c r="AY64" s="1023">
        <f ca="1">20-TaMin-8</f>
        <v>20</v>
      </c>
      <c r="BA64" s="335" t="s">
        <v>2031</v>
      </c>
      <c r="BB64" s="335"/>
      <c r="BN64" s="7" t="str">
        <f>Tab!C119</f>
        <v>Beatenberg</v>
      </c>
      <c r="BO64" s="5">
        <v>11</v>
      </c>
      <c r="BP64" s="118" t="str">
        <f>Bauteile!B64</f>
        <v>Acier inoxydable</v>
      </c>
      <c r="BQ64" s="2057">
        <v>8</v>
      </c>
      <c r="BU64" s="2098" t="str">
        <f>Bauteile!B112</f>
        <v>BTC normale 25</v>
      </c>
      <c r="BV64" s="1872">
        <f>Bauteile!H112</f>
        <v>0.35</v>
      </c>
      <c r="BW64" s="2098" t="str">
        <f>Bauteile!B360</f>
        <v>swissporROC Lamellen WVL</v>
      </c>
      <c r="BX64" s="2056">
        <f>Bauteile!H360</f>
        <v>4.1000000000000002E-2</v>
      </c>
    </row>
    <row r="65" spans="2:76" ht="15.6" customHeight="1">
      <c r="B65" s="11">
        <v>1</v>
      </c>
      <c r="C65" s="2212"/>
      <c r="D65" s="2213"/>
      <c r="E65" s="2214"/>
      <c r="F65" s="10"/>
      <c r="G65" s="59">
        <f>INDEX(Bauteile!$O$280:$O$282,BA65)</f>
        <v>0</v>
      </c>
      <c r="H65" s="312">
        <f>IF(G65=0,0,1/G65)</f>
        <v>0</v>
      </c>
      <c r="J65" s="11">
        <v>1</v>
      </c>
      <c r="K65" s="2212"/>
      <c r="L65" s="2213"/>
      <c r="M65" s="2214"/>
      <c r="N65" s="10"/>
      <c r="O65" s="59">
        <f>INDEX(Bauteile!$O$280:$O$282,BB65)</f>
        <v>0</v>
      </c>
      <c r="P65" s="312">
        <f>IF(O65=0,0,1/O65)</f>
        <v>0</v>
      </c>
      <c r="S65" s="1025" t="s">
        <v>796</v>
      </c>
      <c r="T65" s="1026" t="s">
        <v>797</v>
      </c>
      <c r="U65" s="1027" t="s">
        <v>808</v>
      </c>
      <c r="V65" s="996" t="s">
        <v>571</v>
      </c>
      <c r="W65" s="988" t="s">
        <v>570</v>
      </c>
      <c r="X65" s="466" t="s">
        <v>569</v>
      </c>
      <c r="Y65" s="466" t="s">
        <v>103</v>
      </c>
      <c r="Z65" s="1028" t="s">
        <v>572</v>
      </c>
      <c r="AA65" s="1007" t="s">
        <v>572</v>
      </c>
      <c r="AB65" s="988" t="s">
        <v>569</v>
      </c>
      <c r="AC65" s="464" t="s">
        <v>570</v>
      </c>
      <c r="AD65" s="986" t="s">
        <v>103</v>
      </c>
      <c r="AE65" s="1029" t="s">
        <v>572</v>
      </c>
      <c r="AF65" s="1030" t="s">
        <v>572</v>
      </c>
      <c r="AG65" s="1025" t="s">
        <v>796</v>
      </c>
      <c r="AH65" s="1026" t="s">
        <v>797</v>
      </c>
      <c r="AJ65" s="1025" t="s">
        <v>796</v>
      </c>
      <c r="AK65" s="1026" t="s">
        <v>797</v>
      </c>
      <c r="AL65" s="1027" t="s">
        <v>808</v>
      </c>
      <c r="AM65" s="996" t="s">
        <v>571</v>
      </c>
      <c r="AN65" s="988" t="s">
        <v>570</v>
      </c>
      <c r="AO65" s="466" t="s">
        <v>569</v>
      </c>
      <c r="AP65" s="466" t="s">
        <v>103</v>
      </c>
      <c r="AQ65" s="1028" t="s">
        <v>572</v>
      </c>
      <c r="AR65" s="1031" t="s">
        <v>572</v>
      </c>
      <c r="AS65" s="988" t="s">
        <v>569</v>
      </c>
      <c r="AT65" s="464" t="s">
        <v>570</v>
      </c>
      <c r="AU65" s="986" t="s">
        <v>103</v>
      </c>
      <c r="AV65" s="1029" t="s">
        <v>572</v>
      </c>
      <c r="AW65" s="1030" t="s">
        <v>572</v>
      </c>
      <c r="AX65" s="1025" t="s">
        <v>796</v>
      </c>
      <c r="AY65" s="1026" t="s">
        <v>797</v>
      </c>
      <c r="BA65" s="339">
        <f>IF($C65="",3,VLOOKUP($C65,$BR$36:$BS$38,2,FALSE))</f>
        <v>3</v>
      </c>
      <c r="BB65" s="1502">
        <f>IF($K65="",3,VLOOKUP($K65,$BR$36:$BS$38,2,FALSE))</f>
        <v>3</v>
      </c>
      <c r="BN65" s="7" t="str">
        <f>Tab!C120</f>
        <v>Bellinzona</v>
      </c>
      <c r="BO65" s="5">
        <v>12</v>
      </c>
      <c r="BP65" s="118" t="str">
        <f>Bauteile!B65</f>
        <v>Agglomérés creux bois-ciment</v>
      </c>
      <c r="BQ65" s="2057">
        <v>9</v>
      </c>
      <c r="BU65" s="2098" t="str">
        <f>Bauteile!B113</f>
        <v>BTC pleine de cheminée</v>
      </c>
      <c r="BV65" s="1872">
        <f>Bauteile!H113</f>
        <v>0.8</v>
      </c>
      <c r="BW65" s="2098" t="str">
        <f>Bauteile!B361</f>
        <v>swissporROC Panneau de cloison</v>
      </c>
      <c r="BX65" s="2056">
        <f>Bauteile!H361</f>
        <v>3.9E-2</v>
      </c>
    </row>
    <row r="66" spans="2:76" ht="15.6" customHeight="1">
      <c r="B66" s="11">
        <v>2</v>
      </c>
      <c r="C66" s="2212"/>
      <c r="D66" s="2213"/>
      <c r="E66" s="2214"/>
      <c r="F66" s="26"/>
      <c r="G66" s="59">
        <f>INDEX(Bauteile!$H$57:$H$1159,BA66)</f>
        <v>0</v>
      </c>
      <c r="H66" s="312">
        <f>IF(G66&lt;&gt;0,F66/100/G66,0)</f>
        <v>0</v>
      </c>
      <c r="J66" s="11">
        <v>2</v>
      </c>
      <c r="K66" s="2212"/>
      <c r="L66" s="2213"/>
      <c r="M66" s="2214"/>
      <c r="N66" s="26"/>
      <c r="O66" s="59">
        <f>INDEX(Bauteile!$H$57:$H$1159,BB66)</f>
        <v>0</v>
      </c>
      <c r="P66" s="312">
        <f>IF(O66&lt;&gt;0,N66/100/O66,0)</f>
        <v>0</v>
      </c>
      <c r="S66" s="1032">
        <f>IF(AND(W66&gt;0,X66&gt;0),1/LN(1168*X66/(0.2*W66+X66)/14057400000)*(-3928.5)-231.667,)</f>
        <v>0</v>
      </c>
      <c r="T66" s="1013">
        <f>IF(SUM(H65:H74)&gt;0,20-T64/SUM(H65:H74)*SUM(H65:H66),20)</f>
        <v>20</v>
      </c>
      <c r="U66" s="1033">
        <f>INDEX(Bauteile!$I$57:$I$1159,BA66)</f>
        <v>0</v>
      </c>
      <c r="V66" s="997">
        <f>F66/100</f>
        <v>0</v>
      </c>
      <c r="W66" s="1006">
        <f>V66*U66</f>
        <v>0</v>
      </c>
      <c r="X66" s="563">
        <f t="shared" ref="X66:X71" si="121">U67*V67+X67</f>
        <v>0</v>
      </c>
      <c r="Y66" s="931">
        <f>IF(AND(W66&gt;0,X66&gt;0),Ak/W66-Bk/X66,)</f>
        <v>0</v>
      </c>
      <c r="Z66" s="1034" t="b">
        <f>IF(T66&lt;S66,IF(W66&gt;mj*X66,FALSE,TRUE),FALSE)</f>
        <v>0</v>
      </c>
      <c r="AA66" s="1036">
        <f t="shared" ref="AA66:AA71" si="122">IF(OR(Z67=FALSE,AND(Z66=TRUE,Z67=TRUE)),Y66,0)</f>
        <v>0</v>
      </c>
      <c r="AB66" s="1005"/>
      <c r="AC66" s="1008">
        <f t="shared" ref="AC66:AC71" si="123">V66*U66+AC67</f>
        <v>0</v>
      </c>
      <c r="AD66" s="1035">
        <f t="shared" ref="AD66:AD71" si="124">IF(AND(AB66&gt;0,AC66&gt;0),Ak/AC66-Bk/AB66,)</f>
        <v>0</v>
      </c>
      <c r="AE66" s="995" t="b">
        <f>IF(AH66&lt;AG66,IF(AC66&gt;mj*AB66,FALSE,TRUE),FALSE)</f>
        <v>0</v>
      </c>
      <c r="AF66" s="1036">
        <f t="shared" ref="AF66:AF71" si="125">IF(OR(AE67=FALSE,AND(AE66=TRUE,AE67=TRUE)),AD66,0)</f>
        <v>0</v>
      </c>
      <c r="AG66" s="1037">
        <f>IF(AND(AB66&gt;0,AC66&gt;0),1/LN(1168*AB66/(0.2*AC66+AB66)/14057400000)*(-3928.5)-231.667,)</f>
        <v>0</v>
      </c>
      <c r="AH66" s="1036">
        <f>IF(SUM(H65:H74)&gt;0,20-AH64/SUM(H65:H74)*SUM(H66:H74),20)</f>
        <v>20</v>
      </c>
      <c r="AJ66" s="1032">
        <f>IF(AND(AN66&gt;0,AO66&gt;0),1/LN(1168*AO66/(0.2*AN66+AO66)/14057400000)*(-3928.5)-231.667,)</f>
        <v>0</v>
      </c>
      <c r="AK66" s="1013">
        <f>IF(SUM(P65:P74)&gt;0,20-AK64/SUM(P65:P74)*SUM(P65:P66),20)</f>
        <v>20</v>
      </c>
      <c r="AL66" s="1033">
        <f>INDEX(Bauteile!$I$57:$I$1159,BB66)</f>
        <v>0</v>
      </c>
      <c r="AM66" s="997">
        <f>N66/100</f>
        <v>0</v>
      </c>
      <c r="AN66" s="1006">
        <f>AM66*AL66</f>
        <v>0</v>
      </c>
      <c r="AO66" s="563">
        <f t="shared" ref="AO66:AO71" si="126">AL67*AM67+AO67</f>
        <v>0</v>
      </c>
      <c r="AP66" s="931">
        <f>IF(AND(AN66&gt;0,AO66&gt;0),Ak/AN66-Bk/AO66,)</f>
        <v>0</v>
      </c>
      <c r="AQ66" s="995" t="b">
        <f>IF(AK66&lt;AJ66,IF(AN66&gt;mj*AO66,FALSE,TRUE),FALSE)</f>
        <v>0</v>
      </c>
      <c r="AR66" s="1036">
        <f t="shared" ref="AR66:AR71" si="127">IF(OR(AQ67=FALSE,AND(AQ66=TRUE,AQ67=TRUE)),AP66,0)</f>
        <v>0</v>
      </c>
      <c r="AS66" s="1038"/>
      <c r="AT66" s="1008">
        <f t="shared" ref="AT66:AT71" si="128">AM66*AL66+AT67</f>
        <v>0</v>
      </c>
      <c r="AU66" s="1035">
        <f t="shared" ref="AU66:AU71" si="129">IF(AND(AS66&gt;0,AT66&gt;0),Ak/AT66-Bk/AS66,)</f>
        <v>0</v>
      </c>
      <c r="AV66" s="995" t="b">
        <f>IF(AY66&lt;AX66,IF(AT66&gt;mj*AS66,FALSE,TRUE),FALSE)</f>
        <v>0</v>
      </c>
      <c r="AW66" s="1036">
        <f t="shared" ref="AW66:AW71" si="130">IF(OR(AV67=FALSE,AND(AV66=TRUE,AV67=TRUE)),AU66,0)</f>
        <v>0</v>
      </c>
      <c r="AX66" s="1037">
        <f>IF(AND(AS66&gt;0,AT66&gt;0),1/LN(1168*AS66/(0.2*AT66+AS66)/14057400000)*(-3928.5)-231.667,)</f>
        <v>0</v>
      </c>
      <c r="AY66" s="1036">
        <f>IF(SUM(P65:P74)&gt;0,20-AY64/SUM(P65:P74)*SUM(P66:P74),20)</f>
        <v>20</v>
      </c>
      <c r="BA66" s="341">
        <f>IF($C66="",1,VLOOKUP($C66,$BP$57:$BQ$1010,2,FALSE))</f>
        <v>1</v>
      </c>
      <c r="BB66" s="1504">
        <f>IF($K66="",1,VLOOKUP($K66,$BP$57:$BQ$1010,2,FALSE))</f>
        <v>1</v>
      </c>
      <c r="BN66" s="7" t="str">
        <f>Tab!C121</f>
        <v>Bern</v>
      </c>
      <c r="BO66" s="5">
        <v>13</v>
      </c>
      <c r="BP66" s="118" t="str">
        <f>Bauteile!B66</f>
        <v>Agglomérés creux en ciment</v>
      </c>
      <c r="BQ66" s="2057">
        <v>10</v>
      </c>
      <c r="BU66" s="2098" t="str">
        <f>Bauteile!B114</f>
        <v>BTC, mod. en boutisses et panneresses</v>
      </c>
      <c r="BV66" s="1872">
        <f>Bauteile!H114</f>
        <v>0.37</v>
      </c>
      <c r="BW66" s="2098" t="str">
        <f>Bauteile!B362</f>
        <v>swissporROC panneau à crépir 034</v>
      </c>
      <c r="BX66" s="2056">
        <f>Bauteile!H362</f>
        <v>3.4000000000000002E-2</v>
      </c>
    </row>
    <row r="67" spans="2:76" ht="15.6" customHeight="1">
      <c r="B67" s="11">
        <v>3</v>
      </c>
      <c r="C67" s="2212"/>
      <c r="D67" s="2213"/>
      <c r="E67" s="2214"/>
      <c r="F67" s="26"/>
      <c r="G67" s="59">
        <f>INDEX(Bauteile!$H$57:$H$1159,BA67)</f>
        <v>0</v>
      </c>
      <c r="H67" s="312">
        <f t="shared" ref="H67:H72" si="131">IF(G67&lt;&gt;0,F67/100/G67,0)</f>
        <v>0</v>
      </c>
      <c r="J67" s="11">
        <v>3</v>
      </c>
      <c r="K67" s="2212"/>
      <c r="L67" s="2213"/>
      <c r="M67" s="2214"/>
      <c r="N67" s="26"/>
      <c r="O67" s="59">
        <f>INDEX(Bauteile!$H$57:$H$1159,BB67)</f>
        <v>0</v>
      </c>
      <c r="P67" s="312">
        <f t="shared" ref="P67:P72" si="132">IF(O67&lt;&gt;0,N67/100/O67,0)</f>
        <v>0</v>
      </c>
      <c r="S67" s="1039">
        <f t="shared" ref="S67:S72" si="133">IF(AND(W67&gt;0,X67&gt;0),1/LN(1168*X67/(0.2*W67+X67)/14057400000)*(-3928.5)-231.667,)</f>
        <v>0</v>
      </c>
      <c r="T67" s="989">
        <f>IF(SUM(H65:H74)&gt;0,20-T64/SUM(H65:H74)*SUM(H65:H67),20)</f>
        <v>20</v>
      </c>
      <c r="U67" s="1033">
        <f>INDEX(Bauteile!$I$57:$I$1159,BA67)</f>
        <v>0</v>
      </c>
      <c r="V67" s="997">
        <f t="shared" ref="V67:V72" si="134">F67/100</f>
        <v>0</v>
      </c>
      <c r="W67" s="1006">
        <f t="shared" ref="W67:W72" si="135">V67*U67+W66</f>
        <v>0</v>
      </c>
      <c r="X67" s="563">
        <f t="shared" si="121"/>
        <v>0</v>
      </c>
      <c r="Y67" s="931">
        <f t="shared" ref="Y67:Y72" si="136">IF(AND(W67&gt;0,X67&gt;0),Ak/W67-Bk/X67,)</f>
        <v>0</v>
      </c>
      <c r="Z67" s="563" t="b">
        <f t="shared" ref="Z67:Z72" si="137">IF(T67&lt;S67,IF(W67&gt;mj*X67,FALSE,TRUE),FALSE)</f>
        <v>0</v>
      </c>
      <c r="AA67" s="439">
        <f t="shared" si="122"/>
        <v>0</v>
      </c>
      <c r="AB67" s="1009">
        <f t="shared" ref="AB67:AB72" si="138">U66*V66+AB66</f>
        <v>0</v>
      </c>
      <c r="AC67" s="1010">
        <f t="shared" si="123"/>
        <v>0</v>
      </c>
      <c r="AD67" s="931">
        <f t="shared" si="124"/>
        <v>0</v>
      </c>
      <c r="AE67" s="7" t="b">
        <f t="shared" ref="AE67:AE72" si="139">IF(AH67&lt;AG67,IF(AC67&gt;mj*AB67,FALSE,TRUE),FALSE)</f>
        <v>0</v>
      </c>
      <c r="AF67" s="439">
        <f t="shared" si="125"/>
        <v>0</v>
      </c>
      <c r="AG67" s="1040">
        <f t="shared" ref="AG67:AG72" si="140">IF(AND(AB67&gt;0,AC67&gt;0),1/LN(1168*AB67/(0.2*AC67+AB67)/14057400000)*(-3928.5)-231.667,)</f>
        <v>0</v>
      </c>
      <c r="AH67" s="439">
        <f>IF(SUM(H65:H74)&gt;0,20-AH64/SUM(H65:H74)*SUM(H67:H74),20)</f>
        <v>20</v>
      </c>
      <c r="AJ67" s="1039">
        <f t="shared" ref="AJ67:AJ72" si="141">IF(AND(AN67&gt;0,AO67&gt;0),1/LN(1168*AO67/(0.2*AN67+AO67)/14057400000)*(-3928.5)-231.667,)</f>
        <v>0</v>
      </c>
      <c r="AK67" s="989">
        <f>IF(SUM(P65:P74)&gt;0,20-AK64/SUM(P65:P74)*SUM(P65:P67),20)</f>
        <v>20</v>
      </c>
      <c r="AL67" s="1033">
        <f>INDEX(Bauteile!$I$57:$I$1159,BB67)</f>
        <v>0</v>
      </c>
      <c r="AM67" s="997">
        <f t="shared" ref="AM67:AM72" si="142">N67/100</f>
        <v>0</v>
      </c>
      <c r="AN67" s="1006">
        <f t="shared" ref="AN67:AN72" si="143">AM67*AL67+AN66</f>
        <v>0</v>
      </c>
      <c r="AO67" s="563">
        <f t="shared" si="126"/>
        <v>0</v>
      </c>
      <c r="AP67" s="931">
        <f t="shared" ref="AP67:AP72" si="144">IF(AND(AN67&gt;0,AO67&gt;0),Ak/AN67-Bk/AO67,)</f>
        <v>0</v>
      </c>
      <c r="AQ67" s="7" t="b">
        <f t="shared" ref="AQ67:AQ72" si="145">IF(AK67&lt;AJ67,IF(AN67&gt;mj*AO67,FALSE,TRUE),FALSE)</f>
        <v>0</v>
      </c>
      <c r="AR67" s="439">
        <f t="shared" si="127"/>
        <v>0</v>
      </c>
      <c r="AS67" s="5">
        <f t="shared" ref="AS67:AS72" si="146">AL66*AM66+AS66</f>
        <v>0</v>
      </c>
      <c r="AT67" s="1010">
        <f t="shared" si="128"/>
        <v>0</v>
      </c>
      <c r="AU67" s="931">
        <f t="shared" si="129"/>
        <v>0</v>
      </c>
      <c r="AV67" s="7" t="b">
        <f t="shared" ref="AV67:AV72" si="147">IF(AY67&lt;AX67,IF(AT67&gt;mj*AS67,FALSE,TRUE),FALSE)</f>
        <v>0</v>
      </c>
      <c r="AW67" s="439">
        <f t="shared" si="130"/>
        <v>0</v>
      </c>
      <c r="AX67" s="1040">
        <f t="shared" ref="AX67:AX72" si="148">IF(AND(AS67&gt;0,AT67&gt;0),1/LN(1168*AS67/(0.2*AT67+AS67)/14057400000)*(-3928.5)-231.667,)</f>
        <v>0</v>
      </c>
      <c r="AY67" s="439">
        <f>IF(SUM(P65:P74)&gt;0,20-AY64/SUM(P65:P74)*SUM(P67:P74),20)</f>
        <v>20</v>
      </c>
      <c r="BA67" s="341">
        <f t="shared" ref="BA67:BA72" si="149">IF($C67="",1,VLOOKUP($C67,$BP$57:$BQ$1010,2,FALSE))</f>
        <v>1</v>
      </c>
      <c r="BB67" s="1504">
        <f t="shared" ref="BB67:BB72" si="150">IF($K67="",1,VLOOKUP($K67,$BP$57:$BQ$1010,2,FALSE))</f>
        <v>1</v>
      </c>
      <c r="BN67" s="7" t="str">
        <f>Tab!C122</f>
        <v>Bernina-Hospiz</v>
      </c>
      <c r="BO67" s="5">
        <v>14</v>
      </c>
      <c r="BP67" s="118" t="str">
        <f>Bauteile!B67</f>
        <v>Agglomérés pleins en ciment</v>
      </c>
      <c r="BQ67" s="2057">
        <v>11</v>
      </c>
      <c r="BU67" s="2098">
        <f>Bauteile!B115</f>
        <v>0</v>
      </c>
      <c r="BV67" s="1872">
        <f>Bauteile!H115</f>
        <v>0</v>
      </c>
      <c r="BW67" s="2098" t="str">
        <f>Bauteile!B363</f>
        <v>swissporTETTO ROC</v>
      </c>
      <c r="BX67" s="2056">
        <f>Bauteile!H363</f>
        <v>3.4000000000000002E-2</v>
      </c>
    </row>
    <row r="68" spans="2:76" ht="15.6" customHeight="1">
      <c r="B68" s="11">
        <v>4</v>
      </c>
      <c r="C68" s="2212"/>
      <c r="D68" s="2213"/>
      <c r="E68" s="2214"/>
      <c r="F68" s="26"/>
      <c r="G68" s="59">
        <f>INDEX(Bauteile!$H$57:$H$1159,BA68)</f>
        <v>0</v>
      </c>
      <c r="H68" s="312">
        <f t="shared" si="131"/>
        <v>0</v>
      </c>
      <c r="J68" s="11">
        <v>4</v>
      </c>
      <c r="K68" s="2212"/>
      <c r="L68" s="2213"/>
      <c r="M68" s="2214"/>
      <c r="N68" s="26"/>
      <c r="O68" s="59">
        <f>INDEX(Bauteile!$H$57:$H$1159,BB68)</f>
        <v>0</v>
      </c>
      <c r="P68" s="312">
        <f t="shared" si="132"/>
        <v>0</v>
      </c>
      <c r="S68" s="1039">
        <f t="shared" si="133"/>
        <v>0</v>
      </c>
      <c r="T68" s="989">
        <f>IF(SUM(H65:H74)&gt;0,20-T64/SUM(H65:H74)*SUM(H65:H68),20)</f>
        <v>20</v>
      </c>
      <c r="U68" s="1033">
        <f>INDEX(Bauteile!$I$57:$I$1159,BA68)</f>
        <v>0</v>
      </c>
      <c r="V68" s="997">
        <f t="shared" si="134"/>
        <v>0</v>
      </c>
      <c r="W68" s="1006">
        <f t="shared" si="135"/>
        <v>0</v>
      </c>
      <c r="X68" s="563">
        <f t="shared" si="121"/>
        <v>0</v>
      </c>
      <c r="Y68" s="931">
        <f t="shared" si="136"/>
        <v>0</v>
      </c>
      <c r="Z68" s="563" t="b">
        <f t="shared" si="137"/>
        <v>0</v>
      </c>
      <c r="AA68" s="439">
        <f t="shared" si="122"/>
        <v>0</v>
      </c>
      <c r="AB68" s="1009">
        <f t="shared" si="138"/>
        <v>0</v>
      </c>
      <c r="AC68" s="1010">
        <f t="shared" si="123"/>
        <v>0</v>
      </c>
      <c r="AD68" s="931">
        <f t="shared" si="124"/>
        <v>0</v>
      </c>
      <c r="AE68" s="7" t="b">
        <f t="shared" si="139"/>
        <v>0</v>
      </c>
      <c r="AF68" s="439">
        <f t="shared" si="125"/>
        <v>0</v>
      </c>
      <c r="AG68" s="1040">
        <f t="shared" si="140"/>
        <v>0</v>
      </c>
      <c r="AH68" s="439">
        <f>IF(SUM(H65:H74)&gt;0,20-AH64/SUM(H65:H74)*SUM(H68:H74),20)</f>
        <v>20</v>
      </c>
      <c r="AJ68" s="1039">
        <f t="shared" si="141"/>
        <v>0</v>
      </c>
      <c r="AK68" s="989">
        <f>IF(SUM(P65:P74)&gt;0,20-AK64/SUM(P65:P74)*SUM(P65:P68),20)</f>
        <v>20</v>
      </c>
      <c r="AL68" s="1033">
        <f>INDEX(Bauteile!$I$57:$I$1159,BB68)</f>
        <v>0</v>
      </c>
      <c r="AM68" s="997">
        <f t="shared" si="142"/>
        <v>0</v>
      </c>
      <c r="AN68" s="1006">
        <f t="shared" si="143"/>
        <v>0</v>
      </c>
      <c r="AO68" s="563">
        <f t="shared" si="126"/>
        <v>0</v>
      </c>
      <c r="AP68" s="931">
        <f t="shared" si="144"/>
        <v>0</v>
      </c>
      <c r="AQ68" s="7" t="b">
        <f t="shared" si="145"/>
        <v>0</v>
      </c>
      <c r="AR68" s="439">
        <f t="shared" si="127"/>
        <v>0</v>
      </c>
      <c r="AS68" s="5">
        <f t="shared" si="146"/>
        <v>0</v>
      </c>
      <c r="AT68" s="1010">
        <f t="shared" si="128"/>
        <v>0</v>
      </c>
      <c r="AU68" s="931">
        <f t="shared" si="129"/>
        <v>0</v>
      </c>
      <c r="AV68" s="7" t="b">
        <f t="shared" si="147"/>
        <v>0</v>
      </c>
      <c r="AW68" s="439">
        <f t="shared" si="130"/>
        <v>0</v>
      </c>
      <c r="AX68" s="1040">
        <f t="shared" si="148"/>
        <v>0</v>
      </c>
      <c r="AY68" s="439">
        <f>IF(SUM(P65:P74)&gt;0,20-AY64/SUM(P65:P74)*SUM(P68:P74),20)</f>
        <v>20</v>
      </c>
      <c r="BA68" s="341">
        <f t="shared" si="149"/>
        <v>1</v>
      </c>
      <c r="BB68" s="1504">
        <f t="shared" si="150"/>
        <v>1</v>
      </c>
      <c r="BN68" s="7" t="str">
        <f>Tab!C123</f>
        <v>Bever</v>
      </c>
      <c r="BO68" s="5">
        <v>15</v>
      </c>
      <c r="BP68" s="118" t="str">
        <f>Bauteile!B68</f>
        <v>Aluminium</v>
      </c>
      <c r="BQ68" s="2057">
        <v>12</v>
      </c>
      <c r="BU68" s="2098" t="str">
        <f>Bauteile!B116</f>
        <v>Caoutchouc naturel</v>
      </c>
      <c r="BV68" s="1872">
        <f>Bauteile!H116</f>
        <v>0.13</v>
      </c>
      <c r="BW68" s="2098" t="str">
        <f>Bauteile!B364</f>
        <v>ISOLOOSE</v>
      </c>
      <c r="BX68" s="2056">
        <f>Bauteile!H364</f>
        <v>3.9E-2</v>
      </c>
    </row>
    <row r="69" spans="2:76" ht="15.6" customHeight="1">
      <c r="B69" s="11">
        <v>5</v>
      </c>
      <c r="C69" s="2212"/>
      <c r="D69" s="2213"/>
      <c r="E69" s="2214"/>
      <c r="F69" s="26"/>
      <c r="G69" s="59">
        <f>INDEX(Bauteile!$H$57:$H$1159,BA69)</f>
        <v>0</v>
      </c>
      <c r="H69" s="312">
        <f t="shared" si="131"/>
        <v>0</v>
      </c>
      <c r="J69" s="11">
        <v>5</v>
      </c>
      <c r="K69" s="2212"/>
      <c r="L69" s="2213"/>
      <c r="M69" s="2214"/>
      <c r="N69" s="26"/>
      <c r="O69" s="59">
        <f>INDEX(Bauteile!$H$57:$H$1159,BB69)</f>
        <v>0</v>
      </c>
      <c r="P69" s="312">
        <f t="shared" si="132"/>
        <v>0</v>
      </c>
      <c r="S69" s="1039">
        <f t="shared" si="133"/>
        <v>0</v>
      </c>
      <c r="T69" s="989">
        <f>IF(SUM(H65:H74)&gt;0,20-T64/SUM(H65:H74)*SUM(H65:H69),20)</f>
        <v>20</v>
      </c>
      <c r="U69" s="1033">
        <f>INDEX(Bauteile!$I$57:$I$1159,BA69)</f>
        <v>0</v>
      </c>
      <c r="V69" s="997">
        <f t="shared" si="134"/>
        <v>0</v>
      </c>
      <c r="W69" s="1006">
        <f t="shared" si="135"/>
        <v>0</v>
      </c>
      <c r="X69" s="563">
        <f t="shared" si="121"/>
        <v>0</v>
      </c>
      <c r="Y69" s="931">
        <f t="shared" si="136"/>
        <v>0</v>
      </c>
      <c r="Z69" s="563" t="b">
        <f t="shared" si="137"/>
        <v>0</v>
      </c>
      <c r="AA69" s="439">
        <f t="shared" si="122"/>
        <v>0</v>
      </c>
      <c r="AB69" s="1009">
        <f t="shared" si="138"/>
        <v>0</v>
      </c>
      <c r="AC69" s="1010">
        <f t="shared" si="123"/>
        <v>0</v>
      </c>
      <c r="AD69" s="931">
        <f t="shared" si="124"/>
        <v>0</v>
      </c>
      <c r="AE69" s="7" t="b">
        <f t="shared" si="139"/>
        <v>0</v>
      </c>
      <c r="AF69" s="439">
        <f t="shared" si="125"/>
        <v>0</v>
      </c>
      <c r="AG69" s="1040">
        <f t="shared" si="140"/>
        <v>0</v>
      </c>
      <c r="AH69" s="439">
        <f>IF(SUM(H65:H74)&gt;0,20-AH64/SUM(H65:H74)*SUM(H69:H74),20)</f>
        <v>20</v>
      </c>
      <c r="AJ69" s="1039">
        <f t="shared" si="141"/>
        <v>0</v>
      </c>
      <c r="AK69" s="989">
        <f>IF(SUM(P65:P74)&gt;0,20-AK64/SUM(P65:P74)*SUM(P65:P69),20)</f>
        <v>20</v>
      </c>
      <c r="AL69" s="1033">
        <f>INDEX(Bauteile!$I$57:$I$1159,BB69)</f>
        <v>0</v>
      </c>
      <c r="AM69" s="997">
        <f t="shared" si="142"/>
        <v>0</v>
      </c>
      <c r="AN69" s="1006">
        <f t="shared" si="143"/>
        <v>0</v>
      </c>
      <c r="AO69" s="563">
        <f t="shared" si="126"/>
        <v>0</v>
      </c>
      <c r="AP69" s="931">
        <f t="shared" si="144"/>
        <v>0</v>
      </c>
      <c r="AQ69" s="7" t="b">
        <f t="shared" si="145"/>
        <v>0</v>
      </c>
      <c r="AR69" s="439">
        <f t="shared" si="127"/>
        <v>0</v>
      </c>
      <c r="AS69" s="5">
        <f t="shared" si="146"/>
        <v>0</v>
      </c>
      <c r="AT69" s="1010">
        <f t="shared" si="128"/>
        <v>0</v>
      </c>
      <c r="AU69" s="931">
        <f t="shared" si="129"/>
        <v>0</v>
      </c>
      <c r="AV69" s="7" t="b">
        <f t="shared" si="147"/>
        <v>0</v>
      </c>
      <c r="AW69" s="439">
        <f t="shared" si="130"/>
        <v>0</v>
      </c>
      <c r="AX69" s="1040">
        <f t="shared" si="148"/>
        <v>0</v>
      </c>
      <c r="AY69" s="439">
        <f>IF(SUM(P65:P74)&gt;0,20-AY64/SUM(P65:P74)*SUM(P69:P74),20)</f>
        <v>20</v>
      </c>
      <c r="BA69" s="341">
        <f t="shared" si="149"/>
        <v>1</v>
      </c>
      <c r="BB69" s="1504">
        <f t="shared" si="150"/>
        <v>1</v>
      </c>
      <c r="BN69" s="7" t="str">
        <f>Tab!C124</f>
        <v>Biel</v>
      </c>
      <c r="BO69" s="5">
        <v>16</v>
      </c>
      <c r="BP69" s="118" t="str">
        <f>Bauteile!B69</f>
        <v>Alliages d'aluminium</v>
      </c>
      <c r="BQ69" s="2057">
        <v>13</v>
      </c>
      <c r="BU69" s="2098" t="str">
        <f>Bauteile!B117</f>
        <v>Cellulose, en vrac (N)</v>
      </c>
      <c r="BV69" s="1872">
        <f>Bauteile!H117</f>
        <v>0.06</v>
      </c>
      <c r="BW69" s="2098" t="str">
        <f>Bauteile!B365</f>
        <v>ProtectFill     Knauf Insulation GmbH</v>
      </c>
      <c r="BX69" s="2056">
        <f>Bauteile!H365</f>
        <v>3.7999999999999999E-2</v>
      </c>
    </row>
    <row r="70" spans="2:76" ht="15.6" customHeight="1">
      <c r="B70" s="11">
        <v>6</v>
      </c>
      <c r="C70" s="2212"/>
      <c r="D70" s="2213"/>
      <c r="E70" s="2214"/>
      <c r="F70" s="26"/>
      <c r="G70" s="59">
        <f>INDEX(Bauteile!$H$57:$H$1159,BA70)</f>
        <v>0</v>
      </c>
      <c r="H70" s="312">
        <f t="shared" si="131"/>
        <v>0</v>
      </c>
      <c r="J70" s="11">
        <v>6</v>
      </c>
      <c r="K70" s="2212"/>
      <c r="L70" s="2213"/>
      <c r="M70" s="2214"/>
      <c r="N70" s="26"/>
      <c r="O70" s="59">
        <f>INDEX(Bauteile!$H$57:$H$1159,BB70)</f>
        <v>0</v>
      </c>
      <c r="P70" s="312">
        <f t="shared" si="132"/>
        <v>0</v>
      </c>
      <c r="S70" s="1039">
        <f t="shared" si="133"/>
        <v>0</v>
      </c>
      <c r="T70" s="989">
        <f>IF(SUM(H65:H74)&gt;0,20-T64/SUM(H65:H74)*SUM(H65:H70),20)</f>
        <v>20</v>
      </c>
      <c r="U70" s="1033">
        <f>INDEX(Bauteile!$I$57:$I$1159,BA70)</f>
        <v>0</v>
      </c>
      <c r="V70" s="997">
        <f t="shared" si="134"/>
        <v>0</v>
      </c>
      <c r="W70" s="1006">
        <f t="shared" si="135"/>
        <v>0</v>
      </c>
      <c r="X70" s="563">
        <f t="shared" si="121"/>
        <v>0</v>
      </c>
      <c r="Y70" s="931">
        <f t="shared" si="136"/>
        <v>0</v>
      </c>
      <c r="Z70" s="563" t="b">
        <f t="shared" si="137"/>
        <v>0</v>
      </c>
      <c r="AA70" s="439">
        <f t="shared" si="122"/>
        <v>0</v>
      </c>
      <c r="AB70" s="1009">
        <f t="shared" si="138"/>
        <v>0</v>
      </c>
      <c r="AC70" s="1010">
        <f t="shared" si="123"/>
        <v>0</v>
      </c>
      <c r="AD70" s="931">
        <f t="shared" si="124"/>
        <v>0</v>
      </c>
      <c r="AE70" s="7" t="b">
        <f t="shared" si="139"/>
        <v>0</v>
      </c>
      <c r="AF70" s="439">
        <f t="shared" si="125"/>
        <v>0</v>
      </c>
      <c r="AG70" s="1040">
        <f t="shared" si="140"/>
        <v>0</v>
      </c>
      <c r="AH70" s="439">
        <f>IF(SUM(H65:H74)&gt;0,20-AH64/SUM(H65:H74)*SUM(H70:H74),20)</f>
        <v>20</v>
      </c>
      <c r="AJ70" s="1039">
        <f t="shared" si="141"/>
        <v>0</v>
      </c>
      <c r="AK70" s="989">
        <f>IF(SUM(P65:P74)&gt;0,20-AK64/SUM(P65:P74)*SUM(P65:P70),20)</f>
        <v>20</v>
      </c>
      <c r="AL70" s="1033">
        <f>INDEX(Bauteile!$I$57:$I$1159,BB70)</f>
        <v>0</v>
      </c>
      <c r="AM70" s="997">
        <f t="shared" si="142"/>
        <v>0</v>
      </c>
      <c r="AN70" s="1006">
        <f t="shared" si="143"/>
        <v>0</v>
      </c>
      <c r="AO70" s="563">
        <f t="shared" si="126"/>
        <v>0</v>
      </c>
      <c r="AP70" s="931">
        <f t="shared" si="144"/>
        <v>0</v>
      </c>
      <c r="AQ70" s="7" t="b">
        <f t="shared" si="145"/>
        <v>0</v>
      </c>
      <c r="AR70" s="439">
        <f t="shared" si="127"/>
        <v>0</v>
      </c>
      <c r="AS70" s="5">
        <f t="shared" si="146"/>
        <v>0</v>
      </c>
      <c r="AT70" s="1010">
        <f t="shared" si="128"/>
        <v>0</v>
      </c>
      <c r="AU70" s="931">
        <f t="shared" si="129"/>
        <v>0</v>
      </c>
      <c r="AV70" s="7" t="b">
        <f t="shared" si="147"/>
        <v>0</v>
      </c>
      <c r="AW70" s="439">
        <f t="shared" si="130"/>
        <v>0</v>
      </c>
      <c r="AX70" s="1040">
        <f t="shared" si="148"/>
        <v>0</v>
      </c>
      <c r="AY70" s="439">
        <f>IF(SUM(P65:P74)&gt;0,20-AY64/SUM(P65:P74)*SUM(P70:P74),20)</f>
        <v>20</v>
      </c>
      <c r="BA70" s="341">
        <f t="shared" si="149"/>
        <v>1</v>
      </c>
      <c r="BB70" s="1504">
        <f t="shared" si="150"/>
        <v>1</v>
      </c>
      <c r="BN70" s="7" t="str">
        <f>Tab!C125</f>
        <v>Château-d'OEx</v>
      </c>
      <c r="BO70" s="5">
        <v>17</v>
      </c>
      <c r="BP70" s="118" t="str">
        <f>Bauteile!B70</f>
        <v>Argile expansée, lambda 0.11</v>
      </c>
      <c r="BQ70" s="2057">
        <v>14</v>
      </c>
      <c r="BU70" s="2098" t="str">
        <f>Bauteile!B118</f>
        <v>Cellulose, en vrac (U)</v>
      </c>
      <c r="BV70" s="1872">
        <f>Bauteile!H118</f>
        <v>4.4999999999999998E-2</v>
      </c>
      <c r="BW70" s="2098" t="str">
        <f>Bauteile!B366</f>
        <v>steinwool-Mineralwolle-Flocken     Steinbacher Dämmstoff GmbH</v>
      </c>
      <c r="BX70" s="2056">
        <f>Bauteile!H366</f>
        <v>0.04</v>
      </c>
    </row>
    <row r="71" spans="2:76" ht="15.6" customHeight="1">
      <c r="B71" s="11">
        <v>7</v>
      </c>
      <c r="C71" s="2212"/>
      <c r="D71" s="2213"/>
      <c r="E71" s="2214"/>
      <c r="F71" s="26"/>
      <c r="G71" s="59">
        <f>INDEX(Bauteile!$H$57:$H$1159,BA71)</f>
        <v>0</v>
      </c>
      <c r="H71" s="312">
        <f t="shared" si="131"/>
        <v>0</v>
      </c>
      <c r="J71" s="11">
        <v>7</v>
      </c>
      <c r="K71" s="2212"/>
      <c r="L71" s="2213"/>
      <c r="M71" s="2214"/>
      <c r="N71" s="26"/>
      <c r="O71" s="59">
        <f>INDEX(Bauteile!$H$57:$H$1159,BB71)</f>
        <v>0</v>
      </c>
      <c r="P71" s="312">
        <f t="shared" si="132"/>
        <v>0</v>
      </c>
      <c r="S71" s="1039">
        <f t="shared" si="133"/>
        <v>0</v>
      </c>
      <c r="T71" s="989">
        <f>IF(SUM(H65:H74)&gt;0,20-T64/SUM(H65:H74)*SUM(H65:H71),20)</f>
        <v>20</v>
      </c>
      <c r="U71" s="1033">
        <f>INDEX(Bauteile!$I$57:$I$1159,BA71)</f>
        <v>0</v>
      </c>
      <c r="V71" s="997">
        <f t="shared" si="134"/>
        <v>0</v>
      </c>
      <c r="W71" s="1006">
        <f t="shared" si="135"/>
        <v>0</v>
      </c>
      <c r="X71" s="563">
        <f t="shared" si="121"/>
        <v>0</v>
      </c>
      <c r="Y71" s="931">
        <f t="shared" si="136"/>
        <v>0</v>
      </c>
      <c r="Z71" s="563" t="b">
        <f t="shared" si="137"/>
        <v>0</v>
      </c>
      <c r="AA71" s="439">
        <f t="shared" si="122"/>
        <v>0</v>
      </c>
      <c r="AB71" s="1009">
        <f t="shared" si="138"/>
        <v>0</v>
      </c>
      <c r="AC71" s="1010">
        <f t="shared" si="123"/>
        <v>0</v>
      </c>
      <c r="AD71" s="931">
        <f t="shared" si="124"/>
        <v>0</v>
      </c>
      <c r="AE71" s="7" t="b">
        <f t="shared" si="139"/>
        <v>0</v>
      </c>
      <c r="AF71" s="439">
        <f t="shared" si="125"/>
        <v>0</v>
      </c>
      <c r="AG71" s="1040">
        <f t="shared" si="140"/>
        <v>0</v>
      </c>
      <c r="AH71" s="439">
        <f>IF(SUM(H65:H74)&gt;0,20-AH64/SUM(H65:H74)*SUM(H71:H74),20)</f>
        <v>20</v>
      </c>
      <c r="AJ71" s="1039">
        <f t="shared" si="141"/>
        <v>0</v>
      </c>
      <c r="AK71" s="989">
        <f>IF(SUM(P65:P74)&gt;0,20-AK64/SUM(P65:P74)*SUM(P65:P71),20)</f>
        <v>20</v>
      </c>
      <c r="AL71" s="1033">
        <f>INDEX(Bauteile!$I$57:$I$1159,BB71)</f>
        <v>0</v>
      </c>
      <c r="AM71" s="997">
        <f t="shared" si="142"/>
        <v>0</v>
      </c>
      <c r="AN71" s="1006">
        <f t="shared" si="143"/>
        <v>0</v>
      </c>
      <c r="AO71" s="563">
        <f t="shared" si="126"/>
        <v>0</v>
      </c>
      <c r="AP71" s="931">
        <f t="shared" si="144"/>
        <v>0</v>
      </c>
      <c r="AQ71" s="7" t="b">
        <f t="shared" si="145"/>
        <v>0</v>
      </c>
      <c r="AR71" s="439">
        <f t="shared" si="127"/>
        <v>0</v>
      </c>
      <c r="AS71" s="5">
        <f t="shared" si="146"/>
        <v>0</v>
      </c>
      <c r="AT71" s="1010">
        <f t="shared" si="128"/>
        <v>0</v>
      </c>
      <c r="AU71" s="931">
        <f t="shared" si="129"/>
        <v>0</v>
      </c>
      <c r="AV71" s="7" t="b">
        <f t="shared" si="147"/>
        <v>0</v>
      </c>
      <c r="AW71" s="439">
        <f t="shared" si="130"/>
        <v>0</v>
      </c>
      <c r="AX71" s="1040">
        <f t="shared" si="148"/>
        <v>0</v>
      </c>
      <c r="AY71" s="439">
        <f>IF(SUM(P65:P74)&gt;0,20-AY64/SUM(P65:P74)*SUM(P71:P74),20)</f>
        <v>20</v>
      </c>
      <c r="BA71" s="341">
        <f t="shared" si="149"/>
        <v>1</v>
      </c>
      <c r="BB71" s="1504">
        <f t="shared" si="150"/>
        <v>1</v>
      </c>
      <c r="BN71" s="7" t="str">
        <f>Tab!C126</f>
        <v>Chaumaont</v>
      </c>
      <c r="BO71" s="5">
        <v>18</v>
      </c>
      <c r="BP71" s="118" t="str">
        <f>Bauteile!B71</f>
        <v>Argile expansée, lambda 0.13</v>
      </c>
      <c r="BQ71" s="2057">
        <v>15</v>
      </c>
      <c r="BU71" s="2098" t="str">
        <f>Bauteile!B119</f>
        <v>Cellulose, panneaux (N)</v>
      </c>
      <c r="BV71" s="1872">
        <f>Bauteile!H119</f>
        <v>0.06</v>
      </c>
      <c r="BW71" s="2098" t="str">
        <f>Bauteile!B367</f>
        <v>Mineralwolle-Flocken     Austroflex Rohr-Isoliersysteme GmbH</v>
      </c>
      <c r="BX71" s="2056">
        <f>Bauteile!H367</f>
        <v>3.9E-2</v>
      </c>
    </row>
    <row r="72" spans="2:76" ht="15.6" customHeight="1" thickBot="1">
      <c r="B72" s="11">
        <v>8</v>
      </c>
      <c r="C72" s="2212"/>
      <c r="D72" s="2213"/>
      <c r="E72" s="2214"/>
      <c r="F72" s="26"/>
      <c r="G72" s="59">
        <f>INDEX(Bauteile!$H$57:$H$1159,BA72)</f>
        <v>0</v>
      </c>
      <c r="H72" s="312">
        <f t="shared" si="131"/>
        <v>0</v>
      </c>
      <c r="J72" s="11">
        <v>8</v>
      </c>
      <c r="K72" s="2212"/>
      <c r="L72" s="2213"/>
      <c r="M72" s="2214"/>
      <c r="N72" s="26"/>
      <c r="O72" s="59">
        <f>INDEX(Bauteile!$H$57:$H$1159,BB72)</f>
        <v>0</v>
      </c>
      <c r="P72" s="312">
        <f t="shared" si="132"/>
        <v>0</v>
      </c>
      <c r="S72" s="1041">
        <f t="shared" si="133"/>
        <v>0</v>
      </c>
      <c r="T72" s="1014">
        <f>IF(SUM(H65:H74)&gt;0,20-T64/SUM(H65:H74)*SUM(H65:H72),20)</f>
        <v>20</v>
      </c>
      <c r="U72" s="1033">
        <f>INDEX(Bauteile!$I$57:$I$1159,BA72)</f>
        <v>0</v>
      </c>
      <c r="V72" s="997">
        <f t="shared" si="134"/>
        <v>0</v>
      </c>
      <c r="W72" s="1004">
        <f t="shared" si="135"/>
        <v>0</v>
      </c>
      <c r="X72" s="11"/>
      <c r="Y72" s="1042">
        <f t="shared" si="136"/>
        <v>0</v>
      </c>
      <c r="Z72" s="11" t="b">
        <f t="shared" si="137"/>
        <v>0</v>
      </c>
      <c r="AA72" s="1043"/>
      <c r="AB72" s="1011">
        <f t="shared" si="138"/>
        <v>0</v>
      </c>
      <c r="AC72" s="1012">
        <f>V72*U72</f>
        <v>0</v>
      </c>
      <c r="AD72" s="1042">
        <f>IF(AND(AB72&gt;0,AC72&gt;0),Ak/AC72-Bk/AB72,)</f>
        <v>0</v>
      </c>
      <c r="AE72" s="9" t="b">
        <f t="shared" si="139"/>
        <v>0</v>
      </c>
      <c r="AF72" s="1043"/>
      <c r="AG72" s="1044">
        <f t="shared" si="140"/>
        <v>0</v>
      </c>
      <c r="AH72" s="1043">
        <f>IF(SUM(H65:H74)&gt;0,20-AH64/SUM(H65:H74)*SUM(H72:H74),20)</f>
        <v>20</v>
      </c>
      <c r="AJ72" s="1041">
        <f t="shared" si="141"/>
        <v>0</v>
      </c>
      <c r="AK72" s="1014">
        <f>IF(SUM(P65:P74)&gt;0,20-AK64/SUM(P65:P74)*SUM(P65:P72),20)</f>
        <v>20</v>
      </c>
      <c r="AL72" s="1033">
        <f>INDEX(Bauteile!$I$57:$I$1159,BB72)</f>
        <v>0</v>
      </c>
      <c r="AM72" s="997">
        <f t="shared" si="142"/>
        <v>0</v>
      </c>
      <c r="AN72" s="1004">
        <f t="shared" si="143"/>
        <v>0</v>
      </c>
      <c r="AO72" s="11"/>
      <c r="AP72" s="1042">
        <f t="shared" si="144"/>
        <v>0</v>
      </c>
      <c r="AQ72" s="9" t="b">
        <f t="shared" si="145"/>
        <v>0</v>
      </c>
      <c r="AR72" s="1043"/>
      <c r="AS72" s="10">
        <f t="shared" si="146"/>
        <v>0</v>
      </c>
      <c r="AT72" s="1012">
        <f>AM72*AL72</f>
        <v>0</v>
      </c>
      <c r="AU72" s="1042">
        <f>IF(AND(AS72&gt;0,AT72&gt;0),Ak/AT72-Bk/AS72,)</f>
        <v>0</v>
      </c>
      <c r="AV72" s="9" t="b">
        <f t="shared" si="147"/>
        <v>0</v>
      </c>
      <c r="AW72" s="1043"/>
      <c r="AX72" s="1044">
        <f t="shared" si="148"/>
        <v>0</v>
      </c>
      <c r="AY72" s="1043">
        <f>IF(SUM(P65:P74)&gt;0,20-AY64/SUM(P65:P74)*SUM(P72:P74),20)</f>
        <v>20</v>
      </c>
      <c r="BA72" s="341">
        <f t="shared" si="149"/>
        <v>1</v>
      </c>
      <c r="BB72" s="1504">
        <f t="shared" si="150"/>
        <v>1</v>
      </c>
      <c r="BN72" s="7" t="str">
        <f>Tab!C127</f>
        <v>Comprovasco</v>
      </c>
      <c r="BO72" s="5">
        <v>19</v>
      </c>
      <c r="BP72" s="118" t="str">
        <f>Bauteile!B72</f>
        <v>Argile expansée, lambda 0.15</v>
      </c>
      <c r="BQ72" s="2057">
        <v>16</v>
      </c>
      <c r="BU72" s="2098" t="str">
        <f>Bauteile!B120</f>
        <v>Cellulose, panneaux (U)</v>
      </c>
      <c r="BV72" s="1872">
        <f>Bauteile!H120</f>
        <v>4.8000000000000001E-2</v>
      </c>
      <c r="BW72" s="2098">
        <f>Bauteile!B368</f>
        <v>0</v>
      </c>
      <c r="BX72" s="2056">
        <f>Bauteile!H368</f>
        <v>0</v>
      </c>
    </row>
    <row r="73" spans="2:76" ht="15.6" customHeight="1" thickBot="1">
      <c r="B73" s="11">
        <v>9</v>
      </c>
      <c r="C73" s="2212"/>
      <c r="D73" s="2213"/>
      <c r="E73" s="2214"/>
      <c r="F73" s="10"/>
      <c r="G73" s="59">
        <f>INDEX(Bauteile!$P$284:$P$296,BA73,1)</f>
        <v>0</v>
      </c>
      <c r="H73" s="312">
        <f>IF(G73=0,0,1/G73)</f>
        <v>0</v>
      </c>
      <c r="J73" s="11">
        <v>9</v>
      </c>
      <c r="K73" s="2212"/>
      <c r="L73" s="2213"/>
      <c r="M73" s="2214"/>
      <c r="N73" s="10"/>
      <c r="O73" s="59">
        <f>INDEX(Bauteile!$P$284:$P$296,BB73,1)</f>
        <v>0</v>
      </c>
      <c r="P73" s="312">
        <f>IF(O73=0,0,1/O73)</f>
        <v>0</v>
      </c>
      <c r="S73" s="1045"/>
      <c r="T73" s="1046"/>
      <c r="U73" s="1047" t="b">
        <f>IF(AND(V63,V64&lt;&gt;TRUE),Z73,IF(AND(V64,V63&lt;&gt;TRUE),AE73,FALSE))</f>
        <v>0</v>
      </c>
      <c r="V73" s="1015" t="str">
        <f>IF(AND(V63,V64&lt;&gt;TRUE),AA73,IF(AND(V64,V63&lt;&gt;TRUE),AF73,""))</f>
        <v/>
      </c>
      <c r="W73" s="990"/>
      <c r="X73" s="991"/>
      <c r="Y73" s="991"/>
      <c r="Z73" s="1048" t="b">
        <f>IF(OR(Z66,Z67,Z68,Z69,Z70,Z71,Z72),TRUE,FALSE)</f>
        <v>0</v>
      </c>
      <c r="AA73" s="993">
        <f>MAX(AA66:AA72)</f>
        <v>0</v>
      </c>
      <c r="AB73" s="990"/>
      <c r="AC73" s="991"/>
      <c r="AD73" s="991"/>
      <c r="AE73" s="1048" t="b">
        <f>IF(OR(AE66,AE67,AE68,AE69,AE70,AE71,AE72),TRUE,FALSE)</f>
        <v>0</v>
      </c>
      <c r="AF73" s="1049">
        <f>MAX(AF66:AF72)</f>
        <v>0</v>
      </c>
      <c r="AG73" s="1045"/>
      <c r="AH73" s="1046"/>
      <c r="AJ73" s="1045"/>
      <c r="AK73" s="1046"/>
      <c r="AL73" s="1047" t="b">
        <f>IF(AND(AM63,AM64&lt;&gt;TRUE),AQ73,IF(AND(AM64,AM63&lt;&gt;TRUE),AV73,FALSE))</f>
        <v>0</v>
      </c>
      <c r="AM73" s="1015" t="str">
        <f>IF(AND(AM63,AM64&lt;&gt;TRUE),AR73,IF(AND(AM64,AM63&lt;&gt;TRUE),AW73,""))</f>
        <v/>
      </c>
      <c r="AN73" s="990"/>
      <c r="AO73" s="991"/>
      <c r="AP73" s="991"/>
      <c r="AQ73" s="1048" t="b">
        <f>IF(OR(AQ66,AQ67,AQ68,AQ69,AQ70,AQ71,AQ72),TRUE,FALSE)</f>
        <v>0</v>
      </c>
      <c r="AR73" s="1049">
        <f>MAX(AR66:AR72)</f>
        <v>0</v>
      </c>
      <c r="AS73" s="990"/>
      <c r="AT73" s="991"/>
      <c r="AU73" s="991"/>
      <c r="AV73" s="1048" t="b">
        <f>IF(OR(AV66,AV67,AV68,AV69,AV70,AV71,AV72),TRUE,FALSE)</f>
        <v>0</v>
      </c>
      <c r="AW73" s="1049">
        <f>MAX(AW66:AW72)</f>
        <v>0</v>
      </c>
      <c r="AX73" s="1045"/>
      <c r="AY73" s="1046"/>
      <c r="BA73" s="341">
        <f>IF($C73="",1,VLOOKUP($C73,$BR$40:$BS$52,2,FALSE))</f>
        <v>1</v>
      </c>
      <c r="BB73" s="1504">
        <f>IF($K73="",1,VLOOKUP($K73,$BR$40:$BS$52,2,FALSE))</f>
        <v>1</v>
      </c>
      <c r="BN73" s="7" t="str">
        <f>Tab!C128</f>
        <v>Davos</v>
      </c>
      <c r="BO73" s="5">
        <v>20</v>
      </c>
      <c r="BP73" s="118" t="str">
        <f>Bauteile!B73</f>
        <v xml:space="preserve">Asphalte </v>
      </c>
      <c r="BQ73" s="2057">
        <v>17</v>
      </c>
      <c r="BU73" s="2098" t="str">
        <f>Bauteile!B121</f>
        <v>Chêne</v>
      </c>
      <c r="BV73" s="1872">
        <f>Bauteile!H121</f>
        <v>0.21</v>
      </c>
      <c r="BW73" s="2099" t="str">
        <f>Bauteile!B369</f>
        <v>**** Laine de verre ****</v>
      </c>
      <c r="BX73" s="2056">
        <f>Bauteile!H369</f>
        <v>0</v>
      </c>
    </row>
    <row r="74" spans="2:76" ht="15.6" customHeight="1">
      <c r="B74" s="11">
        <v>10</v>
      </c>
      <c r="C74" s="2212"/>
      <c r="D74" s="2213"/>
      <c r="E74" s="2214"/>
      <c r="F74" s="10"/>
      <c r="G74" s="59">
        <f>INDEX(Bauteile!$O$280:$O$282,BA74)</f>
        <v>0</v>
      </c>
      <c r="H74" s="312">
        <f>IF(G74=0,0,1/G74)</f>
        <v>0</v>
      </c>
      <c r="J74" s="11">
        <v>10</v>
      </c>
      <c r="K74" s="2212"/>
      <c r="L74" s="2213"/>
      <c r="M74" s="2214"/>
      <c r="N74" s="10"/>
      <c r="O74" s="59">
        <f>INDEX(Bauteile!$O$280:$O$282,BB74)</f>
        <v>0</v>
      </c>
      <c r="P74" s="312">
        <f>IF(O74=0,0,1/O74)</f>
        <v>0</v>
      </c>
      <c r="AB74" s="4"/>
      <c r="AC74" s="4"/>
      <c r="AD74" s="4"/>
      <c r="AE74" s="4"/>
      <c r="AG74" s="4"/>
      <c r="BA74" s="340">
        <f>IF($C74="",3,VLOOKUP($C74,$BR$36:$BS$38,2,FALSE))</f>
        <v>3</v>
      </c>
      <c r="BB74" s="1505">
        <f>IF($K74="",3,VLOOKUP($K74,$BR$36:$BS$38,2,FALSE))</f>
        <v>3</v>
      </c>
      <c r="BN74" s="7" t="str">
        <f>Tab!C129</f>
        <v>Delémont</v>
      </c>
      <c r="BO74" s="5">
        <v>21</v>
      </c>
      <c r="BP74" s="118" t="str">
        <f>Bauteile!B74</f>
        <v>Asphalte coulé</v>
      </c>
      <c r="BQ74" s="2057">
        <v>18</v>
      </c>
      <c r="BU74" s="2098" t="str">
        <f>Bauteile!B122</f>
        <v>Conchylient poudingue</v>
      </c>
      <c r="BV74" s="1872">
        <f>Bauteile!H122</f>
        <v>2.2999999999999998</v>
      </c>
      <c r="BW74" s="2098" t="str">
        <f>Bauteile!B370</f>
        <v>climowool DF1, DF1-H, DF1/V, HRF1</v>
      </c>
      <c r="BX74" s="2056">
        <f>Bauteile!H370</f>
        <v>3.9E-2</v>
      </c>
    </row>
    <row r="75" spans="2:76" ht="21" hidden="1" customHeight="1">
      <c r="B75" s="4"/>
      <c r="C75" s="8"/>
      <c r="D75" s="8"/>
      <c r="E75" s="8"/>
      <c r="F75" s="4"/>
      <c r="G75" s="63"/>
      <c r="H75" s="291"/>
      <c r="J75" s="4"/>
      <c r="K75" s="8"/>
      <c r="L75" s="8"/>
      <c r="M75" s="8"/>
      <c r="N75" s="4"/>
      <c r="O75" s="63"/>
      <c r="P75" s="291"/>
      <c r="AB75" s="4"/>
      <c r="AC75" s="4"/>
      <c r="AD75" s="4"/>
      <c r="AE75" s="4"/>
      <c r="AH75" s="467"/>
      <c r="AI75" s="467"/>
      <c r="AJ75" s="467"/>
      <c r="AK75" s="467"/>
      <c r="AY75" s="4"/>
      <c r="BM75" s="4"/>
      <c r="BN75" s="7" t="str">
        <f>Tab!C130</f>
        <v>Disentis</v>
      </c>
      <c r="BO75" s="5">
        <v>22</v>
      </c>
      <c r="BP75" s="118" t="str">
        <f>Bauteile!B75</f>
        <v>Aussenabrieb</v>
      </c>
      <c r="BQ75" s="2057">
        <v>19</v>
      </c>
      <c r="BU75" s="2098"/>
      <c r="BV75" s="2051"/>
      <c r="BW75" s="2098" t="str">
        <f>Bauteile!B371</f>
        <v>climowool SSP1/V, TW1, TWR1, WKP1, WKP1/V</v>
      </c>
      <c r="BX75" s="2056">
        <f>Bauteile!H371</f>
        <v>3.6999999999999998E-2</v>
      </c>
    </row>
    <row r="76" spans="2:76" ht="21" hidden="1" customHeight="1">
      <c r="B76" s="4"/>
      <c r="C76" s="8"/>
      <c r="D76" s="8"/>
      <c r="E76" s="8"/>
      <c r="F76" s="4"/>
      <c r="G76" s="63"/>
      <c r="H76" s="291"/>
      <c r="J76" s="4"/>
      <c r="K76" s="8"/>
      <c r="L76" s="8"/>
      <c r="M76" s="8"/>
      <c r="N76" s="4"/>
      <c r="O76" s="63"/>
      <c r="P76" s="291"/>
      <c r="AB76" s="4"/>
      <c r="AC76" s="4"/>
      <c r="AD76" s="4"/>
      <c r="AE76" s="4"/>
      <c r="AY76" s="4"/>
      <c r="AZ76" s="4"/>
      <c r="BA76" s="467"/>
      <c r="BB76" s="467"/>
      <c r="BC76" s="467"/>
      <c r="BD76" s="467"/>
      <c r="BL76" s="467"/>
      <c r="BM76" s="4"/>
      <c r="BN76" s="7" t="str">
        <f>Tab!C131</f>
        <v>Ebnat SG</v>
      </c>
      <c r="BO76" s="5">
        <v>23</v>
      </c>
      <c r="BP76" s="118" t="str">
        <f>Bauteile!B76</f>
        <v>Aerogel (N)</v>
      </c>
      <c r="BQ76" s="2057">
        <v>20</v>
      </c>
      <c r="BR76" s="4"/>
      <c r="BU76" s="2098"/>
      <c r="BV76" s="2051"/>
      <c r="BW76" s="2098" t="str">
        <f>Bauteile!B372</f>
        <v>climowool FD1/V, KD1/V, KF1</v>
      </c>
      <c r="BX76" s="2056">
        <f>Bauteile!H372</f>
        <v>3.6999999999999998E-2</v>
      </c>
    </row>
    <row r="77" spans="2:76" ht="40.9" hidden="1" customHeight="1">
      <c r="B77" s="4"/>
      <c r="C77" s="8"/>
      <c r="D77" s="8"/>
      <c r="E77" s="8"/>
      <c r="F77" s="4"/>
      <c r="G77" s="63"/>
      <c r="H77" s="291"/>
      <c r="J77" s="4"/>
      <c r="K77" s="8"/>
      <c r="L77" s="8"/>
      <c r="M77" s="8"/>
      <c r="N77" s="4"/>
      <c r="O77" s="63"/>
      <c r="P77" s="291"/>
      <c r="AT77" s="4"/>
      <c r="AU77" s="4"/>
      <c r="AV77" s="4"/>
      <c r="AW77" s="4"/>
      <c r="AY77" s="4"/>
      <c r="AZ77" s="4"/>
      <c r="BA77" s="4"/>
      <c r="BB77" s="4"/>
      <c r="BC77" s="4"/>
      <c r="BD77" s="4"/>
      <c r="BE77" s="4"/>
      <c r="BF77" s="4"/>
      <c r="BG77" s="4"/>
      <c r="BH77" s="4"/>
      <c r="BI77" s="4"/>
      <c r="BJ77" s="4"/>
      <c r="BK77" s="4"/>
      <c r="BL77" s="4"/>
      <c r="BM77" s="4"/>
      <c r="BN77" s="7" t="str">
        <f>Tab!C132</f>
        <v>Einsiedeln</v>
      </c>
      <c r="BO77" s="5">
        <v>24</v>
      </c>
      <c r="BP77" s="118" t="str">
        <f>Bauteile!B77</f>
        <v>Barrière de vapeur feuille de PVC</v>
      </c>
      <c r="BQ77" s="2057">
        <v>21</v>
      </c>
      <c r="BR77" s="4"/>
      <c r="BU77" s="2098"/>
      <c r="BV77" s="2051"/>
      <c r="BW77" s="2098" t="str">
        <f>Bauteile!B373</f>
        <v>climowool TW2, WKP2, WKP2/V</v>
      </c>
      <c r="BX77" s="2056">
        <f>Bauteile!H373</f>
        <v>3.4000000000000002E-2</v>
      </c>
    </row>
    <row r="78" spans="2:76" ht="13.15" hidden="1" customHeight="1">
      <c r="B78" s="27" t="s">
        <v>735</v>
      </c>
      <c r="C78" s="27"/>
      <c r="D78" s="342" t="str">
        <f>Projekt!AV34</f>
        <v>SIA 380/1 (Edition 2016)</v>
      </c>
      <c r="E78" s="27"/>
      <c r="G78" s="48">
        <f>Projekt!E5</f>
        <v>0</v>
      </c>
      <c r="H78" s="27"/>
      <c r="I78" s="27"/>
      <c r="J78" s="27"/>
      <c r="K78" s="37"/>
      <c r="L78" s="37"/>
      <c r="M78" s="37"/>
      <c r="N78" s="185"/>
      <c r="O78" s="28"/>
      <c r="P78" s="248" t="str">
        <f>"Qh= "&amp;ROUND(Qh,0)&amp;" MJ/m2"</f>
        <v>Qh= 0 MJ/m2</v>
      </c>
      <c r="Q78" s="64"/>
      <c r="AT78" s="4"/>
      <c r="AU78" s="4"/>
      <c r="AV78" s="4"/>
      <c r="AW78" s="4"/>
      <c r="AY78" s="4"/>
      <c r="AZ78" s="4"/>
      <c r="BA78" s="4"/>
      <c r="BB78" s="4"/>
      <c r="BC78" s="4"/>
      <c r="BD78" s="4"/>
      <c r="BE78" s="4"/>
      <c r="BF78" s="4"/>
      <c r="BG78" s="4"/>
      <c r="BH78" s="4"/>
      <c r="BI78" s="4"/>
      <c r="BJ78" s="4"/>
      <c r="BK78" s="4"/>
      <c r="BL78" s="4"/>
      <c r="BM78" s="4"/>
      <c r="BN78" s="7" t="str">
        <f>Tab!C133</f>
        <v>Elm</v>
      </c>
      <c r="BO78" s="5">
        <v>25</v>
      </c>
      <c r="BP78" s="118" t="str">
        <f>Bauteile!B78</f>
        <v>Basalte</v>
      </c>
      <c r="BQ78" s="2057">
        <v>22</v>
      </c>
      <c r="BR78" s="4"/>
      <c r="BU78" s="2098"/>
      <c r="BV78" s="2051"/>
      <c r="BW78" s="2098" t="str">
        <f>Bauteile!B374</f>
        <v>climowool KD2/V, KF2, KF2/V, KF2-H</v>
      </c>
      <c r="BX78" s="2056">
        <f>Bauteile!H374</f>
        <v>3.4000000000000002E-2</v>
      </c>
    </row>
    <row r="79" spans="2:76" ht="13.15" hidden="1" customHeight="1">
      <c r="B79" s="64" t="s">
        <v>1967</v>
      </c>
      <c r="C79" s="64"/>
      <c r="D79" s="2145">
        <f ca="1">NOW()</f>
        <v>43566.628989236109</v>
      </c>
      <c r="E79" s="2145"/>
      <c r="F79" s="2145"/>
      <c r="G79" s="222"/>
      <c r="H79" s="64"/>
      <c r="I79" s="64"/>
      <c r="J79" s="64"/>
      <c r="K79" s="64"/>
      <c r="L79" s="64"/>
      <c r="M79" s="64"/>
      <c r="N79" s="64"/>
      <c r="O79" s="28"/>
      <c r="P79" s="56" t="s">
        <v>1828</v>
      </c>
      <c r="Q79" s="64"/>
      <c r="AT79" s="4"/>
      <c r="AU79" s="4"/>
      <c r="AV79" s="4"/>
      <c r="AW79" s="4"/>
      <c r="AY79" s="4"/>
      <c r="AZ79" s="4"/>
      <c r="BA79" s="4"/>
      <c r="BB79" s="4"/>
      <c r="BC79" s="4"/>
      <c r="BD79" s="4"/>
      <c r="BE79" s="4"/>
      <c r="BF79" s="4"/>
      <c r="BG79" s="4"/>
      <c r="BH79" s="4"/>
      <c r="BI79" s="4"/>
      <c r="BJ79" s="4"/>
      <c r="BK79" s="4"/>
      <c r="BL79" s="4"/>
      <c r="BM79" s="4"/>
      <c r="BN79" s="7" t="str">
        <f>Tab!C134</f>
        <v>Engelberg</v>
      </c>
      <c r="BO79" s="5">
        <v>26</v>
      </c>
      <c r="BP79" s="118" t="str">
        <f>Bauteile!B79</f>
        <v>Béton armé (1% d'acier)</v>
      </c>
      <c r="BQ79" s="2057">
        <v>23</v>
      </c>
      <c r="BR79" s="4"/>
      <c r="BU79" s="2098"/>
      <c r="BV79" s="2051"/>
      <c r="BW79" s="2098" t="str">
        <f>Bauteile!B375</f>
        <v>climowool DF2, DF2-H, DF2/V, HRF2, FD2/V</v>
      </c>
      <c r="BX79" s="2056">
        <f>Bauteile!H375</f>
        <v>3.4000000000000002E-2</v>
      </c>
    </row>
    <row r="80" spans="2:76" ht="6" hidden="1" customHeight="1">
      <c r="B80" s="64"/>
      <c r="C80" s="64"/>
      <c r="D80" s="64"/>
      <c r="E80" s="64"/>
      <c r="F80" s="246"/>
      <c r="G80" s="222"/>
      <c r="H80" s="64"/>
      <c r="I80" s="64"/>
      <c r="J80" s="64"/>
      <c r="K80" s="64"/>
      <c r="L80" s="64"/>
      <c r="M80" s="64"/>
      <c r="N80" s="64"/>
      <c r="O80" s="64"/>
      <c r="P80" s="64"/>
      <c r="Q80" s="64"/>
      <c r="AT80" s="4"/>
      <c r="AU80" s="4"/>
      <c r="AV80" s="4"/>
      <c r="AW80" s="4"/>
      <c r="AY80" s="4"/>
      <c r="AZ80" s="4"/>
      <c r="BA80" s="4"/>
      <c r="BB80" s="4"/>
      <c r="BC80" s="4"/>
      <c r="BD80" s="4"/>
      <c r="BE80" s="4"/>
      <c r="BF80" s="4"/>
      <c r="BG80" s="4"/>
      <c r="BH80" s="4"/>
      <c r="BI80" s="4"/>
      <c r="BJ80" s="4"/>
      <c r="BK80" s="4"/>
      <c r="BL80" s="4"/>
      <c r="BM80" s="4"/>
      <c r="BN80" s="7" t="str">
        <f>Tab!C135</f>
        <v>Frauenfeld</v>
      </c>
      <c r="BO80" s="5">
        <v>27</v>
      </c>
      <c r="BP80" s="118" t="str">
        <f>Bauteile!B80</f>
        <v>Béton armé (2% d'acier)</v>
      </c>
      <c r="BQ80" s="2057">
        <v>24</v>
      </c>
      <c r="BR80" s="4"/>
      <c r="BU80" s="2098"/>
      <c r="BV80" s="2051"/>
      <c r="BW80" s="2098" t="str">
        <f>Bauteile!B376</f>
        <v>climowool KD3/V, KF3, KF3/V, TFP, TW3, UF3/V, WKP3</v>
      </c>
      <c r="BX80" s="2056">
        <f>Bauteile!H376</f>
        <v>3.2000000000000001E-2</v>
      </c>
    </row>
    <row r="81" spans="2:76" ht="26.25" hidden="1">
      <c r="B81" s="109" t="s">
        <v>2016</v>
      </c>
      <c r="G81" s="28"/>
      <c r="H81" s="28"/>
      <c r="J81" s="20"/>
      <c r="O81" s="28"/>
      <c r="P81" s="28"/>
      <c r="AT81" s="4"/>
      <c r="AU81" s="4"/>
      <c r="AV81" s="4"/>
      <c r="AW81" s="4"/>
      <c r="AY81" s="4"/>
      <c r="AZ81" s="4"/>
      <c r="BA81" s="4"/>
      <c r="BB81" s="4"/>
      <c r="BC81" s="4"/>
      <c r="BD81" s="4"/>
      <c r="BE81" s="4"/>
      <c r="BF81" s="4"/>
      <c r="BG81" s="4"/>
      <c r="BH81" s="4"/>
      <c r="BI81" s="4"/>
      <c r="BJ81" s="4"/>
      <c r="BK81" s="4"/>
      <c r="BL81" s="4"/>
      <c r="BM81" s="4"/>
      <c r="BN81" s="7" t="str">
        <f>Tab!C136</f>
        <v>Fribourg</v>
      </c>
      <c r="BO81" s="5">
        <v>28</v>
      </c>
      <c r="BP81" s="118" t="str">
        <f>Bauteile!B81</f>
        <v>Béton (densité 1800)</v>
      </c>
      <c r="BQ81" s="2057">
        <v>25</v>
      </c>
      <c r="BR81" s="4"/>
      <c r="BU81" s="2098"/>
      <c r="BV81" s="2051"/>
      <c r="BW81" s="2098" t="str">
        <f>Bauteile!B377</f>
        <v>climowool DF3, DF3-H, DF3/V, EP, FD3/V</v>
      </c>
      <c r="BX81" s="2056">
        <f>Bauteile!H377</f>
        <v>3.2000000000000001E-2</v>
      </c>
    </row>
    <row r="82" spans="2:76" ht="11.45" customHeight="1">
      <c r="G82" s="28"/>
      <c r="H82" s="28"/>
      <c r="O82" s="28"/>
      <c r="P82" s="28"/>
      <c r="AZ82" s="4"/>
      <c r="BA82" s="4"/>
      <c r="BB82" s="4"/>
      <c r="BC82" s="4"/>
      <c r="BD82" s="4"/>
      <c r="BE82" s="4"/>
      <c r="BF82" s="4"/>
      <c r="BG82" s="4"/>
      <c r="BH82" s="4"/>
      <c r="BI82" s="4"/>
      <c r="BJ82" s="4"/>
      <c r="BK82" s="4"/>
      <c r="BL82" s="4"/>
      <c r="BN82" s="7" t="str">
        <f>Tab!C137</f>
        <v>Glarus</v>
      </c>
      <c r="BO82" s="5">
        <v>29</v>
      </c>
      <c r="BP82" s="118" t="str">
        <f>Bauteile!B82</f>
        <v>Béton (densité 2000)</v>
      </c>
      <c r="BQ82" s="2057">
        <v>26</v>
      </c>
      <c r="BU82" s="2098"/>
      <c r="BV82" s="2051"/>
      <c r="BW82" s="2098" t="str">
        <f>Bauteile!B378</f>
        <v>TI 432 U</v>
      </c>
      <c r="BX82" s="2056">
        <f>Bauteile!H378</f>
        <v>3.2000000000000001E-2</v>
      </c>
    </row>
    <row r="83" spans="2:76" ht="15.6" customHeight="1" thickBot="1">
      <c r="B83" s="110" t="s">
        <v>1198</v>
      </c>
      <c r="C83" s="111" t="str">
        <f>C62</f>
        <v>Désignation:</v>
      </c>
      <c r="D83" s="938"/>
      <c r="E83" s="925" t="s">
        <v>438</v>
      </c>
      <c r="F83" s="111" t="str">
        <f>F62</f>
        <v>Valeur U total:</v>
      </c>
      <c r="G83" s="213"/>
      <c r="H83" s="307" t="s">
        <v>1759</v>
      </c>
      <c r="J83" s="110" t="s">
        <v>1198</v>
      </c>
      <c r="K83" s="111" t="str">
        <f>K62</f>
        <v>Désignation:</v>
      </c>
      <c r="L83" s="938"/>
      <c r="M83" s="925" t="s">
        <v>438</v>
      </c>
      <c r="N83" s="111" t="str">
        <f>N62</f>
        <v>Valeur U total:</v>
      </c>
      <c r="O83" s="213"/>
      <c r="P83" s="307" t="s">
        <v>1759</v>
      </c>
      <c r="BN83" s="7" t="str">
        <f>Tab!C138</f>
        <v>Göschenen</v>
      </c>
      <c r="BO83" s="5">
        <v>30</v>
      </c>
      <c r="BP83" s="118" t="str">
        <f>Bauteile!B83</f>
        <v>Béton (densité 2200)</v>
      </c>
      <c r="BQ83" s="2057">
        <v>27</v>
      </c>
      <c r="BU83" s="2098" t="str">
        <f>Bauteile!B123</f>
        <v>Contre-plaqué (densité 300)</v>
      </c>
      <c r="BV83" s="1872">
        <f>Bauteile!H123</f>
        <v>0.09</v>
      </c>
      <c r="BW83" s="2098" t="str">
        <f>Bauteile!B379</f>
        <v>MW 35</v>
      </c>
      <c r="BX83" s="2056">
        <f>Bauteile!H379</f>
        <v>3.5000000000000003E-2</v>
      </c>
    </row>
    <row r="84" spans="2:76" ht="15.6" customHeight="1" thickBot="1">
      <c r="B84" s="19">
        <v>11</v>
      </c>
      <c r="C84" s="2219"/>
      <c r="D84" s="2220"/>
      <c r="E84" s="2221"/>
      <c r="F84" s="313" t="str">
        <f>IF(SUM(H86:H95)&lt;&gt;0,1/SUM(H86:H95),"")</f>
        <v/>
      </c>
      <c r="G84" s="308" t="s">
        <v>245</v>
      </c>
      <c r="H84" s="309" t="str">
        <f>IF(OR(G86=8,G95=8),ROUND(Thetai-(Thetai-Thetamin)*(1/(1/F84)-(1/8)+(1/6))*(1/6),1)&amp;" °C","")</f>
        <v/>
      </c>
      <c r="J84" s="19">
        <v>12</v>
      </c>
      <c r="K84" s="2219"/>
      <c r="L84" s="2220"/>
      <c r="M84" s="2221"/>
      <c r="N84" s="313" t="str">
        <f>IF(SUM(P86:P95)&lt;&gt;0,1/SUM(P86:P95),"")</f>
        <v/>
      </c>
      <c r="O84" s="308" t="s">
        <v>245</v>
      </c>
      <c r="P84" s="309" t="str">
        <f>IF(OR(O86=8,O95=8),ROUND(Thetai-(Thetai-Thetamin)*(1/(1/N84)-(1/8)+(1/6))*(1/6),1)&amp;" °C","")</f>
        <v/>
      </c>
      <c r="S84" s="1018"/>
      <c r="T84" s="987"/>
      <c r="U84" s="1019" t="s">
        <v>451</v>
      </c>
      <c r="V84" s="998" t="b">
        <f>IF(BA86=1,TRUE,FALSE)</f>
        <v>0</v>
      </c>
      <c r="W84" s="1016" t="s">
        <v>457</v>
      </c>
      <c r="X84" s="1000"/>
      <c r="Y84" s="1000"/>
      <c r="Z84" s="1000"/>
      <c r="AA84" s="1000"/>
      <c r="AB84" s="1000"/>
      <c r="AC84" s="1001"/>
      <c r="AD84" s="1001"/>
      <c r="AE84" s="1001"/>
      <c r="AF84" s="1002"/>
      <c r="AG84" s="1020"/>
      <c r="AH84" s="1021"/>
      <c r="AJ84" s="1018"/>
      <c r="AK84" s="987"/>
      <c r="AL84" s="1019" t="s">
        <v>451</v>
      </c>
      <c r="AM84" s="998" t="b">
        <f>IF(BB86=1,TRUE,FALSE)</f>
        <v>0</v>
      </c>
      <c r="AN84" s="1016" t="s">
        <v>463</v>
      </c>
      <c r="AO84" s="1000"/>
      <c r="AP84" s="1000"/>
      <c r="AQ84" s="1000"/>
      <c r="AR84" s="1000"/>
      <c r="AS84" s="1000"/>
      <c r="AT84" s="1001"/>
      <c r="AU84" s="1001"/>
      <c r="AV84" s="1001"/>
      <c r="AW84" s="1002"/>
      <c r="AX84" s="1020"/>
      <c r="AY84" s="1021"/>
      <c r="BN84" s="7" t="str">
        <f>Tab!C139</f>
        <v>Grimsel</v>
      </c>
      <c r="BO84" s="5">
        <v>31</v>
      </c>
      <c r="BP84" s="118" t="str">
        <f>Bauteile!B84</f>
        <v>Béton (densité 2400)</v>
      </c>
      <c r="BQ84" s="2057">
        <v>28</v>
      </c>
      <c r="BU84" s="2098" t="str">
        <f>Bauteile!B124</f>
        <v>Contre-plaqué (densité 500)</v>
      </c>
      <c r="BV84" s="1872">
        <f>Bauteile!H124</f>
        <v>0.13</v>
      </c>
      <c r="BW84" s="2098" t="str">
        <f>Bauteile!B380</f>
        <v>TI 132 U</v>
      </c>
      <c r="BX84" s="2056">
        <f>Bauteile!H380</f>
        <v>3.2000000000000001E-2</v>
      </c>
    </row>
    <row r="85" spans="2:76" s="3" customFormat="1" ht="15.6" customHeight="1" thickBot="1">
      <c r="B85" s="2234">
        <f>IF(GraueEnergie,Uebersetzung!D651,IF(AND(U94,V94&gt;0),Uebersetzung!D652&amp;ROUND(V94,0)&amp;" g/m2",))</f>
        <v>0</v>
      </c>
      <c r="C85" s="2235"/>
      <c r="D85" s="2217"/>
      <c r="E85" s="2218"/>
      <c r="F85" s="12" t="s">
        <v>1918</v>
      </c>
      <c r="G85" s="310" t="s">
        <v>1800</v>
      </c>
      <c r="H85" s="311" t="s">
        <v>1801</v>
      </c>
      <c r="J85" s="2234">
        <f>IF(GraueEnergie,Uebersetzung!D651,IF(AND(AL94,AM94&gt;0),Uebersetzung!D652&amp;ROUND(AM94,0)&amp;" g/m2",))</f>
        <v>0</v>
      </c>
      <c r="K85" s="2235"/>
      <c r="L85" s="2217"/>
      <c r="M85" s="2218"/>
      <c r="N85" s="12" t="s">
        <v>1918</v>
      </c>
      <c r="O85" s="310" t="s">
        <v>1800</v>
      </c>
      <c r="P85" s="311" t="s">
        <v>1801</v>
      </c>
      <c r="S85" s="1022" t="s">
        <v>795</v>
      </c>
      <c r="T85" s="1023">
        <f ca="1">20-TaMin-8</f>
        <v>20</v>
      </c>
      <c r="U85" s="1024" t="s">
        <v>452</v>
      </c>
      <c r="V85" s="999" t="b">
        <f>IF(BA95=1,TRUE,FALSE)</f>
        <v>0</v>
      </c>
      <c r="W85" s="992" t="s">
        <v>577</v>
      </c>
      <c r="X85" s="465"/>
      <c r="Y85" s="465"/>
      <c r="Z85" s="465"/>
      <c r="AA85" s="987"/>
      <c r="AB85" s="994" t="s">
        <v>450</v>
      </c>
      <c r="AC85" s="4"/>
      <c r="AD85" s="4"/>
      <c r="AE85" s="4"/>
      <c r="AF85" s="564"/>
      <c r="AG85" s="1022" t="s">
        <v>795</v>
      </c>
      <c r="AH85" s="1023">
        <f ca="1">20-TaMin-8</f>
        <v>20</v>
      </c>
      <c r="AI85" s="2"/>
      <c r="AJ85" s="1022" t="s">
        <v>795</v>
      </c>
      <c r="AK85" s="1023">
        <f ca="1">20-TaMin-8</f>
        <v>20</v>
      </c>
      <c r="AL85" s="1024" t="s">
        <v>452</v>
      </c>
      <c r="AM85" s="999" t="b">
        <f>IF(BB95=1,TRUE,FALSE)</f>
        <v>0</v>
      </c>
      <c r="AN85" s="992" t="s">
        <v>577</v>
      </c>
      <c r="AO85" s="465"/>
      <c r="AP85" s="465"/>
      <c r="AQ85" s="465"/>
      <c r="AR85" s="987"/>
      <c r="AS85" s="994" t="s">
        <v>450</v>
      </c>
      <c r="AT85" s="4"/>
      <c r="AU85" s="4"/>
      <c r="AV85" s="4"/>
      <c r="AW85" s="564"/>
      <c r="AX85" s="1022" t="s">
        <v>795</v>
      </c>
      <c r="AY85" s="1023">
        <f ca="1">20-TaMin-8</f>
        <v>20</v>
      </c>
      <c r="AZ85" s="2"/>
      <c r="BA85" s="335" t="s">
        <v>2031</v>
      </c>
      <c r="BB85" s="336"/>
      <c r="BC85" s="2"/>
      <c r="BD85" s="2"/>
      <c r="BE85" s="2"/>
      <c r="BF85" s="2"/>
      <c r="BG85" s="2"/>
      <c r="BH85" s="2"/>
      <c r="BI85" s="2"/>
      <c r="BJ85" s="2"/>
      <c r="BK85" s="2"/>
      <c r="BL85" s="2"/>
      <c r="BN85" s="7" t="str">
        <f>Tab!C140</f>
        <v>Grindelwald</v>
      </c>
      <c r="BO85" s="5">
        <v>32</v>
      </c>
      <c r="BP85" s="118" t="str">
        <f>Bauteile!B85</f>
        <v>Béton d'argile expansée, lambda 0.3</v>
      </c>
      <c r="BQ85" s="2057">
        <v>29</v>
      </c>
      <c r="BU85" s="2098" t="str">
        <f>Bauteile!B125</f>
        <v>Contre-plaqué (densité 700)</v>
      </c>
      <c r="BV85" s="1872">
        <f>Bauteile!H125</f>
        <v>0.17</v>
      </c>
      <c r="BW85" s="2098" t="str">
        <f>Bauteile!B381</f>
        <v>TP KD 432, TP 432 B</v>
      </c>
      <c r="BX85" s="2056">
        <f>Bauteile!H381</f>
        <v>3.2000000000000001E-2</v>
      </c>
    </row>
    <row r="86" spans="2:76" ht="15.6" customHeight="1">
      <c r="B86" s="796">
        <v>1</v>
      </c>
      <c r="C86" s="2212"/>
      <c r="D86" s="2213"/>
      <c r="E86" s="2214"/>
      <c r="F86" s="10"/>
      <c r="G86" s="59">
        <f>INDEX(Bauteile!$O$280:$O$282,BA86)</f>
        <v>0</v>
      </c>
      <c r="H86" s="312">
        <f>IF(G86=0,0,1/G86)</f>
        <v>0</v>
      </c>
      <c r="J86" s="11">
        <v>1</v>
      </c>
      <c r="K86" s="2212"/>
      <c r="L86" s="2213"/>
      <c r="M86" s="2214"/>
      <c r="N86" s="10"/>
      <c r="O86" s="59">
        <f>INDEX(Bauteile!$O$280:$O$282,BB86)</f>
        <v>0</v>
      </c>
      <c r="P86" s="312">
        <f>IF(O86=0,0,1/O86)</f>
        <v>0</v>
      </c>
      <c r="S86" s="1025" t="s">
        <v>796</v>
      </c>
      <c r="T86" s="1026" t="s">
        <v>797</v>
      </c>
      <c r="U86" s="1027" t="s">
        <v>808</v>
      </c>
      <c r="V86" s="996" t="s">
        <v>571</v>
      </c>
      <c r="W86" s="988" t="s">
        <v>570</v>
      </c>
      <c r="X86" s="466" t="s">
        <v>569</v>
      </c>
      <c r="Y86" s="466" t="s">
        <v>103</v>
      </c>
      <c r="Z86" s="1028" t="s">
        <v>572</v>
      </c>
      <c r="AA86" s="1007" t="s">
        <v>572</v>
      </c>
      <c r="AB86" s="988" t="s">
        <v>569</v>
      </c>
      <c r="AC86" s="464" t="s">
        <v>570</v>
      </c>
      <c r="AD86" s="986" t="s">
        <v>103</v>
      </c>
      <c r="AE86" s="1029" t="s">
        <v>572</v>
      </c>
      <c r="AF86" s="1030" t="s">
        <v>572</v>
      </c>
      <c r="AG86" s="1025" t="s">
        <v>796</v>
      </c>
      <c r="AH86" s="1026" t="s">
        <v>797</v>
      </c>
      <c r="AJ86" s="1025" t="s">
        <v>796</v>
      </c>
      <c r="AK86" s="1026" t="s">
        <v>797</v>
      </c>
      <c r="AL86" s="1027" t="s">
        <v>808</v>
      </c>
      <c r="AM86" s="996" t="s">
        <v>571</v>
      </c>
      <c r="AN86" s="988" t="s">
        <v>570</v>
      </c>
      <c r="AO86" s="466" t="s">
        <v>569</v>
      </c>
      <c r="AP86" s="466" t="s">
        <v>103</v>
      </c>
      <c r="AQ86" s="1028" t="s">
        <v>572</v>
      </c>
      <c r="AR86" s="1031" t="s">
        <v>572</v>
      </c>
      <c r="AS86" s="988" t="s">
        <v>569</v>
      </c>
      <c r="AT86" s="464" t="s">
        <v>570</v>
      </c>
      <c r="AU86" s="986" t="s">
        <v>103</v>
      </c>
      <c r="AV86" s="1029" t="s">
        <v>572</v>
      </c>
      <c r="AW86" s="1030" t="s">
        <v>572</v>
      </c>
      <c r="AX86" s="1025" t="s">
        <v>796</v>
      </c>
      <c r="AY86" s="1026" t="s">
        <v>797</v>
      </c>
      <c r="AZ86" s="3"/>
      <c r="BA86" s="339">
        <f>IF($C86="",3,VLOOKUP($C86,$BR$36:$BS$38,2,FALSE))</f>
        <v>3</v>
      </c>
      <c r="BB86" s="1502">
        <f>IF($K86="",3,VLOOKUP($K86,$BR$36:$BS$38,2,FALSE))</f>
        <v>3</v>
      </c>
      <c r="BC86" s="3"/>
      <c r="BD86" s="3"/>
      <c r="BE86" s="3"/>
      <c r="BF86" s="3"/>
      <c r="BG86" s="3"/>
      <c r="BH86" s="3"/>
      <c r="BI86" s="3"/>
      <c r="BJ86" s="3"/>
      <c r="BK86" s="3"/>
      <c r="BL86" s="3"/>
      <c r="BN86" s="7" t="str">
        <f>Tab!C141</f>
        <v>Gurtnellen</v>
      </c>
      <c r="BO86" s="5">
        <v>33</v>
      </c>
      <c r="BP86" s="118" t="str">
        <f>Bauteile!B86</f>
        <v>Béton d'argile expansée, lambda 0.5</v>
      </c>
      <c r="BQ86" s="2057">
        <v>30</v>
      </c>
      <c r="BU86" s="2098" t="str">
        <f>Bauteile!B126</f>
        <v>Contre-plaqué (densité 1000)</v>
      </c>
      <c r="BV86" s="1872">
        <f>Bauteile!H126</f>
        <v>0.24</v>
      </c>
      <c r="BW86" s="2098" t="str">
        <f>Bauteile!B382</f>
        <v>TP KD 430, TP 120 A</v>
      </c>
      <c r="BX86" s="2056">
        <f>Bauteile!H382</f>
        <v>3.4000000000000002E-2</v>
      </c>
    </row>
    <row r="87" spans="2:76" ht="15.6" customHeight="1">
      <c r="B87" s="11">
        <v>2</v>
      </c>
      <c r="C87" s="2212"/>
      <c r="D87" s="2213"/>
      <c r="E87" s="2214"/>
      <c r="F87" s="26"/>
      <c r="G87" s="59">
        <f>INDEX(Bauteile!$H$57:$H$1159,BA87)</f>
        <v>0</v>
      </c>
      <c r="H87" s="312">
        <f>IF(G87&lt;&gt;0,F87/100/G87,0)</f>
        <v>0</v>
      </c>
      <c r="J87" s="11">
        <v>2</v>
      </c>
      <c r="K87" s="2212"/>
      <c r="L87" s="2213"/>
      <c r="M87" s="2214"/>
      <c r="N87" s="26"/>
      <c r="O87" s="59">
        <f>INDEX(Bauteile!$H$57:$H$1159,BB87)</f>
        <v>0</v>
      </c>
      <c r="P87" s="312">
        <f>IF(O87&lt;&gt;0,N87/100/O87,0)</f>
        <v>0</v>
      </c>
      <c r="S87" s="1032">
        <f>IF(AND(W87&gt;0,X87&gt;0),1/LN(1168*X87/(0.2*W87+X87)/14057400000)*(-3928.5)-231.667,)</f>
        <v>0</v>
      </c>
      <c r="T87" s="1013">
        <f>IF(SUM(H86:H95)&gt;0,20-T85/SUM(H86:H95)*SUM(H86:H87),20)</f>
        <v>20</v>
      </c>
      <c r="U87" s="1033">
        <f>INDEX(Bauteile!$I$57:$I$1159,BA87)</f>
        <v>0</v>
      </c>
      <c r="V87" s="997">
        <f>F87/100</f>
        <v>0</v>
      </c>
      <c r="W87" s="1006">
        <f>V87*U87</f>
        <v>0</v>
      </c>
      <c r="X87" s="563">
        <f t="shared" ref="X87:X92" si="151">U88*V88+X88</f>
        <v>0</v>
      </c>
      <c r="Y87" s="931">
        <f>IF(AND(W87&gt;0,X87&gt;0),Ak/W87-Bk/X87,)</f>
        <v>0</v>
      </c>
      <c r="Z87" s="1034" t="b">
        <f>IF(T87&lt;S87,IF(W87&gt;mj*X87,FALSE,TRUE),FALSE)</f>
        <v>0</v>
      </c>
      <c r="AA87" s="1036">
        <f t="shared" ref="AA87:AA92" si="152">IF(OR(Z88=FALSE,AND(Z87=TRUE,Z88=TRUE)),Y87,0)</f>
        <v>0</v>
      </c>
      <c r="AB87" s="1005"/>
      <c r="AC87" s="1008">
        <f t="shared" ref="AC87:AC92" si="153">V87*U87+AC88</f>
        <v>0</v>
      </c>
      <c r="AD87" s="1035">
        <f t="shared" ref="AD87:AD92" si="154">IF(AND(AB87&gt;0,AC87&gt;0),Ak/AC87-Bk/AB87,)</f>
        <v>0</v>
      </c>
      <c r="AE87" s="995" t="b">
        <f>IF(AH87&lt;AG87,IF(AC87&gt;mj*AB87,FALSE,TRUE),FALSE)</f>
        <v>0</v>
      </c>
      <c r="AF87" s="1036">
        <f t="shared" ref="AF87:AF92" si="155">IF(OR(AE88=FALSE,AND(AE87=TRUE,AE88=TRUE)),AD87,0)</f>
        <v>0</v>
      </c>
      <c r="AG87" s="1037">
        <f>IF(AND(AB87&gt;0,AC87&gt;0),1/LN(1168*AB87/(0.2*AC87+AB87)/14057400000)*(-3928.5)-231.667,)</f>
        <v>0</v>
      </c>
      <c r="AH87" s="1036">
        <f>IF(SUM(H86:H95)&gt;0,20-AH85/SUM(H86:H95)*SUM(H87:H95),20)</f>
        <v>20</v>
      </c>
      <c r="AJ87" s="1032">
        <f>IF(AND(AN87&gt;0,AO87&gt;0),1/LN(1168*AO87/(0.2*AN87+AO87)/14057400000)*(-3928.5)-231.667,)</f>
        <v>0</v>
      </c>
      <c r="AK87" s="1013">
        <f>IF(SUM(P86:P95)&gt;0,20-AK85/SUM(P86:P95)*SUM(P86:P87),20)</f>
        <v>20</v>
      </c>
      <c r="AL87" s="1033">
        <f>INDEX(Bauteile!$I$57:$I$1159,BB87)</f>
        <v>0</v>
      </c>
      <c r="AM87" s="997">
        <f>N87/100</f>
        <v>0</v>
      </c>
      <c r="AN87" s="1006">
        <f>AM87*AL87</f>
        <v>0</v>
      </c>
      <c r="AO87" s="563">
        <f t="shared" ref="AO87:AO92" si="156">AL88*AM88+AO88</f>
        <v>0</v>
      </c>
      <c r="AP87" s="931">
        <f>IF(AND(AN87&gt;0,AO87&gt;0),Ak/AN87-Bk/AO87,)</f>
        <v>0</v>
      </c>
      <c r="AQ87" s="995" t="b">
        <f>IF(AK87&lt;AJ87,IF(AN87&gt;mj*AO87,FALSE,TRUE),FALSE)</f>
        <v>0</v>
      </c>
      <c r="AR87" s="1036">
        <f t="shared" ref="AR87:AR92" si="157">IF(OR(AQ88=FALSE,AND(AQ87=TRUE,AQ88=TRUE)),AP87,0)</f>
        <v>0</v>
      </c>
      <c r="AS87" s="1038"/>
      <c r="AT87" s="1008">
        <f t="shared" ref="AT87:AT92" si="158">AM87*AL87+AT88</f>
        <v>0</v>
      </c>
      <c r="AU87" s="1035">
        <f t="shared" ref="AU87:AU92" si="159">IF(AND(AS87&gt;0,AT87&gt;0),Ak/AT87-Bk/AS87,)</f>
        <v>0</v>
      </c>
      <c r="AV87" s="995" t="b">
        <f>IF(AY87&lt;AX87,IF(AT87&gt;mj*AS87,FALSE,TRUE),FALSE)</f>
        <v>0</v>
      </c>
      <c r="AW87" s="1036">
        <f t="shared" ref="AW87:AW92" si="160">IF(OR(AV88=FALSE,AND(AV87=TRUE,AV88=TRUE)),AU87,0)</f>
        <v>0</v>
      </c>
      <c r="AX87" s="1037">
        <f>IF(AND(AS87&gt;0,AT87&gt;0),1/LN(1168*AS87/(0.2*AT87+AS87)/14057400000)*(-3928.5)-231.667,)</f>
        <v>0</v>
      </c>
      <c r="AY87" s="1036">
        <f>IF(SUM(P86:P95)&gt;0,20-AY85/SUM(P86:P95)*SUM(P87:P95),20)</f>
        <v>20</v>
      </c>
      <c r="BA87" s="341">
        <f>IF($C87="",1,VLOOKUP($C87,$BP$57:$BQ$1010,2,FALSE))</f>
        <v>1</v>
      </c>
      <c r="BB87" s="1504">
        <f>IF($K87="",1,VLOOKUP($K87,$BP$57:$BQ$1010,2,FALSE))</f>
        <v>1</v>
      </c>
      <c r="BN87" s="7" t="str">
        <f>Tab!C142</f>
        <v>Guttannen</v>
      </c>
      <c r="BO87" s="5">
        <v>34</v>
      </c>
      <c r="BP87" s="118" t="str">
        <f>Bauteile!B87</f>
        <v>Béton d'argile expansée, lambda 0.7</v>
      </c>
      <c r="BQ87" s="2057">
        <v>31</v>
      </c>
      <c r="BU87" s="2098" t="str">
        <f>Bauteile!B127</f>
        <v>Coton (N)</v>
      </c>
      <c r="BV87" s="1872">
        <f>Bauteile!H127</f>
        <v>5.5E-2</v>
      </c>
      <c r="BW87" s="2098" t="str">
        <f>Bauteile!B383</f>
        <v>TI 135 U, Naturoll 035</v>
      </c>
      <c r="BX87" s="2056">
        <f>Bauteile!H383</f>
        <v>3.5000000000000003E-2</v>
      </c>
    </row>
    <row r="88" spans="2:76" ht="15.6" customHeight="1">
      <c r="B88" s="11">
        <v>3</v>
      </c>
      <c r="C88" s="2212"/>
      <c r="D88" s="2213"/>
      <c r="E88" s="2214"/>
      <c r="F88" s="26"/>
      <c r="G88" s="59">
        <f>INDEX(Bauteile!$H$57:$H$1159,BA88)</f>
        <v>0</v>
      </c>
      <c r="H88" s="312">
        <f t="shared" ref="H88:H93" si="161">IF(G88&lt;&gt;0,F88/100/G88,0)</f>
        <v>0</v>
      </c>
      <c r="J88" s="11">
        <v>3</v>
      </c>
      <c r="K88" s="2212"/>
      <c r="L88" s="2213"/>
      <c r="M88" s="2214"/>
      <c r="N88" s="26"/>
      <c r="O88" s="59">
        <f>INDEX(Bauteile!$H$57:$H$1159,BB88)</f>
        <v>0</v>
      </c>
      <c r="P88" s="312">
        <f t="shared" ref="P88:P93" si="162">IF(O88&lt;&gt;0,N88/100/O88,0)</f>
        <v>0</v>
      </c>
      <c r="S88" s="1039">
        <f t="shared" ref="S88:S93" si="163">IF(AND(W88&gt;0,X88&gt;0),1/LN(1168*X88/(0.2*W88+X88)/14057400000)*(-3928.5)-231.667,)</f>
        <v>0</v>
      </c>
      <c r="T88" s="989">
        <f>IF(SUM(H86:H95)&gt;0,20-T85/SUM(H86:H95)*SUM(H86:H88),20)</f>
        <v>20</v>
      </c>
      <c r="U88" s="1033">
        <f>INDEX(Bauteile!$I$57:$I$1159,BA88)</f>
        <v>0</v>
      </c>
      <c r="V88" s="997">
        <f t="shared" ref="V88:V93" si="164">F88/100</f>
        <v>0</v>
      </c>
      <c r="W88" s="1006">
        <f t="shared" ref="W88:W93" si="165">V88*U88+W87</f>
        <v>0</v>
      </c>
      <c r="X88" s="563">
        <f t="shared" si="151"/>
        <v>0</v>
      </c>
      <c r="Y88" s="931">
        <f t="shared" ref="Y88:Y93" si="166">IF(AND(W88&gt;0,X88&gt;0),Ak/W88-Bk/X88,)</f>
        <v>0</v>
      </c>
      <c r="Z88" s="563" t="b">
        <f t="shared" ref="Z88:Z93" si="167">IF(T88&lt;S88,IF(W88&gt;mj*X88,FALSE,TRUE),FALSE)</f>
        <v>0</v>
      </c>
      <c r="AA88" s="439">
        <f t="shared" si="152"/>
        <v>0</v>
      </c>
      <c r="AB88" s="1009">
        <f t="shared" ref="AB88:AB93" si="168">U87*V87+AB87</f>
        <v>0</v>
      </c>
      <c r="AC88" s="1010">
        <f t="shared" si="153"/>
        <v>0</v>
      </c>
      <c r="AD88" s="931">
        <f t="shared" si="154"/>
        <v>0</v>
      </c>
      <c r="AE88" s="7" t="b">
        <f t="shared" ref="AE88:AE93" si="169">IF(AH88&lt;AG88,IF(AC88&gt;mj*AB88,FALSE,TRUE),FALSE)</f>
        <v>0</v>
      </c>
      <c r="AF88" s="439">
        <f t="shared" si="155"/>
        <v>0</v>
      </c>
      <c r="AG88" s="1040">
        <f t="shared" ref="AG88:AG93" si="170">IF(AND(AB88&gt;0,AC88&gt;0),1/LN(1168*AB88/(0.2*AC88+AB88)/14057400000)*(-3928.5)-231.667,)</f>
        <v>0</v>
      </c>
      <c r="AH88" s="439">
        <f>IF(SUM(H86:H95)&gt;0,20-AH85/SUM(H86:H95)*SUM(H88:H95),20)</f>
        <v>20</v>
      </c>
      <c r="AJ88" s="1039">
        <f t="shared" ref="AJ88:AJ93" si="171">IF(AND(AN88&gt;0,AO88&gt;0),1/LN(1168*AO88/(0.2*AN88+AO88)/14057400000)*(-3928.5)-231.667,)</f>
        <v>0</v>
      </c>
      <c r="AK88" s="989">
        <f>IF(SUM(P86:P95)&gt;0,20-AK85/SUM(P86:P95)*SUM(P86:P88),20)</f>
        <v>20</v>
      </c>
      <c r="AL88" s="1033">
        <f>INDEX(Bauteile!$I$57:$I$1159,BB88)</f>
        <v>0</v>
      </c>
      <c r="AM88" s="997">
        <f t="shared" ref="AM88:AM93" si="172">N88/100</f>
        <v>0</v>
      </c>
      <c r="AN88" s="1006">
        <f t="shared" ref="AN88:AN93" si="173">AM88*AL88+AN87</f>
        <v>0</v>
      </c>
      <c r="AO88" s="563">
        <f t="shared" si="156"/>
        <v>0</v>
      </c>
      <c r="AP88" s="931">
        <f t="shared" ref="AP88:AP93" si="174">IF(AND(AN88&gt;0,AO88&gt;0),Ak/AN88-Bk/AO88,)</f>
        <v>0</v>
      </c>
      <c r="AQ88" s="7" t="b">
        <f t="shared" ref="AQ88:AQ93" si="175">IF(AK88&lt;AJ88,IF(AN88&gt;mj*AO88,FALSE,TRUE),FALSE)</f>
        <v>0</v>
      </c>
      <c r="AR88" s="439">
        <f t="shared" si="157"/>
        <v>0</v>
      </c>
      <c r="AS88" s="5">
        <f t="shared" ref="AS88:AS93" si="176">AL87*AM87+AS87</f>
        <v>0</v>
      </c>
      <c r="AT88" s="1010">
        <f t="shared" si="158"/>
        <v>0</v>
      </c>
      <c r="AU88" s="931">
        <f t="shared" si="159"/>
        <v>0</v>
      </c>
      <c r="AV88" s="7" t="b">
        <f t="shared" ref="AV88:AV93" si="177">IF(AY88&lt;AX88,IF(AT88&gt;mj*AS88,FALSE,TRUE),FALSE)</f>
        <v>0</v>
      </c>
      <c r="AW88" s="439">
        <f t="shared" si="160"/>
        <v>0</v>
      </c>
      <c r="AX88" s="1040">
        <f t="shared" ref="AX88:AX93" si="178">IF(AND(AS88&gt;0,AT88&gt;0),1/LN(1168*AS88/(0.2*AT88+AS88)/14057400000)*(-3928.5)-231.667,)</f>
        <v>0</v>
      </c>
      <c r="AY88" s="439">
        <f>IF(SUM(P86:P95)&gt;0,20-AY85/SUM(P86:P95)*SUM(P88:P95),20)</f>
        <v>20</v>
      </c>
      <c r="BA88" s="341">
        <f t="shared" ref="BA88:BA93" si="179">IF($C88="",1,VLOOKUP($C88,$BP$57:$BQ$1010,2,FALSE))</f>
        <v>1</v>
      </c>
      <c r="BB88" s="1504">
        <f t="shared" ref="BB88:BB93" si="180">IF($K88="",1,VLOOKUP($K88,$BP$57:$BQ$1010,2,FALSE))</f>
        <v>1</v>
      </c>
      <c r="BN88" s="7" t="str">
        <f>Tab!C143</f>
        <v>Hallau</v>
      </c>
      <c r="BO88" s="5">
        <v>35</v>
      </c>
      <c r="BP88" s="118" t="str">
        <f>Bauteile!B88</f>
        <v>Béton d'argile expansée, lambda 1.0</v>
      </c>
      <c r="BQ88" s="2057">
        <v>32</v>
      </c>
      <c r="BU88" s="2098" t="str">
        <f>Bauteile!B128</f>
        <v>Cuivre</v>
      </c>
      <c r="BV88" s="1872">
        <f>Bauteile!H128</f>
        <v>380</v>
      </c>
      <c r="BW88" s="2098" t="str">
        <f>Bauteile!B384</f>
        <v>TI 140 W, TP 115</v>
      </c>
      <c r="BX88" s="2056">
        <f>Bauteile!H384</f>
        <v>3.6999999999999998E-2</v>
      </c>
    </row>
    <row r="89" spans="2:76" ht="15.6" customHeight="1">
      <c r="B89" s="11">
        <v>4</v>
      </c>
      <c r="C89" s="2212"/>
      <c r="D89" s="2213"/>
      <c r="E89" s="2214"/>
      <c r="F89" s="26"/>
      <c r="G89" s="59">
        <f>INDEX(Bauteile!$H$57:$H$1159,BA89)</f>
        <v>0</v>
      </c>
      <c r="H89" s="312">
        <f t="shared" si="161"/>
        <v>0</v>
      </c>
      <c r="J89" s="11">
        <v>4</v>
      </c>
      <c r="K89" s="2212"/>
      <c r="L89" s="2213"/>
      <c r="M89" s="2214"/>
      <c r="N89" s="26"/>
      <c r="O89" s="59">
        <f>INDEX(Bauteile!$H$57:$H$1159,BB89)</f>
        <v>0</v>
      </c>
      <c r="P89" s="312">
        <f t="shared" si="162"/>
        <v>0</v>
      </c>
      <c r="S89" s="1039">
        <f t="shared" si="163"/>
        <v>0</v>
      </c>
      <c r="T89" s="989">
        <f>IF(SUM(H86:H95)&gt;0,20-T85/SUM(H86:H95)*SUM(H86:H89),20)</f>
        <v>20</v>
      </c>
      <c r="U89" s="1033">
        <f>INDEX(Bauteile!$I$57:$I$1159,BA89)</f>
        <v>0</v>
      </c>
      <c r="V89" s="997">
        <f t="shared" si="164"/>
        <v>0</v>
      </c>
      <c r="W89" s="1006">
        <f t="shared" si="165"/>
        <v>0</v>
      </c>
      <c r="X89" s="563">
        <f t="shared" si="151"/>
        <v>0</v>
      </c>
      <c r="Y89" s="931">
        <f t="shared" si="166"/>
        <v>0</v>
      </c>
      <c r="Z89" s="563" t="b">
        <f t="shared" si="167"/>
        <v>0</v>
      </c>
      <c r="AA89" s="439">
        <f t="shared" si="152"/>
        <v>0</v>
      </c>
      <c r="AB89" s="1009">
        <f t="shared" si="168"/>
        <v>0</v>
      </c>
      <c r="AC89" s="1010">
        <f t="shared" si="153"/>
        <v>0</v>
      </c>
      <c r="AD89" s="931">
        <f t="shared" si="154"/>
        <v>0</v>
      </c>
      <c r="AE89" s="7" t="b">
        <f t="shared" si="169"/>
        <v>0</v>
      </c>
      <c r="AF89" s="439">
        <f t="shared" si="155"/>
        <v>0</v>
      </c>
      <c r="AG89" s="1040">
        <f t="shared" si="170"/>
        <v>0</v>
      </c>
      <c r="AH89" s="439">
        <f>IF(SUM(H86:H95)&gt;0,20-AH85/SUM(H86:H95)*SUM(H89:H95),20)</f>
        <v>20</v>
      </c>
      <c r="AJ89" s="1039">
        <f t="shared" si="171"/>
        <v>0</v>
      </c>
      <c r="AK89" s="989">
        <f>IF(SUM(P86:P95)&gt;0,20-AK85/SUM(P86:P95)*SUM(P86:P89),20)</f>
        <v>20</v>
      </c>
      <c r="AL89" s="1033">
        <f>INDEX(Bauteile!$I$57:$I$1159,BB89)</f>
        <v>0</v>
      </c>
      <c r="AM89" s="997">
        <f t="shared" si="172"/>
        <v>0</v>
      </c>
      <c r="AN89" s="1006">
        <f t="shared" si="173"/>
        <v>0</v>
      </c>
      <c r="AO89" s="563">
        <f t="shared" si="156"/>
        <v>0</v>
      </c>
      <c r="AP89" s="931">
        <f t="shared" si="174"/>
        <v>0</v>
      </c>
      <c r="AQ89" s="7" t="b">
        <f t="shared" si="175"/>
        <v>0</v>
      </c>
      <c r="AR89" s="439">
        <f t="shared" si="157"/>
        <v>0</v>
      </c>
      <c r="AS89" s="5">
        <f t="shared" si="176"/>
        <v>0</v>
      </c>
      <c r="AT89" s="1010">
        <f t="shared" si="158"/>
        <v>0</v>
      </c>
      <c r="AU89" s="931">
        <f t="shared" si="159"/>
        <v>0</v>
      </c>
      <c r="AV89" s="7" t="b">
        <f t="shared" si="177"/>
        <v>0</v>
      </c>
      <c r="AW89" s="439">
        <f t="shared" si="160"/>
        <v>0</v>
      </c>
      <c r="AX89" s="1040">
        <f t="shared" si="178"/>
        <v>0</v>
      </c>
      <c r="AY89" s="439">
        <f>IF(SUM(P86:P95)&gt;0,20-AY85/SUM(P86:P95)*SUM(P89:P95),20)</f>
        <v>20</v>
      </c>
      <c r="BA89" s="341">
        <f t="shared" si="179"/>
        <v>1</v>
      </c>
      <c r="BB89" s="1504">
        <f t="shared" si="180"/>
        <v>1</v>
      </c>
      <c r="BN89" s="7" t="str">
        <f>Tab!C144</f>
        <v>Heiden</v>
      </c>
      <c r="BO89" s="5">
        <v>36</v>
      </c>
      <c r="BP89" s="118" t="str">
        <f>Bauteile!B89</f>
        <v>Béton Béton cellulaire (densité 1000)</v>
      </c>
      <c r="BQ89" s="2057">
        <v>33</v>
      </c>
      <c r="BU89" s="2098">
        <f>Bauteile!B129</f>
        <v>0</v>
      </c>
      <c r="BV89" s="1872">
        <f>Bauteile!H129</f>
        <v>0</v>
      </c>
      <c r="BW89" s="2098" t="str">
        <f>Bauteile!B385</f>
        <v>SAGLAN (030) FA 50 Carbolane</v>
      </c>
      <c r="BX89" s="2056">
        <f>Bauteile!H385</f>
        <v>0.03</v>
      </c>
    </row>
    <row r="90" spans="2:76" ht="15.6" customHeight="1">
      <c r="B90" s="11">
        <v>5</v>
      </c>
      <c r="C90" s="2212"/>
      <c r="D90" s="2213"/>
      <c r="E90" s="2214"/>
      <c r="F90" s="26"/>
      <c r="G90" s="59">
        <f>INDEX(Bauteile!$H$57:$H$1159,BA90)</f>
        <v>0</v>
      </c>
      <c r="H90" s="312">
        <f t="shared" si="161"/>
        <v>0</v>
      </c>
      <c r="J90" s="11">
        <v>5</v>
      </c>
      <c r="K90" s="2212"/>
      <c r="L90" s="2213"/>
      <c r="M90" s="2214"/>
      <c r="N90" s="26"/>
      <c r="O90" s="59">
        <f>INDEX(Bauteile!$H$57:$H$1159,BB90)</f>
        <v>0</v>
      </c>
      <c r="P90" s="312">
        <f t="shared" si="162"/>
        <v>0</v>
      </c>
      <c r="S90" s="1039">
        <f t="shared" si="163"/>
        <v>0</v>
      </c>
      <c r="T90" s="989">
        <f>IF(SUM(H86:H95)&gt;0,20-T85/SUM(H86:H95)*SUM(H86:H90),20)</f>
        <v>20</v>
      </c>
      <c r="U90" s="1033">
        <f>INDEX(Bauteile!$I$57:$I$1159,BA90)</f>
        <v>0</v>
      </c>
      <c r="V90" s="997">
        <f t="shared" si="164"/>
        <v>0</v>
      </c>
      <c r="W90" s="1006">
        <f t="shared" si="165"/>
        <v>0</v>
      </c>
      <c r="X90" s="563">
        <f t="shared" si="151"/>
        <v>0</v>
      </c>
      <c r="Y90" s="931">
        <f t="shared" si="166"/>
        <v>0</v>
      </c>
      <c r="Z90" s="563" t="b">
        <f t="shared" si="167"/>
        <v>0</v>
      </c>
      <c r="AA90" s="439">
        <f t="shared" si="152"/>
        <v>0</v>
      </c>
      <c r="AB90" s="1009">
        <f t="shared" si="168"/>
        <v>0</v>
      </c>
      <c r="AC90" s="1010">
        <f t="shared" si="153"/>
        <v>0</v>
      </c>
      <c r="AD90" s="931">
        <f t="shared" si="154"/>
        <v>0</v>
      </c>
      <c r="AE90" s="7" t="b">
        <f t="shared" si="169"/>
        <v>0</v>
      </c>
      <c r="AF90" s="439">
        <f t="shared" si="155"/>
        <v>0</v>
      </c>
      <c r="AG90" s="1040">
        <f t="shared" si="170"/>
        <v>0</v>
      </c>
      <c r="AH90" s="439">
        <f>IF(SUM(H86:H95)&gt;0,20-AH85/SUM(H86:H95)*SUM(H90:H95),20)</f>
        <v>20</v>
      </c>
      <c r="AJ90" s="1039">
        <f t="shared" si="171"/>
        <v>0</v>
      </c>
      <c r="AK90" s="989">
        <f>IF(SUM(P86:P95)&gt;0,20-AK85/SUM(P86:P95)*SUM(P86:P90),20)</f>
        <v>20</v>
      </c>
      <c r="AL90" s="1033">
        <f>INDEX(Bauteile!$I$57:$I$1159,BB90)</f>
        <v>0</v>
      </c>
      <c r="AM90" s="997">
        <f t="shared" si="172"/>
        <v>0</v>
      </c>
      <c r="AN90" s="1006">
        <f t="shared" si="173"/>
        <v>0</v>
      </c>
      <c r="AO90" s="563">
        <f t="shared" si="156"/>
        <v>0</v>
      </c>
      <c r="AP90" s="931">
        <f t="shared" si="174"/>
        <v>0</v>
      </c>
      <c r="AQ90" s="7" t="b">
        <f t="shared" si="175"/>
        <v>0</v>
      </c>
      <c r="AR90" s="439">
        <f t="shared" si="157"/>
        <v>0</v>
      </c>
      <c r="AS90" s="5">
        <f t="shared" si="176"/>
        <v>0</v>
      </c>
      <c r="AT90" s="1010">
        <f t="shared" si="158"/>
        <v>0</v>
      </c>
      <c r="AU90" s="931">
        <f t="shared" si="159"/>
        <v>0</v>
      </c>
      <c r="AV90" s="7" t="b">
        <f t="shared" si="177"/>
        <v>0</v>
      </c>
      <c r="AW90" s="439">
        <f t="shared" si="160"/>
        <v>0</v>
      </c>
      <c r="AX90" s="1040">
        <f t="shared" si="178"/>
        <v>0</v>
      </c>
      <c r="AY90" s="439">
        <f>IF(SUM(P86:P95)&gt;0,20-AY85/SUM(P86:P95)*SUM(P90:P95),20)</f>
        <v>20</v>
      </c>
      <c r="BA90" s="341">
        <f t="shared" si="179"/>
        <v>1</v>
      </c>
      <c r="BB90" s="1504">
        <f t="shared" si="180"/>
        <v>1</v>
      </c>
      <c r="BN90" s="7" t="str">
        <f>Tab!C145</f>
        <v>Interlaken</v>
      </c>
      <c r="BO90" s="5">
        <v>37</v>
      </c>
      <c r="BP90" s="118" t="str">
        <f>Bauteile!B90</f>
        <v>Béton Béton cellulaire (densité 1250)</v>
      </c>
      <c r="BQ90" s="2057">
        <v>34</v>
      </c>
      <c r="BU90" s="2098" t="str">
        <f>Bauteile!B130</f>
        <v>Eau 10 °C</v>
      </c>
      <c r="BV90" s="1872">
        <f>Bauteile!H130</f>
        <v>0.57999999999999996</v>
      </c>
      <c r="BW90" s="2098" t="str">
        <f>Bauteile!B386</f>
        <v>SAGLAN (033) TW 33 / TWR 33</v>
      </c>
      <c r="BX90" s="2056">
        <f>Bauteile!H386</f>
        <v>3.3000000000000002E-2</v>
      </c>
    </row>
    <row r="91" spans="2:76" ht="15.6" customHeight="1">
      <c r="B91" s="11">
        <v>6</v>
      </c>
      <c r="C91" s="2212"/>
      <c r="D91" s="2213"/>
      <c r="E91" s="2214"/>
      <c r="F91" s="26"/>
      <c r="G91" s="59">
        <f>INDEX(Bauteile!$H$57:$H$1159,BA91)</f>
        <v>0</v>
      </c>
      <c r="H91" s="312">
        <f t="shared" si="161"/>
        <v>0</v>
      </c>
      <c r="J91" s="11">
        <v>6</v>
      </c>
      <c r="K91" s="2212"/>
      <c r="L91" s="2213"/>
      <c r="M91" s="2214"/>
      <c r="N91" s="26"/>
      <c r="O91" s="59">
        <f>INDEX(Bauteile!$H$57:$H$1159,BB91)</f>
        <v>0</v>
      </c>
      <c r="P91" s="312">
        <f t="shared" si="162"/>
        <v>0</v>
      </c>
      <c r="S91" s="1039">
        <f t="shared" si="163"/>
        <v>0</v>
      </c>
      <c r="T91" s="989">
        <f>IF(SUM(H86:H95)&gt;0,20-T85/SUM(H86:H95)*SUM(H86:H91),20)</f>
        <v>20</v>
      </c>
      <c r="U91" s="1033">
        <f>INDEX(Bauteile!$I$57:$I$1159,BA91)</f>
        <v>0</v>
      </c>
      <c r="V91" s="997">
        <f t="shared" si="164"/>
        <v>0</v>
      </c>
      <c r="W91" s="1006">
        <f t="shared" si="165"/>
        <v>0</v>
      </c>
      <c r="X91" s="563">
        <f t="shared" si="151"/>
        <v>0</v>
      </c>
      <c r="Y91" s="931">
        <f t="shared" si="166"/>
        <v>0</v>
      </c>
      <c r="Z91" s="563" t="b">
        <f t="shared" si="167"/>
        <v>0</v>
      </c>
      <c r="AA91" s="439">
        <f t="shared" si="152"/>
        <v>0</v>
      </c>
      <c r="AB91" s="1009">
        <f t="shared" si="168"/>
        <v>0</v>
      </c>
      <c r="AC91" s="1010">
        <f t="shared" si="153"/>
        <v>0</v>
      </c>
      <c r="AD91" s="931">
        <f t="shared" si="154"/>
        <v>0</v>
      </c>
      <c r="AE91" s="7" t="b">
        <f t="shared" si="169"/>
        <v>0</v>
      </c>
      <c r="AF91" s="439">
        <f t="shared" si="155"/>
        <v>0</v>
      </c>
      <c r="AG91" s="1040">
        <f t="shared" si="170"/>
        <v>0</v>
      </c>
      <c r="AH91" s="439">
        <f>IF(SUM(H86:H95)&gt;0,20-AH85/SUM(H86:H95)*SUM(H91:H95),20)</f>
        <v>20</v>
      </c>
      <c r="AJ91" s="1039">
        <f t="shared" si="171"/>
        <v>0</v>
      </c>
      <c r="AK91" s="989">
        <f>IF(SUM(P86:P95)&gt;0,20-AK85/SUM(P86:P95)*SUM(P86:P91),20)</f>
        <v>20</v>
      </c>
      <c r="AL91" s="1033">
        <f>INDEX(Bauteile!$I$57:$I$1159,BB91)</f>
        <v>0</v>
      </c>
      <c r="AM91" s="997">
        <f t="shared" si="172"/>
        <v>0</v>
      </c>
      <c r="AN91" s="1006">
        <f t="shared" si="173"/>
        <v>0</v>
      </c>
      <c r="AO91" s="563">
        <f t="shared" si="156"/>
        <v>0</v>
      </c>
      <c r="AP91" s="931">
        <f t="shared" si="174"/>
        <v>0</v>
      </c>
      <c r="AQ91" s="7" t="b">
        <f t="shared" si="175"/>
        <v>0</v>
      </c>
      <c r="AR91" s="439">
        <f t="shared" si="157"/>
        <v>0</v>
      </c>
      <c r="AS91" s="5">
        <f t="shared" si="176"/>
        <v>0</v>
      </c>
      <c r="AT91" s="1010">
        <f t="shared" si="158"/>
        <v>0</v>
      </c>
      <c r="AU91" s="931">
        <f t="shared" si="159"/>
        <v>0</v>
      </c>
      <c r="AV91" s="7" t="b">
        <f t="shared" si="177"/>
        <v>0</v>
      </c>
      <c r="AW91" s="439">
        <f t="shared" si="160"/>
        <v>0</v>
      </c>
      <c r="AX91" s="1040">
        <f t="shared" si="178"/>
        <v>0</v>
      </c>
      <c r="AY91" s="439">
        <f>IF(SUM(P86:P95)&gt;0,20-AY85/SUM(P86:P95)*SUM(P91:P95),20)</f>
        <v>20</v>
      </c>
      <c r="BA91" s="341">
        <f t="shared" si="179"/>
        <v>1</v>
      </c>
      <c r="BB91" s="1504">
        <f t="shared" si="180"/>
        <v>1</v>
      </c>
      <c r="BN91" s="7" t="str">
        <f>Tab!C146</f>
        <v>Jungfraujoch</v>
      </c>
      <c r="BO91" s="5">
        <v>38</v>
      </c>
      <c r="BP91" s="118" t="str">
        <f>Bauteile!B91</f>
        <v>Béton Béton cellulaire (densité 1500)</v>
      </c>
      <c r="BQ91" s="2057">
        <v>35</v>
      </c>
      <c r="BU91" s="2098" t="str">
        <f>Bauteile!B131</f>
        <v>-Enduits</v>
      </c>
      <c r="BV91" s="1872">
        <f>Bauteile!H131</f>
        <v>0</v>
      </c>
      <c r="BW91" s="2098" t="str">
        <f>Bauteile!B387</f>
        <v>SAGLAN (038) DF 100</v>
      </c>
      <c r="BX91" s="2056">
        <f>Bauteile!H387</f>
        <v>3.7999999999999999E-2</v>
      </c>
    </row>
    <row r="92" spans="2:76" ht="15.6" customHeight="1">
      <c r="B92" s="11">
        <v>7</v>
      </c>
      <c r="C92" s="2212"/>
      <c r="D92" s="2213"/>
      <c r="E92" s="2214"/>
      <c r="F92" s="26"/>
      <c r="G92" s="59">
        <f>INDEX(Bauteile!$H$57:$H$1159,BA92)</f>
        <v>0</v>
      </c>
      <c r="H92" s="312">
        <f t="shared" si="161"/>
        <v>0</v>
      </c>
      <c r="J92" s="11">
        <v>7</v>
      </c>
      <c r="K92" s="2212"/>
      <c r="L92" s="2213"/>
      <c r="M92" s="2214"/>
      <c r="N92" s="26"/>
      <c r="O92" s="59">
        <f>INDEX(Bauteile!$H$57:$H$1159,BB92)</f>
        <v>0</v>
      </c>
      <c r="P92" s="312">
        <f t="shared" si="162"/>
        <v>0</v>
      </c>
      <c r="S92" s="1039">
        <f t="shared" si="163"/>
        <v>0</v>
      </c>
      <c r="T92" s="989">
        <f>IF(SUM(H86:H95)&gt;0,20-T85/SUM(H86:H95)*SUM(H86:H92),20)</f>
        <v>20</v>
      </c>
      <c r="U92" s="1033">
        <f>INDEX(Bauteile!$I$57:$I$1159,BA92)</f>
        <v>0</v>
      </c>
      <c r="V92" s="997">
        <f t="shared" si="164"/>
        <v>0</v>
      </c>
      <c r="W92" s="1006">
        <f t="shared" si="165"/>
        <v>0</v>
      </c>
      <c r="X92" s="563">
        <f t="shared" si="151"/>
        <v>0</v>
      </c>
      <c r="Y92" s="931">
        <f t="shared" si="166"/>
        <v>0</v>
      </c>
      <c r="Z92" s="563" t="b">
        <f t="shared" si="167"/>
        <v>0</v>
      </c>
      <c r="AA92" s="439">
        <f t="shared" si="152"/>
        <v>0</v>
      </c>
      <c r="AB92" s="1009">
        <f t="shared" si="168"/>
        <v>0</v>
      </c>
      <c r="AC92" s="1010">
        <f t="shared" si="153"/>
        <v>0</v>
      </c>
      <c r="AD92" s="931">
        <f t="shared" si="154"/>
        <v>0</v>
      </c>
      <c r="AE92" s="7" t="b">
        <f t="shared" si="169"/>
        <v>0</v>
      </c>
      <c r="AF92" s="439">
        <f t="shared" si="155"/>
        <v>0</v>
      </c>
      <c r="AG92" s="1040">
        <f t="shared" si="170"/>
        <v>0</v>
      </c>
      <c r="AH92" s="439">
        <f>IF(SUM(H86:H95)&gt;0,20-AH85/SUM(H86:H95)*SUM(H92:H95),20)</f>
        <v>20</v>
      </c>
      <c r="AJ92" s="1039">
        <f t="shared" si="171"/>
        <v>0</v>
      </c>
      <c r="AK92" s="989">
        <f>IF(SUM(P86:P95)&gt;0,20-AK85/SUM(P86:P95)*SUM(P86:P92),20)</f>
        <v>20</v>
      </c>
      <c r="AL92" s="1033">
        <f>INDEX(Bauteile!$I$57:$I$1159,BB92)</f>
        <v>0</v>
      </c>
      <c r="AM92" s="997">
        <f t="shared" si="172"/>
        <v>0</v>
      </c>
      <c r="AN92" s="1006">
        <f t="shared" si="173"/>
        <v>0</v>
      </c>
      <c r="AO92" s="563">
        <f t="shared" si="156"/>
        <v>0</v>
      </c>
      <c r="AP92" s="931">
        <f t="shared" si="174"/>
        <v>0</v>
      </c>
      <c r="AQ92" s="7" t="b">
        <f t="shared" si="175"/>
        <v>0</v>
      </c>
      <c r="AR92" s="439">
        <f t="shared" si="157"/>
        <v>0</v>
      </c>
      <c r="AS92" s="5">
        <f t="shared" si="176"/>
        <v>0</v>
      </c>
      <c r="AT92" s="1010">
        <f t="shared" si="158"/>
        <v>0</v>
      </c>
      <c r="AU92" s="931">
        <f t="shared" si="159"/>
        <v>0</v>
      </c>
      <c r="AV92" s="7" t="b">
        <f t="shared" si="177"/>
        <v>0</v>
      </c>
      <c r="AW92" s="439">
        <f t="shared" si="160"/>
        <v>0</v>
      </c>
      <c r="AX92" s="1040">
        <f t="shared" si="178"/>
        <v>0</v>
      </c>
      <c r="AY92" s="439">
        <f>IF(SUM(P86:P95)&gt;0,20-AY85/SUM(P86:P95)*SUM(P92:P95),20)</f>
        <v>20</v>
      </c>
      <c r="BA92" s="341">
        <f t="shared" si="179"/>
        <v>1</v>
      </c>
      <c r="BB92" s="1504">
        <f t="shared" si="180"/>
        <v>1</v>
      </c>
      <c r="BN92" s="7" t="str">
        <f>Tab!C147</f>
        <v>Kreuzlingen</v>
      </c>
      <c r="BO92" s="5">
        <v>39</v>
      </c>
      <c r="BP92" s="118" t="str">
        <f>Bauteile!B92</f>
        <v>Béton Béton cellulaire (densité 1700)</v>
      </c>
      <c r="BQ92" s="2057">
        <v>36</v>
      </c>
      <c r="BU92" s="2098" t="str">
        <f>Bauteile!B132</f>
        <v>Enduit à la fausse résine m=50</v>
      </c>
      <c r="BV92" s="1872">
        <f>Bauteile!H132</f>
        <v>0.7</v>
      </c>
      <c r="BW92" s="2098" t="str">
        <f>Bauteile!B388</f>
        <v>SAGLAN (032) ST 100</v>
      </c>
      <c r="BX92" s="2056">
        <f>Bauteile!H388</f>
        <v>3.2000000000000001E-2</v>
      </c>
    </row>
    <row r="93" spans="2:76" ht="15.6" customHeight="1" thickBot="1">
      <c r="B93" s="11">
        <v>8</v>
      </c>
      <c r="C93" s="2212"/>
      <c r="D93" s="2213"/>
      <c r="E93" s="2214"/>
      <c r="F93" s="26"/>
      <c r="G93" s="59">
        <f>INDEX(Bauteile!$H$57:$H$1159,BA93)</f>
        <v>0</v>
      </c>
      <c r="H93" s="312">
        <f t="shared" si="161"/>
        <v>0</v>
      </c>
      <c r="J93" s="11">
        <v>8</v>
      </c>
      <c r="K93" s="2212"/>
      <c r="L93" s="2213"/>
      <c r="M93" s="2214"/>
      <c r="N93" s="26"/>
      <c r="O93" s="59">
        <f>INDEX(Bauteile!$H$57:$H$1159,BB93)</f>
        <v>0</v>
      </c>
      <c r="P93" s="312">
        <f t="shared" si="162"/>
        <v>0</v>
      </c>
      <c r="S93" s="1041">
        <f t="shared" si="163"/>
        <v>0</v>
      </c>
      <c r="T93" s="1014">
        <f>IF(SUM(H86:H95)&gt;0,20-T85/SUM(H86:H95)*SUM(H86:H93),20)</f>
        <v>20</v>
      </c>
      <c r="U93" s="1033">
        <f>INDEX(Bauteile!$I$57:$I$1159,BA93)</f>
        <v>0</v>
      </c>
      <c r="V93" s="997">
        <f t="shared" si="164"/>
        <v>0</v>
      </c>
      <c r="W93" s="1004">
        <f t="shared" si="165"/>
        <v>0</v>
      </c>
      <c r="X93" s="11"/>
      <c r="Y93" s="1042">
        <f t="shared" si="166"/>
        <v>0</v>
      </c>
      <c r="Z93" s="11" t="b">
        <f t="shared" si="167"/>
        <v>0</v>
      </c>
      <c r="AA93" s="1043"/>
      <c r="AB93" s="1011">
        <f t="shared" si="168"/>
        <v>0</v>
      </c>
      <c r="AC93" s="1012">
        <f>V93*U93</f>
        <v>0</v>
      </c>
      <c r="AD93" s="1042">
        <f>IF(AND(AB93&gt;0,AC93&gt;0),Ak/AC93-Bk/AB93,)</f>
        <v>0</v>
      </c>
      <c r="AE93" s="9" t="b">
        <f t="shared" si="169"/>
        <v>0</v>
      </c>
      <c r="AF93" s="1043"/>
      <c r="AG93" s="1044">
        <f t="shared" si="170"/>
        <v>0</v>
      </c>
      <c r="AH93" s="1043">
        <f>IF(SUM(H86:H95)&gt;0,20-AH85/SUM(H86:H95)*SUM(H93:H95),20)</f>
        <v>20</v>
      </c>
      <c r="AJ93" s="1041">
        <f t="shared" si="171"/>
        <v>0</v>
      </c>
      <c r="AK93" s="1014">
        <f>IF(SUM(P86:P95)&gt;0,20-AK85/SUM(P86:P95)*SUM(P86:P93),20)</f>
        <v>20</v>
      </c>
      <c r="AL93" s="1033">
        <f>INDEX(Bauteile!$I$57:$I$1159,BB93)</f>
        <v>0</v>
      </c>
      <c r="AM93" s="997">
        <f t="shared" si="172"/>
        <v>0</v>
      </c>
      <c r="AN93" s="1004">
        <f t="shared" si="173"/>
        <v>0</v>
      </c>
      <c r="AO93" s="11"/>
      <c r="AP93" s="1042">
        <f t="shared" si="174"/>
        <v>0</v>
      </c>
      <c r="AQ93" s="9" t="b">
        <f t="shared" si="175"/>
        <v>0</v>
      </c>
      <c r="AR93" s="1043"/>
      <c r="AS93" s="10">
        <f t="shared" si="176"/>
        <v>0</v>
      </c>
      <c r="AT93" s="1012">
        <f>AM93*AL93</f>
        <v>0</v>
      </c>
      <c r="AU93" s="1042">
        <f>IF(AND(AS93&gt;0,AT93&gt;0),Ak/AT93-Bk/AS93,)</f>
        <v>0</v>
      </c>
      <c r="AV93" s="9" t="b">
        <f t="shared" si="177"/>
        <v>0</v>
      </c>
      <c r="AW93" s="1043"/>
      <c r="AX93" s="1044">
        <f t="shared" si="178"/>
        <v>0</v>
      </c>
      <c r="AY93" s="1043">
        <f>IF(SUM(P86:P95)&gt;0,20-AY85/SUM(P86:P95)*SUM(P93:P95),20)</f>
        <v>20</v>
      </c>
      <c r="BA93" s="341">
        <f t="shared" si="179"/>
        <v>1</v>
      </c>
      <c r="BB93" s="1504">
        <f t="shared" si="180"/>
        <v>1</v>
      </c>
      <c r="BN93" s="7" t="str">
        <f>Tab!C148</f>
        <v>La Chaux-de-Fonds</v>
      </c>
      <c r="BO93" s="5">
        <v>40</v>
      </c>
      <c r="BP93" s="118" t="str">
        <f>Bauteile!B93</f>
        <v>-Bitume</v>
      </c>
      <c r="BQ93" s="2057">
        <v>37</v>
      </c>
      <c r="BU93" s="2098" t="str">
        <f>Bauteile!B133</f>
        <v>Enduit à la fausse résine m=140</v>
      </c>
      <c r="BV93" s="1872">
        <f>Bauteile!H133</f>
        <v>0.9</v>
      </c>
      <c r="BW93" s="2098" t="str">
        <f>Bauteile!B389</f>
        <v>SAGLAN (034) SBR / SBR chevrons / SAGLAN T-P HT 400 KA</v>
      </c>
      <c r="BX93" s="2056">
        <f>Bauteile!H389</f>
        <v>3.4000000000000002E-2</v>
      </c>
    </row>
    <row r="94" spans="2:76" ht="15.6" customHeight="1" thickBot="1">
      <c r="B94" s="11">
        <v>9</v>
      </c>
      <c r="C94" s="2212"/>
      <c r="D94" s="2213"/>
      <c r="E94" s="2214"/>
      <c r="F94" s="10"/>
      <c r="G94" s="59">
        <f>INDEX(Bauteile!$P$284:$P$296,BA94,1)</f>
        <v>0</v>
      </c>
      <c r="H94" s="312">
        <f>IF(G94=0,0,1/G94)</f>
        <v>0</v>
      </c>
      <c r="J94" s="11">
        <v>9</v>
      </c>
      <c r="K94" s="2212"/>
      <c r="L94" s="2213"/>
      <c r="M94" s="2214"/>
      <c r="N94" s="10"/>
      <c r="O94" s="59">
        <f>INDEX(Bauteile!$P$284:$P$296,BB94,1)</f>
        <v>0</v>
      </c>
      <c r="P94" s="312">
        <f>IF(O94=0,0,1/O94)</f>
        <v>0</v>
      </c>
      <c r="S94" s="1045"/>
      <c r="T94" s="1046"/>
      <c r="U94" s="1047" t="b">
        <f>IF(AND(V84,V85&lt;&gt;TRUE),Z94,IF(AND(V85,V84&lt;&gt;TRUE),AE94,FALSE))</f>
        <v>0</v>
      </c>
      <c r="V94" s="1015" t="str">
        <f>IF(AND(V84,V85&lt;&gt;TRUE),AA94,IF(AND(V85,V84&lt;&gt;TRUE),AF94,""))</f>
        <v/>
      </c>
      <c r="W94" s="990"/>
      <c r="X94" s="991"/>
      <c r="Y94" s="991"/>
      <c r="Z94" s="1048" t="b">
        <f>IF(OR(Z87,Z88,Z89,Z90,Z91,Z92,Z93),TRUE,FALSE)</f>
        <v>0</v>
      </c>
      <c r="AA94" s="993">
        <f>MAX(AA87:AA93)</f>
        <v>0</v>
      </c>
      <c r="AB94" s="990"/>
      <c r="AC94" s="991"/>
      <c r="AD94" s="991"/>
      <c r="AE94" s="1048" t="b">
        <f>IF(OR(AE87,AE88,AE89,AE90,AE91,AE92,AE93),TRUE,FALSE)</f>
        <v>0</v>
      </c>
      <c r="AF94" s="1049">
        <f>MAX(AF87:AF93)</f>
        <v>0</v>
      </c>
      <c r="AG94" s="1045"/>
      <c r="AH94" s="1046"/>
      <c r="AJ94" s="1045"/>
      <c r="AK94" s="1046"/>
      <c r="AL94" s="1047" t="b">
        <f>IF(AND(AM84,AM85&lt;&gt;TRUE),AQ94,IF(AND(AM85,AM84&lt;&gt;TRUE),AV94,FALSE))</f>
        <v>0</v>
      </c>
      <c r="AM94" s="1015" t="str">
        <f>IF(AND(AM84,AM85&lt;&gt;TRUE),AR94,IF(AND(AM85,AM84&lt;&gt;TRUE),AW94,""))</f>
        <v/>
      </c>
      <c r="AN94" s="990"/>
      <c r="AO94" s="991"/>
      <c r="AP94" s="991"/>
      <c r="AQ94" s="1048" t="b">
        <f>IF(OR(AQ87,AQ88,AQ89,AQ90,AQ91,AQ92,AQ93),TRUE,FALSE)</f>
        <v>0</v>
      </c>
      <c r="AR94" s="1049">
        <f>MAX(AR87:AR93)</f>
        <v>0</v>
      </c>
      <c r="AS94" s="990"/>
      <c r="AT94" s="991"/>
      <c r="AU94" s="991"/>
      <c r="AV94" s="1048" t="b">
        <f>IF(OR(AV87,AV88,AV89,AV90,AV91,AV92,AV93),TRUE,FALSE)</f>
        <v>0</v>
      </c>
      <c r="AW94" s="1049">
        <f>MAX(AW87:AW93)</f>
        <v>0</v>
      </c>
      <c r="AX94" s="1045"/>
      <c r="AY94" s="1046"/>
      <c r="BA94" s="341">
        <f>IF($C94="",1,VLOOKUP($C94,$BR$40:$BS$52,2,FALSE))</f>
        <v>1</v>
      </c>
      <c r="BB94" s="1504">
        <f>IF($K94="",1,VLOOKUP($K94,$BR$40:$BS$52,2,FALSE))</f>
        <v>1</v>
      </c>
      <c r="BN94" s="7" t="str">
        <f>Tab!C149</f>
        <v>Langenbruck</v>
      </c>
      <c r="BO94" s="5">
        <v>41</v>
      </c>
      <c r="BP94" s="118" t="str">
        <f>Bauteile!B94</f>
        <v>Bitume V60</v>
      </c>
      <c r="BQ94" s="2057">
        <v>38</v>
      </c>
      <c r="BU94" s="2098" t="str">
        <f>Bauteile!B134</f>
        <v>Enduit à la fausse résine m=200</v>
      </c>
      <c r="BV94" s="1872">
        <f>Bauteile!H134</f>
        <v>0.7</v>
      </c>
      <c r="BW94" s="2098" t="str">
        <f>Bauteile!B390</f>
        <v>SAGLAN (034) SB 22</v>
      </c>
      <c r="BX94" s="2056">
        <f>Bauteile!H390</f>
        <v>3.4000000000000002E-2</v>
      </c>
    </row>
    <row r="95" spans="2:76" ht="15.6" customHeight="1">
      <c r="B95" s="11">
        <v>10</v>
      </c>
      <c r="C95" s="2212"/>
      <c r="D95" s="2213"/>
      <c r="E95" s="2214"/>
      <c r="F95" s="10"/>
      <c r="G95" s="59">
        <f>INDEX(Bauteile!$O$280:$O$282,BA95)</f>
        <v>0</v>
      </c>
      <c r="H95" s="312">
        <f>IF(G95=0,0,1/G95)</f>
        <v>0</v>
      </c>
      <c r="J95" s="11">
        <v>10</v>
      </c>
      <c r="K95" s="2212"/>
      <c r="L95" s="2213"/>
      <c r="M95" s="2214"/>
      <c r="N95" s="10"/>
      <c r="O95" s="59">
        <f>INDEX(Bauteile!$O$280:$O$282,BB95)</f>
        <v>0</v>
      </c>
      <c r="P95" s="312">
        <f>IF(O95=0,0,1/O95)</f>
        <v>0</v>
      </c>
      <c r="T95" s="470"/>
      <c r="U95" s="470"/>
      <c r="V95" s="470"/>
      <c r="W95" s="470"/>
      <c r="X95" s="470"/>
      <c r="Y95" s="470"/>
      <c r="Z95" s="470"/>
      <c r="AA95" s="470"/>
      <c r="AB95" s="470"/>
      <c r="AC95" s="470"/>
      <c r="AD95" s="470"/>
      <c r="AE95" s="470"/>
      <c r="AF95" s="470"/>
      <c r="AG95" s="470"/>
      <c r="BA95" s="340">
        <f>IF($C95="",3,VLOOKUP($C95,$BR$36:$BS$38,2,FALSE))</f>
        <v>3</v>
      </c>
      <c r="BB95" s="1505">
        <f>IF($K95="",3,VLOOKUP($K95,$BR$36:$BS$38,2,FALSE))</f>
        <v>3</v>
      </c>
      <c r="BN95" s="7" t="str">
        <f>Tab!C150</f>
        <v>Langnau i.E.</v>
      </c>
      <c r="BO95" s="5">
        <v>42</v>
      </c>
      <c r="BP95" s="118" t="str">
        <f>Bauteile!B95</f>
        <v>Bitume F3+J2+V60</v>
      </c>
      <c r="BQ95" s="2057">
        <v>39</v>
      </c>
      <c r="BU95" s="2098" t="str">
        <f>Bauteile!B135</f>
        <v>Enduit à la silicone m=30</v>
      </c>
      <c r="BV95" s="1872">
        <f>Bauteile!H135</f>
        <v>0.9</v>
      </c>
      <c r="BW95" s="2098" t="str">
        <f>Bauteile!B391</f>
        <v>SAGLAN (035) SR 22 / TC 22</v>
      </c>
      <c r="BX95" s="2056">
        <f>Bauteile!H391</f>
        <v>3.5000000000000003E-2</v>
      </c>
    </row>
    <row r="96" spans="2:76" ht="30" customHeight="1">
      <c r="G96" s="28"/>
      <c r="H96" s="28"/>
      <c r="O96" s="28"/>
      <c r="P96" s="28"/>
      <c r="T96" s="470"/>
      <c r="U96" s="470"/>
      <c r="V96" s="470"/>
      <c r="W96" s="470"/>
      <c r="X96" s="470"/>
      <c r="Y96" s="470"/>
      <c r="Z96" s="470"/>
      <c r="AA96" s="470"/>
      <c r="AB96" s="470"/>
      <c r="AC96" s="470"/>
      <c r="AD96" s="470"/>
      <c r="AE96" s="470"/>
      <c r="AF96" s="470"/>
      <c r="BA96" s="335"/>
      <c r="BB96" s="335"/>
      <c r="BN96" s="7" t="str">
        <f>Tab!C151</f>
        <v>Lausanne</v>
      </c>
      <c r="BO96" s="5">
        <v>43</v>
      </c>
      <c r="BP96" s="118" t="str">
        <f>Bauteile!B96</f>
        <v>Bitume F3+J2+J2</v>
      </c>
      <c r="BQ96" s="2057">
        <v>40</v>
      </c>
      <c r="BU96" s="2098"/>
      <c r="BV96" s="2051"/>
      <c r="BW96" s="2098" t="str">
        <f>Bauteile!B392</f>
        <v>SAGLAN (031) ST</v>
      </c>
      <c r="BX96" s="2056">
        <f>Bauteile!H392</f>
        <v>3.1E-2</v>
      </c>
    </row>
    <row r="97" spans="2:77" ht="15.6" customHeight="1" thickBot="1">
      <c r="B97" s="110" t="s">
        <v>1198</v>
      </c>
      <c r="C97" s="111" t="str">
        <f>C83</f>
        <v>Désignation:</v>
      </c>
      <c r="D97" s="938"/>
      <c r="E97" s="925" t="s">
        <v>438</v>
      </c>
      <c r="F97" s="111" t="str">
        <f>F83</f>
        <v>Valeur U total:</v>
      </c>
      <c r="G97" s="213"/>
      <c r="H97" s="307" t="s">
        <v>1759</v>
      </c>
      <c r="J97" s="110" t="s">
        <v>1198</v>
      </c>
      <c r="K97" s="111" t="str">
        <f>K83</f>
        <v>Désignation:</v>
      </c>
      <c r="L97" s="938"/>
      <c r="M97" s="925" t="s">
        <v>438</v>
      </c>
      <c r="N97" s="111" t="str">
        <f>N83</f>
        <v>Valeur U total:</v>
      </c>
      <c r="O97" s="213"/>
      <c r="P97" s="307" t="s">
        <v>1759</v>
      </c>
      <c r="T97" s="470"/>
      <c r="U97" s="470"/>
      <c r="V97" s="470"/>
      <c r="W97" s="470"/>
      <c r="X97" s="470"/>
      <c r="Y97" s="470"/>
      <c r="Z97" s="470"/>
      <c r="AA97" s="470"/>
      <c r="AB97" s="470"/>
      <c r="AC97" s="470"/>
      <c r="AD97" s="470"/>
      <c r="AE97" s="470"/>
      <c r="AF97" s="470"/>
      <c r="BA97" s="335"/>
      <c r="BB97" s="335"/>
      <c r="BN97" s="7" t="str">
        <f>Tab!C152</f>
        <v>Leukerbad</v>
      </c>
      <c r="BO97" s="5">
        <v>44</v>
      </c>
      <c r="BP97" s="118" t="str">
        <f>Bauteile!B97</f>
        <v>Couches de bitume</v>
      </c>
      <c r="BQ97" s="2057">
        <v>41</v>
      </c>
      <c r="BU97" s="2098" t="str">
        <f>Bauteile!B136</f>
        <v>Enduit au mortier m=10</v>
      </c>
      <c r="BV97" s="1872">
        <f>Bauteile!H136</f>
        <v>0.78</v>
      </c>
      <c r="BW97" s="2098" t="str">
        <f>Bauteile!B393</f>
        <v>SAGLAN (031) SB 55 / SB 55 K / SA 55 Vs</v>
      </c>
      <c r="BX97" s="2056">
        <f>Bauteile!H393</f>
        <v>3.1E-2</v>
      </c>
    </row>
    <row r="98" spans="2:77" ht="15.6" customHeight="1" thickBot="1">
      <c r="B98" s="19">
        <v>13</v>
      </c>
      <c r="C98" s="2219"/>
      <c r="D98" s="2220"/>
      <c r="E98" s="2221"/>
      <c r="F98" s="313" t="str">
        <f>IF(SUM(H100:H109)&lt;&gt;0,1/SUM(H100:H109),"")</f>
        <v/>
      </c>
      <c r="G98" s="308" t="s">
        <v>245</v>
      </c>
      <c r="H98" s="309" t="str">
        <f>IF(BA109=4,"",IF(OR(G100=8,G109=8),ROUND(Thetai-(Thetai-Thetamin)*(1/(1/F98)-(1/8)+(1/6))*(1/6),1)&amp;" °C",""))</f>
        <v/>
      </c>
      <c r="J98" s="19">
        <v>14</v>
      </c>
      <c r="K98" s="2219"/>
      <c r="L98" s="2220"/>
      <c r="M98" s="2221"/>
      <c r="N98" s="1060">
        <f>IF(BA109=4,"",T114)</f>
        <v>0</v>
      </c>
      <c r="O98" s="308" t="s">
        <v>245</v>
      </c>
      <c r="P98" s="309" t="str">
        <f>IF(BA109=4,"",IF(OR(O100=8,O109=8),ROUND(Thetai-(Thetai-Thetamin)*(1/(1/T114)-(1/8)+(1/6))*(1/6),1)&amp;" °C",""))</f>
        <v/>
      </c>
      <c r="S98" s="1018"/>
      <c r="T98" s="987"/>
      <c r="U98" s="1019" t="s">
        <v>451</v>
      </c>
      <c r="V98" s="998" t="b">
        <f>IF(BA100=1,TRUE,FALSE)</f>
        <v>0</v>
      </c>
      <c r="W98" s="1016" t="s">
        <v>458</v>
      </c>
      <c r="X98" s="1000"/>
      <c r="Y98" s="1000"/>
      <c r="Z98" s="1000"/>
      <c r="AA98" s="1000"/>
      <c r="AB98" s="1000"/>
      <c r="AC98" s="1001"/>
      <c r="AD98" s="1001"/>
      <c r="AE98" s="1001"/>
      <c r="AF98" s="1002"/>
      <c r="AG98" s="1020"/>
      <c r="AH98" s="1021"/>
      <c r="AJ98" s="1018"/>
      <c r="AK98" s="987"/>
      <c r="AL98" s="1019" t="s">
        <v>451</v>
      </c>
      <c r="AM98" s="998" t="b">
        <f>IF(BB100=1,TRUE,FALSE)</f>
        <v>0</v>
      </c>
      <c r="AN98" s="1016" t="s">
        <v>464</v>
      </c>
      <c r="AO98" s="1000"/>
      <c r="AP98" s="1000"/>
      <c r="AQ98" s="1000"/>
      <c r="AR98" s="1000"/>
      <c r="AS98" s="1000"/>
      <c r="AT98" s="1001"/>
      <c r="AU98" s="1001"/>
      <c r="AV98" s="1001"/>
      <c r="AW98" s="1002"/>
      <c r="AX98" s="1020"/>
      <c r="AY98" s="1021"/>
      <c r="BA98" s="335"/>
      <c r="BB98" s="335"/>
      <c r="BN98" s="7" t="str">
        <f>Tab!C153</f>
        <v>Leysin</v>
      </c>
      <c r="BO98" s="5">
        <v>45</v>
      </c>
      <c r="BP98" s="118" t="str">
        <f>Bauteile!B98</f>
        <v>Bitume d'aluminium 10 B</v>
      </c>
      <c r="BQ98" s="2057">
        <v>42</v>
      </c>
      <c r="BU98" s="2098" t="str">
        <f>Bauteile!B137</f>
        <v>Enduit au mortier m=15</v>
      </c>
      <c r="BV98" s="1872">
        <f>Bauteile!H137</f>
        <v>0.8</v>
      </c>
      <c r="BW98" s="2098" t="str">
        <f>Bauteile!B394</f>
        <v>SAGLAN (032) SB 40 / SR 40 / SA 40 A / SK 40 Vs</v>
      </c>
      <c r="BX98" s="2056">
        <f>Bauteile!H394</f>
        <v>3.2000000000000001E-2</v>
      </c>
    </row>
    <row r="99" spans="2:77" s="3" customFormat="1" ht="15.6" customHeight="1" thickBot="1">
      <c r="B99" s="2234">
        <f>IF(GraueEnergie,Uebersetzung!D651,IF(AND(U108,V108&gt;0),Uebersetzung!D652&amp;ROUND(V108,0)&amp;" g/m2",))</f>
        <v>0</v>
      </c>
      <c r="C99" s="2235"/>
      <c r="D99" s="2217"/>
      <c r="E99" s="2218"/>
      <c r="F99" s="12" t="s">
        <v>1918</v>
      </c>
      <c r="G99" s="310" t="s">
        <v>1800</v>
      </c>
      <c r="H99" s="311" t="s">
        <v>1801</v>
      </c>
      <c r="J99" s="2234">
        <f>IF(GraueEnergie,Uebersetzung!D651,IF(AND(AL108,AM108&gt;0),Uebersetzung!D652&amp;ROUND(AM108,0)&amp;" g/m2",))</f>
        <v>0</v>
      </c>
      <c r="K99" s="2235"/>
      <c r="L99" s="2217"/>
      <c r="M99" s="2218"/>
      <c r="N99" s="12" t="s">
        <v>1918</v>
      </c>
      <c r="O99" s="310" t="s">
        <v>1800</v>
      </c>
      <c r="P99" s="311" t="s">
        <v>1801</v>
      </c>
      <c r="S99" s="1022" t="s">
        <v>795</v>
      </c>
      <c r="T99" s="1023">
        <f ca="1">20-TaMin-8</f>
        <v>20</v>
      </c>
      <c r="U99" s="1024" t="s">
        <v>452</v>
      </c>
      <c r="V99" s="999" t="b">
        <f>IF(BA109=1,TRUE,FALSE)</f>
        <v>0</v>
      </c>
      <c r="W99" s="992" t="s">
        <v>577</v>
      </c>
      <c r="X99" s="465"/>
      <c r="Y99" s="465"/>
      <c r="Z99" s="465"/>
      <c r="AA99" s="987"/>
      <c r="AB99" s="994" t="s">
        <v>450</v>
      </c>
      <c r="AC99" s="4"/>
      <c r="AD99" s="4"/>
      <c r="AE99" s="4"/>
      <c r="AF99" s="564"/>
      <c r="AG99" s="1022" t="s">
        <v>795</v>
      </c>
      <c r="AH99" s="1023">
        <f ca="1">20-TaMin-8</f>
        <v>20</v>
      </c>
      <c r="AI99" s="2"/>
      <c r="AJ99" s="1022" t="s">
        <v>795</v>
      </c>
      <c r="AK99" s="1023">
        <f ca="1">20-TaMin-8</f>
        <v>20</v>
      </c>
      <c r="AL99" s="1024" t="s">
        <v>452</v>
      </c>
      <c r="AM99" s="999" t="b">
        <f>IF(BB109=1,TRUE,FALSE)</f>
        <v>0</v>
      </c>
      <c r="AN99" s="992" t="s">
        <v>577</v>
      </c>
      <c r="AO99" s="465"/>
      <c r="AP99" s="465"/>
      <c r="AQ99" s="465"/>
      <c r="AR99" s="987"/>
      <c r="AS99" s="994" t="s">
        <v>450</v>
      </c>
      <c r="AT99" s="4"/>
      <c r="AU99" s="4"/>
      <c r="AV99" s="4"/>
      <c r="AW99" s="564"/>
      <c r="AX99" s="1022" t="s">
        <v>795</v>
      </c>
      <c r="AY99" s="1023">
        <f ca="1">20-TaMin-8</f>
        <v>20</v>
      </c>
      <c r="AZ99" s="2"/>
      <c r="BA99" s="335" t="s">
        <v>2031</v>
      </c>
      <c r="BB99" s="336"/>
      <c r="BC99" s="2"/>
      <c r="BD99" s="2"/>
      <c r="BE99" s="2"/>
      <c r="BF99" s="2"/>
      <c r="BG99" s="2"/>
      <c r="BH99" s="2"/>
      <c r="BI99" s="2"/>
      <c r="BJ99" s="2"/>
      <c r="BK99" s="2"/>
      <c r="BL99" s="2"/>
      <c r="BN99" s="7" t="str">
        <f>Tab!C154</f>
        <v>Luzern</v>
      </c>
      <c r="BO99" s="5">
        <v>46</v>
      </c>
      <c r="BP99" s="118" t="str">
        <f>Bauteile!B99</f>
        <v>Boue de chaux</v>
      </c>
      <c r="BQ99" s="2057">
        <v>43</v>
      </c>
      <c r="BU99" s="2098" t="str">
        <f>Bauteile!B138</f>
        <v>Enduit au mortier m=35</v>
      </c>
      <c r="BV99" s="1872">
        <f>Bauteile!H138</f>
        <v>0.8</v>
      </c>
      <c r="BW99" s="2098" t="str">
        <f>Bauteile!B395</f>
        <v>SAGLAN (032) SR 30 / SI 30 / SK 32 / SKN 32</v>
      </c>
      <c r="BX99" s="2056">
        <f>Bauteile!H395</f>
        <v>3.2000000000000001E-2</v>
      </c>
    </row>
    <row r="100" spans="2:77" ht="15.6" customHeight="1">
      <c r="B100" s="11">
        <v>1</v>
      </c>
      <c r="C100" s="2212"/>
      <c r="D100" s="2213"/>
      <c r="E100" s="2214"/>
      <c r="F100" s="10"/>
      <c r="G100" s="59">
        <f>INDEX(Bauteile!$O$280:$O$282,BA100)</f>
        <v>0</v>
      </c>
      <c r="H100" s="312">
        <f>IF(G100=0,0,1/G100)</f>
        <v>0</v>
      </c>
      <c r="J100" s="11">
        <v>1</v>
      </c>
      <c r="K100" s="2212"/>
      <c r="L100" s="2213"/>
      <c r="M100" s="2214"/>
      <c r="N100" s="10"/>
      <c r="O100" s="59">
        <f>INDEX(Bauteile!$O$280:$O$282,BB100)</f>
        <v>0</v>
      </c>
      <c r="P100" s="312">
        <f>IF(O100=0,0,1/O100)</f>
        <v>0</v>
      </c>
      <c r="S100" s="1025" t="s">
        <v>796</v>
      </c>
      <c r="T100" s="1026" t="s">
        <v>797</v>
      </c>
      <c r="U100" s="1027" t="s">
        <v>808</v>
      </c>
      <c r="V100" s="996" t="s">
        <v>571</v>
      </c>
      <c r="W100" s="988" t="s">
        <v>570</v>
      </c>
      <c r="X100" s="466" t="s">
        <v>569</v>
      </c>
      <c r="Y100" s="466" t="s">
        <v>103</v>
      </c>
      <c r="Z100" s="1028" t="s">
        <v>572</v>
      </c>
      <c r="AA100" s="1007" t="s">
        <v>572</v>
      </c>
      <c r="AB100" s="988" t="s">
        <v>569</v>
      </c>
      <c r="AC100" s="464" t="s">
        <v>570</v>
      </c>
      <c r="AD100" s="986" t="s">
        <v>103</v>
      </c>
      <c r="AE100" s="1029" t="s">
        <v>572</v>
      </c>
      <c r="AF100" s="1030" t="s">
        <v>572</v>
      </c>
      <c r="AG100" s="1025" t="s">
        <v>796</v>
      </c>
      <c r="AH100" s="1026" t="s">
        <v>797</v>
      </c>
      <c r="AJ100" s="1025" t="s">
        <v>796</v>
      </c>
      <c r="AK100" s="1026" t="s">
        <v>797</v>
      </c>
      <c r="AL100" s="1027" t="s">
        <v>808</v>
      </c>
      <c r="AM100" s="996" t="s">
        <v>571</v>
      </c>
      <c r="AN100" s="988" t="s">
        <v>570</v>
      </c>
      <c r="AO100" s="466" t="s">
        <v>569</v>
      </c>
      <c r="AP100" s="466" t="s">
        <v>103</v>
      </c>
      <c r="AQ100" s="1028" t="s">
        <v>572</v>
      </c>
      <c r="AR100" s="1031" t="s">
        <v>572</v>
      </c>
      <c r="AS100" s="988" t="s">
        <v>569</v>
      </c>
      <c r="AT100" s="464" t="s">
        <v>570</v>
      </c>
      <c r="AU100" s="986" t="s">
        <v>103</v>
      </c>
      <c r="AV100" s="1029" t="s">
        <v>572</v>
      </c>
      <c r="AW100" s="1030" t="s">
        <v>572</v>
      </c>
      <c r="AX100" s="1025" t="s">
        <v>796</v>
      </c>
      <c r="AY100" s="1026" t="s">
        <v>797</v>
      </c>
      <c r="AZ100" s="3"/>
      <c r="BA100" s="339">
        <f>IF($C100="",3,VLOOKUP($C100,$BR$36:$BS$38,2,FALSE))</f>
        <v>3</v>
      </c>
      <c r="BB100" s="1502">
        <f>IF($K100="",3,VLOOKUP($K100,$BR$36:$BS$38,2,FALSE))</f>
        <v>3</v>
      </c>
      <c r="BC100" s="3"/>
      <c r="BD100" s="3"/>
      <c r="BE100" s="3"/>
      <c r="BF100" s="3"/>
      <c r="BG100" s="3"/>
      <c r="BH100" s="3"/>
      <c r="BI100" s="3"/>
      <c r="BJ100" s="3"/>
      <c r="BK100" s="3"/>
      <c r="BL100" s="3"/>
      <c r="BN100" s="7" t="str">
        <f>Tab!C155</f>
        <v>Martigny</v>
      </c>
      <c r="BO100" s="5">
        <v>47</v>
      </c>
      <c r="BP100" s="118" t="str">
        <f>Bauteile!B100</f>
        <v>Brique klinker</v>
      </c>
      <c r="BQ100" s="2057">
        <v>44</v>
      </c>
      <c r="BU100" s="2098" t="str">
        <f>Bauteile!B139</f>
        <v>Enduit au mortier de chaux m=15</v>
      </c>
      <c r="BV100" s="1872">
        <f>Bauteile!H139</f>
        <v>0.87</v>
      </c>
      <c r="BW100" s="2098" t="str">
        <f>Bauteile!B396</f>
        <v>SAGLAN (032) FA 40 / FA 40 Vg / FA 40 Vs</v>
      </c>
      <c r="BX100" s="2056">
        <f>Bauteile!H396</f>
        <v>3.2000000000000001E-2</v>
      </c>
    </row>
    <row r="101" spans="2:77" ht="15.6" customHeight="1">
      <c r="B101" s="11">
        <v>2</v>
      </c>
      <c r="C101" s="2212"/>
      <c r="D101" s="2213"/>
      <c r="E101" s="2214"/>
      <c r="F101" s="26"/>
      <c r="G101" s="59">
        <f>INDEX(Bauteile!$H$57:$H$1159,BA101)</f>
        <v>0</v>
      </c>
      <c r="H101" s="312">
        <f>IF(G101&lt;&gt;0,F101/100/G101,0)</f>
        <v>0</v>
      </c>
      <c r="J101" s="11">
        <v>2</v>
      </c>
      <c r="K101" s="2212"/>
      <c r="L101" s="2213"/>
      <c r="M101" s="2214"/>
      <c r="N101" s="26"/>
      <c r="O101" s="59">
        <f>INDEX(Bauteile!$H$57:$H$1159,BB101)</f>
        <v>0</v>
      </c>
      <c r="P101" s="312">
        <f>IF(O101&lt;&gt;0,N101/100/O101,0)</f>
        <v>0</v>
      </c>
      <c r="S101" s="1032">
        <f>IF(AND(W101&gt;0,X101&gt;0),1/LN(1168*X101/(0.2*W101+X101)/14057400000)*(-3928.5)-231.667,)</f>
        <v>0</v>
      </c>
      <c r="T101" s="1013">
        <f>IF(SUM(H100:H109)&gt;0,20-T99/SUM(H100:H109)*SUM(H100:H101),20)</f>
        <v>20</v>
      </c>
      <c r="U101" s="1033">
        <f>INDEX(Bauteile!$I$57:$I$1159,BA101)</f>
        <v>0</v>
      </c>
      <c r="V101" s="997">
        <f>F101/100</f>
        <v>0</v>
      </c>
      <c r="W101" s="1006">
        <f>V101*U101</f>
        <v>0</v>
      </c>
      <c r="X101" s="563">
        <f t="shared" ref="X101:X106" si="181">U102*V102+X102</f>
        <v>0</v>
      </c>
      <c r="Y101" s="931">
        <f>IF(AND(W101&gt;0,X101&gt;0),Ak/W101-Bk/X101,)</f>
        <v>0</v>
      </c>
      <c r="Z101" s="1034" t="b">
        <f>IF(T101&lt;S101,IF(W101&gt;mj*X101,FALSE,TRUE),FALSE)</f>
        <v>0</v>
      </c>
      <c r="AA101" s="1036">
        <f t="shared" ref="AA101:AA106" si="182">IF(OR(Z102=FALSE,AND(Z101=TRUE,Z102=TRUE)),Y101,0)</f>
        <v>0</v>
      </c>
      <c r="AB101" s="1005"/>
      <c r="AC101" s="1008">
        <f t="shared" ref="AC101:AC106" si="183">V101*U101+AC102</f>
        <v>0</v>
      </c>
      <c r="AD101" s="1035">
        <f t="shared" ref="AD101:AD106" si="184">IF(AND(AB101&gt;0,AC101&gt;0),Ak/AC101-Bk/AB101,)</f>
        <v>0</v>
      </c>
      <c r="AE101" s="995" t="b">
        <f>IF(AH101&lt;AG101,IF(AC101&gt;mj*AB101,FALSE,TRUE),FALSE)</f>
        <v>0</v>
      </c>
      <c r="AF101" s="1036">
        <f t="shared" ref="AF101:AF106" si="185">IF(OR(AE102=FALSE,AND(AE101=TRUE,AE102=TRUE)),AD101,0)</f>
        <v>0</v>
      </c>
      <c r="AG101" s="1037">
        <f>IF(AND(AB101&gt;0,AC101&gt;0),1/LN(1168*AB101/(0.2*AC101+AB101)/14057400000)*(-3928.5)-231.667,)</f>
        <v>0</v>
      </c>
      <c r="AH101" s="1036">
        <f>IF(SUM(H100:H109)&gt;0,20-AH99/SUM(H100:H109)*SUM(H101:H109),20)</f>
        <v>20</v>
      </c>
      <c r="AJ101" s="1032">
        <f>IF(AND(AN101&gt;0,AO101&gt;0),1/LN(1168*AO101/(0.2*AN101+AO101)/14057400000)*(-3928.5)-231.667,)</f>
        <v>0</v>
      </c>
      <c r="AK101" s="1013">
        <f>IF(SUM(P100:P109)&gt;0,20-AK99/SUM(P100:P109)*SUM(P100:P101),20)</f>
        <v>20</v>
      </c>
      <c r="AL101" s="1033">
        <f>INDEX(Bauteile!$I$57:$I$1159,BB101)</f>
        <v>0</v>
      </c>
      <c r="AM101" s="997">
        <f>N101/100</f>
        <v>0</v>
      </c>
      <c r="AN101" s="1006">
        <f>AM101*AL101</f>
        <v>0</v>
      </c>
      <c r="AO101" s="563">
        <f t="shared" ref="AO101:AO106" si="186">AL102*AM102+AO102</f>
        <v>0</v>
      </c>
      <c r="AP101" s="931">
        <f>IF(AND(AN101&gt;0,AO101&gt;0),Ak/AN101-Bk/AO101,)</f>
        <v>0</v>
      </c>
      <c r="AQ101" s="995" t="b">
        <f>IF(AK101&lt;AJ101,IF(AN101&gt;mj*AO101,FALSE,TRUE),FALSE)</f>
        <v>0</v>
      </c>
      <c r="AR101" s="1036">
        <f t="shared" ref="AR101:AR106" si="187">IF(OR(AQ102=FALSE,AND(AQ101=TRUE,AQ102=TRUE)),AP101,0)</f>
        <v>0</v>
      </c>
      <c r="AS101" s="1038"/>
      <c r="AT101" s="1008">
        <f t="shared" ref="AT101:AT106" si="188">AM101*AL101+AT102</f>
        <v>0</v>
      </c>
      <c r="AU101" s="1035">
        <f t="shared" ref="AU101:AU106" si="189">IF(AND(AS101&gt;0,AT101&gt;0),Ak/AT101-Bk/AS101,)</f>
        <v>0</v>
      </c>
      <c r="AV101" s="995" t="b">
        <f>IF(AY101&lt;AX101,IF(AT101&gt;mj*AS101,FALSE,TRUE),FALSE)</f>
        <v>0</v>
      </c>
      <c r="AW101" s="1036">
        <f t="shared" ref="AW101:AW106" si="190">IF(OR(AV102=FALSE,AND(AV101=TRUE,AV102=TRUE)),AU101,0)</f>
        <v>0</v>
      </c>
      <c r="AX101" s="1037">
        <f>IF(AND(AS101&gt;0,AT101&gt;0),1/LN(1168*AS101/(0.2*AT101+AS101)/14057400000)*(-3928.5)-231.667,)</f>
        <v>0</v>
      </c>
      <c r="AY101" s="1036">
        <f>IF(SUM(P100:P109)&gt;0,20-AY99/SUM(P100:P109)*SUM(P101:P109),20)</f>
        <v>20</v>
      </c>
      <c r="BA101" s="341">
        <f>IF($C101="",1,VLOOKUP($C101,$BP$57:$BQ$1010,2,FALSE))</f>
        <v>1</v>
      </c>
      <c r="BB101" s="1504">
        <f>IF($K101="",1,VLOOKUP($K101,$BP$57:$BQ$1010,2,FALSE))</f>
        <v>1</v>
      </c>
      <c r="BN101" s="7" t="str">
        <f>Tab!C156</f>
        <v>Meiringen</v>
      </c>
      <c r="BO101" s="5">
        <v>48</v>
      </c>
      <c r="BP101" s="118" t="str">
        <f>Bauteile!B101</f>
        <v>Brique silico-calcaire, lambda 0.8</v>
      </c>
      <c r="BQ101" s="2057">
        <v>45</v>
      </c>
      <c r="BU101" s="2098" t="str">
        <f>Bauteile!B140</f>
        <v>Enduit au mortier de chaux m=35</v>
      </c>
      <c r="BV101" s="1872">
        <f>Bauteile!H140</f>
        <v>0.87</v>
      </c>
      <c r="BW101" s="2098" t="str">
        <f>Bauteile!B397</f>
        <v>SAGLAN (032) FA / SR Light</v>
      </c>
      <c r="BX101" s="2056">
        <f>Bauteile!H397</f>
        <v>3.2000000000000001E-2</v>
      </c>
    </row>
    <row r="102" spans="2:77" ht="15.6" customHeight="1">
      <c r="B102" s="11">
        <v>3</v>
      </c>
      <c r="C102" s="2212"/>
      <c r="D102" s="2213"/>
      <c r="E102" s="2214"/>
      <c r="F102" s="26"/>
      <c r="G102" s="59">
        <f>INDEX(Bauteile!$H$57:$H$1159,BA102)</f>
        <v>0</v>
      </c>
      <c r="H102" s="312">
        <f t="shared" ref="H102:H107" si="191">IF(G102&lt;&gt;0,F102/100/G102,0)</f>
        <v>0</v>
      </c>
      <c r="J102" s="11">
        <v>3</v>
      </c>
      <c r="K102" s="2212"/>
      <c r="L102" s="2213"/>
      <c r="M102" s="2214"/>
      <c r="N102" s="26"/>
      <c r="O102" s="59">
        <f>INDEX(Bauteile!$H$57:$H$1159,BB102)</f>
        <v>0</v>
      </c>
      <c r="P102" s="312">
        <f t="shared" ref="P102:P107" si="192">IF(O102&lt;&gt;0,N102/100/O102,0)</f>
        <v>0</v>
      </c>
      <c r="S102" s="1039">
        <f t="shared" ref="S102:S107" si="193">IF(AND(W102&gt;0,X102&gt;0),1/LN(1168*X102/(0.2*W102+X102)/14057400000)*(-3928.5)-231.667,)</f>
        <v>0</v>
      </c>
      <c r="T102" s="989">
        <f>IF(SUM(H100:H109)&gt;0,20-T99/SUM(H100:H109)*SUM(H100:H102),20)</f>
        <v>20</v>
      </c>
      <c r="U102" s="1033">
        <f>INDEX(Bauteile!$I$57:$I$1159,BA102)</f>
        <v>0</v>
      </c>
      <c r="V102" s="997">
        <f t="shared" ref="V102:V107" si="194">F102/100</f>
        <v>0</v>
      </c>
      <c r="W102" s="1006">
        <f t="shared" ref="W102:W107" si="195">V102*U102+W101</f>
        <v>0</v>
      </c>
      <c r="X102" s="563">
        <f t="shared" si="181"/>
        <v>0</v>
      </c>
      <c r="Y102" s="931">
        <f t="shared" ref="Y102:Y107" si="196">IF(AND(W102&gt;0,X102&gt;0),Ak/W102-Bk/X102,)</f>
        <v>0</v>
      </c>
      <c r="Z102" s="563" t="b">
        <f t="shared" ref="Z102:Z107" si="197">IF(T102&lt;S102,IF(W102&gt;mj*X102,FALSE,TRUE),FALSE)</f>
        <v>0</v>
      </c>
      <c r="AA102" s="439">
        <f t="shared" si="182"/>
        <v>0</v>
      </c>
      <c r="AB102" s="1009">
        <f t="shared" ref="AB102:AB107" si="198">U101*V101+AB101</f>
        <v>0</v>
      </c>
      <c r="AC102" s="1010">
        <f t="shared" si="183"/>
        <v>0</v>
      </c>
      <c r="AD102" s="931">
        <f t="shared" si="184"/>
        <v>0</v>
      </c>
      <c r="AE102" s="7" t="b">
        <f t="shared" ref="AE102:AE107" si="199">IF(AH102&lt;AG102,IF(AC102&gt;mj*AB102,FALSE,TRUE),FALSE)</f>
        <v>0</v>
      </c>
      <c r="AF102" s="439">
        <f t="shared" si="185"/>
        <v>0</v>
      </c>
      <c r="AG102" s="1040">
        <f t="shared" ref="AG102:AG107" si="200">IF(AND(AB102&gt;0,AC102&gt;0),1/LN(1168*AB102/(0.2*AC102+AB102)/14057400000)*(-3928.5)-231.667,)</f>
        <v>0</v>
      </c>
      <c r="AH102" s="439">
        <f>IF(SUM(H100:H109)&gt;0,20-AH99/SUM(H100:H109)*SUM(H102:H109),20)</f>
        <v>20</v>
      </c>
      <c r="AJ102" s="1039">
        <f t="shared" ref="AJ102:AJ107" si="201">IF(AND(AN102&gt;0,AO102&gt;0),1/LN(1168*AO102/(0.2*AN102+AO102)/14057400000)*(-3928.5)-231.667,)</f>
        <v>0</v>
      </c>
      <c r="AK102" s="989">
        <f>IF(SUM(P100:P109)&gt;0,20-AK99/SUM(P100:P109)*SUM(P100:P102),20)</f>
        <v>20</v>
      </c>
      <c r="AL102" s="1033">
        <f>INDEX(Bauteile!$I$57:$I$1159,BB102)</f>
        <v>0</v>
      </c>
      <c r="AM102" s="997">
        <f t="shared" ref="AM102:AM107" si="202">N102/100</f>
        <v>0</v>
      </c>
      <c r="AN102" s="1006">
        <f t="shared" ref="AN102:AN107" si="203">AM102*AL102+AN101</f>
        <v>0</v>
      </c>
      <c r="AO102" s="563">
        <f t="shared" si="186"/>
        <v>0</v>
      </c>
      <c r="AP102" s="931">
        <f t="shared" ref="AP102:AP107" si="204">IF(AND(AN102&gt;0,AO102&gt;0),Ak/AN102-Bk/AO102,)</f>
        <v>0</v>
      </c>
      <c r="AQ102" s="7" t="b">
        <f t="shared" ref="AQ102:AQ107" si="205">IF(AK102&lt;AJ102,IF(AN102&gt;mj*AO102,FALSE,TRUE),FALSE)</f>
        <v>0</v>
      </c>
      <c r="AR102" s="439">
        <f t="shared" si="187"/>
        <v>0</v>
      </c>
      <c r="AS102" s="5">
        <f t="shared" ref="AS102:AS107" si="206">AL101*AM101+AS101</f>
        <v>0</v>
      </c>
      <c r="AT102" s="1010">
        <f t="shared" si="188"/>
        <v>0</v>
      </c>
      <c r="AU102" s="931">
        <f t="shared" si="189"/>
        <v>0</v>
      </c>
      <c r="AV102" s="7" t="b">
        <f t="shared" ref="AV102:AV107" si="207">IF(AY102&lt;AX102,IF(AT102&gt;mj*AS102,FALSE,TRUE),FALSE)</f>
        <v>0</v>
      </c>
      <c r="AW102" s="439">
        <f t="shared" si="190"/>
        <v>0</v>
      </c>
      <c r="AX102" s="1040">
        <f t="shared" ref="AX102:AX107" si="208">IF(AND(AS102&gt;0,AT102&gt;0),1/LN(1168*AS102/(0.2*AT102+AS102)/14057400000)*(-3928.5)-231.667,)</f>
        <v>0</v>
      </c>
      <c r="AY102" s="439">
        <f>IF(SUM(P100:P109)&gt;0,20-AY99/SUM(P100:P109)*SUM(P102:P109),20)</f>
        <v>20</v>
      </c>
      <c r="BA102" s="341">
        <f t="shared" ref="BA102:BA107" si="209">IF($C102="",1,VLOOKUP($C102,$BP$57:$BQ$1010,2,FALSE))</f>
        <v>1</v>
      </c>
      <c r="BB102" s="1504">
        <f t="shared" ref="BB102:BB107" si="210">IF($K102="",1,VLOOKUP($K102,$BP$57:$BQ$1010,2,FALSE))</f>
        <v>1</v>
      </c>
      <c r="BN102" s="7" t="str">
        <f>Tab!C157</f>
        <v>Montana</v>
      </c>
      <c r="BO102" s="5">
        <v>49</v>
      </c>
      <c r="BP102" s="118" t="str">
        <f>Bauteile!B102</f>
        <v>Brique silico-calcaire, lambda 1.0</v>
      </c>
      <c r="BQ102" s="2057">
        <v>46</v>
      </c>
      <c r="BU102" s="2098" t="str">
        <f>Bauteile!B141</f>
        <v>Enduit au mortier de plâtre m=10</v>
      </c>
      <c r="BV102" s="1872">
        <f>Bauteile!H141</f>
        <v>0.7</v>
      </c>
      <c r="BW102" s="2098" t="str">
        <f>Bauteile!B398</f>
        <v>SAGLAN (032) SBR plus Vgl / SBR plus Vgl Sparren</v>
      </c>
      <c r="BX102" s="2056">
        <f>Bauteile!H398</f>
        <v>3.2000000000000001E-2</v>
      </c>
    </row>
    <row r="103" spans="2:77" ht="15.6" customHeight="1">
      <c r="B103" s="11">
        <v>4</v>
      </c>
      <c r="C103" s="2212"/>
      <c r="D103" s="2213"/>
      <c r="E103" s="2214"/>
      <c r="F103" s="26"/>
      <c r="G103" s="59">
        <f>INDEX(Bauteile!$H$57:$H$1159,BA103)</f>
        <v>0</v>
      </c>
      <c r="H103" s="312">
        <f t="shared" si="191"/>
        <v>0</v>
      </c>
      <c r="J103" s="11">
        <v>4</v>
      </c>
      <c r="K103" s="2212"/>
      <c r="L103" s="2213"/>
      <c r="M103" s="2214"/>
      <c r="N103" s="26"/>
      <c r="O103" s="59">
        <f>INDEX(Bauteile!$H$57:$H$1159,BB103)</f>
        <v>0</v>
      </c>
      <c r="P103" s="312">
        <f t="shared" si="192"/>
        <v>0</v>
      </c>
      <c r="S103" s="1039">
        <f t="shared" si="193"/>
        <v>0</v>
      </c>
      <c r="T103" s="989">
        <f>IF(SUM(H100:H109)&gt;0,20-T99/SUM(H100:H109)*SUM(H100:H103),20)</f>
        <v>20</v>
      </c>
      <c r="U103" s="1033">
        <f>INDEX(Bauteile!$I$57:$I$1159,BA103)</f>
        <v>0</v>
      </c>
      <c r="V103" s="997">
        <f t="shared" si="194"/>
        <v>0</v>
      </c>
      <c r="W103" s="1006">
        <f t="shared" si="195"/>
        <v>0</v>
      </c>
      <c r="X103" s="563">
        <f t="shared" si="181"/>
        <v>0</v>
      </c>
      <c r="Y103" s="931">
        <f t="shared" si="196"/>
        <v>0</v>
      </c>
      <c r="Z103" s="563" t="b">
        <f t="shared" si="197"/>
        <v>0</v>
      </c>
      <c r="AA103" s="439">
        <f t="shared" si="182"/>
        <v>0</v>
      </c>
      <c r="AB103" s="1009">
        <f t="shared" si="198"/>
        <v>0</v>
      </c>
      <c r="AC103" s="1010">
        <f t="shared" si="183"/>
        <v>0</v>
      </c>
      <c r="AD103" s="931">
        <f t="shared" si="184"/>
        <v>0</v>
      </c>
      <c r="AE103" s="7" t="b">
        <f t="shared" si="199"/>
        <v>0</v>
      </c>
      <c r="AF103" s="439">
        <f t="shared" si="185"/>
        <v>0</v>
      </c>
      <c r="AG103" s="1040">
        <f t="shared" si="200"/>
        <v>0</v>
      </c>
      <c r="AH103" s="439">
        <f>IF(SUM(H100:H109)&gt;0,20-AH99/SUM(H100:H109)*SUM(H103:H109),20)</f>
        <v>20</v>
      </c>
      <c r="AJ103" s="1039">
        <f t="shared" si="201"/>
        <v>0</v>
      </c>
      <c r="AK103" s="989">
        <f>IF(SUM(P100:P109)&gt;0,20-AK99/SUM(P100:P109)*SUM(P100:P103),20)</f>
        <v>20</v>
      </c>
      <c r="AL103" s="1033">
        <f>INDEX(Bauteile!$I$57:$I$1159,BB103)</f>
        <v>0</v>
      </c>
      <c r="AM103" s="997">
        <f t="shared" si="202"/>
        <v>0</v>
      </c>
      <c r="AN103" s="1006">
        <f t="shared" si="203"/>
        <v>0</v>
      </c>
      <c r="AO103" s="563">
        <f t="shared" si="186"/>
        <v>0</v>
      </c>
      <c r="AP103" s="931">
        <f t="shared" si="204"/>
        <v>0</v>
      </c>
      <c r="AQ103" s="7" t="b">
        <f t="shared" si="205"/>
        <v>0</v>
      </c>
      <c r="AR103" s="439">
        <f t="shared" si="187"/>
        <v>0</v>
      </c>
      <c r="AS103" s="5">
        <f t="shared" si="206"/>
        <v>0</v>
      </c>
      <c r="AT103" s="1010">
        <f t="shared" si="188"/>
        <v>0</v>
      </c>
      <c r="AU103" s="931">
        <f t="shared" si="189"/>
        <v>0</v>
      </c>
      <c r="AV103" s="7" t="b">
        <f t="shared" si="207"/>
        <v>0</v>
      </c>
      <c r="AW103" s="439">
        <f t="shared" si="190"/>
        <v>0</v>
      </c>
      <c r="AX103" s="1040">
        <f t="shared" si="208"/>
        <v>0</v>
      </c>
      <c r="AY103" s="439">
        <f>IF(SUM(P100:P109)&gt;0,20-AY99/SUM(P100:P109)*SUM(P103:P109),20)</f>
        <v>20</v>
      </c>
      <c r="BA103" s="341">
        <f t="shared" si="209"/>
        <v>1</v>
      </c>
      <c r="BB103" s="1504">
        <f t="shared" si="210"/>
        <v>1</v>
      </c>
      <c r="BN103" s="7" t="str">
        <f>Tab!C158</f>
        <v>Mont-Soleil</v>
      </c>
      <c r="BO103" s="5">
        <v>50</v>
      </c>
      <c r="BP103" s="118" t="str">
        <f>Bauteile!B103</f>
        <v>Brique silico-calcaire, lambda 1.1</v>
      </c>
      <c r="BQ103" s="2057">
        <v>47</v>
      </c>
      <c r="BU103" s="2098" t="str">
        <f>Bauteile!B142</f>
        <v>Enduit au plâtre m=10</v>
      </c>
      <c r="BV103" s="1872">
        <f>Bauteile!H142</f>
        <v>0.35</v>
      </c>
      <c r="BW103" s="2098" t="str">
        <f>Bauteile!B399</f>
        <v>SAGLAN (035) SA 25 / SA 25 Vs / Si 25 / Si 25 A</v>
      </c>
      <c r="BX103" s="2056">
        <f>Bauteile!H399</f>
        <v>3.5000000000000003E-2</v>
      </c>
    </row>
    <row r="104" spans="2:77" ht="15.6" customHeight="1">
      <c r="B104" s="11">
        <v>5</v>
      </c>
      <c r="C104" s="2212"/>
      <c r="D104" s="2213"/>
      <c r="E104" s="2214"/>
      <c r="F104" s="26"/>
      <c r="G104" s="59">
        <f>INDEX(Bauteile!$H$57:$H$1159,BA104)</f>
        <v>0</v>
      </c>
      <c r="H104" s="312">
        <f t="shared" si="191"/>
        <v>0</v>
      </c>
      <c r="J104" s="11">
        <v>5</v>
      </c>
      <c r="K104" s="2212"/>
      <c r="L104" s="2213"/>
      <c r="M104" s="2214"/>
      <c r="N104" s="26"/>
      <c r="O104" s="59">
        <f>INDEX(Bauteile!$H$57:$H$1159,BB104)</f>
        <v>0</v>
      </c>
      <c r="P104" s="312">
        <f t="shared" si="192"/>
        <v>0</v>
      </c>
      <c r="S104" s="1039">
        <f t="shared" si="193"/>
        <v>0</v>
      </c>
      <c r="T104" s="989">
        <f>IF(SUM(H100:H109)&gt;0,20-T99/SUM(H100:H109)*SUM(H100:H104),20)</f>
        <v>20</v>
      </c>
      <c r="U104" s="1033">
        <f>INDEX(Bauteile!$I$57:$I$1159,BA104)</f>
        <v>0</v>
      </c>
      <c r="V104" s="997">
        <f t="shared" si="194"/>
        <v>0</v>
      </c>
      <c r="W104" s="1006">
        <f t="shared" si="195"/>
        <v>0</v>
      </c>
      <c r="X104" s="563">
        <f t="shared" si="181"/>
        <v>0</v>
      </c>
      <c r="Y104" s="931">
        <f t="shared" si="196"/>
        <v>0</v>
      </c>
      <c r="Z104" s="563" t="b">
        <f t="shared" si="197"/>
        <v>0</v>
      </c>
      <c r="AA104" s="439">
        <f t="shared" si="182"/>
        <v>0</v>
      </c>
      <c r="AB104" s="1009">
        <f t="shared" si="198"/>
        <v>0</v>
      </c>
      <c r="AC104" s="1010">
        <f t="shared" si="183"/>
        <v>0</v>
      </c>
      <c r="AD104" s="931">
        <f t="shared" si="184"/>
        <v>0</v>
      </c>
      <c r="AE104" s="7" t="b">
        <f t="shared" si="199"/>
        <v>0</v>
      </c>
      <c r="AF104" s="439">
        <f t="shared" si="185"/>
        <v>0</v>
      </c>
      <c r="AG104" s="1040">
        <f t="shared" si="200"/>
        <v>0</v>
      </c>
      <c r="AH104" s="439">
        <f>IF(SUM(H100:H109)&gt;0,20-AH99/SUM(H100:H109)*SUM(H104:H109),20)</f>
        <v>20</v>
      </c>
      <c r="AJ104" s="1039">
        <f t="shared" si="201"/>
        <v>0</v>
      </c>
      <c r="AK104" s="989">
        <f>IF(SUM(P100:P109)&gt;0,20-AK99/SUM(P100:P109)*SUM(P100:P104),20)</f>
        <v>20</v>
      </c>
      <c r="AL104" s="1033">
        <f>INDEX(Bauteile!$I$57:$I$1159,BB104)</f>
        <v>0</v>
      </c>
      <c r="AM104" s="997">
        <f t="shared" si="202"/>
        <v>0</v>
      </c>
      <c r="AN104" s="1006">
        <f t="shared" si="203"/>
        <v>0</v>
      </c>
      <c r="AO104" s="563">
        <f t="shared" si="186"/>
        <v>0</v>
      </c>
      <c r="AP104" s="931">
        <f t="shared" si="204"/>
        <v>0</v>
      </c>
      <c r="AQ104" s="7" t="b">
        <f t="shared" si="205"/>
        <v>0</v>
      </c>
      <c r="AR104" s="439">
        <f t="shared" si="187"/>
        <v>0</v>
      </c>
      <c r="AS104" s="5">
        <f t="shared" si="206"/>
        <v>0</v>
      </c>
      <c r="AT104" s="1010">
        <f t="shared" si="188"/>
        <v>0</v>
      </c>
      <c r="AU104" s="931">
        <f t="shared" si="189"/>
        <v>0</v>
      </c>
      <c r="AV104" s="7" t="b">
        <f t="shared" si="207"/>
        <v>0</v>
      </c>
      <c r="AW104" s="439">
        <f t="shared" si="190"/>
        <v>0</v>
      </c>
      <c r="AX104" s="1040">
        <f t="shared" si="208"/>
        <v>0</v>
      </c>
      <c r="AY104" s="439">
        <f>IF(SUM(P100:P109)&gt;0,20-AY99/SUM(P100:P109)*SUM(P104:P109),20)</f>
        <v>20</v>
      </c>
      <c r="BA104" s="341">
        <f t="shared" si="209"/>
        <v>1</v>
      </c>
      <c r="BB104" s="1504">
        <f t="shared" si="210"/>
        <v>1</v>
      </c>
      <c r="BN104" s="7" t="str">
        <f>Tab!C159</f>
        <v>Muri AG</v>
      </c>
      <c r="BO104" s="5">
        <v>51</v>
      </c>
      <c r="BP104" s="118" t="str">
        <f>Bauteile!B104</f>
        <v>Briques de terre cuite, modulaires parpaing</v>
      </c>
      <c r="BQ104" s="2057">
        <v>48</v>
      </c>
      <c r="BU104" s="2098" t="str">
        <f>Bauteile!B143</f>
        <v>Enduit de barrière m=15</v>
      </c>
      <c r="BV104" s="1872">
        <f>Bauteile!H143</f>
        <v>1</v>
      </c>
      <c r="BW104" s="2098" t="str">
        <f>Bauteile!B400</f>
        <v>SAGLAN (035) DF70</v>
      </c>
      <c r="BX104" s="2056">
        <f>Bauteile!H400</f>
        <v>3.5000000000000003E-2</v>
      </c>
    </row>
    <row r="105" spans="2:77" ht="15.6" customHeight="1">
      <c r="B105" s="11">
        <v>6</v>
      </c>
      <c r="C105" s="2212"/>
      <c r="D105" s="2213"/>
      <c r="E105" s="2214"/>
      <c r="F105" s="26"/>
      <c r="G105" s="59">
        <f>INDEX(Bauteile!$H$57:$H$1159,BA105)</f>
        <v>0</v>
      </c>
      <c r="H105" s="312">
        <f t="shared" si="191"/>
        <v>0</v>
      </c>
      <c r="J105" s="11">
        <v>6</v>
      </c>
      <c r="K105" s="2212"/>
      <c r="L105" s="2213"/>
      <c r="M105" s="2214"/>
      <c r="N105" s="26"/>
      <c r="O105" s="59">
        <f>INDEX(Bauteile!$H$57:$H$1159,BB105)</f>
        <v>0</v>
      </c>
      <c r="P105" s="312">
        <f t="shared" si="192"/>
        <v>0</v>
      </c>
      <c r="S105" s="1039">
        <f t="shared" si="193"/>
        <v>0</v>
      </c>
      <c r="T105" s="989">
        <f>IF(SUM(H100:H109)&gt;0,20-T99/SUM(H100:H109)*SUM(H100:H105),20)</f>
        <v>20</v>
      </c>
      <c r="U105" s="1033">
        <f>INDEX(Bauteile!$I$57:$I$1159,BA105)</f>
        <v>0</v>
      </c>
      <c r="V105" s="997">
        <f t="shared" si="194"/>
        <v>0</v>
      </c>
      <c r="W105" s="1006">
        <f t="shared" si="195"/>
        <v>0</v>
      </c>
      <c r="X105" s="563">
        <f t="shared" si="181"/>
        <v>0</v>
      </c>
      <c r="Y105" s="931">
        <f t="shared" si="196"/>
        <v>0</v>
      </c>
      <c r="Z105" s="563" t="b">
        <f t="shared" si="197"/>
        <v>0</v>
      </c>
      <c r="AA105" s="439">
        <f t="shared" si="182"/>
        <v>0</v>
      </c>
      <c r="AB105" s="1009">
        <f t="shared" si="198"/>
        <v>0</v>
      </c>
      <c r="AC105" s="1010">
        <f t="shared" si="183"/>
        <v>0</v>
      </c>
      <c r="AD105" s="931">
        <f t="shared" si="184"/>
        <v>0</v>
      </c>
      <c r="AE105" s="7" t="b">
        <f t="shared" si="199"/>
        <v>0</v>
      </c>
      <c r="AF105" s="439">
        <f t="shared" si="185"/>
        <v>0</v>
      </c>
      <c r="AG105" s="1040">
        <f t="shared" si="200"/>
        <v>0</v>
      </c>
      <c r="AH105" s="439">
        <f>IF(SUM(H100:H109)&gt;0,20-AH99/SUM(H100:H109)*SUM(H105:H109),20)</f>
        <v>20</v>
      </c>
      <c r="AJ105" s="1039">
        <f t="shared" si="201"/>
        <v>0</v>
      </c>
      <c r="AK105" s="989">
        <f>IF(SUM(P100:P109)&gt;0,20-AK99/SUM(P100:P109)*SUM(P100:P105),20)</f>
        <v>20</v>
      </c>
      <c r="AL105" s="1033">
        <f>INDEX(Bauteile!$I$57:$I$1159,BB105)</f>
        <v>0</v>
      </c>
      <c r="AM105" s="997">
        <f t="shared" si="202"/>
        <v>0</v>
      </c>
      <c r="AN105" s="1006">
        <f t="shared" si="203"/>
        <v>0</v>
      </c>
      <c r="AO105" s="563">
        <f t="shared" si="186"/>
        <v>0</v>
      </c>
      <c r="AP105" s="931">
        <f t="shared" si="204"/>
        <v>0</v>
      </c>
      <c r="AQ105" s="7" t="b">
        <f t="shared" si="205"/>
        <v>0</v>
      </c>
      <c r="AR105" s="439">
        <f t="shared" si="187"/>
        <v>0</v>
      </c>
      <c r="AS105" s="5">
        <f t="shared" si="206"/>
        <v>0</v>
      </c>
      <c r="AT105" s="1010">
        <f t="shared" si="188"/>
        <v>0</v>
      </c>
      <c r="AU105" s="931">
        <f t="shared" si="189"/>
        <v>0</v>
      </c>
      <c r="AV105" s="7" t="b">
        <f t="shared" si="207"/>
        <v>0</v>
      </c>
      <c r="AW105" s="439">
        <f t="shared" si="190"/>
        <v>0</v>
      </c>
      <c r="AX105" s="1040">
        <f t="shared" si="208"/>
        <v>0</v>
      </c>
      <c r="AY105" s="439">
        <f>IF(SUM(P100:P109)&gt;0,20-AY99/SUM(P100:P109)*SUM(P105:P109),20)</f>
        <v>20</v>
      </c>
      <c r="BA105" s="341">
        <f t="shared" si="209"/>
        <v>1</v>
      </c>
      <c r="BB105" s="1504">
        <f t="shared" si="210"/>
        <v>1</v>
      </c>
      <c r="BN105" s="7" t="str">
        <f>Tab!C160</f>
        <v>Mürren</v>
      </c>
      <c r="BO105" s="5">
        <v>52</v>
      </c>
      <c r="BP105" s="118" t="str">
        <f>Bauteile!B105</f>
        <v>Briques en béton cellulaire, lambda 0.16</v>
      </c>
      <c r="BQ105" s="2057">
        <v>49</v>
      </c>
      <c r="BU105" s="2098" t="str">
        <f>Bauteile!B144</f>
        <v>Enduit de barrière thermique m=5</v>
      </c>
      <c r="BV105" s="1872">
        <f>Bauteile!H144</f>
        <v>0.35</v>
      </c>
      <c r="BW105" s="2098" t="str">
        <f>Bauteile!B401</f>
        <v>SAGLAN (038) R 300 / (038) 300</v>
      </c>
      <c r="BX105" s="2056">
        <f>Bauteile!H401</f>
        <v>3.7999999999999999E-2</v>
      </c>
    </row>
    <row r="106" spans="2:77" ht="15.6" customHeight="1">
      <c r="B106" s="11">
        <v>7</v>
      </c>
      <c r="C106" s="2212"/>
      <c r="D106" s="2213"/>
      <c r="E106" s="2214"/>
      <c r="F106" s="26"/>
      <c r="G106" s="59">
        <f>INDEX(Bauteile!$H$57:$H$1159,BA106)</f>
        <v>0</v>
      </c>
      <c r="H106" s="312">
        <f t="shared" si="191"/>
        <v>0</v>
      </c>
      <c r="J106" s="11">
        <v>7</v>
      </c>
      <c r="K106" s="2212"/>
      <c r="L106" s="2213"/>
      <c r="M106" s="2214"/>
      <c r="N106" s="26"/>
      <c r="O106" s="59">
        <f>INDEX(Bauteile!$H$57:$H$1159,BB106)</f>
        <v>0</v>
      </c>
      <c r="P106" s="312">
        <f t="shared" si="192"/>
        <v>0</v>
      </c>
      <c r="S106" s="1039">
        <f t="shared" si="193"/>
        <v>0</v>
      </c>
      <c r="T106" s="989">
        <f>IF(SUM(H100:H109)&gt;0,20-T99/SUM(H100:H109)*SUM(H100:H106),20)</f>
        <v>20</v>
      </c>
      <c r="U106" s="1033">
        <f>INDEX(Bauteile!$I$57:$I$1159,BA106)</f>
        <v>0</v>
      </c>
      <c r="V106" s="997">
        <f t="shared" si="194"/>
        <v>0</v>
      </c>
      <c r="W106" s="1006">
        <f t="shared" si="195"/>
        <v>0</v>
      </c>
      <c r="X106" s="563">
        <f t="shared" si="181"/>
        <v>0</v>
      </c>
      <c r="Y106" s="931">
        <f t="shared" si="196"/>
        <v>0</v>
      </c>
      <c r="Z106" s="563" t="b">
        <f t="shared" si="197"/>
        <v>0</v>
      </c>
      <c r="AA106" s="439">
        <f t="shared" si="182"/>
        <v>0</v>
      </c>
      <c r="AB106" s="1009">
        <f t="shared" si="198"/>
        <v>0</v>
      </c>
      <c r="AC106" s="1010">
        <f t="shared" si="183"/>
        <v>0</v>
      </c>
      <c r="AD106" s="931">
        <f t="shared" si="184"/>
        <v>0</v>
      </c>
      <c r="AE106" s="7" t="b">
        <f t="shared" si="199"/>
        <v>0</v>
      </c>
      <c r="AF106" s="439">
        <f t="shared" si="185"/>
        <v>0</v>
      </c>
      <c r="AG106" s="1040">
        <f t="shared" si="200"/>
        <v>0</v>
      </c>
      <c r="AH106" s="439">
        <f>IF(SUM(H100:H109)&gt;0,20-AH99/SUM(H100:H109)*SUM(H106:H109),20)</f>
        <v>20</v>
      </c>
      <c r="AJ106" s="1039">
        <f t="shared" si="201"/>
        <v>0</v>
      </c>
      <c r="AK106" s="989">
        <f>IF(SUM(P100:P109)&gt;0,20-AK99/SUM(P100:P109)*SUM(P100:P106),20)</f>
        <v>20</v>
      </c>
      <c r="AL106" s="1033">
        <f>INDEX(Bauteile!$I$57:$I$1159,BB106)</f>
        <v>0</v>
      </c>
      <c r="AM106" s="997">
        <f t="shared" si="202"/>
        <v>0</v>
      </c>
      <c r="AN106" s="1006">
        <f t="shared" si="203"/>
        <v>0</v>
      </c>
      <c r="AO106" s="563">
        <f t="shared" si="186"/>
        <v>0</v>
      </c>
      <c r="AP106" s="931">
        <f t="shared" si="204"/>
        <v>0</v>
      </c>
      <c r="AQ106" s="7" t="b">
        <f t="shared" si="205"/>
        <v>0</v>
      </c>
      <c r="AR106" s="439">
        <f t="shared" si="187"/>
        <v>0</v>
      </c>
      <c r="AS106" s="5">
        <f t="shared" si="206"/>
        <v>0</v>
      </c>
      <c r="AT106" s="1010">
        <f t="shared" si="188"/>
        <v>0</v>
      </c>
      <c r="AU106" s="931">
        <f t="shared" si="189"/>
        <v>0</v>
      </c>
      <c r="AV106" s="7" t="b">
        <f t="shared" si="207"/>
        <v>0</v>
      </c>
      <c r="AW106" s="439">
        <f t="shared" si="190"/>
        <v>0</v>
      </c>
      <c r="AX106" s="1040">
        <f t="shared" si="208"/>
        <v>0</v>
      </c>
      <c r="AY106" s="439">
        <f>IF(SUM(P100:P109)&gt;0,20-AY99/SUM(P100:P109)*SUM(P106:P109),20)</f>
        <v>20</v>
      </c>
      <c r="BA106" s="341">
        <f t="shared" si="209"/>
        <v>1</v>
      </c>
      <c r="BB106" s="1504">
        <f t="shared" si="210"/>
        <v>1</v>
      </c>
      <c r="BN106" s="7" t="str">
        <f>Tab!C161</f>
        <v>Neuchâtel</v>
      </c>
      <c r="BO106" s="5">
        <v>53</v>
      </c>
      <c r="BP106" s="118" t="str">
        <f>Bauteile!B106</f>
        <v>Briques en béton cellulaire, lambda 0.18</v>
      </c>
      <c r="BQ106" s="2057">
        <v>50</v>
      </c>
      <c r="BU106" s="2098" t="str">
        <f>Bauteile!B145</f>
        <v>Enduit de barrière thermique m=8</v>
      </c>
      <c r="BV106" s="1872">
        <f>Bauteile!H145</f>
        <v>6.5000000000000002E-2</v>
      </c>
      <c r="BW106" s="2098" t="str">
        <f>Bauteile!B402</f>
        <v>THERMO-PLUS / THERMO-PLUS COLOR</v>
      </c>
      <c r="BX106" s="2056">
        <f>Bauteile!H402</f>
        <v>3.1E-2</v>
      </c>
    </row>
    <row r="107" spans="2:77" ht="15.6" customHeight="1" thickBot="1">
      <c r="B107" s="11">
        <v>8</v>
      </c>
      <c r="C107" s="2212"/>
      <c r="D107" s="2213"/>
      <c r="E107" s="2214"/>
      <c r="F107" s="26"/>
      <c r="G107" s="59">
        <f>INDEX(Bauteile!$H$57:$H$1159,BA107)</f>
        <v>0</v>
      </c>
      <c r="H107" s="312">
        <f t="shared" si="191"/>
        <v>0</v>
      </c>
      <c r="J107" s="11">
        <v>8</v>
      </c>
      <c r="K107" s="2212"/>
      <c r="L107" s="2213"/>
      <c r="M107" s="2214"/>
      <c r="N107" s="26"/>
      <c r="O107" s="59">
        <f>INDEX(Bauteile!$H$57:$H$1159,BB107)</f>
        <v>0</v>
      </c>
      <c r="P107" s="312">
        <f t="shared" si="192"/>
        <v>0</v>
      </c>
      <c r="S107" s="1041">
        <f t="shared" si="193"/>
        <v>0</v>
      </c>
      <c r="T107" s="1014">
        <f>IF(SUM(H100:H109)&gt;0,20-T99/SUM(H100:H109)*SUM(H100:H107),20)</f>
        <v>20</v>
      </c>
      <c r="U107" s="1033">
        <f>INDEX(Bauteile!$I$57:$I$1159,BA107)</f>
        <v>0</v>
      </c>
      <c r="V107" s="997">
        <f t="shared" si="194"/>
        <v>0</v>
      </c>
      <c r="W107" s="1004">
        <f t="shared" si="195"/>
        <v>0</v>
      </c>
      <c r="X107" s="11"/>
      <c r="Y107" s="1042">
        <f t="shared" si="196"/>
        <v>0</v>
      </c>
      <c r="Z107" s="11" t="b">
        <f t="shared" si="197"/>
        <v>0</v>
      </c>
      <c r="AA107" s="1043"/>
      <c r="AB107" s="1011">
        <f t="shared" si="198"/>
        <v>0</v>
      </c>
      <c r="AC107" s="1012">
        <f>V107*U107</f>
        <v>0</v>
      </c>
      <c r="AD107" s="1042">
        <f>IF(AND(AB107&gt;0,AC107&gt;0),Ak/AC107-Bk/AB107,)</f>
        <v>0</v>
      </c>
      <c r="AE107" s="9" t="b">
        <f t="shared" si="199"/>
        <v>0</v>
      </c>
      <c r="AF107" s="1043"/>
      <c r="AG107" s="1044">
        <f t="shared" si="200"/>
        <v>0</v>
      </c>
      <c r="AH107" s="1043">
        <f>IF(SUM(H100:H109)&gt;0,20-AH99/SUM(H100:H109)*SUM(H107:H109),20)</f>
        <v>20</v>
      </c>
      <c r="AJ107" s="1041">
        <f t="shared" si="201"/>
        <v>0</v>
      </c>
      <c r="AK107" s="1014">
        <f>IF(SUM(P100:P109)&gt;0,20-AK99/SUM(P100:P109)*SUM(P100:P107),20)</f>
        <v>20</v>
      </c>
      <c r="AL107" s="1033">
        <f>INDEX(Bauteile!$I$57:$I$1159,BB107)</f>
        <v>0</v>
      </c>
      <c r="AM107" s="997">
        <f t="shared" si="202"/>
        <v>0</v>
      </c>
      <c r="AN107" s="1004">
        <f t="shared" si="203"/>
        <v>0</v>
      </c>
      <c r="AO107" s="11"/>
      <c r="AP107" s="1042">
        <f t="shared" si="204"/>
        <v>0</v>
      </c>
      <c r="AQ107" s="9" t="b">
        <f t="shared" si="205"/>
        <v>0</v>
      </c>
      <c r="AR107" s="1043"/>
      <c r="AS107" s="10">
        <f t="shared" si="206"/>
        <v>0</v>
      </c>
      <c r="AT107" s="1012">
        <f>AM107*AL107</f>
        <v>0</v>
      </c>
      <c r="AU107" s="1042">
        <f>IF(AND(AS107&gt;0,AT107&gt;0),Ak/AT107-Bk/AS107,)</f>
        <v>0</v>
      </c>
      <c r="AV107" s="9" t="b">
        <f t="shared" si="207"/>
        <v>0</v>
      </c>
      <c r="AW107" s="1043"/>
      <c r="AX107" s="1044">
        <f t="shared" si="208"/>
        <v>0</v>
      </c>
      <c r="AY107" s="1043">
        <f>IF(SUM(P100:P109)&gt;0,20-AY99/SUM(P100:P109)*SUM(P107:P109),20)</f>
        <v>20</v>
      </c>
      <c r="BA107" s="341">
        <f t="shared" si="209"/>
        <v>1</v>
      </c>
      <c r="BB107" s="1504">
        <f t="shared" si="210"/>
        <v>1</v>
      </c>
      <c r="BN107" s="7" t="str">
        <f>Tab!C162</f>
        <v>Oberiberg</v>
      </c>
      <c r="BO107" s="5">
        <v>54</v>
      </c>
      <c r="BP107" s="118" t="str">
        <f>Bauteile!B107</f>
        <v>Briques en béton cellulaire, lambda 0.21</v>
      </c>
      <c r="BQ107" s="2057">
        <v>51</v>
      </c>
      <c r="BU107" s="2098" t="str">
        <f>Bauteile!B146</f>
        <v>Enduit de barrière thermique m=20</v>
      </c>
      <c r="BV107" s="1872">
        <f>Bauteile!H146</f>
        <v>0.35</v>
      </c>
      <c r="BW107" s="2098" t="str">
        <f>Bauteile!B403</f>
        <v>ISOVER PBS 50</v>
      </c>
      <c r="BX107" s="2056">
        <f>Bauteile!H403</f>
        <v>3.1E-2</v>
      </c>
    </row>
    <row r="108" spans="2:77" ht="15.6" customHeight="1" thickBot="1">
      <c r="B108" s="11">
        <v>9</v>
      </c>
      <c r="C108" s="2212"/>
      <c r="D108" s="2213"/>
      <c r="E108" s="2214"/>
      <c r="F108" s="10"/>
      <c r="G108" s="59">
        <f>INDEX(Bauteile!$P$284:$P$296,BA108,1)</f>
        <v>0</v>
      </c>
      <c r="H108" s="312">
        <f>IF(G108=0,0,1/G108)</f>
        <v>0</v>
      </c>
      <c r="J108" s="11">
        <v>9</v>
      </c>
      <c r="K108" s="2212"/>
      <c r="L108" s="2213"/>
      <c r="M108" s="2214"/>
      <c r="N108" s="10"/>
      <c r="O108" s="59">
        <f>INDEX(Bauteile!$P$284:$P$296,BB108,1)</f>
        <v>0</v>
      </c>
      <c r="P108" s="312">
        <f>IF(O108=0,0,1/O108)</f>
        <v>0</v>
      </c>
      <c r="S108" s="1045"/>
      <c r="T108" s="1046"/>
      <c r="U108" s="1047" t="b">
        <f>IF(AND(V98,V99&lt;&gt;TRUE),Z108,IF(AND(V99,V98&lt;&gt;TRUE),AE108,FALSE))</f>
        <v>0</v>
      </c>
      <c r="V108" s="1015" t="str">
        <f>IF(AND(V98,V99&lt;&gt;TRUE),AA108,IF(AND(V99,V98&lt;&gt;TRUE),AF108,""))</f>
        <v/>
      </c>
      <c r="W108" s="990"/>
      <c r="X108" s="991"/>
      <c r="Y108" s="991"/>
      <c r="Z108" s="1048" t="b">
        <f>IF(OR(Z101,Z102,Z103,Z104,Z105,Z106,Z107),TRUE,FALSE)</f>
        <v>0</v>
      </c>
      <c r="AA108" s="993">
        <f>MAX(AA101:AA107)</f>
        <v>0</v>
      </c>
      <c r="AB108" s="990"/>
      <c r="AC108" s="991"/>
      <c r="AD108" s="991"/>
      <c r="AE108" s="1048" t="b">
        <f>IF(OR(AE101,AE102,AE103,AE104,AE105,AE106,AE107),TRUE,FALSE)</f>
        <v>0</v>
      </c>
      <c r="AF108" s="1049">
        <f>MAX(AF101:AF107)</f>
        <v>0</v>
      </c>
      <c r="AG108" s="1045"/>
      <c r="AH108" s="1046"/>
      <c r="AJ108" s="1045"/>
      <c r="AK108" s="1046"/>
      <c r="AL108" s="1047" t="b">
        <f>IF(AND(AM98,AM99&lt;&gt;TRUE),AQ108,IF(AND(AM99,AM98&lt;&gt;TRUE),AV108,FALSE))</f>
        <v>0</v>
      </c>
      <c r="AM108" s="1015" t="str">
        <f>IF(AND(AM98,AM99&lt;&gt;TRUE),AR108,IF(AND(AM99,AM98&lt;&gt;TRUE),AW108,""))</f>
        <v/>
      </c>
      <c r="AN108" s="990"/>
      <c r="AO108" s="991"/>
      <c r="AP108" s="991"/>
      <c r="AQ108" s="1048" t="b">
        <f>IF(OR(AQ101,AQ102,AQ103,AQ104,AQ105,AQ106,AQ107),TRUE,FALSE)</f>
        <v>0</v>
      </c>
      <c r="AR108" s="1049">
        <f>MAX(AR101:AR107)</f>
        <v>0</v>
      </c>
      <c r="AS108" s="990"/>
      <c r="AT108" s="991"/>
      <c r="AU108" s="991"/>
      <c r="AV108" s="1048" t="b">
        <f>IF(OR(AV101,AV102,AV103,AV104,AV105,AV106,AV107),TRUE,FALSE)</f>
        <v>0</v>
      </c>
      <c r="AW108" s="1049">
        <f>MAX(AW101:AW107)</f>
        <v>0</v>
      </c>
      <c r="AX108" s="1045"/>
      <c r="AY108" s="1046"/>
      <c r="BA108" s="341">
        <f>IF($C108="",1,VLOOKUP($C108,$BR$40:$BS$52,2,FALSE))</f>
        <v>1</v>
      </c>
      <c r="BB108" s="1504">
        <f>IF($K108="",1,VLOOKUP($K108,$BR$40:$BS$52,2,FALSE))</f>
        <v>1</v>
      </c>
      <c r="BN108" s="7" t="str">
        <f>Tab!C163</f>
        <v>Olten</v>
      </c>
      <c r="BO108" s="5">
        <v>55</v>
      </c>
      <c r="BP108" s="118" t="str">
        <f>Bauteile!B108</f>
        <v>Bronze</v>
      </c>
      <c r="BQ108" s="2057">
        <v>52</v>
      </c>
      <c r="BU108" s="2098" t="str">
        <f>Bauteile!B147</f>
        <v>Enduit de base au plâtre m=10</v>
      </c>
      <c r="BV108" s="1872">
        <f>Bauteile!H147</f>
        <v>0.7</v>
      </c>
      <c r="BW108" s="2098" t="str">
        <f>Bauteile!B404</f>
        <v>ISOVER PB A 031</v>
      </c>
      <c r="BX108" s="2056">
        <f>Bauteile!H404</f>
        <v>3.1E-2</v>
      </c>
    </row>
    <row r="109" spans="2:77" ht="15.6" customHeight="1">
      <c r="B109" s="11">
        <v>10</v>
      </c>
      <c r="C109" s="2212"/>
      <c r="D109" s="2213"/>
      <c r="E109" s="2214"/>
      <c r="F109" s="10"/>
      <c r="G109" s="450">
        <f>INDEX(Bauteile!$O$280:$O$283,BA109)</f>
        <v>0</v>
      </c>
      <c r="H109" s="312">
        <f>IF(BA109=4,SUM(P100:P109),IF(G109=0,0,1/G109))</f>
        <v>0</v>
      </c>
      <c r="J109" s="11">
        <v>10</v>
      </c>
      <c r="K109" s="2212"/>
      <c r="L109" s="2213"/>
      <c r="M109" s="2214"/>
      <c r="N109" s="10"/>
      <c r="O109" s="59">
        <f>INDEX(Bauteile!$O$280:$O$282,BB109)</f>
        <v>0</v>
      </c>
      <c r="P109" s="312">
        <f>IF(O109=0,0,1/O109)</f>
        <v>0</v>
      </c>
      <c r="U109" s="116"/>
      <c r="AG109" s="4"/>
      <c r="BA109" s="340">
        <f>IF($C109="",3,VLOOKUP($C109,$BR$36:$BS$39,2,FALSE))</f>
        <v>3</v>
      </c>
      <c r="BB109" s="1505">
        <f>IF($K109="",3,VLOOKUP($K109,$BR$36:$BS$38,2,FALSE))</f>
        <v>3</v>
      </c>
      <c r="BN109" s="7" t="str">
        <f>Tab!C164</f>
        <v>Oeschenberg</v>
      </c>
      <c r="BO109" s="5">
        <v>56</v>
      </c>
      <c r="BP109" s="118" t="str">
        <f>Bauteile!B109</f>
        <v>Bruchstein-Mauerwerk</v>
      </c>
      <c r="BQ109" s="2057">
        <v>53</v>
      </c>
      <c r="BU109" s="2098" t="str">
        <f>Bauteile!B148</f>
        <v>Enduit de base au chaux LKG m=10</v>
      </c>
      <c r="BV109" s="1872">
        <f>Bauteile!H148</f>
        <v>0.8</v>
      </c>
      <c r="BW109" s="2098" t="str">
        <f>Bauteile!B405</f>
        <v>ISOVER PB F 032</v>
      </c>
      <c r="BX109" s="2056">
        <f>Bauteile!H405</f>
        <v>3.2000000000000001E-2</v>
      </c>
    </row>
    <row r="110" spans="2:77" ht="4.9000000000000004" customHeight="1">
      <c r="B110" s="4"/>
      <c r="C110" s="8"/>
      <c r="D110" s="8"/>
      <c r="E110" s="8"/>
      <c r="F110" s="4"/>
      <c r="G110" s="4"/>
      <c r="H110" s="21"/>
      <c r="J110" s="4"/>
      <c r="K110" s="8"/>
      <c r="L110" s="8"/>
      <c r="M110" s="8"/>
      <c r="N110" s="4"/>
      <c r="O110" s="4"/>
      <c r="P110" s="21"/>
      <c r="AH110" s="467"/>
      <c r="AI110" s="467"/>
      <c r="AJ110" s="467"/>
      <c r="AK110" s="467"/>
      <c r="AY110" s="4"/>
      <c r="BA110" s="335"/>
      <c r="BB110" s="335"/>
      <c r="BM110" s="3"/>
      <c r="BN110" s="7" t="str">
        <f>Tab!C165</f>
        <v>Rapperswil</v>
      </c>
      <c r="BO110" s="5">
        <v>57</v>
      </c>
      <c r="BP110" s="118" t="str">
        <f>Bauteile!B110</f>
        <v>BTC de parement</v>
      </c>
      <c r="BQ110" s="2057">
        <v>54</v>
      </c>
      <c r="BS110" s="335"/>
      <c r="BT110" s="335"/>
      <c r="BU110" s="2098"/>
      <c r="BV110" s="2051"/>
      <c r="BW110" s="2098" t="str">
        <f>Bauteile!B406</f>
        <v>ISOVER FM</v>
      </c>
      <c r="BX110" s="2056">
        <f>Bauteile!H406</f>
        <v>3.5000000000000003E-2</v>
      </c>
    </row>
    <row r="111" spans="2:77" ht="18" customHeight="1">
      <c r="B111" s="112" t="str">
        <f>Uebersetzung!D453</f>
        <v>Fenêtres:</v>
      </c>
      <c r="C111" s="8"/>
      <c r="D111" s="8"/>
      <c r="E111" s="8"/>
      <c r="F111" s="4"/>
      <c r="G111" s="4"/>
      <c r="H111" s="21"/>
      <c r="J111" s="4"/>
      <c r="K111" s="8"/>
      <c r="L111" s="8"/>
      <c r="M111" s="8"/>
      <c r="N111" s="4"/>
      <c r="O111" s="4"/>
      <c r="P111" s="21"/>
      <c r="AB111" s="4"/>
      <c r="AC111" s="4"/>
      <c r="AD111" s="4"/>
      <c r="AE111" s="4"/>
      <c r="AY111" s="4"/>
      <c r="AZ111" s="4"/>
      <c r="BA111" s="4"/>
      <c r="BB111" s="4"/>
      <c r="BC111" s="4"/>
      <c r="BD111" s="4"/>
      <c r="BE111" s="4"/>
      <c r="BF111" s="4"/>
      <c r="BG111" s="4"/>
      <c r="BH111" s="4"/>
      <c r="BI111" s="4"/>
      <c r="BJ111" s="4"/>
      <c r="BK111" s="4"/>
      <c r="BL111" s="467"/>
      <c r="BM111" s="4"/>
      <c r="BN111" s="7" t="str">
        <f>Tab!C166</f>
        <v>Rheinfelden</v>
      </c>
      <c r="BO111" s="5">
        <v>58</v>
      </c>
      <c r="BP111" s="118" t="str">
        <f>Bauteile!B111</f>
        <v>BTC isolante</v>
      </c>
      <c r="BQ111" s="2057">
        <v>55</v>
      </c>
      <c r="BR111" s="4"/>
      <c r="BU111" s="2098" t="str">
        <f>Bauteile!B149</f>
        <v>Enduit de base LZ m=12</v>
      </c>
      <c r="BV111" s="1872">
        <f>Bauteile!H149</f>
        <v>0.8</v>
      </c>
      <c r="BW111" s="2098" t="str">
        <f>Bauteile!B407</f>
        <v>ISOVER PB M 035</v>
      </c>
      <c r="BX111" s="2056">
        <f>Bauteile!H407</f>
        <v>3.5000000000000003E-2</v>
      </c>
      <c r="BY111" s="335"/>
    </row>
    <row r="112" spans="2:77" ht="3" customHeight="1">
      <c r="AF112" s="3"/>
      <c r="AG112" s="3"/>
      <c r="AZ112" s="4"/>
      <c r="BA112" s="4"/>
      <c r="BB112" s="4"/>
      <c r="BC112" s="4"/>
      <c r="BD112" s="4"/>
      <c r="BE112" s="4"/>
      <c r="BF112" s="4"/>
      <c r="BG112" s="4"/>
      <c r="BH112" s="4"/>
      <c r="BI112" s="4"/>
      <c r="BJ112" s="4"/>
      <c r="BK112" s="4"/>
      <c r="BL112" s="4"/>
      <c r="BN112" s="7" t="str">
        <f>Tab!C167</f>
        <v>Rigi-Kulm</v>
      </c>
      <c r="BO112" s="5">
        <v>59</v>
      </c>
      <c r="BP112" s="118" t="str">
        <f>Bauteile!B112</f>
        <v>BTC normale 25</v>
      </c>
      <c r="BQ112" s="2057">
        <v>56</v>
      </c>
      <c r="BU112" s="2098"/>
      <c r="BV112" s="2051"/>
      <c r="BW112" s="2098" t="str">
        <f>Bauteile!B408</f>
        <v>ISOVER PB M KRAFT 035</v>
      </c>
      <c r="BX112" s="2056">
        <f>Bauteile!H408</f>
        <v>3.5000000000000003E-2</v>
      </c>
      <c r="BY112" s="335"/>
    </row>
    <row r="113" spans="1:77" ht="18" customHeight="1">
      <c r="B113" s="110" t="s">
        <v>1198</v>
      </c>
      <c r="C113" s="111" t="str">
        <f>C97</f>
        <v>Désignation:</v>
      </c>
      <c r="D113" s="938"/>
      <c r="E113" s="925" t="s">
        <v>438</v>
      </c>
      <c r="F113" s="113" t="str">
        <f>Uebersetzung!D449</f>
        <v>Valeur U</v>
      </c>
      <c r="G113" s="16"/>
      <c r="H113" s="114" t="str">
        <f>Uebersetzung!D450</f>
        <v>Valeur g</v>
      </c>
      <c r="J113" s="110" t="s">
        <v>1198</v>
      </c>
      <c r="K113" s="111" t="str">
        <f>K97</f>
        <v>Désignation:</v>
      </c>
      <c r="L113" s="938"/>
      <c r="M113" s="925" t="s">
        <v>438</v>
      </c>
      <c r="N113" s="113" t="str">
        <f>F113</f>
        <v>Valeur U</v>
      </c>
      <c r="O113" s="115"/>
      <c r="P113" s="114" t="str">
        <f>H113</f>
        <v>Valeur g</v>
      </c>
      <c r="S113" s="1056"/>
      <c r="T113" s="1057" t="s">
        <v>1011</v>
      </c>
      <c r="U113" s="1058"/>
      <c r="V113" s="3"/>
      <c r="W113" s="3"/>
      <c r="X113" s="3"/>
      <c r="Y113" s="3"/>
      <c r="Z113" s="3"/>
      <c r="AA113" s="3"/>
      <c r="BN113" s="7" t="str">
        <f>Tab!C168</f>
        <v>Robbia</v>
      </c>
      <c r="BO113" s="5">
        <v>60</v>
      </c>
      <c r="BP113" s="118" t="str">
        <f>Bauteile!B113</f>
        <v>BTC pleine de cheminée</v>
      </c>
      <c r="BQ113" s="2057">
        <v>57</v>
      </c>
      <c r="BU113" s="2098" t="str">
        <f>Bauteile!B150</f>
        <v>Enduits extérieur m=25</v>
      </c>
      <c r="BV113" s="1872">
        <f>Bauteile!H150</f>
        <v>0.87</v>
      </c>
      <c r="BW113" s="2098" t="str">
        <f>Bauteile!B409</f>
        <v>ISOVER ISOVOX</v>
      </c>
      <c r="BX113" s="2056">
        <f>Bauteile!H409</f>
        <v>3.5000000000000003E-2</v>
      </c>
      <c r="BY113" s="335"/>
    </row>
    <row r="114" spans="1:77" ht="18" customHeight="1" thickBot="1">
      <c r="B114" s="19">
        <v>15</v>
      </c>
      <c r="C114" s="2219"/>
      <c r="D114" s="2220"/>
      <c r="E114" s="2221"/>
      <c r="F114" s="313" t="str">
        <f>IF(BA116&lt;21,IF(AND(BA116&gt;1,BA118&gt;1),INDEX(Bauteile!J7:O33,BA116,BA118),""),INDEX(Bauteile!H7:H33,BA116))</f>
        <v/>
      </c>
      <c r="G114" s="314" t="s">
        <v>246</v>
      </c>
      <c r="H114" s="315" t="str">
        <f>IF(BA116&gt;1,INDEX(Bauteile!I7:I33,BA116),"")</f>
        <v/>
      </c>
      <c r="J114" s="19">
        <v>16</v>
      </c>
      <c r="K114" s="2219"/>
      <c r="L114" s="2220"/>
      <c r="M114" s="2221"/>
      <c r="N114" s="313" t="str">
        <f>IF(BB116&lt;21,IF(AND(BB116&gt;1,BB118&gt;1),INDEX(Bauteile!J7:O33,BB116,BB118),""),INDEX(Bauteile!H7:H33,BB116))</f>
        <v/>
      </c>
      <c r="O114" s="314" t="s">
        <v>246</v>
      </c>
      <c r="P114" s="315" t="str">
        <f>IF(BB116&gt;1,INDEX(Bauteile!I7:I33,BB116),"")</f>
        <v/>
      </c>
      <c r="S114" s="1053" t="s">
        <v>2018</v>
      </c>
      <c r="T114" s="1059">
        <f>IF(SUM(P100:P109)&lt;&gt;0,1/SUM(P100:P109),)</f>
        <v>0</v>
      </c>
      <c r="U114" s="5" t="s">
        <v>1190</v>
      </c>
      <c r="AB114" s="3"/>
      <c r="AC114" s="3"/>
      <c r="AD114" s="3"/>
      <c r="AE114" s="3"/>
      <c r="AH114" s="3"/>
      <c r="AI114" s="3"/>
      <c r="AJ114" s="3"/>
      <c r="AK114" s="3"/>
      <c r="AL114" s="3"/>
      <c r="AM114" s="3"/>
      <c r="AN114" s="3"/>
      <c r="BN114" s="7" t="str">
        <f>Tab!C169</f>
        <v>Rorschach</v>
      </c>
      <c r="BO114" s="5">
        <v>61</v>
      </c>
      <c r="BP114" s="118" t="str">
        <f>Bauteile!B114</f>
        <v>BTC, mod. en boutisses et panneresses</v>
      </c>
      <c r="BQ114" s="2057">
        <v>58</v>
      </c>
      <c r="BU114" s="2098" t="str">
        <f>Bauteile!B151</f>
        <v>Enduits intérieur m=8</v>
      </c>
      <c r="BV114" s="1872">
        <f>Bauteile!H151</f>
        <v>0.7</v>
      </c>
      <c r="BW114" s="2098" t="str">
        <f>Bauteile!B410</f>
        <v>RIS GREEN</v>
      </c>
      <c r="BX114" s="2056">
        <f>Bauteile!H410</f>
        <v>3.5000000000000003E-2</v>
      </c>
    </row>
    <row r="115" spans="1:77" s="3" customFormat="1" ht="18" customHeight="1">
      <c r="B115" s="6"/>
      <c r="C115" s="111" t="str">
        <f>Uebersetzung!D454</f>
        <v>Vitrification ou fenêtre spécial:</v>
      </c>
      <c r="D115" s="111"/>
      <c r="E115" s="111"/>
      <c r="F115" s="16"/>
      <c r="G115" s="16"/>
      <c r="H115" s="17"/>
      <c r="J115" s="6"/>
      <c r="K115" s="111" t="str">
        <f>C115</f>
        <v>Vitrification ou fenêtre spécial:</v>
      </c>
      <c r="L115" s="111"/>
      <c r="M115" s="111"/>
      <c r="N115" s="16"/>
      <c r="O115" s="16"/>
      <c r="P115" s="17"/>
      <c r="S115" s="1054"/>
      <c r="T115" s="1055"/>
      <c r="U115" s="10"/>
      <c r="V115" s="2"/>
      <c r="W115" s="2"/>
      <c r="X115" s="2"/>
      <c r="Y115" s="2"/>
      <c r="Z115" s="2"/>
      <c r="AA115" s="2"/>
      <c r="AB115" s="2"/>
      <c r="AC115" s="2"/>
      <c r="AD115" s="2"/>
      <c r="AE115" s="2"/>
      <c r="AF115" s="2"/>
      <c r="AG115" s="2"/>
      <c r="AH115" s="2"/>
      <c r="AI115" s="2"/>
      <c r="AJ115" s="2"/>
      <c r="AK115" s="2"/>
      <c r="AL115" s="2"/>
      <c r="AM115" s="2"/>
      <c r="AN115" s="2"/>
      <c r="AW115" s="2"/>
      <c r="AX115" s="2"/>
      <c r="AZ115" s="2"/>
      <c r="BA115" s="335" t="s">
        <v>2031</v>
      </c>
      <c r="BB115" s="336"/>
      <c r="BC115" s="2"/>
      <c r="BD115" s="2"/>
      <c r="BE115" s="2"/>
      <c r="BF115" s="2"/>
      <c r="BG115" s="2"/>
      <c r="BH115" s="2"/>
      <c r="BI115" s="2"/>
      <c r="BJ115" s="2"/>
      <c r="BK115" s="2"/>
      <c r="BL115" s="2"/>
      <c r="BN115" s="7" t="str">
        <f>Tab!C170</f>
        <v>Saanen</v>
      </c>
      <c r="BO115" s="5">
        <v>62</v>
      </c>
      <c r="BP115" s="118">
        <f>Bauteile!B115</f>
        <v>0</v>
      </c>
      <c r="BQ115" s="2057">
        <v>59</v>
      </c>
      <c r="BU115" s="2098" t="str">
        <f>Bauteile!B152</f>
        <v>Enduit légère m=15</v>
      </c>
      <c r="BV115" s="1872">
        <f>Bauteile!H152</f>
        <v>0.4</v>
      </c>
      <c r="BW115" s="2098" t="str">
        <f>Bauteile!B411</f>
        <v>ISOVER UNIROLL 035 / UNIROLL 035 PR</v>
      </c>
      <c r="BX115" s="2056">
        <f>Bauteile!H411</f>
        <v>3.5000000000000003E-2</v>
      </c>
    </row>
    <row r="116" spans="1:77" ht="18" customHeight="1">
      <c r="B116" s="7"/>
      <c r="C116" s="2246"/>
      <c r="D116" s="2246"/>
      <c r="E116" s="2246"/>
      <c r="F116" s="2246"/>
      <c r="G116" s="2246"/>
      <c r="H116" s="5"/>
      <c r="J116" s="7"/>
      <c r="K116" s="2248"/>
      <c r="L116" s="2248"/>
      <c r="M116" s="2248"/>
      <c r="N116" s="2248"/>
      <c r="O116" s="2248"/>
      <c r="P116" s="5"/>
      <c r="AZ116" s="3"/>
      <c r="BA116" s="339">
        <f>IF($C$116="",1,VLOOKUP($C$116,$BP$7:$BQ$33,2,FALSE))</f>
        <v>1</v>
      </c>
      <c r="BB116" s="1502">
        <f>IF($K$116="",1,VLOOKUP($K$116,$BP$7:$BQ$33,2,FALSE))</f>
        <v>1</v>
      </c>
      <c r="BC116" s="3"/>
      <c r="BD116" s="3"/>
      <c r="BE116" s="3"/>
      <c r="BF116" s="3"/>
      <c r="BG116" s="3"/>
      <c r="BH116" s="3"/>
      <c r="BI116" s="3"/>
      <c r="BJ116" s="3"/>
      <c r="BK116" s="3"/>
      <c r="BL116" s="3"/>
      <c r="BN116" s="7" t="str">
        <f>Tab!C171</f>
        <v>Saas Fee</v>
      </c>
      <c r="BO116" s="5">
        <v>63</v>
      </c>
      <c r="BP116" s="118" t="str">
        <f>Bauteile!B116</f>
        <v>Caoutchouc naturel</v>
      </c>
      <c r="BQ116" s="2057">
        <v>60</v>
      </c>
      <c r="BU116" s="2098" t="str">
        <f>Bauteile!B153</f>
        <v>Enduit légère m=20</v>
      </c>
      <c r="BV116" s="1872">
        <f>Bauteile!H153</f>
        <v>0.4</v>
      </c>
      <c r="BW116" s="2098" t="str">
        <f>Bauteile!B412</f>
        <v>ISOVER ISOFIX 035</v>
      </c>
      <c r="BX116" s="2056">
        <f>Bauteile!H412</f>
        <v>3.5000000000000003E-2</v>
      </c>
    </row>
    <row r="117" spans="1:77" ht="13.15" customHeight="1">
      <c r="B117" s="7"/>
      <c r="C117" s="22" t="str">
        <f>Uebersetzung!D455</f>
        <v>Châssis:</v>
      </c>
      <c r="D117" s="22"/>
      <c r="E117" s="22"/>
      <c r="F117" s="4"/>
      <c r="G117" s="4"/>
      <c r="H117" s="1577" t="str">
        <f>IF(GraueEnergie,"Graue Energie [MJ/m2]","")</f>
        <v/>
      </c>
      <c r="J117" s="7"/>
      <c r="K117" s="22" t="str">
        <f>C117</f>
        <v>Châssis:</v>
      </c>
      <c r="L117" s="22"/>
      <c r="M117" s="22"/>
      <c r="N117" s="4"/>
      <c r="O117" s="4"/>
      <c r="P117" s="1577" t="str">
        <f>IF(GraueEnergie,"graue Energie [MJ/m2]","")</f>
        <v/>
      </c>
      <c r="BA117" s="1503"/>
      <c r="BB117" s="1504"/>
      <c r="BN117" s="7" t="str">
        <f>Tab!C172</f>
        <v>San Bernardino</v>
      </c>
      <c r="BO117" s="5">
        <v>64</v>
      </c>
      <c r="BP117" s="118" t="str">
        <f>Bauteile!B117</f>
        <v>Cellulose, en vrac (N)</v>
      </c>
      <c r="BQ117" s="2057">
        <v>61</v>
      </c>
      <c r="BU117" s="2098" t="str">
        <f>Bauteile!B154</f>
        <v>Epicéa</v>
      </c>
      <c r="BV117" s="1872">
        <f>Bauteile!H154</f>
        <v>0.14000000000000001</v>
      </c>
      <c r="BW117" s="2098" t="str">
        <f>Bauteile!B413</f>
        <v>ISOVER PB M R 035</v>
      </c>
      <c r="BX117" s="2056">
        <f>Bauteile!H413</f>
        <v>3.5000000000000003E-2</v>
      </c>
    </row>
    <row r="118" spans="1:77" ht="18" customHeight="1">
      <c r="B118" s="9"/>
      <c r="C118" s="2246"/>
      <c r="D118" s="2246"/>
      <c r="E118" s="2246"/>
      <c r="F118" s="2246"/>
      <c r="G118" s="2246"/>
      <c r="H118" s="1576"/>
      <c r="J118" s="9"/>
      <c r="K118" s="2246"/>
      <c r="L118" s="2246"/>
      <c r="M118" s="2246"/>
      <c r="N118" s="2246"/>
      <c r="O118" s="2246"/>
      <c r="P118" s="1576"/>
      <c r="BA118" s="340">
        <f>IF($C$118="",1,VLOOKUP($C$118,$BR$7:$BS$12,2,FALSE))</f>
        <v>1</v>
      </c>
      <c r="BB118" s="1505">
        <f>IF($K$118="",1,VLOOKUP($K$118,$BR$7:$BS$12,2,FALSE))</f>
        <v>1</v>
      </c>
      <c r="BN118" s="7" t="str">
        <f>Tab!C173</f>
        <v>St. Gallen</v>
      </c>
      <c r="BO118" s="5">
        <v>65</v>
      </c>
      <c r="BP118" s="118" t="str">
        <f>Bauteile!B118</f>
        <v>Cellulose, en vrac (U)</v>
      </c>
      <c r="BQ118" s="2057">
        <v>62</v>
      </c>
      <c r="BU118" s="2098">
        <f>Bauteile!B155</f>
        <v>0</v>
      </c>
      <c r="BV118" s="1872">
        <f>Bauteile!H155</f>
        <v>0</v>
      </c>
      <c r="BW118" s="2098" t="str">
        <f>Bauteile!B414</f>
        <v>ISOVER DP-BASWA</v>
      </c>
      <c r="BX118" s="2056">
        <f>Bauteile!H414</f>
        <v>3.5000000000000003E-2</v>
      </c>
    </row>
    <row r="119" spans="1:77" ht="5.45" customHeight="1">
      <c r="BA119" s="335"/>
      <c r="BB119" s="335"/>
      <c r="BN119" s="7" t="str">
        <f>Tab!C174</f>
        <v>Santa Maria</v>
      </c>
      <c r="BO119" s="5">
        <v>66</v>
      </c>
      <c r="BP119" s="118" t="str">
        <f>Bauteile!B119</f>
        <v>Cellulose, panneaux (N)</v>
      </c>
      <c r="BQ119" s="2057">
        <v>63</v>
      </c>
      <c r="BU119" s="2098"/>
      <c r="BV119" s="2051"/>
      <c r="BW119" s="2098" t="str">
        <f>Bauteile!B415</f>
        <v>ISOVER ISOCALOR</v>
      </c>
      <c r="BX119" s="2056">
        <f>Bauteile!H415</f>
        <v>3.5000000000000003E-2</v>
      </c>
    </row>
    <row r="120" spans="1:77" ht="14.1" customHeight="1">
      <c r="B120" s="112" t="str">
        <f>Uebersetzung!D456</f>
        <v>Portes:</v>
      </c>
      <c r="C120" s="8"/>
      <c r="D120" s="8"/>
      <c r="E120" s="8"/>
      <c r="F120" s="4"/>
      <c r="G120" s="4"/>
      <c r="H120" s="21"/>
      <c r="J120" s="4"/>
      <c r="K120" s="8"/>
      <c r="L120" s="8"/>
      <c r="M120" s="8"/>
      <c r="N120" s="4"/>
      <c r="O120" s="4"/>
      <c r="P120" s="21"/>
      <c r="BA120" s="335"/>
      <c r="BB120" s="335"/>
      <c r="BN120" s="7" t="str">
        <f>Tab!C175</f>
        <v>Sargans</v>
      </c>
      <c r="BO120" s="5">
        <v>67</v>
      </c>
      <c r="BP120" s="118" t="str">
        <f>Bauteile!B120</f>
        <v>Cellulose, panneaux (U)</v>
      </c>
      <c r="BQ120" s="2057">
        <v>64</v>
      </c>
      <c r="BU120" s="2098" t="str">
        <f>Bauteile!B156</f>
        <v>Fer, fonte</v>
      </c>
      <c r="BV120" s="1872">
        <f>Bauteile!H156</f>
        <v>50</v>
      </c>
      <c r="BW120" s="2098" t="str">
        <f>Bauteile!B416</f>
        <v>ISOVER PS C</v>
      </c>
      <c r="BX120" s="2056">
        <f>Bauteile!H416</f>
        <v>3.5000000000000003E-2</v>
      </c>
    </row>
    <row r="121" spans="1:77" ht="3.75" customHeight="1">
      <c r="BA121" s="335"/>
      <c r="BB121" s="335"/>
      <c r="BN121" s="7" t="str">
        <f>Tab!C176</f>
        <v>Sarnen</v>
      </c>
      <c r="BO121" s="5">
        <v>68</v>
      </c>
      <c r="BP121" s="118" t="str">
        <f>Bauteile!B121</f>
        <v>Chêne</v>
      </c>
      <c r="BQ121" s="2057">
        <v>65</v>
      </c>
      <c r="BU121" s="2098"/>
      <c r="BV121" s="2051"/>
      <c r="BW121" s="2098" t="str">
        <f>Bauteile!B417</f>
        <v>ISOVER ISOTHERM 035</v>
      </c>
      <c r="BX121" s="2056">
        <f>Bauteile!H417</f>
        <v>3.5000000000000003E-2</v>
      </c>
    </row>
    <row r="122" spans="1:77" ht="18" customHeight="1">
      <c r="B122" s="110" t="s">
        <v>1198</v>
      </c>
      <c r="C122" s="111" t="str">
        <f>C113</f>
        <v>Désignation:</v>
      </c>
      <c r="D122" s="938"/>
      <c r="E122" s="925" t="s">
        <v>438</v>
      </c>
      <c r="F122" s="113" t="str">
        <f>F97</f>
        <v>Valeur U total:</v>
      </c>
      <c r="G122" s="16"/>
      <c r="H122" s="1579" t="str">
        <f>IF(GraueEnergie,"Graue","")</f>
        <v/>
      </c>
      <c r="J122" s="110" t="s">
        <v>1198</v>
      </c>
      <c r="K122" s="111" t="str">
        <f>K113</f>
        <v>Désignation:</v>
      </c>
      <c r="L122" s="938"/>
      <c r="M122" s="925" t="s">
        <v>438</v>
      </c>
      <c r="N122" s="113" t="str">
        <f>N97</f>
        <v>Valeur U total:</v>
      </c>
      <c r="O122" s="16"/>
      <c r="P122" s="1579" t="str">
        <f>IF(GraueEnergie,"Graue","")</f>
        <v/>
      </c>
      <c r="BA122" s="335"/>
      <c r="BB122" s="335"/>
      <c r="BN122" s="7" t="str">
        <f>Tab!C177</f>
        <v>Säntis</v>
      </c>
      <c r="BO122" s="5">
        <v>69</v>
      </c>
      <c r="BP122" s="118" t="str">
        <f>Bauteile!B122</f>
        <v>Conchylient poudingue</v>
      </c>
      <c r="BQ122" s="2057">
        <v>66</v>
      </c>
      <c r="BU122" s="2098" t="str">
        <f>Bauteile!B157</f>
        <v>Feuille d'aluminium</v>
      </c>
      <c r="BV122" s="1872">
        <f>Bauteile!H157</f>
        <v>50</v>
      </c>
      <c r="BW122" s="2098" t="str">
        <f>Bauteile!B418</f>
        <v>ISOVER LURO 814</v>
      </c>
      <c r="BX122" s="2056">
        <f>Bauteile!H418</f>
        <v>3.5000000000000003E-2</v>
      </c>
    </row>
    <row r="123" spans="1:77" ht="18" customHeight="1" thickBot="1">
      <c r="B123" s="19">
        <v>17</v>
      </c>
      <c r="C123" s="2219"/>
      <c r="D123" s="2220"/>
      <c r="E123" s="2221"/>
      <c r="F123" s="313" t="str">
        <f>IF(BA124=1,"",INDEX(Bauteile!H36:H50,BA124))</f>
        <v/>
      </c>
      <c r="G123" s="1578" t="s">
        <v>246</v>
      </c>
      <c r="H123" s="1580" t="str">
        <f>IF(GraueEnergie,"Energie","")</f>
        <v/>
      </c>
      <c r="J123" s="19">
        <v>18</v>
      </c>
      <c r="K123" s="2219"/>
      <c r="L123" s="2220"/>
      <c r="M123" s="2221"/>
      <c r="N123" s="313" t="str">
        <f>IF(BB124=1,"",INDEX(Bauteile!H36:H50,BB124))</f>
        <v/>
      </c>
      <c r="O123" s="1578" t="s">
        <v>246</v>
      </c>
      <c r="P123" s="1580" t="str">
        <f>IF(GraueEnergie,"Energie","")</f>
        <v/>
      </c>
      <c r="BA123" s="335" t="s">
        <v>2031</v>
      </c>
      <c r="BB123" s="335"/>
      <c r="BN123" s="7" t="str">
        <f>Tab!C178</f>
        <v>Schaffhausen</v>
      </c>
      <c r="BO123" s="5">
        <v>70</v>
      </c>
      <c r="BP123" s="118" t="str">
        <f>Bauteile!B123</f>
        <v>Contre-plaqué (densité 300)</v>
      </c>
      <c r="BQ123" s="2057">
        <v>67</v>
      </c>
      <c r="BU123" s="2098" t="str">
        <f>Bauteile!B158</f>
        <v>Feuille de polyaethylen</v>
      </c>
      <c r="BV123" s="1872">
        <f>Bauteile!H158</f>
        <v>1</v>
      </c>
      <c r="BW123" s="2098" t="str">
        <f>Bauteile!B419</f>
        <v>ISOVER HDF 814</v>
      </c>
      <c r="BX123" s="2056">
        <f>Bauteile!H419</f>
        <v>3.5000000000000003E-2</v>
      </c>
    </row>
    <row r="124" spans="1:77" ht="21" customHeight="1">
      <c r="B124" s="9"/>
      <c r="C124" s="2247"/>
      <c r="D124" s="2247"/>
      <c r="E124" s="2247"/>
      <c r="F124" s="2247"/>
      <c r="G124" s="2247"/>
      <c r="H124" s="1576"/>
      <c r="J124" s="9"/>
      <c r="K124" s="2247"/>
      <c r="L124" s="2247"/>
      <c r="M124" s="2247"/>
      <c r="N124" s="2247"/>
      <c r="O124" s="2247"/>
      <c r="P124" s="1576"/>
      <c r="BA124" s="337">
        <f>IF($C$124="",1,VLOOKUP($C$124,$BP$36:$BQ$50,2,FALSE))</f>
        <v>1</v>
      </c>
      <c r="BB124" s="338">
        <f>IF($K$124="",1,VLOOKUP($K$124,$BP$36:$BQ$50,2,FALSE))</f>
        <v>1</v>
      </c>
      <c r="BN124" s="7" t="str">
        <f>Tab!C179</f>
        <v>Schiers</v>
      </c>
      <c r="BO124" s="5">
        <v>71</v>
      </c>
      <c r="BP124" s="118" t="str">
        <f>Bauteile!B124</f>
        <v>Contre-plaqué (densité 500)</v>
      </c>
      <c r="BQ124" s="2057">
        <v>68</v>
      </c>
      <c r="BU124" s="2098" t="str">
        <f>Bauteile!B159</f>
        <v>Feuille de polyisobuthylen</v>
      </c>
      <c r="BV124" s="1872">
        <f>Bauteile!H159</f>
        <v>1</v>
      </c>
      <c r="BW124" s="2098" t="str">
        <f>Bauteile!B420</f>
        <v>RIS GREEN CONFORT</v>
      </c>
      <c r="BX124" s="2056">
        <f>Bauteile!H420</f>
        <v>3.9E-2</v>
      </c>
    </row>
    <row r="125" spans="1:77" ht="7.15" customHeight="1">
      <c r="BA125" s="335"/>
      <c r="BB125" s="335"/>
      <c r="BN125" s="7" t="str">
        <f>Tab!C180</f>
        <v>Schuls</v>
      </c>
      <c r="BO125" s="5">
        <v>72</v>
      </c>
      <c r="BP125" s="118" t="str">
        <f>Bauteile!B125</f>
        <v>Contre-plaqué (densité 700)</v>
      </c>
      <c r="BQ125" s="2057">
        <v>69</v>
      </c>
      <c r="BU125" s="2098"/>
      <c r="BV125" s="2051"/>
      <c r="BW125" s="2098" t="str">
        <f>Bauteile!B421</f>
        <v>ISOVER ISOVOX R CONFORT</v>
      </c>
      <c r="BX125" s="2056">
        <f>Bauteile!H421</f>
        <v>3.9E-2</v>
      </c>
    </row>
    <row r="126" spans="1:77" ht="15.6" customHeight="1">
      <c r="A126" s="174"/>
      <c r="B126" s="259" t="str">
        <f>Uebersetzung!D457</f>
        <v>Eléments inhomogènes:</v>
      </c>
      <c r="C126" s="174"/>
      <c r="D126" s="174"/>
      <c r="E126" s="174"/>
      <c r="F126" s="174"/>
      <c r="G126" s="174"/>
      <c r="H126" s="174"/>
      <c r="I126" s="174"/>
      <c r="J126" s="174"/>
      <c r="K126" s="174"/>
      <c r="L126" s="174"/>
      <c r="M126" s="174"/>
      <c r="N126" s="174"/>
      <c r="O126" s="174"/>
      <c r="P126" s="174"/>
      <c r="Q126" s="174"/>
      <c r="R126" s="174"/>
      <c r="S126" s="1050"/>
      <c r="T126" s="174"/>
      <c r="BN126" s="7" t="str">
        <f>Tab!C181</f>
        <v>Schwyz</v>
      </c>
      <c r="BO126" s="5">
        <v>73</v>
      </c>
      <c r="BP126" s="118" t="str">
        <f>Bauteile!B126</f>
        <v>Contre-plaqué (densité 1000)</v>
      </c>
      <c r="BQ126" s="2057">
        <v>70</v>
      </c>
      <c r="BU126" s="2098" t="str">
        <f>Bauteile!B160</f>
        <v>Feuille de PVC</v>
      </c>
      <c r="BV126" s="1872">
        <f>Bauteile!H160</f>
        <v>0.22</v>
      </c>
      <c r="BW126" s="2098" t="str">
        <f>Bauteile!B422</f>
        <v>ISOVER PS C</v>
      </c>
      <c r="BX126" s="2056">
        <f>Bauteile!H422</f>
        <v>3.3000000000000002E-2</v>
      </c>
    </row>
    <row r="127" spans="1:77" ht="15.6" customHeight="1">
      <c r="A127" s="174"/>
      <c r="B127" s="6" t="s">
        <v>1198</v>
      </c>
      <c r="C127" s="111" t="str">
        <f>C122</f>
        <v>Désignation:</v>
      </c>
      <c r="D127" s="938"/>
      <c r="E127" s="1460" t="s">
        <v>438</v>
      </c>
      <c r="F127" s="111" t="str">
        <f>F122</f>
        <v>Valeur U total:</v>
      </c>
      <c r="G127" s="16"/>
      <c r="H127" s="1461"/>
      <c r="I127" s="197"/>
      <c r="J127" s="197"/>
      <c r="K127" s="16"/>
      <c r="L127" s="197"/>
      <c r="M127" s="197"/>
      <c r="N127" s="197"/>
      <c r="O127" s="197"/>
      <c r="P127" s="17"/>
      <c r="R127" s="2"/>
      <c r="S127" s="1051"/>
      <c r="BN127" s="7" t="str">
        <f>Tab!C182</f>
        <v>Sils-Maria</v>
      </c>
      <c r="BO127" s="5">
        <v>74</v>
      </c>
      <c r="BP127" s="118" t="str">
        <f>Bauteile!B127</f>
        <v>Coton (N)</v>
      </c>
      <c r="BQ127" s="2057">
        <v>71</v>
      </c>
      <c r="BU127" s="2098" t="str">
        <f>Bauteile!B161</f>
        <v>Feutre PVC</v>
      </c>
      <c r="BV127" s="1872">
        <f>Bauteile!H161</f>
        <v>0.12</v>
      </c>
      <c r="BW127" s="2098" t="str">
        <f>Bauteile!B423</f>
        <v>ISOVER ISORESIST 1000 034</v>
      </c>
      <c r="BX127" s="2056">
        <f>Bauteile!H423</f>
        <v>3.4000000000000002E-2</v>
      </c>
    </row>
    <row r="128" spans="1:77" ht="15.6" customHeight="1">
      <c r="A128" s="174"/>
      <c r="B128" s="1462">
        <v>19</v>
      </c>
      <c r="C128" s="2228"/>
      <c r="D128" s="2228"/>
      <c r="E128" s="2228"/>
      <c r="F128" s="1458" t="str">
        <f>IF(AND(D134&lt;99.9,D134&gt;0),IF(Rtot&gt;0,1/Rtot,""),"")</f>
        <v/>
      </c>
      <c r="G128" s="22" t="s">
        <v>245</v>
      </c>
      <c r="H128" s="1459"/>
      <c r="I128" s="199"/>
      <c r="J128" s="199"/>
      <c r="K128" s="4">
        <f>IF(Uebersetzung!A1=1,1,0)</f>
        <v>0</v>
      </c>
      <c r="L128" s="199"/>
      <c r="M128" s="199"/>
      <c r="N128" s="199"/>
      <c r="O128" s="199"/>
      <c r="P128" s="5"/>
      <c r="R128" s="2"/>
      <c r="S128" s="1051"/>
      <c r="BN128" s="7" t="str">
        <f>Tab!C183</f>
        <v>Solothurn</v>
      </c>
      <c r="BO128" s="5">
        <v>75</v>
      </c>
      <c r="BP128" s="118" t="str">
        <f>Bauteile!B128</f>
        <v>Cuivre</v>
      </c>
      <c r="BQ128" s="2057">
        <v>72</v>
      </c>
      <c r="BU128" s="2098">
        <f>Bauteile!B162</f>
        <v>0</v>
      </c>
      <c r="BV128" s="1872">
        <f>Bauteile!H162</f>
        <v>0</v>
      </c>
      <c r="BW128" s="2098" t="str">
        <f>Bauteile!B424</f>
        <v>ISOVER ISORESIST 1000 034 F</v>
      </c>
      <c r="BX128" s="2056">
        <f>Bauteile!H424</f>
        <v>3.4000000000000002E-2</v>
      </c>
    </row>
    <row r="129" spans="1:76" ht="15.6" customHeight="1">
      <c r="A129" s="174"/>
      <c r="B129" s="253"/>
      <c r="C129" s="173" t="str">
        <f>Uebersetzung!D458&amp;IF(Ro&gt;0,ROUND(Ro,2),"")</f>
        <v xml:space="preserve">Valeur-limite supérieur Ro = </v>
      </c>
      <c r="D129" s="199"/>
      <c r="E129" s="199"/>
      <c r="F129" s="199"/>
      <c r="G129" s="199"/>
      <c r="H129" s="4"/>
      <c r="I129" s="256"/>
      <c r="J129" s="256"/>
      <c r="K129" s="4">
        <f>IF(Uebersetzung!A1=2,1,0)</f>
        <v>1</v>
      </c>
      <c r="L129" s="256"/>
      <c r="M129" s="260"/>
      <c r="N129" s="199"/>
      <c r="O129" s="199"/>
      <c r="P129" s="5"/>
      <c r="R129" s="28"/>
      <c r="BA129" s="304" t="s">
        <v>1763</v>
      </c>
      <c r="BB129" s="326">
        <f>IF(AND(D134*F134=0,L134*N134=0),0,100/(D134*F134+L134*N134))</f>
        <v>0</v>
      </c>
      <c r="BN129" s="7" t="str">
        <f>Tab!C184</f>
        <v>Thun</v>
      </c>
      <c r="BO129" s="5">
        <v>76</v>
      </c>
      <c r="BP129" s="118">
        <f>Bauteile!B129</f>
        <v>0</v>
      </c>
      <c r="BQ129" s="2057">
        <v>73</v>
      </c>
      <c r="BU129" s="2098" t="str">
        <f>Bauteile!B163</f>
        <v>Granit</v>
      </c>
      <c r="BV129" s="1872">
        <f>Bauteile!H163</f>
        <v>3.5</v>
      </c>
      <c r="BW129" s="2098" t="str">
        <f>Bauteile!B425</f>
        <v>ISOVER ISORESIST 1000 036 / 1000 036 PR</v>
      </c>
      <c r="BX129" s="2056">
        <f>Bauteile!H425</f>
        <v>3.5999999999999997E-2</v>
      </c>
    </row>
    <row r="130" spans="1:76" ht="15.6" customHeight="1">
      <c r="B130" s="7"/>
      <c r="C130" s="173" t="str">
        <f>Uebersetzung!D459&amp;IF(Ru&gt;0,ROUND(Ru,2),"")</f>
        <v xml:space="preserve">Valeur-limite inférieur Ru = </v>
      </c>
      <c r="D130" s="4"/>
      <c r="E130" s="63"/>
      <c r="F130" s="63"/>
      <c r="G130" s="63"/>
      <c r="H130" s="63"/>
      <c r="I130" s="4"/>
      <c r="J130" s="4"/>
      <c r="K130" s="4"/>
      <c r="L130" s="4"/>
      <c r="M130" s="4"/>
      <c r="N130" s="4"/>
      <c r="O130" s="4"/>
      <c r="P130" s="5"/>
      <c r="R130" s="28"/>
      <c r="BA130" s="327" t="s">
        <v>1764</v>
      </c>
      <c r="BB130" s="328">
        <f>SUM(BC136:BC145)</f>
        <v>0</v>
      </c>
      <c r="BN130" s="7" t="str">
        <f>Tab!C185</f>
        <v>Vättis</v>
      </c>
      <c r="BO130" s="5">
        <v>77</v>
      </c>
      <c r="BP130" s="118" t="str">
        <f>Bauteile!B130</f>
        <v>Eau 10 °C</v>
      </c>
      <c r="BQ130" s="2057">
        <v>74</v>
      </c>
      <c r="BU130" s="2098" t="str">
        <f>Bauteile!B164</f>
        <v>Gravier</v>
      </c>
      <c r="BV130" s="1872">
        <f>Bauteile!H164</f>
        <v>0.7</v>
      </c>
      <c r="BW130" s="2098" t="str">
        <f>Bauteile!B426</f>
        <v>ISOVER ISORESIST PIANO PLUS / PIANO PLUS P</v>
      </c>
      <c r="BX130" s="2056">
        <f>Bauteile!H426</f>
        <v>3.5999999999999997E-2</v>
      </c>
    </row>
    <row r="131" spans="1:76" ht="15.6" customHeight="1">
      <c r="B131" s="9"/>
      <c r="C131" s="1422" t="str">
        <f>Uebersetzung!D460&amp;IF(Rtot&gt;0,ROUND(Rtot,2)&amp;" m2K/W","")</f>
        <v xml:space="preserve">Résistance thermique Rtot = </v>
      </c>
      <c r="D131" s="1289"/>
      <c r="E131" s="31"/>
      <c r="F131" s="31"/>
      <c r="G131" s="561"/>
      <c r="H131" s="15"/>
      <c r="I131" s="15"/>
      <c r="J131" s="15"/>
      <c r="K131" s="15"/>
      <c r="L131" s="15"/>
      <c r="M131" s="15"/>
      <c r="N131" s="15"/>
      <c r="O131" s="15"/>
      <c r="P131" s="10"/>
      <c r="R131" s="28"/>
      <c r="BA131" s="305" t="s">
        <v>1765</v>
      </c>
      <c r="BB131" s="329">
        <f>(Ro+Ru)/2</f>
        <v>0</v>
      </c>
      <c r="BN131" s="7" t="str">
        <f>Tab!C186</f>
        <v>Vicosoprano</v>
      </c>
      <c r="BO131" s="5">
        <v>78</v>
      </c>
      <c r="BP131" s="118" t="str">
        <f>Bauteile!B131</f>
        <v>-Enduits</v>
      </c>
      <c r="BQ131" s="2057">
        <v>75</v>
      </c>
      <c r="BU131" s="2098" t="str">
        <f>Bauteile!B165</f>
        <v>Grès</v>
      </c>
      <c r="BV131" s="1872">
        <f>Bauteile!H165</f>
        <v>2.2999999999999998</v>
      </c>
      <c r="BW131" s="2098" t="str">
        <f>Bauteile!B427</f>
        <v>ISOVER ISORESIST 1000 039</v>
      </c>
      <c r="BX131" s="2056">
        <f>Bauteile!H427</f>
        <v>3.9E-2</v>
      </c>
    </row>
    <row r="132" spans="1:76" ht="16.899999999999999" hidden="1" customHeight="1">
      <c r="B132" s="9"/>
      <c r="C132" s="15"/>
      <c r="D132" s="15"/>
      <c r="E132" s="15"/>
      <c r="F132" s="15"/>
      <c r="G132" s="15"/>
      <c r="H132" s="15"/>
      <c r="I132" s="15"/>
      <c r="J132" s="15"/>
      <c r="K132" s="15"/>
      <c r="L132" s="15"/>
      <c r="M132" s="15"/>
      <c r="N132" s="15"/>
      <c r="O132" s="15"/>
      <c r="P132" s="10"/>
      <c r="R132" s="28"/>
      <c r="S132" s="42"/>
      <c r="BN132" s="7" t="str">
        <f>Tab!C187</f>
        <v>Walchwil</v>
      </c>
      <c r="BO132" s="5">
        <v>79</v>
      </c>
      <c r="BP132" s="118" t="str">
        <f>Bauteile!B132</f>
        <v>Enduit à la fausse résine m=50</v>
      </c>
      <c r="BQ132" s="2057">
        <v>76</v>
      </c>
      <c r="BU132" s="2098"/>
      <c r="BV132" s="1872">
        <f>Bauteile!H166</f>
        <v>0</v>
      </c>
      <c r="BW132" s="2098" t="str">
        <f>Bauteile!B428</f>
        <v>ISOVER ISORESIST PIANO</v>
      </c>
      <c r="BX132" s="2056">
        <f>Bauteile!H428</f>
        <v>3.9E-2</v>
      </c>
    </row>
    <row r="133" spans="1:76" ht="15.6" customHeight="1" thickBot="1">
      <c r="B133" s="1418" t="str">
        <f>Uebersetzung!D461</f>
        <v>1ère partie</v>
      </c>
      <c r="C133" s="22"/>
      <c r="D133" s="22"/>
      <c r="E133" s="1419"/>
      <c r="F133" s="22" t="str">
        <f>F113</f>
        <v>Valeur U</v>
      </c>
      <c r="G133" s="4"/>
      <c r="H133" s="1420" t="s">
        <v>1759</v>
      </c>
      <c r="I133" s="4"/>
      <c r="J133" s="1418" t="str">
        <f>Uebersetzung!D462</f>
        <v>2ème partie</v>
      </c>
      <c r="K133" s="22"/>
      <c r="L133" s="22"/>
      <c r="M133" s="1419"/>
      <c r="N133" s="22" t="str">
        <f>F133</f>
        <v>Valeur U</v>
      </c>
      <c r="O133" s="4"/>
      <c r="P133" s="1420" t="s">
        <v>1759</v>
      </c>
      <c r="R133" s="28"/>
      <c r="S133" s="42"/>
      <c r="BA133" s="28"/>
      <c r="BN133" s="7" t="str">
        <f>Tab!C188</f>
        <v>Weggis</v>
      </c>
      <c r="BO133" s="5">
        <v>80</v>
      </c>
      <c r="BP133" s="118" t="str">
        <f>Bauteile!B133</f>
        <v>Enduit à la fausse résine m=140</v>
      </c>
      <c r="BQ133" s="2057">
        <v>77</v>
      </c>
      <c r="BU133" s="2098">
        <f>Bauteile!B166</f>
        <v>0</v>
      </c>
      <c r="BV133" s="1872">
        <f>Bauteile!H166</f>
        <v>0</v>
      </c>
      <c r="BW133" s="2098" t="str">
        <f>Bauteile!B429</f>
        <v>ISOVER PB M 032</v>
      </c>
      <c r="BX133" s="2056">
        <f>Bauteile!H429</f>
        <v>3.2000000000000001E-2</v>
      </c>
    </row>
    <row r="134" spans="1:76" ht="15.6" customHeight="1" thickBot="1">
      <c r="B134" s="503" t="str">
        <f>Uebersetzung!D463</f>
        <v>Longueur de la 1ère section L1</v>
      </c>
      <c r="C134" s="4"/>
      <c r="D134" s="272"/>
      <c r="E134" s="255" t="s">
        <v>1760</v>
      </c>
      <c r="F134" s="504">
        <f>IF(SUM(H136:H145)&lt;&gt;0,1/SUM(H136:H145),0)</f>
        <v>0</v>
      </c>
      <c r="G134" s="18" t="s">
        <v>245</v>
      </c>
      <c r="H134" s="309" t="str">
        <f>IF(OR(G136=8,G145=8),ROUND(Thetai-(Thetai-Thetamin)*(1/(1/F134)-(1/8)+(1/6))*(1/6),1)&amp;" °C","")</f>
        <v/>
      </c>
      <c r="I134" s="4"/>
      <c r="J134" s="254" t="str">
        <f>Uebersetzung!D464</f>
        <v>Longueur de la section L2</v>
      </c>
      <c r="K134" s="4"/>
      <c r="L134" s="318">
        <f>IF(D134="",0,100-D134)</f>
        <v>0</v>
      </c>
      <c r="M134" s="255" t="s">
        <v>1760</v>
      </c>
      <c r="N134" s="317">
        <f>IF(SUM(P136:P145)&lt;&gt;0,1/SUM(P136:P145),0)</f>
        <v>0</v>
      </c>
      <c r="O134" s="18" t="s">
        <v>245</v>
      </c>
      <c r="P134" s="309" t="str">
        <f>IF(OR(O136=8,O145=8),ROUND(Thetai-(Thetai-Thetamin)*(1/(1/N134)-(1/8)+(1/6))*(1/6),1)&amp;" °C","")</f>
        <v/>
      </c>
      <c r="R134" s="28"/>
      <c r="S134" s="1018"/>
      <c r="T134" s="987"/>
      <c r="U134" s="1019" t="s">
        <v>451</v>
      </c>
      <c r="V134" s="998" t="b">
        <f>IF(BA136=1,TRUE,FALSE)</f>
        <v>0</v>
      </c>
      <c r="W134" s="1016" t="s">
        <v>799</v>
      </c>
      <c r="X134" s="1000"/>
      <c r="Y134" s="1000"/>
      <c r="Z134" s="1000"/>
      <c r="AA134" s="1000"/>
      <c r="AB134" s="1000"/>
      <c r="AC134" s="1001"/>
      <c r="AD134" s="1001"/>
      <c r="AE134" s="1001"/>
      <c r="AF134" s="1002"/>
      <c r="AG134" s="1020"/>
      <c r="AH134" s="1021"/>
      <c r="AJ134" s="1018"/>
      <c r="AK134" s="987"/>
      <c r="AL134" s="1003" t="s">
        <v>451</v>
      </c>
      <c r="AM134" s="998" t="b">
        <f>IF(BB136=1,TRUE,FALSE)</f>
        <v>0</v>
      </c>
      <c r="AN134" s="1016" t="s">
        <v>800</v>
      </c>
      <c r="AO134" s="1000"/>
      <c r="AP134" s="1000"/>
      <c r="AQ134" s="1000"/>
      <c r="AR134" s="1000"/>
      <c r="AS134" s="1000"/>
      <c r="AT134" s="1001"/>
      <c r="AU134" s="1001"/>
      <c r="AV134" s="1001"/>
      <c r="AW134" s="1002"/>
      <c r="AX134" s="1020"/>
      <c r="AY134" s="1021"/>
      <c r="BA134" s="28"/>
      <c r="BN134" s="7" t="str">
        <f>Tab!C189</f>
        <v>Weissfluhjoch</v>
      </c>
      <c r="BO134" s="5">
        <v>81</v>
      </c>
      <c r="BP134" s="118" t="str">
        <f>Bauteile!B134</f>
        <v>Enduit à la fausse résine m=200</v>
      </c>
      <c r="BQ134" s="2057">
        <v>78</v>
      </c>
      <c r="BU134" s="2098" t="str">
        <f>Bauteile!B167</f>
        <v>Hêtre</v>
      </c>
      <c r="BV134" s="1872">
        <f>Bauteile!H167</f>
        <v>0.17</v>
      </c>
      <c r="BW134" s="2098" t="str">
        <f>Bauteile!B430</f>
        <v>ISOVER PB M KRAFT 032</v>
      </c>
      <c r="BX134" s="2056">
        <f>Bauteile!H430</f>
        <v>3.2000000000000001E-2</v>
      </c>
    </row>
    <row r="135" spans="1:76" ht="15.6" customHeight="1" thickBot="1">
      <c r="A135" s="3"/>
      <c r="B135" s="2242">
        <f>IF(GraueEnergie,Uebersetzung!D651,IF(AND(U144,V144&gt;0),Uebersetzung!D652&amp;ROUND(V144,0)&amp;" g/m2",))</f>
        <v>0</v>
      </c>
      <c r="C135" s="2243"/>
      <c r="D135" s="2243"/>
      <c r="E135" s="2244"/>
      <c r="F135" s="12" t="s">
        <v>1918</v>
      </c>
      <c r="G135" s="13" t="s">
        <v>1800</v>
      </c>
      <c r="H135" s="14" t="s">
        <v>1801</v>
      </c>
      <c r="I135" s="4"/>
      <c r="J135" s="2249">
        <f>IF(AND(AL144,AM144&gt;0),Uebersetzung!D652&amp;ROUND(AM144,0)&amp;" g/m2",)</f>
        <v>0</v>
      </c>
      <c r="K135" s="2250"/>
      <c r="L135" s="2250"/>
      <c r="M135" s="2251"/>
      <c r="N135" s="12" t="s">
        <v>1918</v>
      </c>
      <c r="O135" s="13" t="s">
        <v>1800</v>
      </c>
      <c r="P135" s="257" t="s">
        <v>1801</v>
      </c>
      <c r="S135" s="1022" t="s">
        <v>795</v>
      </c>
      <c r="T135" s="1023">
        <f ca="1">20-TaMin-8</f>
        <v>20</v>
      </c>
      <c r="U135" s="1024" t="s">
        <v>452</v>
      </c>
      <c r="V135" s="999" t="b">
        <f>IF(BA145=1,TRUE,FALSE)</f>
        <v>0</v>
      </c>
      <c r="W135" s="992" t="s">
        <v>577</v>
      </c>
      <c r="X135" s="465"/>
      <c r="Y135" s="465"/>
      <c r="Z135" s="465"/>
      <c r="AA135" s="987"/>
      <c r="AB135" s="994" t="s">
        <v>450</v>
      </c>
      <c r="AC135" s="4"/>
      <c r="AD135" s="4"/>
      <c r="AE135" s="4"/>
      <c r="AF135" s="564"/>
      <c r="AG135" s="1022" t="s">
        <v>795</v>
      </c>
      <c r="AH135" s="1023">
        <f ca="1">20-TaMin-8</f>
        <v>20</v>
      </c>
      <c r="AJ135" s="1022" t="s">
        <v>795</v>
      </c>
      <c r="AK135" s="1023">
        <f ca="1">20-TaMin-8</f>
        <v>20</v>
      </c>
      <c r="AL135" s="1024" t="s">
        <v>452</v>
      </c>
      <c r="AM135" s="999" t="b">
        <f>IF(BB145=1,TRUE,FALSE)</f>
        <v>0</v>
      </c>
      <c r="AN135" s="992" t="s">
        <v>577</v>
      </c>
      <c r="AO135" s="465"/>
      <c r="AP135" s="465"/>
      <c r="AQ135" s="465"/>
      <c r="AR135" s="987"/>
      <c r="AS135" s="994" t="s">
        <v>450</v>
      </c>
      <c r="AT135" s="4"/>
      <c r="AU135" s="4"/>
      <c r="AV135" s="4"/>
      <c r="AW135" s="564"/>
      <c r="AX135" s="1022" t="s">
        <v>795</v>
      </c>
      <c r="AY135" s="1023">
        <f ca="1">20-TaMin-8</f>
        <v>20</v>
      </c>
      <c r="BA135" s="335" t="s">
        <v>2031</v>
      </c>
      <c r="BB135" s="28"/>
      <c r="BC135" s="28" t="s">
        <v>1762</v>
      </c>
      <c r="BN135" s="7" t="str">
        <f>Tab!C190</f>
        <v>Winterthur</v>
      </c>
      <c r="BO135" s="5">
        <v>82</v>
      </c>
      <c r="BP135" s="118" t="str">
        <f>Bauteile!B135</f>
        <v>Enduit à la silicone m=30</v>
      </c>
      <c r="BQ135" s="2057">
        <v>79</v>
      </c>
      <c r="BU135" s="2098">
        <f>Bauteile!B168</f>
        <v>0</v>
      </c>
      <c r="BV135" s="1872">
        <f>Bauteile!H168</f>
        <v>0</v>
      </c>
      <c r="BW135" s="2098" t="str">
        <f>Bauteile!B431</f>
        <v>ISOVER PANNEAUX CHEVRONS 032 PR</v>
      </c>
      <c r="BX135" s="2056">
        <f>Bauteile!H431</f>
        <v>3.2000000000000001E-2</v>
      </c>
    </row>
    <row r="136" spans="1:76" ht="15.6" customHeight="1">
      <c r="B136" s="11">
        <v>1</v>
      </c>
      <c r="C136" s="2212"/>
      <c r="D136" s="2213"/>
      <c r="E136" s="2214"/>
      <c r="F136" s="10"/>
      <c r="G136" s="59">
        <f>INDEX(Bauteile!$O$280:$O$282,BA136)</f>
        <v>0</v>
      </c>
      <c r="H136" s="312">
        <f>IF(G136=0,0,1/G136)</f>
        <v>0</v>
      </c>
      <c r="I136" s="4"/>
      <c r="J136" s="11">
        <v>1</v>
      </c>
      <c r="K136" s="2212"/>
      <c r="L136" s="2213"/>
      <c r="M136" s="2214"/>
      <c r="N136" s="320"/>
      <c r="O136" s="59">
        <f>INDEX(Bauteile!$O$280:$O$282,BB136)</f>
        <v>0</v>
      </c>
      <c r="P136" s="319">
        <f>IF(O136=0,0,1/O136)</f>
        <v>0</v>
      </c>
      <c r="S136" s="1025" t="s">
        <v>796</v>
      </c>
      <c r="T136" s="1026" t="s">
        <v>797</v>
      </c>
      <c r="U136" s="1027" t="s">
        <v>808</v>
      </c>
      <c r="V136" s="996" t="s">
        <v>571</v>
      </c>
      <c r="W136" s="988" t="s">
        <v>570</v>
      </c>
      <c r="X136" s="466" t="s">
        <v>569</v>
      </c>
      <c r="Y136" s="466" t="s">
        <v>103</v>
      </c>
      <c r="Z136" s="1028" t="s">
        <v>572</v>
      </c>
      <c r="AA136" s="1007" t="s">
        <v>572</v>
      </c>
      <c r="AB136" s="988" t="s">
        <v>569</v>
      </c>
      <c r="AC136" s="464" t="s">
        <v>570</v>
      </c>
      <c r="AD136" s="986" t="s">
        <v>103</v>
      </c>
      <c r="AE136" s="1029" t="s">
        <v>572</v>
      </c>
      <c r="AF136" s="1030" t="s">
        <v>572</v>
      </c>
      <c r="AG136" s="1025" t="s">
        <v>796</v>
      </c>
      <c r="AH136" s="1026" t="s">
        <v>797</v>
      </c>
      <c r="AJ136" s="1025" t="s">
        <v>796</v>
      </c>
      <c r="AK136" s="1026" t="s">
        <v>797</v>
      </c>
      <c r="AL136" s="1027" t="s">
        <v>808</v>
      </c>
      <c r="AM136" s="996" t="s">
        <v>571</v>
      </c>
      <c r="AN136" s="988" t="s">
        <v>570</v>
      </c>
      <c r="AO136" s="466" t="s">
        <v>569</v>
      </c>
      <c r="AP136" s="466" t="s">
        <v>103</v>
      </c>
      <c r="AQ136" s="1028" t="s">
        <v>572</v>
      </c>
      <c r="AR136" s="1031" t="s">
        <v>572</v>
      </c>
      <c r="AS136" s="988" t="s">
        <v>569</v>
      </c>
      <c r="AT136" s="464" t="s">
        <v>570</v>
      </c>
      <c r="AU136" s="986" t="s">
        <v>103</v>
      </c>
      <c r="AV136" s="1029" t="s">
        <v>572</v>
      </c>
      <c r="AW136" s="1030" t="s">
        <v>572</v>
      </c>
      <c r="AX136" s="1025" t="s">
        <v>796</v>
      </c>
      <c r="AY136" s="1026" t="s">
        <v>797</v>
      </c>
      <c r="BA136" s="339">
        <f>IF($C136="",3,VLOOKUP($C136,$BR$36:$BS$38,2,FALSE))</f>
        <v>3</v>
      </c>
      <c r="BB136" s="1502">
        <f>IF($K136="",3,VLOOKUP($K136,$BR$36:$BS$38,2,FALSE))</f>
        <v>3</v>
      </c>
      <c r="BC136" s="332">
        <f>H136</f>
        <v>0</v>
      </c>
      <c r="BN136" s="7" t="str">
        <f>Tab!C191</f>
        <v>Zermatt</v>
      </c>
      <c r="BO136" s="5">
        <v>83</v>
      </c>
      <c r="BP136" s="118" t="str">
        <f>Bauteile!B136</f>
        <v>Enduit au mortier m=10</v>
      </c>
      <c r="BQ136" s="2057">
        <v>80</v>
      </c>
      <c r="BU136" s="2098" t="str">
        <f>Bauteile!B169</f>
        <v>Joint en lés pour des toits en terrasses</v>
      </c>
      <c r="BV136" s="1872">
        <f>Bauteile!H169</f>
        <v>1</v>
      </c>
      <c r="BW136" s="2098" t="str">
        <f>Bauteile!B432</f>
        <v>ISOVER CLADIROLL 032</v>
      </c>
      <c r="BX136" s="2056">
        <f>Bauteile!H432</f>
        <v>3.2000000000000001E-2</v>
      </c>
    </row>
    <row r="137" spans="1:76" ht="15.6" customHeight="1">
      <c r="B137" s="11">
        <v>2</v>
      </c>
      <c r="C137" s="2212"/>
      <c r="D137" s="2213"/>
      <c r="E137" s="2214"/>
      <c r="F137" s="26"/>
      <c r="G137" s="59">
        <f>INDEX(Bauteile!$H$57:$H$1159,BA137)</f>
        <v>0</v>
      </c>
      <c r="H137" s="312">
        <f>IF(G137&lt;&gt;0,F137/100/G137,0)</f>
        <v>0</v>
      </c>
      <c r="I137" s="4"/>
      <c r="J137" s="11">
        <v>2</v>
      </c>
      <c r="K137" s="2212"/>
      <c r="L137" s="2213"/>
      <c r="M137" s="2214"/>
      <c r="N137" s="320">
        <f t="shared" ref="N137:N143" si="211">IF(F137&gt;0,F137,)</f>
        <v>0</v>
      </c>
      <c r="O137" s="59">
        <f>INDEX(Bauteile!$H$57:$H$1159,BB137)</f>
        <v>0</v>
      </c>
      <c r="P137" s="319">
        <f>IF(O137&lt;&gt;0,N137/100/O137,0)</f>
        <v>0</v>
      </c>
      <c r="S137" s="1032">
        <f>IF(AND(W137&gt;0,X137&gt;0),1/LN(1168*X137/(0.2*W137+X137)/14057400000)*(-3928.5)-231.667,)</f>
        <v>0</v>
      </c>
      <c r="T137" s="1013">
        <f>IF(SUM(H136:H145)&gt;0,20-T135/SUM(H136:H145)*SUM(H136:H137),20)</f>
        <v>20</v>
      </c>
      <c r="U137" s="1033">
        <f>INDEX(Bauteile!$I$57:$I$1159,BA137)</f>
        <v>0</v>
      </c>
      <c r="V137" s="997">
        <f>F137/100</f>
        <v>0</v>
      </c>
      <c r="W137" s="1006">
        <f>V137*U137</f>
        <v>0</v>
      </c>
      <c r="X137" s="563">
        <f t="shared" ref="X137:X142" si="212">U138*V138+X138</f>
        <v>0</v>
      </c>
      <c r="Y137" s="931">
        <f>IF(AND(W137&gt;0,X137&gt;0),Ak/W137-Bk/X137,)</f>
        <v>0</v>
      </c>
      <c r="Z137" s="1034" t="b">
        <f>IF(T137&lt;S137,IF(W137&gt;mj*X137,FALSE,TRUE),FALSE)</f>
        <v>0</v>
      </c>
      <c r="AA137" s="1036">
        <f t="shared" ref="AA137:AA142" si="213">IF(OR(Z138=FALSE,AND(Z137=TRUE,Z138=TRUE)),Y137,0)</f>
        <v>0</v>
      </c>
      <c r="AB137" s="1005"/>
      <c r="AC137" s="1008">
        <f t="shared" ref="AC137:AC142" si="214">V137*U137+AC138</f>
        <v>0</v>
      </c>
      <c r="AD137" s="1035">
        <f t="shared" ref="AD137:AD142" si="215">IF(AND(AB137&gt;0,AC137&gt;0),Ak/AC137-Bk/AB137,)</f>
        <v>0</v>
      </c>
      <c r="AE137" s="995" t="b">
        <f>IF(AH137&lt;AG137,IF(AC137&gt;mj*AB137,FALSE,TRUE),FALSE)</f>
        <v>0</v>
      </c>
      <c r="AF137" s="1036">
        <f t="shared" ref="AF137:AF142" si="216">IF(OR(AE138=FALSE,AND(AE137=TRUE,AE138=TRUE)),AD137,0)</f>
        <v>0</v>
      </c>
      <c r="AG137" s="1037">
        <f>IF(AND(AB137&gt;0,AC137&gt;0),1/LN(1168*AB137/(0.2*AC137+AB137)/14057400000)*(-3928.5)-231.667,)</f>
        <v>0</v>
      </c>
      <c r="AH137" s="1036">
        <f>IF(SUM(H136:H145)&gt;0,20-AH135/SUM(H136:H145)*SUM(H137:H145),20)</f>
        <v>20</v>
      </c>
      <c r="AJ137" s="1032">
        <f>IF(AND(AN137&gt;0,AO137&gt;0),1/LN(1168*AO137/(0.2*AN137+AO137)/14057400000)*(-3928.5)-231.667,)</f>
        <v>0</v>
      </c>
      <c r="AK137" s="1013">
        <f>IF(SUM(P136:P145)&gt;0,20-AK135/SUM(P136:P145)*SUM(P136:P137),20)</f>
        <v>20</v>
      </c>
      <c r="AL137" s="1033">
        <f>INDEX(Bauteile!$I$57:$I$1159,BB137)</f>
        <v>0</v>
      </c>
      <c r="AM137" s="997">
        <f>N137/100</f>
        <v>0</v>
      </c>
      <c r="AN137" s="1006">
        <f>AM137*AL137</f>
        <v>0</v>
      </c>
      <c r="AO137" s="563">
        <f t="shared" ref="AO137:AO142" si="217">AL138*AM138+AO138</f>
        <v>0</v>
      </c>
      <c r="AP137" s="931">
        <f>IF(AND(AN137&gt;0,AO137&gt;0),Ak/AN137-Bk/AO137,)</f>
        <v>0</v>
      </c>
      <c r="AQ137" s="995" t="b">
        <f>IF(AK137&lt;AJ137,IF(AN137&gt;mj*AO137,FALSE,TRUE),FALSE)</f>
        <v>0</v>
      </c>
      <c r="AR137" s="1036">
        <f t="shared" ref="AR137:AR142" si="218">IF(OR(AQ138=FALSE,AND(AQ137=TRUE,AQ138=TRUE)),AP137,0)</f>
        <v>0</v>
      </c>
      <c r="AS137" s="1038"/>
      <c r="AT137" s="1008">
        <f t="shared" ref="AT137:AT142" si="219">AM137*AL137+AT138</f>
        <v>0</v>
      </c>
      <c r="AU137" s="1035">
        <f t="shared" ref="AU137:AU142" si="220">IF(AND(AS137&gt;0,AT137&gt;0),Ak/AT137-Bk/AS137,)</f>
        <v>0</v>
      </c>
      <c r="AV137" s="995" t="b">
        <f>IF(AY137&lt;AX137,IF(AT137&gt;mj*AS137,FALSE,TRUE),FALSE)</f>
        <v>0</v>
      </c>
      <c r="AW137" s="1036">
        <f t="shared" ref="AW137:AW142" si="221">IF(OR(AV138=FALSE,AND(AV137=TRUE,AV138=TRUE)),AU137,0)</f>
        <v>0</v>
      </c>
      <c r="AX137" s="1037">
        <f>IF(AND(AS137&gt;0,AT137&gt;0),1/LN(1168*AS137/(0.2*AT137+AS137)/14057400000)*(-3928.5)-231.667,)</f>
        <v>0</v>
      </c>
      <c r="AY137" s="1036">
        <f>IF(SUM(P136:P145)&gt;0,20-AY135/SUM(P136:P145)*SUM(P137:P145),20)</f>
        <v>20</v>
      </c>
      <c r="BA137" s="341">
        <f>IF($C137="",1,VLOOKUP($C137,$BP$57:$BQ$1010,2,FALSE))</f>
        <v>1</v>
      </c>
      <c r="BB137" s="1504">
        <f>IF($K137="",1,VLOOKUP($K137,$BP$57:$BQ$1010,2,FALSE))</f>
        <v>1</v>
      </c>
      <c r="BC137" s="333">
        <f>IF(AND($D$134*G137&gt;0,$L$134*O137&gt;0),(F137)/(($D$134*G137+$L$134*O137)),)</f>
        <v>0</v>
      </c>
      <c r="BN137" s="9" t="str">
        <f>Tab!C192</f>
        <v>Zürich-SMA</v>
      </c>
      <c r="BO137" s="10">
        <v>84</v>
      </c>
      <c r="BP137" s="118" t="str">
        <f>Bauteile!B137</f>
        <v>Enduit au mortier m=15</v>
      </c>
      <c r="BQ137" s="2057">
        <v>81</v>
      </c>
      <c r="BU137" s="2098">
        <f>Bauteile!B170</f>
        <v>0</v>
      </c>
      <c r="BV137" s="1872">
        <f>Bauteile!H170</f>
        <v>0</v>
      </c>
      <c r="BW137" s="2098" t="str">
        <f>Bauteile!B433</f>
        <v>ISOVER ISOCONFORT 032 / ISOCONFORT 032 PR</v>
      </c>
      <c r="BX137" s="2056">
        <f>Bauteile!H433</f>
        <v>3.2000000000000001E-2</v>
      </c>
    </row>
    <row r="138" spans="1:76" ht="15.6" customHeight="1">
      <c r="B138" s="11">
        <v>3</v>
      </c>
      <c r="C138" s="2212"/>
      <c r="D138" s="2213"/>
      <c r="E138" s="2214"/>
      <c r="F138" s="26"/>
      <c r="G138" s="59">
        <f>INDEX(Bauteile!$H$57:$H$1159,BA138)</f>
        <v>0</v>
      </c>
      <c r="H138" s="312">
        <f t="shared" ref="H138:H143" si="222">IF(G138&lt;&gt;0,F138/100/G138,0)</f>
        <v>0</v>
      </c>
      <c r="I138" s="4"/>
      <c r="J138" s="11">
        <v>3</v>
      </c>
      <c r="K138" s="2212"/>
      <c r="L138" s="2213"/>
      <c r="M138" s="2214"/>
      <c r="N138" s="320">
        <f t="shared" si="211"/>
        <v>0</v>
      </c>
      <c r="O138" s="59">
        <f>INDEX(Bauteile!$H$57:$H$1159,BB138)</f>
        <v>0</v>
      </c>
      <c r="P138" s="319">
        <f t="shared" ref="P138:P143" si="223">IF(O138&lt;&gt;0,N138/100/O138,0)</f>
        <v>0</v>
      </c>
      <c r="S138" s="1039">
        <f t="shared" ref="S138:S143" si="224">IF(AND(W138&gt;0,X138&gt;0),1/LN(1168*X138/(0.2*W138+X138)/14057400000)*(-3928.5)-231.667,)</f>
        <v>0</v>
      </c>
      <c r="T138" s="989">
        <f>IF(SUM(H136:H145)&gt;0,20-T135/SUM(H136:H145)*SUM(H136:H138),20)</f>
        <v>20</v>
      </c>
      <c r="U138" s="1033">
        <f>INDEX(Bauteile!$I$57:$I$1159,BA138)</f>
        <v>0</v>
      </c>
      <c r="V138" s="997">
        <f t="shared" ref="V138:V143" si="225">F138/100</f>
        <v>0</v>
      </c>
      <c r="W138" s="1006">
        <f t="shared" ref="W138:W143" si="226">V138*U138+W137</f>
        <v>0</v>
      </c>
      <c r="X138" s="563">
        <f t="shared" si="212"/>
        <v>0</v>
      </c>
      <c r="Y138" s="931">
        <f t="shared" ref="Y138:Y143" si="227">IF(AND(W138&gt;0,X138&gt;0),Ak/W138-Bk/X138,)</f>
        <v>0</v>
      </c>
      <c r="Z138" s="563" t="b">
        <f t="shared" ref="Z138:Z143" si="228">IF(T138&lt;S138,IF(W138&gt;mj*X138,FALSE,TRUE),FALSE)</f>
        <v>0</v>
      </c>
      <c r="AA138" s="439">
        <f t="shared" si="213"/>
        <v>0</v>
      </c>
      <c r="AB138" s="1009">
        <f t="shared" ref="AB138:AB143" si="229">U137*V137+AB137</f>
        <v>0</v>
      </c>
      <c r="AC138" s="1010">
        <f t="shared" si="214"/>
        <v>0</v>
      </c>
      <c r="AD138" s="931">
        <f t="shared" si="215"/>
        <v>0</v>
      </c>
      <c r="AE138" s="7" t="b">
        <f t="shared" ref="AE138:AE143" si="230">IF(AH138&lt;AG138,IF(AC138&gt;mj*AB138,FALSE,TRUE),FALSE)</f>
        <v>0</v>
      </c>
      <c r="AF138" s="439">
        <f t="shared" si="216"/>
        <v>0</v>
      </c>
      <c r="AG138" s="1040">
        <f t="shared" ref="AG138:AG143" si="231">IF(AND(AB138&gt;0,AC138&gt;0),1/LN(1168*AB138/(0.2*AC138+AB138)/14057400000)*(-3928.5)-231.667,)</f>
        <v>0</v>
      </c>
      <c r="AH138" s="439">
        <f>IF(SUM(H136:H145)&gt;0,20-AH135/SUM(H136:H145)*SUM(H138:H145),20)</f>
        <v>20</v>
      </c>
      <c r="AJ138" s="1039">
        <f t="shared" ref="AJ138:AJ143" si="232">IF(AND(AN138&gt;0,AO138&gt;0),1/LN(1168*AO138/(0.2*AN138+AO138)/14057400000)*(-3928.5)-231.667,)</f>
        <v>0</v>
      </c>
      <c r="AK138" s="989">
        <f>IF(SUM(P136:P145)&gt;0,20-AK135/SUM(P136:P145)*SUM(P136:P138),20)</f>
        <v>20</v>
      </c>
      <c r="AL138" s="1033">
        <f>INDEX(Bauteile!$I$57:$I$1159,BB138)</f>
        <v>0</v>
      </c>
      <c r="AM138" s="997">
        <f t="shared" ref="AM138:AM143" si="233">N138/100</f>
        <v>0</v>
      </c>
      <c r="AN138" s="1006">
        <f t="shared" ref="AN138:AN143" si="234">AM138*AL138+AN137</f>
        <v>0</v>
      </c>
      <c r="AO138" s="563">
        <f t="shared" si="217"/>
        <v>0</v>
      </c>
      <c r="AP138" s="931">
        <f t="shared" ref="AP138:AP143" si="235">IF(AND(AN138&gt;0,AO138&gt;0),Ak/AN138-Bk/AO138,)</f>
        <v>0</v>
      </c>
      <c r="AQ138" s="7" t="b">
        <f t="shared" ref="AQ138:AQ143" si="236">IF(AK138&lt;AJ138,IF(AN138&gt;mj*AO138,FALSE,TRUE),FALSE)</f>
        <v>0</v>
      </c>
      <c r="AR138" s="439">
        <f t="shared" si="218"/>
        <v>0</v>
      </c>
      <c r="AS138" s="5">
        <f t="shared" ref="AS138:AS143" si="237">AL137*AM137+AS137</f>
        <v>0</v>
      </c>
      <c r="AT138" s="1010">
        <f t="shared" si="219"/>
        <v>0</v>
      </c>
      <c r="AU138" s="931">
        <f t="shared" si="220"/>
        <v>0</v>
      </c>
      <c r="AV138" s="7" t="b">
        <f t="shared" ref="AV138:AV143" si="238">IF(AY138&lt;AX138,IF(AT138&gt;mj*AS138,FALSE,TRUE),FALSE)</f>
        <v>0</v>
      </c>
      <c r="AW138" s="439">
        <f t="shared" si="221"/>
        <v>0</v>
      </c>
      <c r="AX138" s="1040">
        <f t="shared" ref="AX138:AX143" si="239">IF(AND(AS138&gt;0,AT138&gt;0),1/LN(1168*AS138/(0.2*AT138+AS138)/14057400000)*(-3928.5)-231.667,)</f>
        <v>0</v>
      </c>
      <c r="AY138" s="439">
        <f>IF(SUM(P136:P145)&gt;0,20-AY135/SUM(P136:P145)*SUM(P138:P145),20)</f>
        <v>20</v>
      </c>
      <c r="BA138" s="341">
        <f t="shared" ref="BA138:BA143" si="240">IF($C138="",1,VLOOKUP($C138,$BP$57:$BQ$1010,2,FALSE))</f>
        <v>1</v>
      </c>
      <c r="BB138" s="1504">
        <f t="shared" ref="BB138:BB143" si="241">IF($K138="",1,VLOOKUP($K138,$BP$57:$BQ$1010,2,FALSE))</f>
        <v>1</v>
      </c>
      <c r="BC138" s="333">
        <f t="shared" ref="BC138:BC143" si="242">IF(AND($D$134*G138&gt;0,$L$134*O138&gt;0),F138/(($D$134*G138+$L$134*O138)),)</f>
        <v>0</v>
      </c>
      <c r="BP138" s="118" t="str">
        <f>Bauteile!B138</f>
        <v>Enduit au mortier m=35</v>
      </c>
      <c r="BQ138" s="2057">
        <v>82</v>
      </c>
      <c r="BU138" s="2098" t="str">
        <f>Bauteile!B171</f>
        <v>Kalkanhydrit-Putzmörtel m=10</v>
      </c>
      <c r="BV138" s="1872">
        <f>Bauteile!H171</f>
        <v>0.7</v>
      </c>
      <c r="BW138" s="2098" t="str">
        <f>Bauteile!B434</f>
        <v>ISOVER CLADISOL 032</v>
      </c>
      <c r="BX138" s="2056">
        <f>Bauteile!H434</f>
        <v>3.2000000000000001E-2</v>
      </c>
    </row>
    <row r="139" spans="1:76" ht="15.6" customHeight="1">
      <c r="B139" s="11">
        <v>4</v>
      </c>
      <c r="C139" s="2212"/>
      <c r="D139" s="2213"/>
      <c r="E139" s="2214"/>
      <c r="F139" s="26"/>
      <c r="G139" s="59">
        <f>INDEX(Bauteile!$H$57:$H$1159,BA139)</f>
        <v>0</v>
      </c>
      <c r="H139" s="312">
        <f t="shared" si="222"/>
        <v>0</v>
      </c>
      <c r="I139" s="4"/>
      <c r="J139" s="11">
        <v>4</v>
      </c>
      <c r="K139" s="2212"/>
      <c r="L139" s="2213"/>
      <c r="M139" s="2214"/>
      <c r="N139" s="320">
        <f t="shared" si="211"/>
        <v>0</v>
      </c>
      <c r="O139" s="59">
        <f>INDEX(Bauteile!$H$57:$H$1159,BB139)</f>
        <v>0</v>
      </c>
      <c r="P139" s="319">
        <f t="shared" si="223"/>
        <v>0</v>
      </c>
      <c r="S139" s="1039">
        <f t="shared" si="224"/>
        <v>0</v>
      </c>
      <c r="T139" s="989">
        <f>IF(SUM(H136:H145)&gt;0,20-T135/SUM(H136:H145)*SUM(H136:H139),20)</f>
        <v>20</v>
      </c>
      <c r="U139" s="1033">
        <f>INDEX(Bauteile!$I$57:$I$1159,BA139)</f>
        <v>0</v>
      </c>
      <c r="V139" s="997">
        <f t="shared" si="225"/>
        <v>0</v>
      </c>
      <c r="W139" s="1006">
        <f t="shared" si="226"/>
        <v>0</v>
      </c>
      <c r="X139" s="563">
        <f t="shared" si="212"/>
        <v>0</v>
      </c>
      <c r="Y139" s="931">
        <f t="shared" si="227"/>
        <v>0</v>
      </c>
      <c r="Z139" s="563" t="b">
        <f t="shared" si="228"/>
        <v>0</v>
      </c>
      <c r="AA139" s="439">
        <f t="shared" si="213"/>
        <v>0</v>
      </c>
      <c r="AB139" s="1009">
        <f t="shared" si="229"/>
        <v>0</v>
      </c>
      <c r="AC139" s="1010">
        <f t="shared" si="214"/>
        <v>0</v>
      </c>
      <c r="AD139" s="931">
        <f t="shared" si="215"/>
        <v>0</v>
      </c>
      <c r="AE139" s="7" t="b">
        <f t="shared" si="230"/>
        <v>0</v>
      </c>
      <c r="AF139" s="439">
        <f t="shared" si="216"/>
        <v>0</v>
      </c>
      <c r="AG139" s="1040">
        <f t="shared" si="231"/>
        <v>0</v>
      </c>
      <c r="AH139" s="439">
        <f>IF(SUM(H136:H145)&gt;0,20-AH135/SUM(H136:H145)*SUM(H139:H145),20)</f>
        <v>20</v>
      </c>
      <c r="AJ139" s="1039">
        <f t="shared" si="232"/>
        <v>0</v>
      </c>
      <c r="AK139" s="989">
        <f>IF(SUM(P136:P145)&gt;0,20-AK135/SUM(P136:P145)*SUM(P136:P139),20)</f>
        <v>20</v>
      </c>
      <c r="AL139" s="1033">
        <f>INDEX(Bauteile!$I$57:$I$1159,BB139)</f>
        <v>0</v>
      </c>
      <c r="AM139" s="997">
        <f t="shared" si="233"/>
        <v>0</v>
      </c>
      <c r="AN139" s="1006">
        <f t="shared" si="234"/>
        <v>0</v>
      </c>
      <c r="AO139" s="563">
        <f t="shared" si="217"/>
        <v>0</v>
      </c>
      <c r="AP139" s="931">
        <f t="shared" si="235"/>
        <v>0</v>
      </c>
      <c r="AQ139" s="7" t="b">
        <f t="shared" si="236"/>
        <v>0</v>
      </c>
      <c r="AR139" s="439">
        <f t="shared" si="218"/>
        <v>0</v>
      </c>
      <c r="AS139" s="5">
        <f t="shared" si="237"/>
        <v>0</v>
      </c>
      <c r="AT139" s="1010">
        <f t="shared" si="219"/>
        <v>0</v>
      </c>
      <c r="AU139" s="931">
        <f t="shared" si="220"/>
        <v>0</v>
      </c>
      <c r="AV139" s="7" t="b">
        <f t="shared" si="238"/>
        <v>0</v>
      </c>
      <c r="AW139" s="439">
        <f t="shared" si="221"/>
        <v>0</v>
      </c>
      <c r="AX139" s="1040">
        <f t="shared" si="239"/>
        <v>0</v>
      </c>
      <c r="AY139" s="439">
        <f>IF(SUM(P136:P145)&gt;0,20-AY135/SUM(P136:P145)*SUM(P139:P145),20)</f>
        <v>20</v>
      </c>
      <c r="BA139" s="341">
        <f t="shared" si="240"/>
        <v>1</v>
      </c>
      <c r="BB139" s="1504">
        <f t="shared" si="241"/>
        <v>1</v>
      </c>
      <c r="BC139" s="333">
        <f t="shared" si="242"/>
        <v>0</v>
      </c>
      <c r="BP139" s="118" t="str">
        <f>Bauteile!B139</f>
        <v>Enduit au mortier de chaux m=15</v>
      </c>
      <c r="BQ139" s="2057">
        <v>83</v>
      </c>
      <c r="BU139" s="2098" t="str">
        <f>Bauteile!B172</f>
        <v>Kalkgips-Putzmörtel m=10</v>
      </c>
      <c r="BV139" s="1872">
        <f>Bauteile!H172</f>
        <v>0.7</v>
      </c>
      <c r="BW139" s="2098" t="str">
        <f>Bauteile!B435</f>
        <v>ISOVER PS 81</v>
      </c>
      <c r="BX139" s="2056">
        <f>Bauteile!H435</f>
        <v>3.2000000000000001E-2</v>
      </c>
    </row>
    <row r="140" spans="1:76" ht="15.6" customHeight="1">
      <c r="B140" s="11">
        <v>5</v>
      </c>
      <c r="C140" s="2212"/>
      <c r="D140" s="2213"/>
      <c r="E140" s="2214"/>
      <c r="F140" s="26"/>
      <c r="G140" s="59">
        <f>INDEX(Bauteile!$H$57:$H$1159,BA140)</f>
        <v>0</v>
      </c>
      <c r="H140" s="312">
        <f t="shared" si="222"/>
        <v>0</v>
      </c>
      <c r="I140" s="4"/>
      <c r="J140" s="11">
        <v>5</v>
      </c>
      <c r="K140" s="2212"/>
      <c r="L140" s="2213"/>
      <c r="M140" s="2214"/>
      <c r="N140" s="320">
        <f t="shared" si="211"/>
        <v>0</v>
      </c>
      <c r="O140" s="59">
        <f>INDEX(Bauteile!$H$57:$H$1159,BB140)</f>
        <v>0</v>
      </c>
      <c r="P140" s="319">
        <f t="shared" si="223"/>
        <v>0</v>
      </c>
      <c r="S140" s="1039">
        <f t="shared" si="224"/>
        <v>0</v>
      </c>
      <c r="T140" s="989">
        <f>IF(SUM(H136:H145)&gt;0,20-T135/SUM(H136:H145)*SUM(H136:H140),20)</f>
        <v>20</v>
      </c>
      <c r="U140" s="1033">
        <f>INDEX(Bauteile!$I$57:$I$1159,BA140)</f>
        <v>0</v>
      </c>
      <c r="V140" s="997">
        <f t="shared" si="225"/>
        <v>0</v>
      </c>
      <c r="W140" s="1006">
        <f t="shared" si="226"/>
        <v>0</v>
      </c>
      <c r="X140" s="563">
        <f t="shared" si="212"/>
        <v>0</v>
      </c>
      <c r="Y140" s="931">
        <f t="shared" si="227"/>
        <v>0</v>
      </c>
      <c r="Z140" s="563" t="b">
        <f t="shared" si="228"/>
        <v>0</v>
      </c>
      <c r="AA140" s="439">
        <f t="shared" si="213"/>
        <v>0</v>
      </c>
      <c r="AB140" s="1009">
        <f t="shared" si="229"/>
        <v>0</v>
      </c>
      <c r="AC140" s="1010">
        <f t="shared" si="214"/>
        <v>0</v>
      </c>
      <c r="AD140" s="931">
        <f t="shared" si="215"/>
        <v>0</v>
      </c>
      <c r="AE140" s="7" t="b">
        <f t="shared" si="230"/>
        <v>0</v>
      </c>
      <c r="AF140" s="439">
        <f t="shared" si="216"/>
        <v>0</v>
      </c>
      <c r="AG140" s="1040">
        <f t="shared" si="231"/>
        <v>0</v>
      </c>
      <c r="AH140" s="439">
        <f>IF(SUM(H136:H145)&gt;0,20-AH135/SUM(H136:H145)*SUM(H140:H145),20)</f>
        <v>20</v>
      </c>
      <c r="AJ140" s="1039">
        <f t="shared" si="232"/>
        <v>0</v>
      </c>
      <c r="AK140" s="989">
        <f>IF(SUM(P136:P145)&gt;0,20-AK135/SUM(P136:P145)*SUM(P136:P140),20)</f>
        <v>20</v>
      </c>
      <c r="AL140" s="1033">
        <f>INDEX(Bauteile!$I$57:$I$1159,BB140)</f>
        <v>0</v>
      </c>
      <c r="AM140" s="997">
        <f t="shared" si="233"/>
        <v>0</v>
      </c>
      <c r="AN140" s="1006">
        <f t="shared" si="234"/>
        <v>0</v>
      </c>
      <c r="AO140" s="563">
        <f t="shared" si="217"/>
        <v>0</v>
      </c>
      <c r="AP140" s="931">
        <f t="shared" si="235"/>
        <v>0</v>
      </c>
      <c r="AQ140" s="7" t="b">
        <f t="shared" si="236"/>
        <v>0</v>
      </c>
      <c r="AR140" s="439">
        <f t="shared" si="218"/>
        <v>0</v>
      </c>
      <c r="AS140" s="5">
        <f t="shared" si="237"/>
        <v>0</v>
      </c>
      <c r="AT140" s="1010">
        <f t="shared" si="219"/>
        <v>0</v>
      </c>
      <c r="AU140" s="931">
        <f t="shared" si="220"/>
        <v>0</v>
      </c>
      <c r="AV140" s="7" t="b">
        <f t="shared" si="238"/>
        <v>0</v>
      </c>
      <c r="AW140" s="439">
        <f t="shared" si="221"/>
        <v>0</v>
      </c>
      <c r="AX140" s="1040">
        <f t="shared" si="239"/>
        <v>0</v>
      </c>
      <c r="AY140" s="439">
        <f>IF(SUM(P136:P145)&gt;0,20-AY135/SUM(P136:P145)*SUM(P140:P145),20)</f>
        <v>20</v>
      </c>
      <c r="BA140" s="341">
        <f t="shared" si="240"/>
        <v>1</v>
      </c>
      <c r="BB140" s="1504">
        <f t="shared" si="241"/>
        <v>1</v>
      </c>
      <c r="BC140" s="333">
        <f t="shared" si="242"/>
        <v>0</v>
      </c>
      <c r="BP140" s="118" t="str">
        <f>Bauteile!B140</f>
        <v>Enduit au mortier de chaux m=35</v>
      </c>
      <c r="BQ140" s="2057">
        <v>84</v>
      </c>
      <c r="BU140" s="2098" t="str">
        <f>Bauteile!B173</f>
        <v>Kalkzement-Putzmörtel m=15</v>
      </c>
      <c r="BV140" s="1872">
        <f>Bauteile!H173</f>
        <v>0.87</v>
      </c>
      <c r="BW140" s="2098" t="str">
        <f>Bauteile!B436</f>
        <v>ISOVER PBS 80</v>
      </c>
      <c r="BX140" s="2056">
        <f>Bauteile!H436</f>
        <v>3.2000000000000001E-2</v>
      </c>
    </row>
    <row r="141" spans="1:76" ht="15.6" customHeight="1">
      <c r="B141" s="11">
        <v>6</v>
      </c>
      <c r="C141" s="2212"/>
      <c r="D141" s="2213"/>
      <c r="E141" s="2214"/>
      <c r="F141" s="26"/>
      <c r="G141" s="59">
        <f>INDEX(Bauteile!$H$57:$H$1159,BA141)</f>
        <v>0</v>
      </c>
      <c r="H141" s="312">
        <f t="shared" si="222"/>
        <v>0</v>
      </c>
      <c r="I141" s="4"/>
      <c r="J141" s="11">
        <v>6</v>
      </c>
      <c r="K141" s="2212"/>
      <c r="L141" s="2213"/>
      <c r="M141" s="2214"/>
      <c r="N141" s="320">
        <f t="shared" si="211"/>
        <v>0</v>
      </c>
      <c r="O141" s="59">
        <f>INDEX(Bauteile!$H$57:$H$1159,BB141)</f>
        <v>0</v>
      </c>
      <c r="P141" s="319">
        <f t="shared" si="223"/>
        <v>0</v>
      </c>
      <c r="S141" s="1039">
        <f t="shared" si="224"/>
        <v>0</v>
      </c>
      <c r="T141" s="989">
        <f>IF(SUM(H136:H145)&gt;0,20-T135/SUM(H136:H145)*SUM(H136:H141),20)</f>
        <v>20</v>
      </c>
      <c r="U141" s="1033">
        <f>INDEX(Bauteile!$I$57:$I$1159,BA141)</f>
        <v>0</v>
      </c>
      <c r="V141" s="997">
        <f t="shared" si="225"/>
        <v>0</v>
      </c>
      <c r="W141" s="1006">
        <f t="shared" si="226"/>
        <v>0</v>
      </c>
      <c r="X141" s="563">
        <f t="shared" si="212"/>
        <v>0</v>
      </c>
      <c r="Y141" s="931">
        <f t="shared" si="227"/>
        <v>0</v>
      </c>
      <c r="Z141" s="563" t="b">
        <f t="shared" si="228"/>
        <v>0</v>
      </c>
      <c r="AA141" s="439">
        <f t="shared" si="213"/>
        <v>0</v>
      </c>
      <c r="AB141" s="1009">
        <f t="shared" si="229"/>
        <v>0</v>
      </c>
      <c r="AC141" s="1010">
        <f t="shared" si="214"/>
        <v>0</v>
      </c>
      <c r="AD141" s="931">
        <f t="shared" si="215"/>
        <v>0</v>
      </c>
      <c r="AE141" s="7" t="b">
        <f t="shared" si="230"/>
        <v>0</v>
      </c>
      <c r="AF141" s="439">
        <f t="shared" si="216"/>
        <v>0</v>
      </c>
      <c r="AG141" s="1040">
        <f t="shared" si="231"/>
        <v>0</v>
      </c>
      <c r="AH141" s="439">
        <f>IF(SUM(H136:H145)&gt;0,20-AH135/SUM(H136:H145)*SUM(H141:H145),20)</f>
        <v>20</v>
      </c>
      <c r="AJ141" s="1039">
        <f t="shared" si="232"/>
        <v>0</v>
      </c>
      <c r="AK141" s="989">
        <f>IF(SUM(P136:P145)&gt;0,20-AK135/SUM(P136:P145)*SUM(P136:P141),20)</f>
        <v>20</v>
      </c>
      <c r="AL141" s="1033">
        <f>INDEX(Bauteile!$I$57:$I$1159,BB141)</f>
        <v>0</v>
      </c>
      <c r="AM141" s="997">
        <f t="shared" si="233"/>
        <v>0</v>
      </c>
      <c r="AN141" s="1006">
        <f t="shared" si="234"/>
        <v>0</v>
      </c>
      <c r="AO141" s="563">
        <f t="shared" si="217"/>
        <v>0</v>
      </c>
      <c r="AP141" s="931">
        <f t="shared" si="235"/>
        <v>0</v>
      </c>
      <c r="AQ141" s="7" t="b">
        <f t="shared" si="236"/>
        <v>0</v>
      </c>
      <c r="AR141" s="439">
        <f t="shared" si="218"/>
        <v>0</v>
      </c>
      <c r="AS141" s="5">
        <f t="shared" si="237"/>
        <v>0</v>
      </c>
      <c r="AT141" s="1010">
        <f t="shared" si="219"/>
        <v>0</v>
      </c>
      <c r="AU141" s="931">
        <f t="shared" si="220"/>
        <v>0</v>
      </c>
      <c r="AV141" s="7" t="b">
        <f t="shared" si="238"/>
        <v>0</v>
      </c>
      <c r="AW141" s="439">
        <f t="shared" si="221"/>
        <v>0</v>
      </c>
      <c r="AX141" s="1040">
        <f t="shared" si="239"/>
        <v>0</v>
      </c>
      <c r="AY141" s="439">
        <f>IF(SUM(P136:P145)&gt;0,20-AY135/SUM(P136:P145)*SUM(P141:P145),20)</f>
        <v>20</v>
      </c>
      <c r="BA141" s="341">
        <f t="shared" si="240"/>
        <v>1</v>
      </c>
      <c r="BB141" s="1504">
        <f t="shared" si="241"/>
        <v>1</v>
      </c>
      <c r="BC141" s="333">
        <f t="shared" si="242"/>
        <v>0</v>
      </c>
      <c r="BP141" s="118" t="str">
        <f>Bauteile!B141</f>
        <v>Enduit au mortier de plâtre m=10</v>
      </c>
      <c r="BQ141" s="2057">
        <v>85</v>
      </c>
      <c r="BU141" s="2098" t="str">
        <f>Bauteile!B174</f>
        <v>Kalkzement-Putzmörtel m=35</v>
      </c>
      <c r="BV141" s="1872">
        <f>Bauteile!H174</f>
        <v>0.87</v>
      </c>
      <c r="BW141" s="2098" t="str">
        <f>Bauteile!B437</f>
        <v>ISOVER ISOPONTE 032</v>
      </c>
      <c r="BX141" s="2056">
        <f>Bauteile!H437</f>
        <v>3.2000000000000001E-2</v>
      </c>
    </row>
    <row r="142" spans="1:76" ht="15.6" customHeight="1">
      <c r="B142" s="11">
        <v>7</v>
      </c>
      <c r="C142" s="2212"/>
      <c r="D142" s="2213"/>
      <c r="E142" s="2214"/>
      <c r="F142" s="26"/>
      <c r="G142" s="59">
        <f>INDEX(Bauteile!$H$57:$H$1159,BA142)</f>
        <v>0</v>
      </c>
      <c r="H142" s="312">
        <f t="shared" si="222"/>
        <v>0</v>
      </c>
      <c r="I142" s="4"/>
      <c r="J142" s="11">
        <v>7</v>
      </c>
      <c r="K142" s="2212"/>
      <c r="L142" s="2213"/>
      <c r="M142" s="2214"/>
      <c r="N142" s="320">
        <f t="shared" si="211"/>
        <v>0</v>
      </c>
      <c r="O142" s="59">
        <f>INDEX(Bauteile!$H$57:$H$1159,BB142)</f>
        <v>0</v>
      </c>
      <c r="P142" s="319">
        <f t="shared" si="223"/>
        <v>0</v>
      </c>
      <c r="S142" s="1039">
        <f t="shared" si="224"/>
        <v>0</v>
      </c>
      <c r="T142" s="989">
        <f>IF(SUM(H136:H145)&gt;0,20-T135/SUM(H136:H145)*SUM(H136:H142),20)</f>
        <v>20</v>
      </c>
      <c r="U142" s="1033">
        <f>INDEX(Bauteile!$I$57:$I$1159,BA142)</f>
        <v>0</v>
      </c>
      <c r="V142" s="997">
        <f t="shared" si="225"/>
        <v>0</v>
      </c>
      <c r="W142" s="1006">
        <f t="shared" si="226"/>
        <v>0</v>
      </c>
      <c r="X142" s="563">
        <f t="shared" si="212"/>
        <v>0</v>
      </c>
      <c r="Y142" s="931">
        <f t="shared" si="227"/>
        <v>0</v>
      </c>
      <c r="Z142" s="563" t="b">
        <f t="shared" si="228"/>
        <v>0</v>
      </c>
      <c r="AA142" s="439">
        <f t="shared" si="213"/>
        <v>0</v>
      </c>
      <c r="AB142" s="1009">
        <f t="shared" si="229"/>
        <v>0</v>
      </c>
      <c r="AC142" s="1010">
        <f t="shared" si="214"/>
        <v>0</v>
      </c>
      <c r="AD142" s="931">
        <f t="shared" si="215"/>
        <v>0</v>
      </c>
      <c r="AE142" s="7" t="b">
        <f t="shared" si="230"/>
        <v>0</v>
      </c>
      <c r="AF142" s="439">
        <f t="shared" si="216"/>
        <v>0</v>
      </c>
      <c r="AG142" s="1040">
        <f t="shared" si="231"/>
        <v>0</v>
      </c>
      <c r="AH142" s="439">
        <f>IF(SUM(H136:H145)&gt;0,20-AH135/SUM(H136:H145)*SUM(H142:H145),20)</f>
        <v>20</v>
      </c>
      <c r="AJ142" s="1039">
        <f t="shared" si="232"/>
        <v>0</v>
      </c>
      <c r="AK142" s="989">
        <f>IF(SUM(P136:P145)&gt;0,20-AK135/SUM(P136:P145)*SUM(P136:P142),20)</f>
        <v>20</v>
      </c>
      <c r="AL142" s="1033">
        <f>INDEX(Bauteile!$I$57:$I$1159,BB142)</f>
        <v>0</v>
      </c>
      <c r="AM142" s="997">
        <f t="shared" si="233"/>
        <v>0</v>
      </c>
      <c r="AN142" s="1006">
        <f t="shared" si="234"/>
        <v>0</v>
      </c>
      <c r="AO142" s="563">
        <f t="shared" si="217"/>
        <v>0</v>
      </c>
      <c r="AP142" s="931">
        <f t="shared" si="235"/>
        <v>0</v>
      </c>
      <c r="AQ142" s="7" t="b">
        <f t="shared" si="236"/>
        <v>0</v>
      </c>
      <c r="AR142" s="439">
        <f t="shared" si="218"/>
        <v>0</v>
      </c>
      <c r="AS142" s="5">
        <f t="shared" si="237"/>
        <v>0</v>
      </c>
      <c r="AT142" s="1010">
        <f t="shared" si="219"/>
        <v>0</v>
      </c>
      <c r="AU142" s="931">
        <f t="shared" si="220"/>
        <v>0</v>
      </c>
      <c r="AV142" s="7" t="b">
        <f t="shared" si="238"/>
        <v>0</v>
      </c>
      <c r="AW142" s="439">
        <f t="shared" si="221"/>
        <v>0</v>
      </c>
      <c r="AX142" s="1040">
        <f t="shared" si="239"/>
        <v>0</v>
      </c>
      <c r="AY142" s="439">
        <f>IF(SUM(P136:P145)&gt;0,20-AY135/SUM(P136:P145)*SUM(P142:P145),20)</f>
        <v>20</v>
      </c>
      <c r="BA142" s="341">
        <f t="shared" si="240"/>
        <v>1</v>
      </c>
      <c r="BB142" s="1504">
        <f t="shared" si="241"/>
        <v>1</v>
      </c>
      <c r="BC142" s="333">
        <f t="shared" si="242"/>
        <v>0</v>
      </c>
      <c r="BP142" s="118" t="str">
        <f>Bauteile!B142</f>
        <v>Enduit au plâtre m=10</v>
      </c>
      <c r="BQ142" s="2057">
        <v>86</v>
      </c>
      <c r="BU142" s="2098" t="str">
        <f>Bauteile!B175</f>
        <v>Kellenwurf</v>
      </c>
      <c r="BV142" s="1872">
        <f>Bauteile!H175</f>
        <v>0.8</v>
      </c>
      <c r="BW142" s="2098" t="str">
        <f>Bauteile!B438</f>
        <v>ISOVER ISOLENE P 032</v>
      </c>
      <c r="BX142" s="2056">
        <f>Bauteile!H438</f>
        <v>3.2000000000000001E-2</v>
      </c>
    </row>
    <row r="143" spans="1:76" ht="15.6" customHeight="1" thickBot="1">
      <c r="B143" s="11">
        <v>8</v>
      </c>
      <c r="C143" s="2212"/>
      <c r="D143" s="2213"/>
      <c r="E143" s="2214"/>
      <c r="F143" s="26"/>
      <c r="G143" s="59">
        <f>INDEX(Bauteile!$H$57:$H$1159,BA143)</f>
        <v>0</v>
      </c>
      <c r="H143" s="312">
        <f t="shared" si="222"/>
        <v>0</v>
      </c>
      <c r="I143" s="4"/>
      <c r="J143" s="11">
        <v>8</v>
      </c>
      <c r="K143" s="2212"/>
      <c r="L143" s="2213"/>
      <c r="M143" s="2214"/>
      <c r="N143" s="320">
        <f t="shared" si="211"/>
        <v>0</v>
      </c>
      <c r="O143" s="59">
        <f>INDEX(Bauteile!$H$57:$H$1159,BB143)</f>
        <v>0</v>
      </c>
      <c r="P143" s="319">
        <f t="shared" si="223"/>
        <v>0</v>
      </c>
      <c r="S143" s="1041">
        <f t="shared" si="224"/>
        <v>0</v>
      </c>
      <c r="T143" s="1014">
        <f>IF(SUM(H136:H145)&gt;0,20-T135/SUM(H136:H145)*SUM(H136:H143),20)</f>
        <v>20</v>
      </c>
      <c r="U143" s="1033">
        <f>INDEX(Bauteile!$I$57:$I$1159,BA143)</f>
        <v>0</v>
      </c>
      <c r="V143" s="997">
        <f t="shared" si="225"/>
        <v>0</v>
      </c>
      <c r="W143" s="1004">
        <f t="shared" si="226"/>
        <v>0</v>
      </c>
      <c r="X143" s="11"/>
      <c r="Y143" s="1042">
        <f t="shared" si="227"/>
        <v>0</v>
      </c>
      <c r="Z143" s="11" t="b">
        <f t="shared" si="228"/>
        <v>0</v>
      </c>
      <c r="AA143" s="1043"/>
      <c r="AB143" s="1011">
        <f t="shared" si="229"/>
        <v>0</v>
      </c>
      <c r="AC143" s="1012">
        <f>V143*U143</f>
        <v>0</v>
      </c>
      <c r="AD143" s="1042">
        <f>IF(AND(AB143&gt;0,AC143&gt;0),Ak/AC143-Bk/AB143,)</f>
        <v>0</v>
      </c>
      <c r="AE143" s="9" t="b">
        <f t="shared" si="230"/>
        <v>0</v>
      </c>
      <c r="AF143" s="1043"/>
      <c r="AG143" s="1044">
        <f t="shared" si="231"/>
        <v>0</v>
      </c>
      <c r="AH143" s="1043">
        <f>IF(SUM(H136:H145)&gt;0,20-AH135/SUM(H136:H145)*SUM(H143:H145),20)</f>
        <v>20</v>
      </c>
      <c r="AJ143" s="1041">
        <f t="shared" si="232"/>
        <v>0</v>
      </c>
      <c r="AK143" s="1014">
        <f>IF(SUM(P136:P145)&gt;0,20-AK135/SUM(P136:P145)*SUM(P136:P143),20)</f>
        <v>20</v>
      </c>
      <c r="AL143" s="1033">
        <f>INDEX(Bauteile!$I$57:$I$1159,BB143)</f>
        <v>0</v>
      </c>
      <c r="AM143" s="997">
        <f t="shared" si="233"/>
        <v>0</v>
      </c>
      <c r="AN143" s="1004">
        <f t="shared" si="234"/>
        <v>0</v>
      </c>
      <c r="AO143" s="11"/>
      <c r="AP143" s="1042">
        <f t="shared" si="235"/>
        <v>0</v>
      </c>
      <c r="AQ143" s="9" t="b">
        <f t="shared" si="236"/>
        <v>0</v>
      </c>
      <c r="AR143" s="1043"/>
      <c r="AS143" s="10">
        <f t="shared" si="237"/>
        <v>0</v>
      </c>
      <c r="AT143" s="1012">
        <f>AM143*AL143</f>
        <v>0</v>
      </c>
      <c r="AU143" s="1042">
        <f>IF(AND(AS143&gt;0,AT143&gt;0),Ak/AT143-Bk/AS143,)</f>
        <v>0</v>
      </c>
      <c r="AV143" s="9" t="b">
        <f t="shared" si="238"/>
        <v>0</v>
      </c>
      <c r="AW143" s="1043"/>
      <c r="AX143" s="1044">
        <f t="shared" si="239"/>
        <v>0</v>
      </c>
      <c r="AY143" s="1043">
        <f>IF(SUM(P136:P145)&gt;0,20-AY135/SUM(P136:P145)*SUM(P143:P145),20)</f>
        <v>20</v>
      </c>
      <c r="BA143" s="341">
        <f t="shared" si="240"/>
        <v>1</v>
      </c>
      <c r="BB143" s="1504">
        <f t="shared" si="241"/>
        <v>1</v>
      </c>
      <c r="BC143" s="333">
        <f t="shared" si="242"/>
        <v>0</v>
      </c>
      <c r="BP143" s="118" t="str">
        <f>Bauteile!B143</f>
        <v>Enduit de barrière m=15</v>
      </c>
      <c r="BQ143" s="2057">
        <v>87</v>
      </c>
      <c r="BU143" s="2098">
        <f>Bauteile!B176</f>
        <v>0</v>
      </c>
      <c r="BV143" s="1872">
        <f>Bauteile!H176</f>
        <v>0</v>
      </c>
      <c r="BW143" s="2098" t="str">
        <f>Bauteile!B439</f>
        <v>ISOVER PHOENIX 032</v>
      </c>
      <c r="BX143" s="2056">
        <f>Bauteile!H439</f>
        <v>3.2000000000000001E-2</v>
      </c>
    </row>
    <row r="144" spans="1:76" ht="15.6" customHeight="1" thickBot="1">
      <c r="B144" s="11">
        <v>9</v>
      </c>
      <c r="C144" s="2212"/>
      <c r="D144" s="2213"/>
      <c r="E144" s="2214"/>
      <c r="F144" s="10"/>
      <c r="G144" s="59">
        <f>INDEX(Bauteile!$P$284:$P$296,BA144,1)</f>
        <v>0</v>
      </c>
      <c r="H144" s="312">
        <f>IF(G144=0,0,1/G144)</f>
        <v>0</v>
      </c>
      <c r="I144" s="4"/>
      <c r="J144" s="11">
        <v>9</v>
      </c>
      <c r="K144" s="2212"/>
      <c r="L144" s="2213"/>
      <c r="M144" s="2214"/>
      <c r="N144" s="320"/>
      <c r="O144" s="59">
        <f>INDEX(Bauteile!$P$284:$P$296,BB144,1)</f>
        <v>0</v>
      </c>
      <c r="P144" s="319">
        <f>IF(O144=0,0,1/O144)</f>
        <v>0</v>
      </c>
      <c r="S144" s="1045"/>
      <c r="T144" s="1046"/>
      <c r="U144" s="1047" t="b">
        <f>IF(AND(V134,V135&lt;&gt;TRUE),Z144,IF(AND(V135,V134&lt;&gt;TRUE),AE144,FALSE))</f>
        <v>0</v>
      </c>
      <c r="V144" s="1015" t="str">
        <f>IF(AND(V134,V135&lt;&gt;TRUE),AA144,IF(AND(V135,V134&lt;&gt;TRUE),AF144,""))</f>
        <v/>
      </c>
      <c r="W144" s="990"/>
      <c r="X144" s="991"/>
      <c r="Y144" s="991"/>
      <c r="Z144" s="1048" t="b">
        <f>IF(OR(Z137,Z138,Z139,Z140,Z141,Z142,Z143),TRUE,FALSE)</f>
        <v>0</v>
      </c>
      <c r="AA144" s="993">
        <f>MAX(AA137:AA143)</f>
        <v>0</v>
      </c>
      <c r="AB144" s="990"/>
      <c r="AC144" s="991"/>
      <c r="AD144" s="991"/>
      <c r="AE144" s="1048" t="b">
        <f>IF(OR(AE137,AE138,AE139,AE140,AE141,AE142,AE143),TRUE,FALSE)</f>
        <v>0</v>
      </c>
      <c r="AF144" s="1049">
        <f>MAX(AF137:AF143)</f>
        <v>0</v>
      </c>
      <c r="AG144" s="1045"/>
      <c r="AH144" s="1046"/>
      <c r="AJ144" s="1045"/>
      <c r="AK144" s="1046"/>
      <c r="AL144" s="1047" t="b">
        <f>IF(AND(AM134,AM135&lt;&gt;TRUE),AQ144,IF(AND(AM135,AM134&lt;&gt;TRUE),AV144,FALSE))</f>
        <v>0</v>
      </c>
      <c r="AM144" s="1015" t="str">
        <f>IF(AND(AM134,AM135&lt;&gt;TRUE),AR144,IF(AND(AM135,AM134&lt;&gt;TRUE),AW144,""))</f>
        <v/>
      </c>
      <c r="AN144" s="990"/>
      <c r="AO144" s="991"/>
      <c r="AP144" s="991"/>
      <c r="AQ144" s="1048" t="b">
        <f>IF(OR(AQ137,AQ138,AQ139,AQ140,AQ141,AQ142,AQ143),TRUE,FALSE)</f>
        <v>0</v>
      </c>
      <c r="AR144" s="1049">
        <f>MAX(AR137:AR143)</f>
        <v>0</v>
      </c>
      <c r="AS144" s="990"/>
      <c r="AT144" s="991"/>
      <c r="AU144" s="991"/>
      <c r="AV144" s="1048" t="b">
        <f>IF(OR(AV137,AV138,AV139,AV140,AV141,AV142,AV143),TRUE,FALSE)</f>
        <v>0</v>
      </c>
      <c r="AW144" s="1049">
        <f>MAX(AW137:AW143)</f>
        <v>0</v>
      </c>
      <c r="AX144" s="1045"/>
      <c r="AY144" s="1046"/>
      <c r="BA144" s="341">
        <f>IF($C144="",1,VLOOKUP($C144,$BR$40:$BS$52,2,FALSE))</f>
        <v>1</v>
      </c>
      <c r="BB144" s="1504">
        <f>IF($K144="",1,VLOOKUP($K144,$BR$40:$BS$52,2,FALSE))</f>
        <v>1</v>
      </c>
      <c r="BC144" s="333">
        <f>H144</f>
        <v>0</v>
      </c>
      <c r="BP144" s="118" t="str">
        <f>Bauteile!B144</f>
        <v>Enduit de barrière thermique m=5</v>
      </c>
      <c r="BQ144" s="2057">
        <v>88</v>
      </c>
      <c r="BU144" s="2098" t="str">
        <f>Bauteile!B177</f>
        <v>Laine de bois, couverture 10mm (N), l. 0.10</v>
      </c>
      <c r="BV144" s="1872">
        <f>Bauteile!H177</f>
        <v>0.1</v>
      </c>
      <c r="BW144" s="2098" t="str">
        <f>Bauteile!B440</f>
        <v>ISOVER PB F ECO 032</v>
      </c>
      <c r="BX144" s="2056">
        <f>Bauteile!H440</f>
        <v>3.2000000000000001E-2</v>
      </c>
    </row>
    <row r="145" spans="1:76" ht="15.6" customHeight="1">
      <c r="B145" s="11">
        <v>10</v>
      </c>
      <c r="C145" s="2212"/>
      <c r="D145" s="2213"/>
      <c r="E145" s="2214"/>
      <c r="F145" s="10"/>
      <c r="G145" s="59">
        <f>INDEX(Bauteile!$O$280:$O$282,BA145)</f>
        <v>0</v>
      </c>
      <c r="H145" s="312">
        <f>IF(G145=0,0,1/G145)</f>
        <v>0</v>
      </c>
      <c r="I145" s="15"/>
      <c r="J145" s="11">
        <v>10</v>
      </c>
      <c r="K145" s="2212"/>
      <c r="L145" s="2213"/>
      <c r="M145" s="2214"/>
      <c r="N145" s="320"/>
      <c r="O145" s="59">
        <f>INDEX(Bauteile!$O$280:$O$282,BB145)</f>
        <v>0</v>
      </c>
      <c r="P145" s="319">
        <f>IF(O145=0,0,1/O145)</f>
        <v>0</v>
      </c>
      <c r="AL145" s="116"/>
      <c r="BA145" s="340">
        <f>IF($C145="",3,VLOOKUP($C145,$BR$36:$BS$38,2,FALSE))</f>
        <v>3</v>
      </c>
      <c r="BB145" s="1505">
        <f>IF($K145="",3,VLOOKUP($K145,$BR$36:$BS$38,2,FALSE))</f>
        <v>3</v>
      </c>
      <c r="BC145" s="334">
        <f>H145</f>
        <v>0</v>
      </c>
      <c r="BP145" s="118" t="str">
        <f>Bauteile!B145</f>
        <v>Enduit de barrière thermique m=8</v>
      </c>
      <c r="BQ145" s="2057">
        <v>89</v>
      </c>
      <c r="BU145" s="2098" t="str">
        <f>Bauteile!B178</f>
        <v>Laine de bois, couverture 5mm (N), l. 0.15</v>
      </c>
      <c r="BV145" s="1872">
        <f>Bauteile!H178</f>
        <v>0.15</v>
      </c>
      <c r="BW145" s="2098" t="str">
        <f>Bauteile!B441</f>
        <v>ISOVER PB F EXTRA 032</v>
      </c>
      <c r="BX145" s="2056">
        <f>Bauteile!H441</f>
        <v>3.2000000000000001E-2</v>
      </c>
    </row>
    <row r="146" spans="1:76" ht="6" customHeight="1">
      <c r="B146" s="4"/>
      <c r="C146" s="258"/>
      <c r="D146" s="258"/>
      <c r="E146" s="258"/>
      <c r="F146" s="4"/>
      <c r="G146" s="63"/>
      <c r="H146" s="291"/>
      <c r="I146" s="4"/>
      <c r="J146" s="4"/>
      <c r="K146" s="258"/>
      <c r="L146" s="4"/>
      <c r="M146" s="4"/>
      <c r="N146" s="63"/>
      <c r="O146" s="63"/>
      <c r="P146" s="291"/>
      <c r="AL146" s="116"/>
      <c r="BA146" s="304" t="s">
        <v>1763</v>
      </c>
      <c r="BB146" s="326">
        <f>IF(AND(D151*F151=0,L151*N151=0),0,100/(D151*F151+L151*N151))</f>
        <v>0</v>
      </c>
      <c r="BC146" s="291"/>
      <c r="BP146" s="118" t="str">
        <f>Bauteile!B146</f>
        <v>Enduit de barrière thermique m=20</v>
      </c>
      <c r="BQ146" s="2057">
        <v>90</v>
      </c>
      <c r="BU146" s="2098"/>
      <c r="BV146" s="2051"/>
      <c r="BW146" s="2098" t="str">
        <f>Bauteile!B442</f>
        <v>ISOVER PB F 030 / PB F MARMOR 030</v>
      </c>
      <c r="BX146" s="2056">
        <f>Bauteile!H442</f>
        <v>0.03</v>
      </c>
    </row>
    <row r="147" spans="1:76" ht="15.6" customHeight="1">
      <c r="A147" s="174"/>
      <c r="B147" s="6" t="s">
        <v>1198</v>
      </c>
      <c r="C147" s="111" t="str">
        <f>C122</f>
        <v>Désignation:</v>
      </c>
      <c r="D147" s="938"/>
      <c r="E147" s="1460" t="s">
        <v>438</v>
      </c>
      <c r="F147" s="111" t="str">
        <f>F127</f>
        <v>Valeur U total:</v>
      </c>
      <c r="G147" s="16"/>
      <c r="H147" s="1461"/>
      <c r="I147" s="197"/>
      <c r="J147" s="652" t="str">
        <f>Uebersetzung!D458&amp;IF(BB146&gt;0,ROUND(BB146,2),"")</f>
        <v xml:space="preserve">Valeur-limite supérieur Ro = </v>
      </c>
      <c r="K147" s="16"/>
      <c r="L147" s="1457" t="str">
        <f>Uebersetzung!D459&amp;IF(BB147&gt;0,ROUND(BB147,2),"")</f>
        <v xml:space="preserve">Valeur-limite inférieur Ru = </v>
      </c>
      <c r="M147" s="197"/>
      <c r="N147" s="16"/>
      <c r="O147" s="197"/>
      <c r="P147" s="17"/>
      <c r="R147" s="2"/>
      <c r="S147" s="1051"/>
      <c r="BA147" s="327" t="s">
        <v>1764</v>
      </c>
      <c r="BB147" s="328">
        <f>SUM(BC153:BC162)</f>
        <v>0</v>
      </c>
      <c r="BP147" s="118" t="str">
        <f>Bauteile!B147</f>
        <v>Enduit de base au plâtre m=10</v>
      </c>
      <c r="BQ147" s="2057">
        <v>91</v>
      </c>
      <c r="BU147" s="2098" t="str">
        <f>Bauteile!B179</f>
        <v>Laine de bois, couverture 7.5mm (N), l. 0.125</v>
      </c>
      <c r="BV147" s="1872">
        <f>Bauteile!H179</f>
        <v>0.125</v>
      </c>
      <c r="BW147" s="2098" t="str">
        <f>Bauteile!B443</f>
        <v>ISOVER ISOCOMPACT 035</v>
      </c>
      <c r="BX147" s="2056">
        <f>Bauteile!H443</f>
        <v>3.5000000000000003E-2</v>
      </c>
    </row>
    <row r="148" spans="1:76" ht="15.6" customHeight="1">
      <c r="A148" s="174"/>
      <c r="B148" s="1462">
        <v>20</v>
      </c>
      <c r="C148" s="2228"/>
      <c r="D148" s="2228"/>
      <c r="E148" s="2228"/>
      <c r="F148" s="1458" t="str">
        <f>IF(AND(D151&lt;99.9,D151&gt;0),IF(BB148&gt;0,1/BB148,""),"")</f>
        <v/>
      </c>
      <c r="G148" s="22" t="s">
        <v>245</v>
      </c>
      <c r="H148" s="1459"/>
      <c r="I148" s="199"/>
      <c r="J148" s="208" t="str">
        <f>Uebersetzung!D460&amp;IF(BB148&gt;0,ROUND(BB148,2)&amp;" m2K/W","")</f>
        <v xml:space="preserve">Résistance thermique Rtot = </v>
      </c>
      <c r="K148" s="4"/>
      <c r="L148" s="199"/>
      <c r="M148" s="199"/>
      <c r="N148" s="199"/>
      <c r="O148" s="199"/>
      <c r="P148" s="5"/>
      <c r="R148" s="2"/>
      <c r="S148" s="1051"/>
      <c r="BA148" s="305" t="s">
        <v>1765</v>
      </c>
      <c r="BB148" s="329">
        <f>(BB147+BB146)/2</f>
        <v>0</v>
      </c>
      <c r="BP148" s="118" t="str">
        <f>Bauteile!B148</f>
        <v>Enduit de base au chaux LKG m=10</v>
      </c>
      <c r="BQ148" s="2057">
        <v>92</v>
      </c>
      <c r="BU148" s="2098" t="str">
        <f>Bauteile!B180</f>
        <v>Laine de brebis (N)</v>
      </c>
      <c r="BV148" s="1872">
        <f>Bauteile!H180</f>
        <v>5.5E-2</v>
      </c>
      <c r="BW148" s="2098" t="str">
        <f>Bauteile!B444</f>
        <v>ULTIMATE U HFU-040</v>
      </c>
      <c r="BX148" s="2056">
        <f>Bauteile!H444</f>
        <v>3.9E-2</v>
      </c>
    </row>
    <row r="149" spans="1:76" ht="1.9" customHeight="1">
      <c r="A149" s="174"/>
      <c r="B149" s="9"/>
      <c r="C149" s="196"/>
      <c r="D149" s="196"/>
      <c r="E149" s="196"/>
      <c r="F149" s="196"/>
      <c r="G149" s="196"/>
      <c r="H149" s="15"/>
      <c r="I149" s="1421"/>
      <c r="J149" s="1421"/>
      <c r="K149" s="15"/>
      <c r="L149" s="1421"/>
      <c r="M149" s="1092"/>
      <c r="N149" s="196"/>
      <c r="O149" s="196"/>
      <c r="P149" s="10"/>
      <c r="R149" s="28"/>
      <c r="BP149" s="118" t="str">
        <f>Bauteile!B149</f>
        <v>Enduit de base LZ m=12</v>
      </c>
      <c r="BQ149" s="2057">
        <v>93</v>
      </c>
      <c r="BU149" s="2098"/>
      <c r="BV149" s="1872"/>
      <c r="BW149" s="2098" t="str">
        <f>Bauteile!B445</f>
        <v>ULTIMATE U Holzbaufilz-040</v>
      </c>
      <c r="BX149" s="2056">
        <f>Bauteile!H445</f>
        <v>3.9E-2</v>
      </c>
    </row>
    <row r="150" spans="1:76" ht="15.6" customHeight="1" thickBot="1">
      <c r="B150" s="1418" t="str">
        <f>B133</f>
        <v>1ère partie</v>
      </c>
      <c r="C150" s="22"/>
      <c r="D150" s="22"/>
      <c r="E150" s="1419"/>
      <c r="F150" s="22" t="str">
        <f>F113</f>
        <v>Valeur U</v>
      </c>
      <c r="G150" s="4"/>
      <c r="H150" s="1420" t="s">
        <v>1759</v>
      </c>
      <c r="I150" s="4"/>
      <c r="J150" s="1418" t="str">
        <f>J133</f>
        <v>2ème partie</v>
      </c>
      <c r="K150" s="22"/>
      <c r="L150" s="22"/>
      <c r="M150" s="1419"/>
      <c r="N150" s="22" t="str">
        <f>F150</f>
        <v>Valeur U</v>
      </c>
      <c r="O150" s="4"/>
      <c r="P150" s="1420" t="s">
        <v>1759</v>
      </c>
      <c r="R150" s="28"/>
      <c r="S150" s="42"/>
      <c r="BP150" s="118" t="str">
        <f>Bauteile!B150</f>
        <v>Enduits extérieur m=25</v>
      </c>
      <c r="BQ150" s="2057">
        <v>94</v>
      </c>
      <c r="BU150" s="2098" t="str">
        <f>Bauteile!B181</f>
        <v>Laine de pierre, en vrac (N)</v>
      </c>
      <c r="BV150" s="1872">
        <f>Bauteile!H181</f>
        <v>0.06</v>
      </c>
      <c r="BW150" s="2098" t="str">
        <f>Bauteile!B446</f>
        <v>ULTIMATE U Holzbaufilz-035</v>
      </c>
      <c r="BX150" s="2056">
        <f>Bauteile!H446</f>
        <v>3.4000000000000002E-2</v>
      </c>
    </row>
    <row r="151" spans="1:76" ht="15.6" customHeight="1" thickBot="1">
      <c r="B151" s="503" t="str">
        <f>B134</f>
        <v>Longueur de la 1ère section L1</v>
      </c>
      <c r="C151" s="4"/>
      <c r="D151" s="272"/>
      <c r="E151" s="255" t="s">
        <v>1760</v>
      </c>
      <c r="F151" s="504">
        <f>IF(SUM(H153:H162)&lt;&gt;0,1/SUM(H153:H162),0)</f>
        <v>0</v>
      </c>
      <c r="G151" s="18" t="s">
        <v>245</v>
      </c>
      <c r="H151" s="309" t="str">
        <f>IF(OR(G153=8,G162=8),ROUND(Thetai-(Thetai-Thetamin)*(1/(1/F151)-(1/8)+(1/6))*(1/6),1)&amp;" °C","")</f>
        <v/>
      </c>
      <c r="I151" s="4"/>
      <c r="J151" s="254" t="str">
        <f>J134</f>
        <v>Longueur de la section L2</v>
      </c>
      <c r="K151" s="4"/>
      <c r="L151" s="318">
        <f>IF(D151="",0,100-D151)</f>
        <v>0</v>
      </c>
      <c r="M151" s="255" t="s">
        <v>1760</v>
      </c>
      <c r="N151" s="317">
        <f>IF(SUM(P153:P162)&lt;&gt;0,1/SUM(P153:P162),0)</f>
        <v>0</v>
      </c>
      <c r="O151" s="18" t="s">
        <v>245</v>
      </c>
      <c r="P151" s="309" t="str">
        <f>IF(OR(O153=8,O162=8),ROUND(Thetai-(Thetai-Thetamin)*(1/(1/N151)-(1/8)+(1/6))*(1/6),1)&amp;" °C","")</f>
        <v/>
      </c>
      <c r="R151" s="28"/>
      <c r="S151" s="1018"/>
      <c r="T151" s="987"/>
      <c r="U151" s="1019" t="s">
        <v>451</v>
      </c>
      <c r="V151" s="998" t="b">
        <f>IF(BA153=1,TRUE,FALSE)</f>
        <v>0</v>
      </c>
      <c r="W151" s="1016" t="s">
        <v>2107</v>
      </c>
      <c r="X151" s="1000"/>
      <c r="Y151" s="1000"/>
      <c r="Z151" s="1000"/>
      <c r="AA151" s="1000"/>
      <c r="AB151" s="1000"/>
      <c r="AC151" s="1001"/>
      <c r="AD151" s="1001"/>
      <c r="AE151" s="1001"/>
      <c r="AF151" s="1002"/>
      <c r="AG151" s="1020"/>
      <c r="AH151" s="1021"/>
      <c r="AJ151" s="1018"/>
      <c r="AK151" s="987"/>
      <c r="AL151" s="1003" t="s">
        <v>451</v>
      </c>
      <c r="AM151" s="998" t="b">
        <f>IF(BB153=1,TRUE,FALSE)</f>
        <v>0</v>
      </c>
      <c r="AN151" s="1016" t="s">
        <v>198</v>
      </c>
      <c r="AO151" s="1000"/>
      <c r="AP151" s="1000"/>
      <c r="AQ151" s="1000"/>
      <c r="AR151" s="1000"/>
      <c r="AS151" s="1000"/>
      <c r="AT151" s="1001"/>
      <c r="AU151" s="1001"/>
      <c r="AV151" s="1001"/>
      <c r="AW151" s="1002"/>
      <c r="AX151" s="1020"/>
      <c r="AY151" s="1021"/>
      <c r="BP151" s="118" t="str">
        <f>Bauteile!B151</f>
        <v>Enduits intérieur m=8</v>
      </c>
      <c r="BQ151" s="2057">
        <v>95</v>
      </c>
      <c r="BU151" s="2098" t="str">
        <f>Bauteile!B182</f>
        <v>Laine de pierre, panneaux, matelas (N)</v>
      </c>
      <c r="BV151" s="1872">
        <f>Bauteile!H182</f>
        <v>0.05</v>
      </c>
      <c r="BW151" s="2098" t="str">
        <f>Bauteile!B447</f>
        <v>Kontur FSP 1-032</v>
      </c>
      <c r="BX151" s="2056">
        <f>Bauteile!H447</f>
        <v>3.2000000000000001E-2</v>
      </c>
    </row>
    <row r="152" spans="1:76" ht="15.6" customHeight="1" thickBot="1">
      <c r="A152" s="3"/>
      <c r="B152" s="2215">
        <f>IF(GraueEnergie,Uebersetzung!D651,IF(AND(U161,V161&gt;0),Uebersetzung!D652&amp;ROUND(V161,0)&amp;" g/m2",))</f>
        <v>0</v>
      </c>
      <c r="C152" s="2216"/>
      <c r="D152" s="2216"/>
      <c r="E152" s="2245"/>
      <c r="F152" s="12" t="s">
        <v>1918</v>
      </c>
      <c r="G152" s="13" t="s">
        <v>1800</v>
      </c>
      <c r="H152" s="14" t="s">
        <v>1801</v>
      </c>
      <c r="I152" s="4"/>
      <c r="J152" s="2252">
        <f>IF(AND(AL161,AM161&gt;0),Uebersetzung!D652&amp;ROUND(AM161,0)&amp;" g/m2",)</f>
        <v>0</v>
      </c>
      <c r="K152" s="2253"/>
      <c r="L152" s="2253"/>
      <c r="M152" s="2254"/>
      <c r="N152" s="12" t="s">
        <v>1918</v>
      </c>
      <c r="O152" s="13" t="s">
        <v>1800</v>
      </c>
      <c r="P152" s="257" t="s">
        <v>1801</v>
      </c>
      <c r="S152" s="1022" t="s">
        <v>795</v>
      </c>
      <c r="T152" s="1023">
        <f ca="1">20-TaMin-8</f>
        <v>20</v>
      </c>
      <c r="U152" s="1024" t="s">
        <v>452</v>
      </c>
      <c r="V152" s="999" t="b">
        <f>IF(BA162=1,TRUE,FALSE)</f>
        <v>0</v>
      </c>
      <c r="W152" s="992" t="s">
        <v>577</v>
      </c>
      <c r="X152" s="465"/>
      <c r="Y152" s="465"/>
      <c r="Z152" s="465"/>
      <c r="AA152" s="987"/>
      <c r="AB152" s="994" t="s">
        <v>450</v>
      </c>
      <c r="AC152" s="4"/>
      <c r="AD152" s="4"/>
      <c r="AE152" s="4"/>
      <c r="AF152" s="564"/>
      <c r="AG152" s="1022" t="s">
        <v>795</v>
      </c>
      <c r="AH152" s="1023">
        <f ca="1">20-TaMin-8</f>
        <v>20</v>
      </c>
      <c r="AJ152" s="1022" t="s">
        <v>795</v>
      </c>
      <c r="AK152" s="1023">
        <f ca="1">20-TaMin-8</f>
        <v>20</v>
      </c>
      <c r="AL152" s="1024" t="s">
        <v>452</v>
      </c>
      <c r="AM152" s="999" t="b">
        <f>IF(BB162=1,TRUE,FALSE)</f>
        <v>0</v>
      </c>
      <c r="AN152" s="992" t="s">
        <v>577</v>
      </c>
      <c r="AO152" s="465"/>
      <c r="AP152" s="465"/>
      <c r="AQ152" s="465"/>
      <c r="AR152" s="987"/>
      <c r="AS152" s="994" t="s">
        <v>450</v>
      </c>
      <c r="AT152" s="4"/>
      <c r="AU152" s="4"/>
      <c r="AV152" s="4"/>
      <c r="AW152" s="564"/>
      <c r="AX152" s="1022" t="s">
        <v>795</v>
      </c>
      <c r="AY152" s="1023">
        <f ca="1">20-TaMin-8</f>
        <v>20</v>
      </c>
      <c r="BA152" s="335" t="s">
        <v>2031</v>
      </c>
      <c r="BB152" s="28"/>
      <c r="BC152" s="28" t="s">
        <v>1762</v>
      </c>
      <c r="BP152" s="118" t="str">
        <f>Bauteile!B152</f>
        <v>Enduit légère m=15</v>
      </c>
      <c r="BQ152" s="2057">
        <v>96</v>
      </c>
      <c r="BU152" s="2098" t="str">
        <f>Bauteile!B183</f>
        <v>Laine de pierre, panneaux, matelas (U)</v>
      </c>
      <c r="BV152" s="1872">
        <f>Bauteile!H183</f>
        <v>4.8000000000000001E-2</v>
      </c>
      <c r="BW152" s="2098" t="str">
        <f>Bauteile!B448</f>
        <v>Metac WF-032</v>
      </c>
      <c r="BX152" s="2056">
        <f>Bauteile!H448</f>
        <v>3.2000000000000001E-2</v>
      </c>
    </row>
    <row r="153" spans="1:76" ht="15.6" customHeight="1">
      <c r="B153" s="11">
        <v>1</v>
      </c>
      <c r="C153" s="2212"/>
      <c r="D153" s="2213"/>
      <c r="E153" s="2214"/>
      <c r="F153" s="10"/>
      <c r="G153" s="59">
        <f>INDEX(Bauteile!$O$280:$O$282,BA153)</f>
        <v>0</v>
      </c>
      <c r="H153" s="312">
        <f>IF(G153=0,0,1/G153)</f>
        <v>0</v>
      </c>
      <c r="I153" s="4"/>
      <c r="J153" s="11">
        <v>1</v>
      </c>
      <c r="K153" s="2212"/>
      <c r="L153" s="2213"/>
      <c r="M153" s="2214"/>
      <c r="N153" s="320"/>
      <c r="O153" s="59">
        <f>INDEX(Bauteile!$O$280:$O$282,BB153)</f>
        <v>0</v>
      </c>
      <c r="P153" s="319">
        <f>IF(O153=0,0,1/O153)</f>
        <v>0</v>
      </c>
      <c r="S153" s="1025" t="s">
        <v>796</v>
      </c>
      <c r="T153" s="1026" t="s">
        <v>797</v>
      </c>
      <c r="U153" s="1027" t="s">
        <v>808</v>
      </c>
      <c r="V153" s="996" t="s">
        <v>571</v>
      </c>
      <c r="W153" s="988" t="s">
        <v>570</v>
      </c>
      <c r="X153" s="466" t="s">
        <v>569</v>
      </c>
      <c r="Y153" s="466" t="s">
        <v>103</v>
      </c>
      <c r="Z153" s="1028" t="s">
        <v>572</v>
      </c>
      <c r="AA153" s="1007" t="s">
        <v>572</v>
      </c>
      <c r="AB153" s="988" t="s">
        <v>569</v>
      </c>
      <c r="AC153" s="464" t="s">
        <v>570</v>
      </c>
      <c r="AD153" s="986" t="s">
        <v>103</v>
      </c>
      <c r="AE153" s="1029" t="s">
        <v>572</v>
      </c>
      <c r="AF153" s="1030" t="s">
        <v>572</v>
      </c>
      <c r="AG153" s="1025" t="s">
        <v>796</v>
      </c>
      <c r="AH153" s="1026" t="s">
        <v>797</v>
      </c>
      <c r="AJ153" s="1025" t="s">
        <v>796</v>
      </c>
      <c r="AK153" s="1026" t="s">
        <v>797</v>
      </c>
      <c r="AL153" s="1027" t="s">
        <v>808</v>
      </c>
      <c r="AM153" s="996" t="s">
        <v>571</v>
      </c>
      <c r="AN153" s="988" t="s">
        <v>570</v>
      </c>
      <c r="AO153" s="466" t="s">
        <v>569</v>
      </c>
      <c r="AP153" s="466" t="s">
        <v>103</v>
      </c>
      <c r="AQ153" s="1028" t="s">
        <v>572</v>
      </c>
      <c r="AR153" s="1031" t="s">
        <v>572</v>
      </c>
      <c r="AS153" s="988" t="s">
        <v>569</v>
      </c>
      <c r="AT153" s="464" t="s">
        <v>570</v>
      </c>
      <c r="AU153" s="986" t="s">
        <v>103</v>
      </c>
      <c r="AV153" s="1029" t="s">
        <v>572</v>
      </c>
      <c r="AW153" s="1030" t="s">
        <v>572</v>
      </c>
      <c r="AX153" s="1025" t="s">
        <v>796</v>
      </c>
      <c r="AY153" s="1026" t="s">
        <v>797</v>
      </c>
      <c r="BA153" s="339">
        <f>IF($C153="",3,VLOOKUP($C153,$BR$36:$BS$38,2,FALSE))</f>
        <v>3</v>
      </c>
      <c r="BB153" s="1502">
        <f>IF($K153="",3,VLOOKUP($K153,$BR$36:$BS$38,2,FALSE))</f>
        <v>3</v>
      </c>
      <c r="BC153" s="332">
        <f>H153</f>
        <v>0</v>
      </c>
      <c r="BP153" s="118" t="str">
        <f>Bauteile!B153</f>
        <v>Enduit légère m=20</v>
      </c>
      <c r="BQ153" s="2057">
        <v>97</v>
      </c>
      <c r="BU153" s="2098" t="str">
        <f>Bauteile!B184</f>
        <v>Laine de roche, en vrac (N)</v>
      </c>
      <c r="BV153" s="1872">
        <f>Bauteile!H184</f>
        <v>0.05</v>
      </c>
      <c r="BW153" s="2098" t="str">
        <f>Bauteile!B449</f>
        <v>Metac UF-032</v>
      </c>
      <c r="BX153" s="2056">
        <f>Bauteile!H449</f>
        <v>3.2000000000000001E-2</v>
      </c>
    </row>
    <row r="154" spans="1:76" ht="15.6" customHeight="1">
      <c r="B154" s="11">
        <v>2</v>
      </c>
      <c r="C154" s="2212"/>
      <c r="D154" s="2213"/>
      <c r="E154" s="2214"/>
      <c r="F154" s="26"/>
      <c r="G154" s="59">
        <f>INDEX(Bauteile!$H$57:$H$1159,BA154)</f>
        <v>0</v>
      </c>
      <c r="H154" s="312">
        <f>IF(G154&lt;&gt;0,F154/100/G154,0)</f>
        <v>0</v>
      </c>
      <c r="I154" s="4"/>
      <c r="J154" s="11">
        <v>2</v>
      </c>
      <c r="K154" s="2212"/>
      <c r="L154" s="2213"/>
      <c r="M154" s="2214"/>
      <c r="N154" s="320">
        <f t="shared" ref="N154:N160" si="243">IF(F154&gt;0,F154,)</f>
        <v>0</v>
      </c>
      <c r="O154" s="59">
        <f>INDEX(Bauteile!$H$57:$H$1159,BB154)</f>
        <v>0</v>
      </c>
      <c r="P154" s="319">
        <f>IF(O154&lt;&gt;0,N154/100/O154,0)</f>
        <v>0</v>
      </c>
      <c r="S154" s="1032">
        <f>IF(AND(W154&gt;0,X154&gt;0),1/LN(1168*X154/(0.2*W154+X154)/14057400000)*(-3928.5)-231.667,)</f>
        <v>0</v>
      </c>
      <c r="T154" s="1013">
        <f>IF(SUM(H153:H162)&gt;0,20-T152/SUM(H153:H162)*SUM(H153:H154),20)</f>
        <v>20</v>
      </c>
      <c r="U154" s="1033">
        <f>INDEX(Bauteile!$I$57:$I$1159,BA154)</f>
        <v>0</v>
      </c>
      <c r="V154" s="997">
        <f>F154/100</f>
        <v>0</v>
      </c>
      <c r="W154" s="1006">
        <f>V154*U154</f>
        <v>0</v>
      </c>
      <c r="X154" s="563">
        <f t="shared" ref="X154:X159" si="244">U155*V155+X155</f>
        <v>0</v>
      </c>
      <c r="Y154" s="931">
        <f>IF(AND(W154&gt;0,X154&gt;0),Ak/W154-Bk/X154,)</f>
        <v>0</v>
      </c>
      <c r="Z154" s="1034" t="b">
        <f>IF(T154&lt;S154,IF(W154&gt;mj*X154,FALSE,TRUE),FALSE)</f>
        <v>0</v>
      </c>
      <c r="AA154" s="1036">
        <f t="shared" ref="AA154:AA159" si="245">IF(OR(Z155=FALSE,AND(Z154=TRUE,Z155=TRUE)),Y154,0)</f>
        <v>0</v>
      </c>
      <c r="AB154" s="1005"/>
      <c r="AC154" s="1008">
        <f t="shared" ref="AC154:AC159" si="246">V154*U154+AC155</f>
        <v>0</v>
      </c>
      <c r="AD154" s="1035">
        <f t="shared" ref="AD154:AD159" si="247">IF(AND(AB154&gt;0,AC154&gt;0),Ak/AC154-Bk/AB154,)</f>
        <v>0</v>
      </c>
      <c r="AE154" s="995" t="b">
        <f>IF(AH154&lt;AG154,IF(AC154&gt;mj*AB154,FALSE,TRUE),FALSE)</f>
        <v>0</v>
      </c>
      <c r="AF154" s="1036">
        <f t="shared" ref="AF154:AF159" si="248">IF(OR(AE155=FALSE,AND(AE154=TRUE,AE155=TRUE)),AD154,0)</f>
        <v>0</v>
      </c>
      <c r="AG154" s="1037">
        <f>IF(AND(AB154&gt;0,AC154&gt;0),1/LN(1168*AB154/(0.2*AC154+AB154)/14057400000)*(-3928.5)-231.667,)</f>
        <v>0</v>
      </c>
      <c r="AH154" s="1036">
        <f>IF(SUM(H153:H162)&gt;0,20-AH152/SUM(H153:H162)*SUM(H154:H162),20)</f>
        <v>20</v>
      </c>
      <c r="AJ154" s="1032">
        <f>IF(AND(AN154&gt;0,AO154&gt;0),1/LN(1168*AO154/(0.2*AN154+AO154)/14057400000)*(-3928.5)-231.667,)</f>
        <v>0</v>
      </c>
      <c r="AK154" s="1013">
        <f>IF(SUM(P153:P162)&gt;0,20-AK152/SUM(P153:P162)*SUM(P153:P154),20)</f>
        <v>20</v>
      </c>
      <c r="AL154" s="1033">
        <f>INDEX(Bauteile!$I$57:$I$1159,BB154)</f>
        <v>0</v>
      </c>
      <c r="AM154" s="997">
        <f>N154/100</f>
        <v>0</v>
      </c>
      <c r="AN154" s="1006">
        <f>AM154*AL154</f>
        <v>0</v>
      </c>
      <c r="AO154" s="563">
        <f t="shared" ref="AO154:AO159" si="249">AL155*AM155+AO155</f>
        <v>0</v>
      </c>
      <c r="AP154" s="931">
        <f>IF(AND(AN154&gt;0,AO154&gt;0),Ak/AN154-Bk/AO154,)</f>
        <v>0</v>
      </c>
      <c r="AQ154" s="995" t="b">
        <f>IF(AK154&lt;AJ154,IF(AN154&gt;mj*AO154,FALSE,TRUE),FALSE)</f>
        <v>0</v>
      </c>
      <c r="AR154" s="1036">
        <f t="shared" ref="AR154:AR159" si="250">IF(OR(AQ155=FALSE,AND(AQ154=TRUE,AQ155=TRUE)),AP154,0)</f>
        <v>0</v>
      </c>
      <c r="AS154" s="1038"/>
      <c r="AT154" s="1008">
        <f t="shared" ref="AT154:AT159" si="251">AM154*AL154+AT155</f>
        <v>0</v>
      </c>
      <c r="AU154" s="1035">
        <f t="shared" ref="AU154:AU159" si="252">IF(AND(AS154&gt;0,AT154&gt;0),Ak/AT154-Bk/AS154,)</f>
        <v>0</v>
      </c>
      <c r="AV154" s="995" t="b">
        <f>IF(AY154&lt;AX154,IF(AT154&gt;mj*AS154,FALSE,TRUE),FALSE)</f>
        <v>0</v>
      </c>
      <c r="AW154" s="1036">
        <f t="shared" ref="AW154:AW159" si="253">IF(OR(AV155=FALSE,AND(AV154=TRUE,AV155=TRUE)),AU154,0)</f>
        <v>0</v>
      </c>
      <c r="AX154" s="1037">
        <f>IF(AND(AS154&gt;0,AT154&gt;0),1/LN(1168*AS154/(0.2*AT154+AS154)/14057400000)*(-3928.5)-231.667,)</f>
        <v>0</v>
      </c>
      <c r="AY154" s="1036">
        <f>IF(SUM(P153:P162)&gt;0,20-AY152/SUM(P153:P162)*SUM(P154:P162),20)</f>
        <v>20</v>
      </c>
      <c r="BA154" s="341">
        <f>IF($C154="",1,VLOOKUP($C154,$BP$57:$BQ$1010,2,FALSE))</f>
        <v>1</v>
      </c>
      <c r="BB154" s="1504">
        <f>IF($K154="",1,VLOOKUP($K154,$BP$57:$BQ$1010,2,FALSE))</f>
        <v>1</v>
      </c>
      <c r="BC154" s="333">
        <f>IF(AND($D$151*G154&gt;0,$L$151*O154&gt;0),(F154)/(($D$151*G154+$L$151*O154)),)</f>
        <v>0</v>
      </c>
      <c r="BP154" s="118" t="str">
        <f>Bauteile!B154</f>
        <v>Epicéa</v>
      </c>
      <c r="BQ154" s="2057">
        <v>98</v>
      </c>
      <c r="BU154" s="2098" t="str">
        <f>Bauteile!B185</f>
        <v>Laine de roche, panneaux, matelas, rouleaux (N)</v>
      </c>
      <c r="BV154" s="1872">
        <f>Bauteile!H185</f>
        <v>5.5E-2</v>
      </c>
      <c r="BW154" s="2098" t="str">
        <f>Bauteile!B450</f>
        <v>Metac UF-035</v>
      </c>
      <c r="BX154" s="2056">
        <f>Bauteile!H450</f>
        <v>3.5000000000000003E-2</v>
      </c>
    </row>
    <row r="155" spans="1:76" ht="15.6" customHeight="1">
      <c r="B155" s="11">
        <v>3</v>
      </c>
      <c r="C155" s="2212"/>
      <c r="D155" s="2213"/>
      <c r="E155" s="2214"/>
      <c r="F155" s="26"/>
      <c r="G155" s="59">
        <f>INDEX(Bauteile!$H$57:$H$1159,BA155)</f>
        <v>0</v>
      </c>
      <c r="H155" s="312">
        <f t="shared" ref="H155:H160" si="254">IF(G155&lt;&gt;0,F155/100/G155,0)</f>
        <v>0</v>
      </c>
      <c r="I155" s="4"/>
      <c r="J155" s="11">
        <v>3</v>
      </c>
      <c r="K155" s="2212"/>
      <c r="L155" s="2213"/>
      <c r="M155" s="2214"/>
      <c r="N155" s="320">
        <f t="shared" si="243"/>
        <v>0</v>
      </c>
      <c r="O155" s="59">
        <f>INDEX(Bauteile!$H$57:$H$1159,BB155)</f>
        <v>0</v>
      </c>
      <c r="P155" s="319">
        <f t="shared" ref="P155:P160" si="255">IF(O155&lt;&gt;0,N155/100/O155,0)</f>
        <v>0</v>
      </c>
      <c r="S155" s="1039">
        <f t="shared" ref="S155:S160" si="256">IF(AND(W155&gt;0,X155&gt;0),1/LN(1168*X155/(0.2*W155+X155)/14057400000)*(-3928.5)-231.667,)</f>
        <v>0</v>
      </c>
      <c r="T155" s="989">
        <f>IF(SUM(H153:H162)&gt;0,20-T152/SUM(H153:H162)*SUM(H153:H155),20)</f>
        <v>20</v>
      </c>
      <c r="U155" s="1033">
        <f>INDEX(Bauteile!$I$57:$I$1159,BA155)</f>
        <v>0</v>
      </c>
      <c r="V155" s="997">
        <f t="shared" ref="V155:V160" si="257">F155/100</f>
        <v>0</v>
      </c>
      <c r="W155" s="1006">
        <f t="shared" ref="W155:W160" si="258">V155*U155+W154</f>
        <v>0</v>
      </c>
      <c r="X155" s="563">
        <f t="shared" si="244"/>
        <v>0</v>
      </c>
      <c r="Y155" s="931">
        <f t="shared" ref="Y155:Y160" si="259">IF(AND(W155&gt;0,X155&gt;0),Ak/W155-Bk/X155,)</f>
        <v>0</v>
      </c>
      <c r="Z155" s="563" t="b">
        <f t="shared" ref="Z155:Z160" si="260">IF(T155&lt;S155,IF(W155&gt;mj*X155,FALSE,TRUE),FALSE)</f>
        <v>0</v>
      </c>
      <c r="AA155" s="439">
        <f t="shared" si="245"/>
        <v>0</v>
      </c>
      <c r="AB155" s="1009">
        <f t="shared" ref="AB155:AB160" si="261">U154*V154+AB154</f>
        <v>0</v>
      </c>
      <c r="AC155" s="1010">
        <f t="shared" si="246"/>
        <v>0</v>
      </c>
      <c r="AD155" s="931">
        <f t="shared" si="247"/>
        <v>0</v>
      </c>
      <c r="AE155" s="7" t="b">
        <f t="shared" ref="AE155:AE160" si="262">IF(AH155&lt;AG155,IF(AC155&gt;mj*AB155,FALSE,TRUE),FALSE)</f>
        <v>0</v>
      </c>
      <c r="AF155" s="439">
        <f t="shared" si="248"/>
        <v>0</v>
      </c>
      <c r="AG155" s="1040">
        <f t="shared" ref="AG155:AG160" si="263">IF(AND(AB155&gt;0,AC155&gt;0),1/LN(1168*AB155/(0.2*AC155+AB155)/14057400000)*(-3928.5)-231.667,)</f>
        <v>0</v>
      </c>
      <c r="AH155" s="439">
        <f>IF(SUM(H153:H162)&gt;0,20-AH152/SUM(H153:H162)*SUM(H155:H162),20)</f>
        <v>20</v>
      </c>
      <c r="AJ155" s="1039">
        <f t="shared" ref="AJ155:AJ160" si="264">IF(AND(AN155&gt;0,AO155&gt;0),1/LN(1168*AO155/(0.2*AN155+AO155)/14057400000)*(-3928.5)-231.667,)</f>
        <v>0</v>
      </c>
      <c r="AK155" s="989">
        <f>IF(SUM(P153:P162)&gt;0,20-AK152/SUM(P153:P162)*SUM(P153:P155),20)</f>
        <v>20</v>
      </c>
      <c r="AL155" s="1033">
        <f>INDEX(Bauteile!$I$57:$I$1159,BB155)</f>
        <v>0</v>
      </c>
      <c r="AM155" s="997">
        <f t="shared" ref="AM155:AM160" si="265">N155/100</f>
        <v>0</v>
      </c>
      <c r="AN155" s="1006">
        <f t="shared" ref="AN155:AN160" si="266">AM155*AL155+AN154</f>
        <v>0</v>
      </c>
      <c r="AO155" s="563">
        <f t="shared" si="249"/>
        <v>0</v>
      </c>
      <c r="AP155" s="931">
        <f t="shared" ref="AP155:AP160" si="267">IF(AND(AN155&gt;0,AO155&gt;0),Ak/AN155-Bk/AO155,)</f>
        <v>0</v>
      </c>
      <c r="AQ155" s="7" t="b">
        <f t="shared" ref="AQ155:AQ160" si="268">IF(AK155&lt;AJ155,IF(AN155&gt;mj*AO155,FALSE,TRUE),FALSE)</f>
        <v>0</v>
      </c>
      <c r="AR155" s="439">
        <f t="shared" si="250"/>
        <v>0</v>
      </c>
      <c r="AS155" s="5">
        <f t="shared" ref="AS155:AS160" si="269">AL154*AM154+AS154</f>
        <v>0</v>
      </c>
      <c r="AT155" s="1010">
        <f t="shared" si="251"/>
        <v>0</v>
      </c>
      <c r="AU155" s="931">
        <f t="shared" si="252"/>
        <v>0</v>
      </c>
      <c r="AV155" s="7" t="b">
        <f t="shared" ref="AV155:AV160" si="270">IF(AY155&lt;AX155,IF(AT155&gt;mj*AS155,FALSE,TRUE),FALSE)</f>
        <v>0</v>
      </c>
      <c r="AW155" s="439">
        <f t="shared" si="253"/>
        <v>0</v>
      </c>
      <c r="AX155" s="1040">
        <f t="shared" ref="AX155:AX160" si="271">IF(AND(AS155&gt;0,AT155&gt;0),1/LN(1168*AS155/(0.2*AT155+AS155)/14057400000)*(-3928.5)-231.667,)</f>
        <v>0</v>
      </c>
      <c r="AY155" s="439">
        <f>IF(SUM(P153:P162)&gt;0,20-AY152/SUM(P153:P162)*SUM(P155:P162),20)</f>
        <v>20</v>
      </c>
      <c r="BA155" s="341">
        <f t="shared" ref="BA155:BA160" si="272">IF($C155="",1,VLOOKUP($C155,$BP$57:$BQ$1010,2,FALSE))</f>
        <v>1</v>
      </c>
      <c r="BB155" s="1504">
        <f t="shared" ref="BB155:BB160" si="273">IF($K155="",1,VLOOKUP($K155,$BP$57:$BQ$1010,2,FALSE))</f>
        <v>1</v>
      </c>
      <c r="BC155" s="333">
        <f t="shared" ref="BC155:BC160" si="274">IF(AND($D$151*G155&gt;0,$L$151*O155&gt;0),(F155)/(($D$151*G155+$L$151*O155)),)</f>
        <v>0</v>
      </c>
      <c r="BP155" s="118">
        <f>Bauteile!B155</f>
        <v>0</v>
      </c>
      <c r="BQ155" s="2057">
        <v>99</v>
      </c>
      <c r="BU155" s="2098" t="str">
        <f>Bauteile!B186</f>
        <v>Laine de roche, panneaux, matelas, rouleaux (U)</v>
      </c>
      <c r="BV155" s="1872">
        <f>Bauteile!H186</f>
        <v>4.4999999999999998E-2</v>
      </c>
      <c r="BW155" s="2098" t="str">
        <f>Bauteile!B451</f>
        <v>Metac UF-040</v>
      </c>
      <c r="BX155" s="2056">
        <f>Bauteile!H451</f>
        <v>3.9E-2</v>
      </c>
    </row>
    <row r="156" spans="1:76" ht="15.6" customHeight="1">
      <c r="B156" s="11">
        <v>4</v>
      </c>
      <c r="C156" s="2212"/>
      <c r="D156" s="2213"/>
      <c r="E156" s="2214"/>
      <c r="F156" s="26"/>
      <c r="G156" s="59">
        <f>INDEX(Bauteile!$H$57:$H$1159,BA156)</f>
        <v>0</v>
      </c>
      <c r="H156" s="312">
        <f t="shared" si="254"/>
        <v>0</v>
      </c>
      <c r="I156" s="4"/>
      <c r="J156" s="11">
        <v>4</v>
      </c>
      <c r="K156" s="2212"/>
      <c r="L156" s="2213"/>
      <c r="M156" s="2214"/>
      <c r="N156" s="320">
        <f t="shared" si="243"/>
        <v>0</v>
      </c>
      <c r="O156" s="59">
        <f>INDEX(Bauteile!$H$57:$H$1159,BB156)</f>
        <v>0</v>
      </c>
      <c r="P156" s="319">
        <f t="shared" si="255"/>
        <v>0</v>
      </c>
      <c r="S156" s="1039">
        <f t="shared" si="256"/>
        <v>0</v>
      </c>
      <c r="T156" s="989">
        <f>IF(SUM(H153:H162)&gt;0,20-T152/SUM(H153:H162)*SUM(H153:H156),20)</f>
        <v>20</v>
      </c>
      <c r="U156" s="1033">
        <f>INDEX(Bauteile!$I$57:$I$1159,BA156)</f>
        <v>0</v>
      </c>
      <c r="V156" s="997">
        <f t="shared" si="257"/>
        <v>0</v>
      </c>
      <c r="W156" s="1006">
        <f t="shared" si="258"/>
        <v>0</v>
      </c>
      <c r="X156" s="563">
        <f t="shared" si="244"/>
        <v>0</v>
      </c>
      <c r="Y156" s="931">
        <f t="shared" si="259"/>
        <v>0</v>
      </c>
      <c r="Z156" s="563" t="b">
        <f t="shared" si="260"/>
        <v>0</v>
      </c>
      <c r="AA156" s="439">
        <f t="shared" si="245"/>
        <v>0</v>
      </c>
      <c r="AB156" s="1009">
        <f t="shared" si="261"/>
        <v>0</v>
      </c>
      <c r="AC156" s="1010">
        <f t="shared" si="246"/>
        <v>0</v>
      </c>
      <c r="AD156" s="931">
        <f t="shared" si="247"/>
        <v>0</v>
      </c>
      <c r="AE156" s="7" t="b">
        <f t="shared" si="262"/>
        <v>0</v>
      </c>
      <c r="AF156" s="439">
        <f t="shared" si="248"/>
        <v>0</v>
      </c>
      <c r="AG156" s="1040">
        <f t="shared" si="263"/>
        <v>0</v>
      </c>
      <c r="AH156" s="439">
        <f>IF(SUM(H153:H162)&gt;0,20-AH152/SUM(H153:H162)*SUM(H156:H162),20)</f>
        <v>20</v>
      </c>
      <c r="AJ156" s="1039">
        <f t="shared" si="264"/>
        <v>0</v>
      </c>
      <c r="AK156" s="989">
        <f>IF(SUM(P153:P162)&gt;0,20-AK152/SUM(P153:P162)*SUM(P153:P156),20)</f>
        <v>20</v>
      </c>
      <c r="AL156" s="1033">
        <f>INDEX(Bauteile!$I$57:$I$1159,BB156)</f>
        <v>0</v>
      </c>
      <c r="AM156" s="997">
        <f t="shared" si="265"/>
        <v>0</v>
      </c>
      <c r="AN156" s="1006">
        <f t="shared" si="266"/>
        <v>0</v>
      </c>
      <c r="AO156" s="563">
        <f t="shared" si="249"/>
        <v>0</v>
      </c>
      <c r="AP156" s="931">
        <f t="shared" si="267"/>
        <v>0</v>
      </c>
      <c r="AQ156" s="7" t="b">
        <f t="shared" si="268"/>
        <v>0</v>
      </c>
      <c r="AR156" s="439">
        <f t="shared" si="250"/>
        <v>0</v>
      </c>
      <c r="AS156" s="5">
        <f t="shared" si="269"/>
        <v>0</v>
      </c>
      <c r="AT156" s="1010">
        <f t="shared" si="251"/>
        <v>0</v>
      </c>
      <c r="AU156" s="931">
        <f t="shared" si="252"/>
        <v>0</v>
      </c>
      <c r="AV156" s="7" t="b">
        <f t="shared" si="270"/>
        <v>0</v>
      </c>
      <c r="AW156" s="439">
        <f t="shared" si="253"/>
        <v>0</v>
      </c>
      <c r="AX156" s="1040">
        <f t="shared" si="271"/>
        <v>0</v>
      </c>
      <c r="AY156" s="439">
        <f>IF(SUM(P153:P162)&gt;0,20-AY152/SUM(P153:P162)*SUM(P156:P162),20)</f>
        <v>20</v>
      </c>
      <c r="BA156" s="341">
        <f t="shared" si="272"/>
        <v>1</v>
      </c>
      <c r="BB156" s="1504">
        <f t="shared" si="273"/>
        <v>1</v>
      </c>
      <c r="BC156" s="333">
        <f t="shared" si="274"/>
        <v>0</v>
      </c>
      <c r="BP156" s="118" t="str">
        <f>Bauteile!B156</f>
        <v>Fer, fonte</v>
      </c>
      <c r="BQ156" s="2057">
        <v>100</v>
      </c>
      <c r="BU156" s="2098" t="str">
        <f>Bauteile!B187</f>
        <v>Laine de verre, en vrac (N)</v>
      </c>
      <c r="BV156" s="1872">
        <f>Bauteile!H187</f>
        <v>0.05</v>
      </c>
      <c r="BW156" s="2098" t="str">
        <f>Bauteile!B452</f>
        <v>Integra ZKF 1-035</v>
      </c>
      <c r="BX156" s="2056">
        <f>Bauteile!H452</f>
        <v>3.5000000000000003E-2</v>
      </c>
    </row>
    <row r="157" spans="1:76" ht="15.6" customHeight="1">
      <c r="B157" s="11">
        <v>5</v>
      </c>
      <c r="C157" s="2212"/>
      <c r="D157" s="2213"/>
      <c r="E157" s="2214"/>
      <c r="F157" s="26"/>
      <c r="G157" s="59">
        <f>INDEX(Bauteile!$H$57:$H$1159,BA157)</f>
        <v>0</v>
      </c>
      <c r="H157" s="312">
        <f t="shared" si="254"/>
        <v>0</v>
      </c>
      <c r="I157" s="4"/>
      <c r="J157" s="11">
        <v>5</v>
      </c>
      <c r="K157" s="2212"/>
      <c r="L157" s="2213"/>
      <c r="M157" s="2214"/>
      <c r="N157" s="320">
        <f t="shared" si="243"/>
        <v>0</v>
      </c>
      <c r="O157" s="59">
        <f>INDEX(Bauteile!$H$57:$H$1159,BB157)</f>
        <v>0</v>
      </c>
      <c r="P157" s="319">
        <f t="shared" si="255"/>
        <v>0</v>
      </c>
      <c r="S157" s="1039">
        <f t="shared" si="256"/>
        <v>0</v>
      </c>
      <c r="T157" s="989">
        <f>IF(SUM(H153:H162)&gt;0,20-T152/SUM(H153:H162)*SUM(H153:H157),20)</f>
        <v>20</v>
      </c>
      <c r="U157" s="1033">
        <f>INDEX(Bauteile!$I$57:$I$1159,BA157)</f>
        <v>0</v>
      </c>
      <c r="V157" s="997">
        <f t="shared" si="257"/>
        <v>0</v>
      </c>
      <c r="W157" s="1006">
        <f t="shared" si="258"/>
        <v>0</v>
      </c>
      <c r="X157" s="563">
        <f t="shared" si="244"/>
        <v>0</v>
      </c>
      <c r="Y157" s="931">
        <f t="shared" si="259"/>
        <v>0</v>
      </c>
      <c r="Z157" s="563" t="b">
        <f t="shared" si="260"/>
        <v>0</v>
      </c>
      <c r="AA157" s="439">
        <f t="shared" si="245"/>
        <v>0</v>
      </c>
      <c r="AB157" s="1009">
        <f t="shared" si="261"/>
        <v>0</v>
      </c>
      <c r="AC157" s="1010">
        <f t="shared" si="246"/>
        <v>0</v>
      </c>
      <c r="AD157" s="931">
        <f t="shared" si="247"/>
        <v>0</v>
      </c>
      <c r="AE157" s="7" t="b">
        <f t="shared" si="262"/>
        <v>0</v>
      </c>
      <c r="AF157" s="439">
        <f t="shared" si="248"/>
        <v>0</v>
      </c>
      <c r="AG157" s="1040">
        <f t="shared" si="263"/>
        <v>0</v>
      </c>
      <c r="AH157" s="439">
        <f>IF(SUM(H153:H162)&gt;0,20-AH152/SUM(H153:H162)*SUM(H157:H162),20)</f>
        <v>20</v>
      </c>
      <c r="AJ157" s="1039">
        <f t="shared" si="264"/>
        <v>0</v>
      </c>
      <c r="AK157" s="989">
        <f>IF(SUM(P153:P162)&gt;0,20-AK152/SUM(P153:P162)*SUM(P153:P157),20)</f>
        <v>20</v>
      </c>
      <c r="AL157" s="1033">
        <f>INDEX(Bauteile!$I$57:$I$1159,BB157)</f>
        <v>0</v>
      </c>
      <c r="AM157" s="997">
        <f t="shared" si="265"/>
        <v>0</v>
      </c>
      <c r="AN157" s="1006">
        <f t="shared" si="266"/>
        <v>0</v>
      </c>
      <c r="AO157" s="563">
        <f t="shared" si="249"/>
        <v>0</v>
      </c>
      <c r="AP157" s="931">
        <f t="shared" si="267"/>
        <v>0</v>
      </c>
      <c r="AQ157" s="7" t="b">
        <f t="shared" si="268"/>
        <v>0</v>
      </c>
      <c r="AR157" s="439">
        <f t="shared" si="250"/>
        <v>0</v>
      </c>
      <c r="AS157" s="5">
        <f t="shared" si="269"/>
        <v>0</v>
      </c>
      <c r="AT157" s="1010">
        <f t="shared" si="251"/>
        <v>0</v>
      </c>
      <c r="AU157" s="931">
        <f t="shared" si="252"/>
        <v>0</v>
      </c>
      <c r="AV157" s="7" t="b">
        <f t="shared" si="270"/>
        <v>0</v>
      </c>
      <c r="AW157" s="439">
        <f t="shared" si="253"/>
        <v>0</v>
      </c>
      <c r="AX157" s="1040">
        <f t="shared" si="271"/>
        <v>0</v>
      </c>
      <c r="AY157" s="439">
        <f>IF(SUM(P153:P162)&gt;0,20-AY152/SUM(P153:P162)*SUM(P157:P162),20)</f>
        <v>20</v>
      </c>
      <c r="BA157" s="341">
        <f t="shared" si="272"/>
        <v>1</v>
      </c>
      <c r="BB157" s="1504">
        <f t="shared" si="273"/>
        <v>1</v>
      </c>
      <c r="BC157" s="333">
        <f t="shared" si="274"/>
        <v>0</v>
      </c>
      <c r="BP157" s="118" t="str">
        <f>Bauteile!B157</f>
        <v>Feuille d'aluminium</v>
      </c>
      <c r="BQ157" s="2057">
        <v>101</v>
      </c>
      <c r="BU157" s="2098" t="str">
        <f>Bauteile!B188</f>
        <v>Laine de verre, panneaux, matelas (N)</v>
      </c>
      <c r="BV157" s="1872">
        <f>Bauteile!H188</f>
        <v>0.05</v>
      </c>
      <c r="BW157" s="2098" t="str">
        <f>Bauteile!B453</f>
        <v>Integra ZKF 1-040</v>
      </c>
      <c r="BX157" s="2056">
        <f>Bauteile!H453</f>
        <v>3.9E-2</v>
      </c>
    </row>
    <row r="158" spans="1:76" ht="15.6" customHeight="1">
      <c r="B158" s="11">
        <v>6</v>
      </c>
      <c r="C158" s="2212"/>
      <c r="D158" s="2213"/>
      <c r="E158" s="2214"/>
      <c r="F158" s="26"/>
      <c r="G158" s="59">
        <f>INDEX(Bauteile!$H$57:$H$1159,BA158)</f>
        <v>0</v>
      </c>
      <c r="H158" s="312">
        <f t="shared" si="254"/>
        <v>0</v>
      </c>
      <c r="I158" s="4"/>
      <c r="J158" s="11">
        <v>6</v>
      </c>
      <c r="K158" s="2212"/>
      <c r="L158" s="2213"/>
      <c r="M158" s="2214"/>
      <c r="N158" s="320">
        <f t="shared" si="243"/>
        <v>0</v>
      </c>
      <c r="O158" s="59">
        <f>INDEX(Bauteile!$H$57:$H$1159,BB158)</f>
        <v>0</v>
      </c>
      <c r="P158" s="319">
        <f t="shared" si="255"/>
        <v>0</v>
      </c>
      <c r="S158" s="1039">
        <f t="shared" si="256"/>
        <v>0</v>
      </c>
      <c r="T158" s="989">
        <f>IF(SUM(H153:H162)&gt;0,20-T152/SUM(H153:H162)*SUM(H153:H158),20)</f>
        <v>20</v>
      </c>
      <c r="U158" s="1033">
        <f>INDEX(Bauteile!$I$57:$I$1159,BA158)</f>
        <v>0</v>
      </c>
      <c r="V158" s="997">
        <f t="shared" si="257"/>
        <v>0</v>
      </c>
      <c r="W158" s="1006">
        <f t="shared" si="258"/>
        <v>0</v>
      </c>
      <c r="X158" s="563">
        <f t="shared" si="244"/>
        <v>0</v>
      </c>
      <c r="Y158" s="931">
        <f t="shared" si="259"/>
        <v>0</v>
      </c>
      <c r="Z158" s="563" t="b">
        <f t="shared" si="260"/>
        <v>0</v>
      </c>
      <c r="AA158" s="439">
        <f t="shared" si="245"/>
        <v>0</v>
      </c>
      <c r="AB158" s="1009">
        <f t="shared" si="261"/>
        <v>0</v>
      </c>
      <c r="AC158" s="1010">
        <f t="shared" si="246"/>
        <v>0</v>
      </c>
      <c r="AD158" s="931">
        <f t="shared" si="247"/>
        <v>0</v>
      </c>
      <c r="AE158" s="7" t="b">
        <f t="shared" si="262"/>
        <v>0</v>
      </c>
      <c r="AF158" s="439">
        <f t="shared" si="248"/>
        <v>0</v>
      </c>
      <c r="AG158" s="1040">
        <f t="shared" si="263"/>
        <v>0</v>
      </c>
      <c r="AH158" s="439">
        <f>IF(SUM(H153:H162)&gt;0,20-AH152/SUM(H153:H162)*SUM(H158:H162),20)</f>
        <v>20</v>
      </c>
      <c r="AJ158" s="1039">
        <f t="shared" si="264"/>
        <v>0</v>
      </c>
      <c r="AK158" s="989">
        <f>IF(SUM(P153:P162)&gt;0,20-AK152/SUM(P153:P162)*SUM(P153:P158),20)</f>
        <v>20</v>
      </c>
      <c r="AL158" s="1033">
        <f>INDEX(Bauteile!$I$57:$I$1159,BB158)</f>
        <v>0</v>
      </c>
      <c r="AM158" s="997">
        <f t="shared" si="265"/>
        <v>0</v>
      </c>
      <c r="AN158" s="1006">
        <f t="shared" si="266"/>
        <v>0</v>
      </c>
      <c r="AO158" s="563">
        <f t="shared" si="249"/>
        <v>0</v>
      </c>
      <c r="AP158" s="931">
        <f t="shared" si="267"/>
        <v>0</v>
      </c>
      <c r="AQ158" s="7" t="b">
        <f t="shared" si="268"/>
        <v>0</v>
      </c>
      <c r="AR158" s="439">
        <f t="shared" si="250"/>
        <v>0</v>
      </c>
      <c r="AS158" s="5">
        <f t="shared" si="269"/>
        <v>0</v>
      </c>
      <c r="AT158" s="1010">
        <f t="shared" si="251"/>
        <v>0</v>
      </c>
      <c r="AU158" s="931">
        <f t="shared" si="252"/>
        <v>0</v>
      </c>
      <c r="AV158" s="7" t="b">
        <f t="shared" si="270"/>
        <v>0</v>
      </c>
      <c r="AW158" s="439">
        <f t="shared" si="253"/>
        <v>0</v>
      </c>
      <c r="AX158" s="1040">
        <f t="shared" si="271"/>
        <v>0</v>
      </c>
      <c r="AY158" s="439">
        <f>IF(SUM(P153:P162)&gt;0,20-AY152/SUM(P153:P162)*SUM(P158:P162),20)</f>
        <v>20</v>
      </c>
      <c r="BA158" s="341">
        <f t="shared" si="272"/>
        <v>1</v>
      </c>
      <c r="BB158" s="1504">
        <f t="shared" si="273"/>
        <v>1</v>
      </c>
      <c r="BC158" s="333">
        <f t="shared" si="274"/>
        <v>0</v>
      </c>
      <c r="BP158" s="118" t="str">
        <f>Bauteile!B158</f>
        <v>Feuille de polyaethylen</v>
      </c>
      <c r="BQ158" s="2057">
        <v>102</v>
      </c>
      <c r="BU158" s="2098" t="str">
        <f>Bauteile!B189</f>
        <v>Laine de verre, panneaux, matelas (U)</v>
      </c>
      <c r="BV158" s="1872">
        <f>Bauteile!H189</f>
        <v>4.8000000000000001E-2</v>
      </c>
      <c r="BW158" s="2098" t="str">
        <f>Bauteile!B454</f>
        <v>Akustic EP 1</v>
      </c>
      <c r="BX158" s="2056">
        <f>Bauteile!H454</f>
        <v>3.2000000000000001E-2</v>
      </c>
    </row>
    <row r="159" spans="1:76" ht="15.6" customHeight="1">
      <c r="B159" s="11">
        <v>7</v>
      </c>
      <c r="C159" s="2212"/>
      <c r="D159" s="2213"/>
      <c r="E159" s="2214"/>
      <c r="F159" s="26"/>
      <c r="G159" s="59">
        <f>INDEX(Bauteile!$H$57:$H$1159,BA159)</f>
        <v>0</v>
      </c>
      <c r="H159" s="312">
        <f t="shared" si="254"/>
        <v>0</v>
      </c>
      <c r="I159" s="4"/>
      <c r="J159" s="11">
        <v>7</v>
      </c>
      <c r="K159" s="2212"/>
      <c r="L159" s="2213"/>
      <c r="M159" s="2214"/>
      <c r="N159" s="320">
        <f t="shared" si="243"/>
        <v>0</v>
      </c>
      <c r="O159" s="59">
        <f>INDEX(Bauteile!$H$57:$H$1159,BB159)</f>
        <v>0</v>
      </c>
      <c r="P159" s="319">
        <f t="shared" si="255"/>
        <v>0</v>
      </c>
      <c r="S159" s="1039">
        <f t="shared" si="256"/>
        <v>0</v>
      </c>
      <c r="T159" s="989">
        <f>IF(SUM(H153:H162)&gt;0,20-T152/SUM(H153:H162)*SUM(H153:H159),20)</f>
        <v>20</v>
      </c>
      <c r="U159" s="1033">
        <f>INDEX(Bauteile!$I$57:$I$1159,BA159)</f>
        <v>0</v>
      </c>
      <c r="V159" s="997">
        <f t="shared" si="257"/>
        <v>0</v>
      </c>
      <c r="W159" s="1006">
        <f t="shared" si="258"/>
        <v>0</v>
      </c>
      <c r="X159" s="563">
        <f t="shared" si="244"/>
        <v>0</v>
      </c>
      <c r="Y159" s="931">
        <f t="shared" si="259"/>
        <v>0</v>
      </c>
      <c r="Z159" s="563" t="b">
        <f t="shared" si="260"/>
        <v>0</v>
      </c>
      <c r="AA159" s="439">
        <f t="shared" si="245"/>
        <v>0</v>
      </c>
      <c r="AB159" s="1009">
        <f t="shared" si="261"/>
        <v>0</v>
      </c>
      <c r="AC159" s="1010">
        <f t="shared" si="246"/>
        <v>0</v>
      </c>
      <c r="AD159" s="931">
        <f t="shared" si="247"/>
        <v>0</v>
      </c>
      <c r="AE159" s="7" t="b">
        <f t="shared" si="262"/>
        <v>0</v>
      </c>
      <c r="AF159" s="439">
        <f t="shared" si="248"/>
        <v>0</v>
      </c>
      <c r="AG159" s="1040">
        <f t="shared" si="263"/>
        <v>0</v>
      </c>
      <c r="AH159" s="439">
        <f>IF(SUM(H153:H162)&gt;0,20-AH152/SUM(H153:H162)*SUM(H159:H162),20)</f>
        <v>20</v>
      </c>
      <c r="AJ159" s="1039">
        <f t="shared" si="264"/>
        <v>0</v>
      </c>
      <c r="AK159" s="989">
        <f>IF(SUM(P153:P162)&gt;0,20-AK152/SUM(P153:P162)*SUM(P153:P159),20)</f>
        <v>20</v>
      </c>
      <c r="AL159" s="1033">
        <f>INDEX(Bauteile!$I$57:$I$1159,BB159)</f>
        <v>0</v>
      </c>
      <c r="AM159" s="997">
        <f t="shared" si="265"/>
        <v>0</v>
      </c>
      <c r="AN159" s="1006">
        <f t="shared" si="266"/>
        <v>0</v>
      </c>
      <c r="AO159" s="563">
        <f t="shared" si="249"/>
        <v>0</v>
      </c>
      <c r="AP159" s="931">
        <f t="shared" si="267"/>
        <v>0</v>
      </c>
      <c r="AQ159" s="7" t="b">
        <f t="shared" si="268"/>
        <v>0</v>
      </c>
      <c r="AR159" s="439">
        <f t="shared" si="250"/>
        <v>0</v>
      </c>
      <c r="AS159" s="5">
        <f t="shared" si="269"/>
        <v>0</v>
      </c>
      <c r="AT159" s="1010">
        <f t="shared" si="251"/>
        <v>0</v>
      </c>
      <c r="AU159" s="931">
        <f t="shared" si="252"/>
        <v>0</v>
      </c>
      <c r="AV159" s="7" t="b">
        <f t="shared" si="270"/>
        <v>0</v>
      </c>
      <c r="AW159" s="439">
        <f t="shared" si="253"/>
        <v>0</v>
      </c>
      <c r="AX159" s="1040">
        <f t="shared" si="271"/>
        <v>0</v>
      </c>
      <c r="AY159" s="439">
        <f>IF(SUM(P153:P162)&gt;0,20-AY152/SUM(P153:P162)*SUM(P159:P162),20)</f>
        <v>20</v>
      </c>
      <c r="BA159" s="341">
        <f t="shared" si="272"/>
        <v>1</v>
      </c>
      <c r="BB159" s="1504">
        <f t="shared" si="273"/>
        <v>1</v>
      </c>
      <c r="BC159" s="333">
        <f t="shared" si="274"/>
        <v>0</v>
      </c>
      <c r="BP159" s="118" t="str">
        <f>Bauteile!B159</f>
        <v>Feuille de polyisobuthylen</v>
      </c>
      <c r="BQ159" s="2057">
        <v>103</v>
      </c>
      <c r="BU159" s="2098" t="str">
        <f>Bauteile!B190</f>
        <v>Laiton</v>
      </c>
      <c r="BV159" s="1872">
        <f>Bauteile!H190</f>
        <v>120</v>
      </c>
      <c r="BW159" s="2098" t="str">
        <f>Bauteile!B455</f>
        <v>TWP 1, TWP 1 HOME, Pure 40 PN Trennwandplatte</v>
      </c>
      <c r="BX159" s="2056">
        <f>Bauteile!H455</f>
        <v>3.7999999999999999E-2</v>
      </c>
    </row>
    <row r="160" spans="1:76" ht="15.6" customHeight="1" thickBot="1">
      <c r="B160" s="11">
        <v>8</v>
      </c>
      <c r="C160" s="2212"/>
      <c r="D160" s="2213"/>
      <c r="E160" s="2214"/>
      <c r="F160" s="26"/>
      <c r="G160" s="59">
        <f>INDEX(Bauteile!$H$57:$H$1159,BA160)</f>
        <v>0</v>
      </c>
      <c r="H160" s="312">
        <f t="shared" si="254"/>
        <v>0</v>
      </c>
      <c r="I160" s="4"/>
      <c r="J160" s="11">
        <v>8</v>
      </c>
      <c r="K160" s="2212"/>
      <c r="L160" s="2213"/>
      <c r="M160" s="2214"/>
      <c r="N160" s="320">
        <f t="shared" si="243"/>
        <v>0</v>
      </c>
      <c r="O160" s="59">
        <f>INDEX(Bauteile!$H$57:$H$1159,BB160)</f>
        <v>0</v>
      </c>
      <c r="P160" s="319">
        <f t="shared" si="255"/>
        <v>0</v>
      </c>
      <c r="S160" s="1041">
        <f t="shared" si="256"/>
        <v>0</v>
      </c>
      <c r="T160" s="1014">
        <f>IF(SUM(H153:H162)&gt;0,20-T152/SUM(H153:H162)*SUM(H153:H160),20)</f>
        <v>20</v>
      </c>
      <c r="U160" s="1033">
        <f>INDEX(Bauteile!$I$57:$I$1159,BA160)</f>
        <v>0</v>
      </c>
      <c r="V160" s="997">
        <f t="shared" si="257"/>
        <v>0</v>
      </c>
      <c r="W160" s="1004">
        <f t="shared" si="258"/>
        <v>0</v>
      </c>
      <c r="X160" s="11"/>
      <c r="Y160" s="1042">
        <f t="shared" si="259"/>
        <v>0</v>
      </c>
      <c r="Z160" s="11" t="b">
        <f t="shared" si="260"/>
        <v>0</v>
      </c>
      <c r="AA160" s="1043"/>
      <c r="AB160" s="1011">
        <f t="shared" si="261"/>
        <v>0</v>
      </c>
      <c r="AC160" s="1012">
        <f>V160*U160</f>
        <v>0</v>
      </c>
      <c r="AD160" s="1042">
        <f>IF(AND(AB160&gt;0,AC160&gt;0),Ak/AC160-Bk/AB160,)</f>
        <v>0</v>
      </c>
      <c r="AE160" s="9" t="b">
        <f t="shared" si="262"/>
        <v>0</v>
      </c>
      <c r="AF160" s="1043"/>
      <c r="AG160" s="1044">
        <f t="shared" si="263"/>
        <v>0</v>
      </c>
      <c r="AH160" s="1043">
        <f>IF(SUM(H153:H162)&gt;0,20-AH152/SUM(H153:H162)*SUM(H160:H162),20)</f>
        <v>20</v>
      </c>
      <c r="AJ160" s="1041">
        <f t="shared" si="264"/>
        <v>0</v>
      </c>
      <c r="AK160" s="1014">
        <f>IF(SUM(P153:P162)&gt;0,20-AK152/SUM(P153:P162)*SUM(P153:P160),20)</f>
        <v>20</v>
      </c>
      <c r="AL160" s="1033">
        <f>INDEX(Bauteile!$I$57:$I$1159,BB160)</f>
        <v>0</v>
      </c>
      <c r="AM160" s="997">
        <f t="shared" si="265"/>
        <v>0</v>
      </c>
      <c r="AN160" s="1004">
        <f t="shared" si="266"/>
        <v>0</v>
      </c>
      <c r="AO160" s="11"/>
      <c r="AP160" s="1042">
        <f t="shared" si="267"/>
        <v>0</v>
      </c>
      <c r="AQ160" s="9" t="b">
        <f t="shared" si="268"/>
        <v>0</v>
      </c>
      <c r="AR160" s="1043"/>
      <c r="AS160" s="10">
        <f t="shared" si="269"/>
        <v>0</v>
      </c>
      <c r="AT160" s="1012">
        <f>AM160*AL160</f>
        <v>0</v>
      </c>
      <c r="AU160" s="1042">
        <f>IF(AND(AS160&gt;0,AT160&gt;0),Ak/AT160-Bk/AS160,)</f>
        <v>0</v>
      </c>
      <c r="AV160" s="9" t="b">
        <f t="shared" si="270"/>
        <v>0</v>
      </c>
      <c r="AW160" s="1043"/>
      <c r="AX160" s="1044">
        <f t="shared" si="271"/>
        <v>0</v>
      </c>
      <c r="AY160" s="1043">
        <f>IF(SUM(P153:P162)&gt;0,20-AY152/SUM(P153:P162)*SUM(P160:P162),20)</f>
        <v>20</v>
      </c>
      <c r="BA160" s="341">
        <f t="shared" si="272"/>
        <v>1</v>
      </c>
      <c r="BB160" s="1504">
        <f t="shared" si="273"/>
        <v>1</v>
      </c>
      <c r="BC160" s="333">
        <f t="shared" si="274"/>
        <v>0</v>
      </c>
      <c r="BP160" s="118" t="str">
        <f>Bauteile!B160</f>
        <v>Feuille de PVC</v>
      </c>
      <c r="BQ160" s="2057">
        <v>104</v>
      </c>
      <c r="BU160" s="2098" t="str">
        <f>Bauteile!B191</f>
        <v>Lambris en pin</v>
      </c>
      <c r="BV160" s="1872">
        <f>Bauteile!H191</f>
        <v>0.14000000000000001</v>
      </c>
      <c r="BW160" s="2098" t="str">
        <f>Bauteile!B456</f>
        <v>URSA FDP 4, DF 32h, HRF 32, DFH 32, FKR 32</v>
      </c>
      <c r="BX160" s="2056">
        <f>Bauteile!H456</f>
        <v>3.1E-2</v>
      </c>
    </row>
    <row r="161" spans="1:76" ht="15.6" customHeight="1" thickBot="1">
      <c r="B161" s="11">
        <v>9</v>
      </c>
      <c r="C161" s="2212"/>
      <c r="D161" s="2213"/>
      <c r="E161" s="2214"/>
      <c r="F161" s="10"/>
      <c r="G161" s="59">
        <f>INDEX(Bauteile!$P$284:$P$296,BA161,1)</f>
        <v>0</v>
      </c>
      <c r="H161" s="312">
        <f>IF(G161=0,0,1/G161)</f>
        <v>0</v>
      </c>
      <c r="I161" s="4"/>
      <c r="J161" s="11">
        <v>9</v>
      </c>
      <c r="K161" s="2212"/>
      <c r="L161" s="2213"/>
      <c r="M161" s="2214"/>
      <c r="N161" s="320"/>
      <c r="O161" s="59">
        <f>INDEX(Bauteile!$P$284:$P$296,BB161,1)</f>
        <v>0</v>
      </c>
      <c r="P161" s="319">
        <f>IF(O161=0,0,1/O161)</f>
        <v>0</v>
      </c>
      <c r="S161" s="1045"/>
      <c r="T161" s="1046"/>
      <c r="U161" s="1047" t="b">
        <f>IF(AND(V151,V152&lt;&gt;TRUE),Z161,IF(AND(V152,V151&lt;&gt;TRUE),AE161,FALSE))</f>
        <v>0</v>
      </c>
      <c r="V161" s="1015" t="str">
        <f>IF(AND(V151,V152&lt;&gt;TRUE),AA161,IF(AND(V152,V151&lt;&gt;TRUE),AF161,""))</f>
        <v/>
      </c>
      <c r="W161" s="990"/>
      <c r="X161" s="991"/>
      <c r="Y161" s="991"/>
      <c r="Z161" s="1048" t="b">
        <f>IF(OR(Z154,Z155,Z156,Z157,Z158,Z159,Z160),TRUE,FALSE)</f>
        <v>0</v>
      </c>
      <c r="AA161" s="993">
        <f>MAX(AA154:AA160)</f>
        <v>0</v>
      </c>
      <c r="AB161" s="990"/>
      <c r="AC161" s="991"/>
      <c r="AD161" s="991"/>
      <c r="AE161" s="1048" t="b">
        <f>IF(OR(AE154,AE155,AE156,AE157,AE158,AE159,AE160),TRUE,FALSE)</f>
        <v>0</v>
      </c>
      <c r="AF161" s="1049">
        <f>MAX(AF154:AF160)</f>
        <v>0</v>
      </c>
      <c r="AG161" s="1045"/>
      <c r="AH161" s="1046"/>
      <c r="AJ161" s="1045"/>
      <c r="AK161" s="1046"/>
      <c r="AL161" s="1047" t="b">
        <f>IF(AND(AM151,AM152&lt;&gt;TRUE),AQ161,IF(AND(AM152,AM151&lt;&gt;TRUE),AV161,FALSE))</f>
        <v>0</v>
      </c>
      <c r="AM161" s="1015" t="str">
        <f>IF(AND(AM151,AM152&lt;&gt;TRUE),AR161,IF(AND(AM152,AM151&lt;&gt;TRUE),AW161,""))</f>
        <v/>
      </c>
      <c r="AN161" s="990"/>
      <c r="AO161" s="991"/>
      <c r="AP161" s="991"/>
      <c r="AQ161" s="1048" t="b">
        <f>IF(OR(AQ154,AQ155,AQ156,AQ157,AQ158,AQ159,AQ160),TRUE,FALSE)</f>
        <v>0</v>
      </c>
      <c r="AR161" s="1049">
        <f>MAX(AR154:AR160)</f>
        <v>0</v>
      </c>
      <c r="AS161" s="990"/>
      <c r="AT161" s="991"/>
      <c r="AU161" s="991"/>
      <c r="AV161" s="1048" t="b">
        <f>IF(OR(AV154,AV155,AV156,AV157,AV158,AV159,AV160),TRUE,FALSE)</f>
        <v>0</v>
      </c>
      <c r="AW161" s="1049">
        <f>MAX(AW154:AW160)</f>
        <v>0</v>
      </c>
      <c r="AX161" s="1045"/>
      <c r="AY161" s="1046"/>
      <c r="BA161" s="341">
        <f>IF($C161="",1,VLOOKUP($C161,$BR$40:$BS$52,2,FALSE))</f>
        <v>1</v>
      </c>
      <c r="BB161" s="1504">
        <f>IF($K161="",1,VLOOKUP($K161,$BR$40:$BS$52,2,FALSE))</f>
        <v>1</v>
      </c>
      <c r="BC161" s="333">
        <f>H161</f>
        <v>0</v>
      </c>
      <c r="BP161" s="118" t="str">
        <f>Bauteile!B161</f>
        <v>Feutre PVC</v>
      </c>
      <c r="BQ161" s="2057">
        <v>105</v>
      </c>
      <c r="BU161" s="2098" t="str">
        <f>Bauteile!B192</f>
        <v>Liège, panneaux, matelas (N)</v>
      </c>
      <c r="BV161" s="1872">
        <f>Bauteile!H192</f>
        <v>5.5E-2</v>
      </c>
      <c r="BW161" s="2098" t="str">
        <f>Bauteile!B457</f>
        <v>URSA SF 32, USF 32 PLUS, TWP 32, AKP 32</v>
      </c>
      <c r="BX161" s="2056">
        <f>Bauteile!H457</f>
        <v>3.1E-2</v>
      </c>
    </row>
    <row r="162" spans="1:76" ht="15.6" customHeight="1">
      <c r="B162" s="11">
        <v>10</v>
      </c>
      <c r="C162" s="2212"/>
      <c r="D162" s="2213"/>
      <c r="E162" s="2214"/>
      <c r="F162" s="10"/>
      <c r="G162" s="59">
        <f>INDEX(Bauteile!$O$280:$O$282,BA162)</f>
        <v>0</v>
      </c>
      <c r="H162" s="312">
        <f>IF(G162=0,0,1/G162)</f>
        <v>0</v>
      </c>
      <c r="I162" s="15"/>
      <c r="J162" s="11">
        <v>10</v>
      </c>
      <c r="K162" s="2212"/>
      <c r="L162" s="2213"/>
      <c r="M162" s="2214"/>
      <c r="N162" s="320"/>
      <c r="O162" s="59">
        <f>INDEX(Bauteile!$O$280:$O$282,BB162)</f>
        <v>0</v>
      </c>
      <c r="P162" s="319">
        <f>IF(O162=0,0,1/O162)</f>
        <v>0</v>
      </c>
      <c r="AL162" s="116"/>
      <c r="BA162" s="340">
        <f>IF($C162="",3,VLOOKUP($C162,$BR$36:$BS$38,2,FALSE))</f>
        <v>3</v>
      </c>
      <c r="BB162" s="1505">
        <f>IF($K162="",3,VLOOKUP($K162,$BR$36:$BS$38,2,FALSE))</f>
        <v>3</v>
      </c>
      <c r="BC162" s="334">
        <f>H162</f>
        <v>0</v>
      </c>
      <c r="BP162" s="118">
        <f>Bauteile!B162</f>
        <v>0</v>
      </c>
      <c r="BQ162" s="2057">
        <v>106</v>
      </c>
      <c r="BU162" s="2098" t="str">
        <f>Bauteile!B193</f>
        <v>Liège, panneaux, matelas (U)</v>
      </c>
      <c r="BV162" s="1872">
        <f>Bauteile!H193</f>
        <v>4.7E-2</v>
      </c>
      <c r="BW162" s="2098" t="str">
        <f>Bauteile!B458</f>
        <v>URSA FDP 32, FKP 32, ZFP 32, KDP 32</v>
      </c>
      <c r="BX162" s="2056">
        <f>Bauteile!H458</f>
        <v>3.1E-2</v>
      </c>
    </row>
    <row r="163" spans="1:76" ht="4.1500000000000004" customHeight="1">
      <c r="B163" s="4"/>
      <c r="C163" s="258"/>
      <c r="D163" s="258"/>
      <c r="E163" s="258"/>
      <c r="F163" s="4"/>
      <c r="G163" s="63"/>
      <c r="H163" s="291"/>
      <c r="I163" s="4"/>
      <c r="J163" s="4"/>
      <c r="K163" s="258"/>
      <c r="L163" s="4"/>
      <c r="M163" s="4"/>
      <c r="N163" s="63"/>
      <c r="O163" s="63"/>
      <c r="P163" s="291"/>
      <c r="AL163" s="116"/>
      <c r="BA163" s="304" t="s">
        <v>1763</v>
      </c>
      <c r="BB163" s="326">
        <f>IF(AND(D168*F168=0,L168*N168=0),0,100/(D168*F168+L168*N168))</f>
        <v>0</v>
      </c>
      <c r="BC163" s="291"/>
      <c r="BP163" s="118" t="str">
        <f>Bauteile!B163</f>
        <v>Granit</v>
      </c>
      <c r="BQ163" s="2057">
        <v>107</v>
      </c>
      <c r="BU163" s="2098"/>
      <c r="BV163" s="2051"/>
      <c r="BW163" s="2098" t="str">
        <f>Bauteile!B459</f>
        <v>URSA TFP, TSP, TEP</v>
      </c>
      <c r="BX163" s="2056">
        <f>Bauteile!H459</f>
        <v>3.3000000000000002E-2</v>
      </c>
    </row>
    <row r="164" spans="1:76" ht="15.6" customHeight="1">
      <c r="A164" s="174"/>
      <c r="B164" s="6" t="s">
        <v>1198</v>
      </c>
      <c r="C164" s="111" t="str">
        <f>C147</f>
        <v>Désignation:</v>
      </c>
      <c r="D164" s="938"/>
      <c r="E164" s="1460" t="s">
        <v>438</v>
      </c>
      <c r="F164" s="111" t="str">
        <f>F147</f>
        <v>Valeur U total:</v>
      </c>
      <c r="G164" s="16"/>
      <c r="H164" s="1461"/>
      <c r="I164" s="197"/>
      <c r="J164" s="652" t="str">
        <f>Uebersetzung!D458&amp;IF(BB163&gt;0,ROUND(BB163,2),"")</f>
        <v xml:space="preserve">Valeur-limite supérieur Ro = </v>
      </c>
      <c r="K164" s="16"/>
      <c r="L164" s="1457" t="str">
        <f>Uebersetzung!D459&amp;IF(BB164&gt;0,ROUND(BB164,2),"")</f>
        <v xml:space="preserve">Valeur-limite inférieur Ru = </v>
      </c>
      <c r="M164" s="197"/>
      <c r="N164" s="197"/>
      <c r="O164" s="197"/>
      <c r="P164" s="17"/>
      <c r="R164" s="2"/>
      <c r="S164" s="1051"/>
      <c r="BA164" s="327" t="s">
        <v>1764</v>
      </c>
      <c r="BB164" s="328">
        <f>SUM(BC170:BC179)</f>
        <v>0</v>
      </c>
      <c r="BP164" s="118" t="str">
        <f>Bauteile!B164</f>
        <v>Gravier</v>
      </c>
      <c r="BQ164" s="2057">
        <v>108</v>
      </c>
      <c r="BU164" s="2098" t="str">
        <f>Bauteile!B194</f>
        <v>Laine de mouton (N)</v>
      </c>
      <c r="BV164" s="1872">
        <f>Bauteile!H194</f>
        <v>0.05</v>
      </c>
      <c r="BW164" s="2098" t="str">
        <f>Bauteile!B460</f>
        <v>URSA DF 35, SF 35, HRF 35, FTP 2, FKR 35, KDR 35, AKP2, KDP</v>
      </c>
      <c r="BX164" s="2056">
        <f>Bauteile!H460</f>
        <v>3.4000000000000002E-2</v>
      </c>
    </row>
    <row r="165" spans="1:76" ht="15.6" customHeight="1">
      <c r="A165" s="174"/>
      <c r="B165" s="1462">
        <v>21</v>
      </c>
      <c r="C165" s="2228"/>
      <c r="D165" s="2228"/>
      <c r="E165" s="2228"/>
      <c r="F165" s="1458" t="str">
        <f>IF(AND(D168&lt;99.9,D168&gt;0),IF(BB165&gt;0,1/BB165,""),"")</f>
        <v/>
      </c>
      <c r="G165" s="22" t="s">
        <v>245</v>
      </c>
      <c r="H165" s="1459"/>
      <c r="I165" s="199"/>
      <c r="J165" s="208" t="str">
        <f>Uebersetzung!D460&amp;IF(BB165&gt;0,ROUND(BB165,2)&amp;" m2K/W","")</f>
        <v xml:space="preserve">Résistance thermique Rtot = </v>
      </c>
      <c r="K165" s="4"/>
      <c r="L165" s="199"/>
      <c r="M165" s="199"/>
      <c r="N165" s="199"/>
      <c r="O165" s="199"/>
      <c r="P165" s="5"/>
      <c r="R165" s="2"/>
      <c r="S165" s="1051"/>
      <c r="BA165" s="305" t="s">
        <v>1765</v>
      </c>
      <c r="BB165" s="329">
        <f>(BB164+BB163)/2</f>
        <v>0</v>
      </c>
      <c r="BP165" s="118" t="str">
        <f>Bauteile!B165</f>
        <v>Grès</v>
      </c>
      <c r="BQ165" s="2057">
        <v>109</v>
      </c>
      <c r="BU165" s="2098" t="str">
        <f>Bauteile!B195</f>
        <v>Marbre</v>
      </c>
      <c r="BV165" s="1872">
        <f>Bauteile!H195</f>
        <v>3.5</v>
      </c>
      <c r="BW165" s="2098" t="str">
        <f>Bauteile!B461</f>
        <v>URSA DF 40, TWF 1, SF 40,  FDP 1,  TWP 1, FKP 1, HRF 40</v>
      </c>
      <c r="BX165" s="2056">
        <f>Bauteile!H461</f>
        <v>3.9E-2</v>
      </c>
    </row>
    <row r="166" spans="1:76" ht="3" customHeight="1">
      <c r="A166" s="174"/>
      <c r="B166" s="515"/>
      <c r="C166" s="196"/>
      <c r="D166" s="196"/>
      <c r="E166" s="196"/>
      <c r="F166" s="196"/>
      <c r="G166" s="196"/>
      <c r="H166" s="15"/>
      <c r="I166" s="1421"/>
      <c r="J166" s="1421"/>
      <c r="K166" s="15"/>
      <c r="L166" s="1421"/>
      <c r="M166" s="1092"/>
      <c r="N166" s="196"/>
      <c r="O166" s="196"/>
      <c r="P166" s="10"/>
      <c r="R166" s="28"/>
      <c r="BP166" s="118">
        <f>Bauteile!B166</f>
        <v>0</v>
      </c>
      <c r="BQ166" s="2057">
        <v>110</v>
      </c>
      <c r="BU166" s="2098"/>
      <c r="BV166" s="2051"/>
      <c r="BW166" s="2098" t="str">
        <f>Bauteile!B462</f>
        <v>Pure 32</v>
      </c>
      <c r="BX166" s="2056">
        <f>Bauteile!H462</f>
        <v>3.1E-2</v>
      </c>
    </row>
    <row r="167" spans="1:76" ht="15.6" customHeight="1" thickBot="1">
      <c r="B167" s="1418" t="str">
        <f>B150</f>
        <v>1ère partie</v>
      </c>
      <c r="C167" s="22"/>
      <c r="D167" s="22"/>
      <c r="E167" s="1419"/>
      <c r="F167" s="22" t="str">
        <f>F150</f>
        <v>Valeur U</v>
      </c>
      <c r="G167" s="4"/>
      <c r="H167" s="1420" t="s">
        <v>1759</v>
      </c>
      <c r="I167" s="4"/>
      <c r="J167" s="1418" t="str">
        <f>J150</f>
        <v>2ème partie</v>
      </c>
      <c r="K167" s="22"/>
      <c r="L167" s="22"/>
      <c r="M167" s="1419"/>
      <c r="N167" s="22" t="str">
        <f>N150</f>
        <v>Valeur U</v>
      </c>
      <c r="O167" s="4"/>
      <c r="P167" s="1420" t="s">
        <v>1759</v>
      </c>
      <c r="R167" s="28"/>
      <c r="S167" s="42"/>
      <c r="BP167" s="118" t="str">
        <f>Bauteile!B167</f>
        <v>Hêtre</v>
      </c>
      <c r="BQ167" s="2057">
        <v>111</v>
      </c>
      <c r="BU167" s="2098" t="str">
        <f>Bauteile!B196</f>
        <v>Matelas en fibres de chanvre (N)</v>
      </c>
      <c r="BV167" s="1872">
        <f>Bauteile!H196</f>
        <v>6.6000000000000003E-2</v>
      </c>
      <c r="BW167" s="2098" t="str">
        <f>Bauteile!B463</f>
        <v>Pure 35</v>
      </c>
      <c r="BX167" s="2056">
        <f>Bauteile!H463</f>
        <v>3.4000000000000002E-2</v>
      </c>
    </row>
    <row r="168" spans="1:76" ht="15.6" customHeight="1" thickBot="1">
      <c r="B168" s="503" t="str">
        <f>B151</f>
        <v>Longueur de la 1ère section L1</v>
      </c>
      <c r="C168" s="4"/>
      <c r="D168" s="272"/>
      <c r="E168" s="255" t="s">
        <v>1760</v>
      </c>
      <c r="F168" s="504">
        <f>IF(SUM(H170:H179)&lt;&gt;0,1/SUM(H170:H179),0)</f>
        <v>0</v>
      </c>
      <c r="G168" s="18" t="s">
        <v>245</v>
      </c>
      <c r="H168" s="309" t="str">
        <f>IF(OR(G170=8,G179=8),ROUND(Thetai-(Thetai-Thetamin)*(1/(1/F168)-(1/8)+(1/6))*(1/6),1)&amp;" °C","")</f>
        <v/>
      </c>
      <c r="I168" s="4"/>
      <c r="J168" s="254" t="str">
        <f>J151</f>
        <v>Longueur de la section L2</v>
      </c>
      <c r="K168" s="4"/>
      <c r="L168" s="318">
        <f>IF(D168="",0,100-D168)</f>
        <v>0</v>
      </c>
      <c r="M168" s="255" t="s">
        <v>1760</v>
      </c>
      <c r="N168" s="317">
        <f>IF(SUM(P170:P179)&lt;&gt;0,1/SUM(P170:P179),0)</f>
        <v>0</v>
      </c>
      <c r="O168" s="18" t="s">
        <v>245</v>
      </c>
      <c r="P168" s="309" t="str">
        <f>IF(OR(O170=8,O179=8),ROUND(Thetai-(Thetai-Thetamin)*(1/(1/N168)-(1/8)+(1/6))*(1/6),1)&amp;" °C","")</f>
        <v/>
      </c>
      <c r="R168" s="28"/>
      <c r="S168" s="1018"/>
      <c r="T168" s="987"/>
      <c r="U168" s="1019" t="s">
        <v>451</v>
      </c>
      <c r="V168" s="998" t="b">
        <f>IF(BA170=1,TRUE,FALSE)</f>
        <v>0</v>
      </c>
      <c r="W168" s="1016" t="s">
        <v>2108</v>
      </c>
      <c r="X168" s="1000"/>
      <c r="Y168" s="1000"/>
      <c r="Z168" s="1000"/>
      <c r="AA168" s="1000"/>
      <c r="AB168" s="1000"/>
      <c r="AC168" s="1001"/>
      <c r="AD168" s="1001"/>
      <c r="AE168" s="1001"/>
      <c r="AF168" s="1002"/>
      <c r="AG168" s="1020"/>
      <c r="AH168" s="1021"/>
      <c r="AJ168" s="1018"/>
      <c r="AK168" s="987"/>
      <c r="AL168" s="1003" t="s">
        <v>451</v>
      </c>
      <c r="AM168" s="998" t="b">
        <f>IF(BB170=1,TRUE,FALSE)</f>
        <v>0</v>
      </c>
      <c r="AN168" s="1016" t="s">
        <v>2109</v>
      </c>
      <c r="AO168" s="1000"/>
      <c r="AP168" s="1000"/>
      <c r="AQ168" s="1000"/>
      <c r="AR168" s="1000"/>
      <c r="AS168" s="1000"/>
      <c r="AT168" s="1001"/>
      <c r="AU168" s="1001"/>
      <c r="AV168" s="1001"/>
      <c r="AW168" s="1002"/>
      <c r="AX168" s="1020"/>
      <c r="AY168" s="1021"/>
      <c r="BP168" s="118">
        <f>Bauteile!B168</f>
        <v>0</v>
      </c>
      <c r="BQ168" s="2057">
        <v>112</v>
      </c>
      <c r="BU168" s="2098" t="str">
        <f>Bauteile!B197</f>
        <v>Matelas en fibres de cocos (N)</v>
      </c>
      <c r="BV168" s="1872">
        <f>Bauteile!H197</f>
        <v>6.6000000000000003E-2</v>
      </c>
      <c r="BW168" s="2098" t="str">
        <f>Bauteile!B464</f>
        <v>Pure 40</v>
      </c>
      <c r="BX168" s="2056">
        <f>Bauteile!H464</f>
        <v>3.9E-2</v>
      </c>
    </row>
    <row r="169" spans="1:76" ht="15.6" customHeight="1" thickBot="1">
      <c r="A169" s="3"/>
      <c r="B169" s="2215">
        <f>IF(GraueEnergie,Uebersetzung!D651,IF(AND(U178,V178&gt;0),Uebersetzung!D652&amp;ROUND(V178,0)&amp;" g/m2",))</f>
        <v>0</v>
      </c>
      <c r="C169" s="2216"/>
      <c r="D169" s="2217"/>
      <c r="E169" s="2218"/>
      <c r="F169" s="12" t="s">
        <v>1918</v>
      </c>
      <c r="G169" s="13" t="s">
        <v>1800</v>
      </c>
      <c r="H169" s="14" t="s">
        <v>1801</v>
      </c>
      <c r="I169" s="4"/>
      <c r="J169" s="2249">
        <f>IF(AND(AL178,AM178&gt;0),Uebersetzung!D652&amp;ROUND(AM178,0)&amp;" g/m2",)</f>
        <v>0</v>
      </c>
      <c r="K169" s="2250"/>
      <c r="L169" s="2250"/>
      <c r="M169" s="2251"/>
      <c r="N169" s="12" t="s">
        <v>1918</v>
      </c>
      <c r="O169" s="13" t="s">
        <v>1800</v>
      </c>
      <c r="P169" s="257" t="s">
        <v>1801</v>
      </c>
      <c r="S169" s="1022" t="s">
        <v>795</v>
      </c>
      <c r="T169" s="1023">
        <f ca="1">20-TaMin-8</f>
        <v>20</v>
      </c>
      <c r="U169" s="1024" t="s">
        <v>452</v>
      </c>
      <c r="V169" s="999" t="b">
        <f>IF(BA179=1,TRUE,FALSE)</f>
        <v>0</v>
      </c>
      <c r="W169" s="992" t="s">
        <v>577</v>
      </c>
      <c r="X169" s="465"/>
      <c r="Y169" s="465"/>
      <c r="Z169" s="465"/>
      <c r="AA169" s="987"/>
      <c r="AB169" s="994" t="s">
        <v>450</v>
      </c>
      <c r="AC169" s="4"/>
      <c r="AD169" s="4"/>
      <c r="AE169" s="4"/>
      <c r="AF169" s="564"/>
      <c r="AG169" s="1022" t="s">
        <v>795</v>
      </c>
      <c r="AH169" s="1023">
        <f ca="1">20-TaMin-8</f>
        <v>20</v>
      </c>
      <c r="AJ169" s="1022" t="s">
        <v>795</v>
      </c>
      <c r="AK169" s="1023">
        <f ca="1">20-TaMin-8</f>
        <v>20</v>
      </c>
      <c r="AL169" s="1024" t="s">
        <v>452</v>
      </c>
      <c r="AM169" s="999" t="b">
        <f>IF(BB179=1,TRUE,FALSE)</f>
        <v>0</v>
      </c>
      <c r="AN169" s="992" t="s">
        <v>577</v>
      </c>
      <c r="AO169" s="465"/>
      <c r="AP169" s="465"/>
      <c r="AQ169" s="465"/>
      <c r="AR169" s="987"/>
      <c r="AS169" s="994" t="s">
        <v>450</v>
      </c>
      <c r="AT169" s="4"/>
      <c r="AU169" s="4"/>
      <c r="AV169" s="4"/>
      <c r="AW169" s="564"/>
      <c r="AX169" s="1022" t="s">
        <v>795</v>
      </c>
      <c r="AY169" s="1023">
        <f ca="1">20-TaMin-8</f>
        <v>20</v>
      </c>
      <c r="BA169" s="335" t="s">
        <v>2031</v>
      </c>
      <c r="BB169" s="28"/>
      <c r="BC169" s="28" t="s">
        <v>1762</v>
      </c>
      <c r="BP169" s="118" t="str">
        <f>Bauteile!B169</f>
        <v>Joint en lés pour des toits en terrasses</v>
      </c>
      <c r="BQ169" s="2057">
        <v>113</v>
      </c>
      <c r="BU169" s="2098" t="str">
        <f>Bauteile!B198</f>
        <v>Matériaux légers en laine de bois (h.=13%)</v>
      </c>
      <c r="BV169" s="1872">
        <f>Bauteile!H198</f>
        <v>0.2</v>
      </c>
      <c r="BW169" s="2098">
        <f>Bauteile!B465</f>
        <v>0</v>
      </c>
      <c r="BX169" s="2056">
        <f>Bauteile!H465</f>
        <v>0</v>
      </c>
    </row>
    <row r="170" spans="1:76" ht="15.6" customHeight="1">
      <c r="B170" s="11">
        <v>1</v>
      </c>
      <c r="C170" s="2212"/>
      <c r="D170" s="2213"/>
      <c r="E170" s="2214"/>
      <c r="F170" s="10"/>
      <c r="G170" s="59">
        <f>INDEX(Bauteile!$O$280:$O$282,BA170)</f>
        <v>0</v>
      </c>
      <c r="H170" s="312">
        <f>IF(G170=0,0,1/G170)</f>
        <v>0</v>
      </c>
      <c r="I170" s="4"/>
      <c r="J170" s="11">
        <v>1</v>
      </c>
      <c r="K170" s="2212"/>
      <c r="L170" s="2213"/>
      <c r="M170" s="2214"/>
      <c r="N170" s="320"/>
      <c r="O170" s="59">
        <f>INDEX(Bauteile!$O$280:$O$282,BB170)</f>
        <v>0</v>
      </c>
      <c r="P170" s="319">
        <f>IF(O170=0,0,1/O170)</f>
        <v>0</v>
      </c>
      <c r="S170" s="1025" t="s">
        <v>796</v>
      </c>
      <c r="T170" s="1026" t="s">
        <v>797</v>
      </c>
      <c r="U170" s="1027" t="s">
        <v>808</v>
      </c>
      <c r="V170" s="996" t="s">
        <v>571</v>
      </c>
      <c r="W170" s="988" t="s">
        <v>570</v>
      </c>
      <c r="X170" s="466" t="s">
        <v>569</v>
      </c>
      <c r="Y170" s="466" t="s">
        <v>103</v>
      </c>
      <c r="Z170" s="1028" t="s">
        <v>572</v>
      </c>
      <c r="AA170" s="1007" t="s">
        <v>572</v>
      </c>
      <c r="AB170" s="988" t="s">
        <v>569</v>
      </c>
      <c r="AC170" s="464" t="s">
        <v>570</v>
      </c>
      <c r="AD170" s="986" t="s">
        <v>103</v>
      </c>
      <c r="AE170" s="1029" t="s">
        <v>572</v>
      </c>
      <c r="AF170" s="1030" t="s">
        <v>572</v>
      </c>
      <c r="AG170" s="1025" t="s">
        <v>796</v>
      </c>
      <c r="AH170" s="1026" t="s">
        <v>797</v>
      </c>
      <c r="AJ170" s="1025" t="s">
        <v>796</v>
      </c>
      <c r="AK170" s="1026" t="s">
        <v>797</v>
      </c>
      <c r="AL170" s="1027" t="s">
        <v>808</v>
      </c>
      <c r="AM170" s="996" t="s">
        <v>571</v>
      </c>
      <c r="AN170" s="988" t="s">
        <v>570</v>
      </c>
      <c r="AO170" s="466" t="s">
        <v>569</v>
      </c>
      <c r="AP170" s="466" t="s">
        <v>103</v>
      </c>
      <c r="AQ170" s="1028" t="s">
        <v>572</v>
      </c>
      <c r="AR170" s="1031" t="s">
        <v>572</v>
      </c>
      <c r="AS170" s="988" t="s">
        <v>569</v>
      </c>
      <c r="AT170" s="464" t="s">
        <v>570</v>
      </c>
      <c r="AU170" s="986" t="s">
        <v>103</v>
      </c>
      <c r="AV170" s="1029" t="s">
        <v>572</v>
      </c>
      <c r="AW170" s="1030" t="s">
        <v>572</v>
      </c>
      <c r="AX170" s="1025" t="s">
        <v>796</v>
      </c>
      <c r="AY170" s="1026" t="s">
        <v>797</v>
      </c>
      <c r="BA170" s="339">
        <f>IF($C170="",3,VLOOKUP($C170,$BR$36:$BS$38,2,FALSE))</f>
        <v>3</v>
      </c>
      <c r="BB170" s="1502">
        <f>IF($K170="",3,VLOOKUP($K170,$BR$36:$BS$38,2,FALSE))</f>
        <v>3</v>
      </c>
      <c r="BC170" s="332">
        <f>H170</f>
        <v>0</v>
      </c>
      <c r="BP170" s="118">
        <f>Bauteile!B170</f>
        <v>0</v>
      </c>
      <c r="BQ170" s="2057">
        <v>114</v>
      </c>
      <c r="BU170" s="2098" t="str">
        <f>Bauteile!B199</f>
        <v>Mortier bâtard</v>
      </c>
      <c r="BV170" s="1872">
        <f>Bauteile!H199</f>
        <v>1</v>
      </c>
      <c r="BW170" s="2098" t="str">
        <f>Bauteile!B466</f>
        <v>Supafil Timber Frame</v>
      </c>
      <c r="BX170" s="2056">
        <f>Bauteile!H466</f>
        <v>3.4000000000000002E-2</v>
      </c>
    </row>
    <row r="171" spans="1:76" ht="15.6" customHeight="1">
      <c r="B171" s="11">
        <v>2</v>
      </c>
      <c r="C171" s="2212"/>
      <c r="D171" s="2213"/>
      <c r="E171" s="2214"/>
      <c r="F171" s="26"/>
      <c r="G171" s="59">
        <f>INDEX(Bauteile!$H$57:$H$1159,BA171)</f>
        <v>0</v>
      </c>
      <c r="H171" s="312">
        <f>IF(G171&lt;&gt;0,F171/100/G171,0)</f>
        <v>0</v>
      </c>
      <c r="I171" s="4"/>
      <c r="J171" s="11">
        <v>2</v>
      </c>
      <c r="K171" s="2212"/>
      <c r="L171" s="2213"/>
      <c r="M171" s="2214"/>
      <c r="N171" s="320">
        <f t="shared" ref="N171:N177" si="275">IF(F171&gt;0,F171,)</f>
        <v>0</v>
      </c>
      <c r="O171" s="59">
        <f>INDEX(Bauteile!$H$57:$H$1159,BB171)</f>
        <v>0</v>
      </c>
      <c r="P171" s="319">
        <f>IF(O171&lt;&gt;0,N171/100/O171,0)</f>
        <v>0</v>
      </c>
      <c r="S171" s="1032">
        <f>IF(AND(W171&gt;0,X171&gt;0),1/LN(1168*X171/(0.2*W171+X171)/14057400000)*(-3928.5)-231.667,)</f>
        <v>0</v>
      </c>
      <c r="T171" s="1013">
        <f>IF(SUM(H170:H179)&gt;0,20-T169/SUM(H170:H179)*SUM(H170:H171),20)</f>
        <v>20</v>
      </c>
      <c r="U171" s="1033">
        <f>INDEX(Bauteile!$I$57:$I$1159,BA171)</f>
        <v>0</v>
      </c>
      <c r="V171" s="997">
        <f>F171/100</f>
        <v>0</v>
      </c>
      <c r="W171" s="1006">
        <f>V171*U171</f>
        <v>0</v>
      </c>
      <c r="X171" s="563">
        <f t="shared" ref="X171:X176" si="276">U172*V172+X172</f>
        <v>0</v>
      </c>
      <c r="Y171" s="931">
        <f>IF(AND(W171&gt;0,X171&gt;0),Ak/W171-Bk/X171,)</f>
        <v>0</v>
      </c>
      <c r="Z171" s="1034" t="b">
        <f>IF(T171&lt;S171,IF(W171&gt;mj*X171,FALSE,TRUE),FALSE)</f>
        <v>0</v>
      </c>
      <c r="AA171" s="1036">
        <f t="shared" ref="AA171:AA176" si="277">IF(OR(Z172=FALSE,AND(Z171=TRUE,Z172=TRUE)),Y171,0)</f>
        <v>0</v>
      </c>
      <c r="AB171" s="1005"/>
      <c r="AC171" s="1008">
        <f t="shared" ref="AC171:AC176" si="278">V171*U171+AC172</f>
        <v>0</v>
      </c>
      <c r="AD171" s="1035">
        <f t="shared" ref="AD171:AD176" si="279">IF(AND(AB171&gt;0,AC171&gt;0),Ak/AC171-Bk/AB171,)</f>
        <v>0</v>
      </c>
      <c r="AE171" s="995" t="b">
        <f>IF(AH171&lt;AG171,IF(AC171&gt;mj*AB171,FALSE,TRUE),FALSE)</f>
        <v>0</v>
      </c>
      <c r="AF171" s="1036">
        <f t="shared" ref="AF171:AF176" si="280">IF(OR(AE172=FALSE,AND(AE171=TRUE,AE172=TRUE)),AD171,0)</f>
        <v>0</v>
      </c>
      <c r="AG171" s="1037">
        <f>IF(AND(AB171&gt;0,AC171&gt;0),1/LN(1168*AB171/(0.2*AC171+AB171)/14057400000)*(-3928.5)-231.667,)</f>
        <v>0</v>
      </c>
      <c r="AH171" s="1036">
        <f>IF(SUM(H170:H179)&gt;0,20-AH169/SUM(H170:H179)*SUM(H171:H179),20)</f>
        <v>20</v>
      </c>
      <c r="AJ171" s="1032">
        <f>IF(AND(AN171&gt;0,AO171&gt;0),1/LN(1168*AO171/(0.2*AN171+AO171)/14057400000)*(-3928.5)-231.667,)</f>
        <v>0</v>
      </c>
      <c r="AK171" s="1013">
        <f>IF(SUM(P170:P179)&gt;0,20-AK169/SUM(P170:P179)*SUM(P170:P171),20)</f>
        <v>20</v>
      </c>
      <c r="AL171" s="1033">
        <f>INDEX(Bauteile!$I$57:$I$1159,BB171)</f>
        <v>0</v>
      </c>
      <c r="AM171" s="997">
        <f>N171/100</f>
        <v>0</v>
      </c>
      <c r="AN171" s="1006">
        <f>AM171*AL171</f>
        <v>0</v>
      </c>
      <c r="AO171" s="563">
        <f t="shared" ref="AO171:AO176" si="281">AL172*AM172+AO172</f>
        <v>0</v>
      </c>
      <c r="AP171" s="931">
        <f>IF(AND(AN171&gt;0,AO171&gt;0),Ak/AN171-Bk/AO171,)</f>
        <v>0</v>
      </c>
      <c r="AQ171" s="995" t="b">
        <f>IF(AK171&lt;AJ171,IF(AN171&gt;mj*AO171,FALSE,TRUE),FALSE)</f>
        <v>0</v>
      </c>
      <c r="AR171" s="1036">
        <f t="shared" ref="AR171:AR176" si="282">IF(OR(AQ172=FALSE,AND(AQ171=TRUE,AQ172=TRUE)),AP171,0)</f>
        <v>0</v>
      </c>
      <c r="AS171" s="1038"/>
      <c r="AT171" s="1008">
        <f t="shared" ref="AT171:AT176" si="283">AM171*AL171+AT172</f>
        <v>0</v>
      </c>
      <c r="AU171" s="1035">
        <f t="shared" ref="AU171:AU176" si="284">IF(AND(AS171&gt;0,AT171&gt;0),Ak/AT171-Bk/AS171,)</f>
        <v>0</v>
      </c>
      <c r="AV171" s="995" t="b">
        <f>IF(AY171&lt;AX171,IF(AT171&gt;mj*AS171,FALSE,TRUE),FALSE)</f>
        <v>0</v>
      </c>
      <c r="AW171" s="1036">
        <f t="shared" ref="AW171:AW176" si="285">IF(OR(AV172=FALSE,AND(AV171=TRUE,AV172=TRUE)),AU171,0)</f>
        <v>0</v>
      </c>
      <c r="AX171" s="1037">
        <f>IF(AND(AS171&gt;0,AT171&gt;0),1/LN(1168*AS171/(0.2*AT171+AS171)/14057400000)*(-3928.5)-231.667,)</f>
        <v>0</v>
      </c>
      <c r="AY171" s="1036">
        <f>IF(SUM(P170:P179)&gt;0,20-AY169/SUM(P170:P179)*SUM(P171:P179),20)</f>
        <v>20</v>
      </c>
      <c r="BA171" s="341">
        <f>IF($C171="",1,VLOOKUP($C171,$BP$57:$BQ$1010,2,FALSE))</f>
        <v>1</v>
      </c>
      <c r="BB171" s="1504">
        <f>IF($K171="",1,VLOOKUP($K171,$BP$57:$BQ$1010,2,FALSE))</f>
        <v>1</v>
      </c>
      <c r="BC171" s="333">
        <f>IF(AND($D$168*G171&gt;0,$L$168*O171&gt;0),(F171)/(($D$168*G171+$L$168*O171)),)</f>
        <v>0</v>
      </c>
      <c r="BP171" s="118" t="str">
        <f>Bauteile!B171</f>
        <v>Kalkanhydrit-Putzmörtel m=10</v>
      </c>
      <c r="BQ171" s="2057">
        <v>115</v>
      </c>
      <c r="BU171" s="2098" t="str">
        <f>Bauteile!B200</f>
        <v>Mortier d'anhydrit m=10</v>
      </c>
      <c r="BV171" s="1872">
        <f>Bauteile!H200</f>
        <v>0.7</v>
      </c>
      <c r="BW171" s="2098" t="str">
        <f>Bauteile!B467</f>
        <v>Supafil Cavity Wall</v>
      </c>
      <c r="BX171" s="2056">
        <f>Bauteile!H467</f>
        <v>3.4000000000000002E-2</v>
      </c>
    </row>
    <row r="172" spans="1:76" ht="15.6" customHeight="1">
      <c r="B172" s="11">
        <v>3</v>
      </c>
      <c r="C172" s="2212"/>
      <c r="D172" s="2213"/>
      <c r="E172" s="2214"/>
      <c r="F172" s="26"/>
      <c r="G172" s="59">
        <f>INDEX(Bauteile!$H$57:$H$1159,BA172)</f>
        <v>0</v>
      </c>
      <c r="H172" s="312">
        <f t="shared" ref="H172:H177" si="286">IF(G172&lt;&gt;0,F172/100/G172,0)</f>
        <v>0</v>
      </c>
      <c r="I172" s="4"/>
      <c r="J172" s="11">
        <v>3</v>
      </c>
      <c r="K172" s="2212"/>
      <c r="L172" s="2213"/>
      <c r="M172" s="2214"/>
      <c r="N172" s="320">
        <f t="shared" si="275"/>
        <v>0</v>
      </c>
      <c r="O172" s="59">
        <f>INDEX(Bauteile!$H$57:$H$1159,BB172)</f>
        <v>0</v>
      </c>
      <c r="P172" s="319">
        <f t="shared" ref="P172:P177" si="287">IF(O172&lt;&gt;0,N172/100/O172,0)</f>
        <v>0</v>
      </c>
      <c r="S172" s="1039">
        <f t="shared" ref="S172:S177" si="288">IF(AND(W172&gt;0,X172&gt;0),1/LN(1168*X172/(0.2*W172+X172)/14057400000)*(-3928.5)-231.667,)</f>
        <v>0</v>
      </c>
      <c r="T172" s="989">
        <f>IF(SUM(H170:H179)&gt;0,20-T169/SUM(H170:H179)*SUM(H170:H172),20)</f>
        <v>20</v>
      </c>
      <c r="U172" s="1033">
        <f>INDEX(Bauteile!$I$57:$I$1159,BA172)</f>
        <v>0</v>
      </c>
      <c r="V172" s="997">
        <f t="shared" ref="V172:V177" si="289">F172/100</f>
        <v>0</v>
      </c>
      <c r="W172" s="1006">
        <f t="shared" ref="W172:W177" si="290">V172*U172+W171</f>
        <v>0</v>
      </c>
      <c r="X172" s="563">
        <f t="shared" si="276"/>
        <v>0</v>
      </c>
      <c r="Y172" s="931">
        <f t="shared" ref="Y172:Y177" si="291">IF(AND(W172&gt;0,X172&gt;0),Ak/W172-Bk/X172,)</f>
        <v>0</v>
      </c>
      <c r="Z172" s="563" t="b">
        <f t="shared" ref="Z172:Z177" si="292">IF(T172&lt;S172,IF(W172&gt;mj*X172,FALSE,TRUE),FALSE)</f>
        <v>0</v>
      </c>
      <c r="AA172" s="439">
        <f t="shared" si="277"/>
        <v>0</v>
      </c>
      <c r="AB172" s="1009">
        <f t="shared" ref="AB172:AB177" si="293">U171*V171+AB171</f>
        <v>0</v>
      </c>
      <c r="AC172" s="1010">
        <f t="shared" si="278"/>
        <v>0</v>
      </c>
      <c r="AD172" s="931">
        <f t="shared" si="279"/>
        <v>0</v>
      </c>
      <c r="AE172" s="7" t="b">
        <f t="shared" ref="AE172:AE177" si="294">IF(AH172&lt;AG172,IF(AC172&gt;mj*AB172,FALSE,TRUE),FALSE)</f>
        <v>0</v>
      </c>
      <c r="AF172" s="439">
        <f t="shared" si="280"/>
        <v>0</v>
      </c>
      <c r="AG172" s="1040">
        <f t="shared" ref="AG172:AG177" si="295">IF(AND(AB172&gt;0,AC172&gt;0),1/LN(1168*AB172/(0.2*AC172+AB172)/14057400000)*(-3928.5)-231.667,)</f>
        <v>0</v>
      </c>
      <c r="AH172" s="439">
        <f>IF(SUM(H170:H179)&gt;0,20-AH169/SUM(H170:H179)*SUM(H172:H179),20)</f>
        <v>20</v>
      </c>
      <c r="AJ172" s="1039">
        <f t="shared" ref="AJ172:AJ177" si="296">IF(AND(AN172&gt;0,AO172&gt;0),1/LN(1168*AO172/(0.2*AN172+AO172)/14057400000)*(-3928.5)-231.667,)</f>
        <v>0</v>
      </c>
      <c r="AK172" s="989">
        <f>IF(SUM(P170:P179)&gt;0,20-AK169/SUM(P170:P179)*SUM(P170:P172),20)</f>
        <v>20</v>
      </c>
      <c r="AL172" s="1033">
        <f>INDEX(Bauteile!$I$57:$I$1159,BB172)</f>
        <v>0</v>
      </c>
      <c r="AM172" s="997">
        <f t="shared" ref="AM172:AM177" si="297">N172/100</f>
        <v>0</v>
      </c>
      <c r="AN172" s="1006">
        <f t="shared" ref="AN172:AN177" si="298">AM172*AL172+AN171</f>
        <v>0</v>
      </c>
      <c r="AO172" s="563">
        <f t="shared" si="281"/>
        <v>0</v>
      </c>
      <c r="AP172" s="931">
        <f t="shared" ref="AP172:AP177" si="299">IF(AND(AN172&gt;0,AO172&gt;0),Ak/AN172-Bk/AO172,)</f>
        <v>0</v>
      </c>
      <c r="AQ172" s="7" t="b">
        <f t="shared" ref="AQ172:AQ177" si="300">IF(AK172&lt;AJ172,IF(AN172&gt;mj*AO172,FALSE,TRUE),FALSE)</f>
        <v>0</v>
      </c>
      <c r="AR172" s="439">
        <f t="shared" si="282"/>
        <v>0</v>
      </c>
      <c r="AS172" s="5">
        <f t="shared" ref="AS172:AS177" si="301">AL171*AM171+AS171</f>
        <v>0</v>
      </c>
      <c r="AT172" s="1010">
        <f t="shared" si="283"/>
        <v>0</v>
      </c>
      <c r="AU172" s="931">
        <f t="shared" si="284"/>
        <v>0</v>
      </c>
      <c r="AV172" s="7" t="b">
        <f t="shared" ref="AV172:AV177" si="302">IF(AY172&lt;AX172,IF(AT172&gt;mj*AS172,FALSE,TRUE),FALSE)</f>
        <v>0</v>
      </c>
      <c r="AW172" s="439">
        <f t="shared" si="285"/>
        <v>0</v>
      </c>
      <c r="AX172" s="1040">
        <f t="shared" ref="AX172:AX177" si="303">IF(AND(AS172&gt;0,AT172&gt;0),1/LN(1168*AS172/(0.2*AT172+AS172)/14057400000)*(-3928.5)-231.667,)</f>
        <v>0</v>
      </c>
      <c r="AY172" s="439">
        <f>IF(SUM(P170:P179)&gt;0,20-AY169/SUM(P170:P179)*SUM(P172:P179),20)</f>
        <v>20</v>
      </c>
      <c r="BA172" s="341">
        <f t="shared" ref="BA172:BA177" si="304">IF($C172="",1,VLOOKUP($C172,$BP$57:$BQ$1010,2,FALSE))</f>
        <v>1</v>
      </c>
      <c r="BB172" s="1504">
        <f t="shared" ref="BB172:BB177" si="305">IF($K172="",1,VLOOKUP($K172,$BP$57:$BQ$1010,2,FALSE))</f>
        <v>1</v>
      </c>
      <c r="BC172" s="333">
        <f t="shared" ref="BC172:BC177" si="306">IF(AND($D$168*G172&gt;0,$L$168*O172&gt;0),(F172)/(($D$168*G172+$L$168*O172)),)</f>
        <v>0</v>
      </c>
      <c r="BP172" s="118" t="str">
        <f>Bauteile!B172</f>
        <v>Kalkgips-Putzmörtel m=10</v>
      </c>
      <c r="BQ172" s="2057">
        <v>116</v>
      </c>
      <c r="BU172" s="2098" t="str">
        <f>Bauteile!B201</f>
        <v>Mortier de chaux</v>
      </c>
      <c r="BV172" s="1872">
        <f>Bauteile!H201</f>
        <v>0.87</v>
      </c>
      <c r="BW172" s="2098" t="str">
        <f>Bauteile!B468</f>
        <v>ISOVER LAINE TRIV</v>
      </c>
      <c r="BX172" s="2056">
        <f>Bauteile!H468</f>
        <v>3.9E-2</v>
      </c>
    </row>
    <row r="173" spans="1:76" ht="15.6" customHeight="1">
      <c r="B173" s="11">
        <v>4</v>
      </c>
      <c r="C173" s="2212"/>
      <c r="D173" s="2213"/>
      <c r="E173" s="2214"/>
      <c r="F173" s="26"/>
      <c r="G173" s="59">
        <f>INDEX(Bauteile!$H$57:$H$1159,BA173)</f>
        <v>0</v>
      </c>
      <c r="H173" s="312">
        <f t="shared" si="286"/>
        <v>0</v>
      </c>
      <c r="I173" s="4"/>
      <c r="J173" s="11">
        <v>4</v>
      </c>
      <c r="K173" s="2212"/>
      <c r="L173" s="2213"/>
      <c r="M173" s="2214"/>
      <c r="N173" s="320">
        <f t="shared" si="275"/>
        <v>0</v>
      </c>
      <c r="O173" s="59">
        <f>INDEX(Bauteile!$H$57:$H$1159,BB173)</f>
        <v>0</v>
      </c>
      <c r="P173" s="319">
        <f t="shared" si="287"/>
        <v>0</v>
      </c>
      <c r="S173" s="1039">
        <f t="shared" si="288"/>
        <v>0</v>
      </c>
      <c r="T173" s="989">
        <f>IF(SUM(H170:H179)&gt;0,20-T169/SUM(H170:H179)*SUM(H170:H173),20)</f>
        <v>20</v>
      </c>
      <c r="U173" s="1033">
        <f>INDEX(Bauteile!$I$57:$I$1159,BA173)</f>
        <v>0</v>
      </c>
      <c r="V173" s="997">
        <f t="shared" si="289"/>
        <v>0</v>
      </c>
      <c r="W173" s="1006">
        <f t="shared" si="290"/>
        <v>0</v>
      </c>
      <c r="X173" s="563">
        <f t="shared" si="276"/>
        <v>0</v>
      </c>
      <c r="Y173" s="931">
        <f t="shared" si="291"/>
        <v>0</v>
      </c>
      <c r="Z173" s="563" t="b">
        <f t="shared" si="292"/>
        <v>0</v>
      </c>
      <c r="AA173" s="439">
        <f t="shared" si="277"/>
        <v>0</v>
      </c>
      <c r="AB173" s="1009">
        <f t="shared" si="293"/>
        <v>0</v>
      </c>
      <c r="AC173" s="1010">
        <f t="shared" si="278"/>
        <v>0</v>
      </c>
      <c r="AD173" s="931">
        <f t="shared" si="279"/>
        <v>0</v>
      </c>
      <c r="AE173" s="7" t="b">
        <f t="shared" si="294"/>
        <v>0</v>
      </c>
      <c r="AF173" s="439">
        <f t="shared" si="280"/>
        <v>0</v>
      </c>
      <c r="AG173" s="1040">
        <f t="shared" si="295"/>
        <v>0</v>
      </c>
      <c r="AH173" s="439">
        <f>IF(SUM(H170:H179)&gt;0,20-AH169/SUM(H170:H179)*SUM(H173:H179),20)</f>
        <v>20</v>
      </c>
      <c r="AJ173" s="1039">
        <f t="shared" si="296"/>
        <v>0</v>
      </c>
      <c r="AK173" s="989">
        <f>IF(SUM(P170:P179)&gt;0,20-AK169/SUM(P170:P179)*SUM(P170:P173),20)</f>
        <v>20</v>
      </c>
      <c r="AL173" s="1033">
        <f>INDEX(Bauteile!$I$57:$I$1159,BB173)</f>
        <v>0</v>
      </c>
      <c r="AM173" s="997">
        <f t="shared" si="297"/>
        <v>0</v>
      </c>
      <c r="AN173" s="1006">
        <f t="shared" si="298"/>
        <v>0</v>
      </c>
      <c r="AO173" s="563">
        <f t="shared" si="281"/>
        <v>0</v>
      </c>
      <c r="AP173" s="931">
        <f t="shared" si="299"/>
        <v>0</v>
      </c>
      <c r="AQ173" s="7" t="b">
        <f t="shared" si="300"/>
        <v>0</v>
      </c>
      <c r="AR173" s="439">
        <f t="shared" si="282"/>
        <v>0</v>
      </c>
      <c r="AS173" s="5">
        <f t="shared" si="301"/>
        <v>0</v>
      </c>
      <c r="AT173" s="1010">
        <f t="shared" si="283"/>
        <v>0</v>
      </c>
      <c r="AU173" s="931">
        <f t="shared" si="284"/>
        <v>0</v>
      </c>
      <c r="AV173" s="7" t="b">
        <f t="shared" si="302"/>
        <v>0</v>
      </c>
      <c r="AW173" s="439">
        <f t="shared" si="285"/>
        <v>0</v>
      </c>
      <c r="AX173" s="1040">
        <f t="shared" si="303"/>
        <v>0</v>
      </c>
      <c r="AY173" s="439">
        <f>IF(SUM(P170:P179)&gt;0,20-AY169/SUM(P170:P179)*SUM(P173:P179),20)</f>
        <v>20</v>
      </c>
      <c r="BA173" s="341">
        <f t="shared" si="304"/>
        <v>1</v>
      </c>
      <c r="BB173" s="1504">
        <f t="shared" si="305"/>
        <v>1</v>
      </c>
      <c r="BC173" s="333">
        <f t="shared" si="306"/>
        <v>0</v>
      </c>
      <c r="BP173" s="118" t="str">
        <f>Bauteile!B173</f>
        <v>Kalkzement-Putzmörtel m=15</v>
      </c>
      <c r="BQ173" s="2057">
        <v>117</v>
      </c>
      <c r="BU173" s="2098" t="str">
        <f>Bauteile!B202</f>
        <v>Mortier de ciment</v>
      </c>
      <c r="BV173" s="1872">
        <f>Bauteile!H202</f>
        <v>1.4</v>
      </c>
      <c r="BW173" s="2098">
        <f>Bauteile!B469</f>
        <v>0</v>
      </c>
      <c r="BX173" s="2056">
        <f>Bauteile!H469</f>
        <v>0</v>
      </c>
    </row>
    <row r="174" spans="1:76" ht="15.6" customHeight="1">
      <c r="B174" s="11">
        <v>5</v>
      </c>
      <c r="C174" s="2212"/>
      <c r="D174" s="2213"/>
      <c r="E174" s="2214"/>
      <c r="F174" s="26"/>
      <c r="G174" s="59">
        <f>INDEX(Bauteile!$H$57:$H$1159,BA174)</f>
        <v>0</v>
      </c>
      <c r="H174" s="312">
        <f t="shared" si="286"/>
        <v>0</v>
      </c>
      <c r="I174" s="4"/>
      <c r="J174" s="11">
        <v>5</v>
      </c>
      <c r="K174" s="2212"/>
      <c r="L174" s="2213"/>
      <c r="M174" s="2214"/>
      <c r="N174" s="320">
        <f t="shared" si="275"/>
        <v>0</v>
      </c>
      <c r="O174" s="59">
        <f>INDEX(Bauteile!$H$57:$H$1159,BB174)</f>
        <v>0</v>
      </c>
      <c r="P174" s="319">
        <f t="shared" si="287"/>
        <v>0</v>
      </c>
      <c r="S174" s="1039">
        <f t="shared" si="288"/>
        <v>0</v>
      </c>
      <c r="T174" s="989">
        <f>IF(SUM(H170:H179)&gt;0,20-T169/SUM(H170:H179)*SUM(H170:H174),20)</f>
        <v>20</v>
      </c>
      <c r="U174" s="1033">
        <f>INDEX(Bauteile!$I$57:$I$1159,BA174)</f>
        <v>0</v>
      </c>
      <c r="V174" s="997">
        <f t="shared" si="289"/>
        <v>0</v>
      </c>
      <c r="W174" s="1006">
        <f t="shared" si="290"/>
        <v>0</v>
      </c>
      <c r="X174" s="563">
        <f t="shared" si="276"/>
        <v>0</v>
      </c>
      <c r="Y174" s="931">
        <f t="shared" si="291"/>
        <v>0</v>
      </c>
      <c r="Z174" s="563" t="b">
        <f t="shared" si="292"/>
        <v>0</v>
      </c>
      <c r="AA174" s="439">
        <f t="shared" si="277"/>
        <v>0</v>
      </c>
      <c r="AB174" s="1009">
        <f t="shared" si="293"/>
        <v>0</v>
      </c>
      <c r="AC174" s="1010">
        <f t="shared" si="278"/>
        <v>0</v>
      </c>
      <c r="AD174" s="931">
        <f t="shared" si="279"/>
        <v>0</v>
      </c>
      <c r="AE174" s="7" t="b">
        <f t="shared" si="294"/>
        <v>0</v>
      </c>
      <c r="AF174" s="439">
        <f t="shared" si="280"/>
        <v>0</v>
      </c>
      <c r="AG174" s="1040">
        <f t="shared" si="295"/>
        <v>0</v>
      </c>
      <c r="AH174" s="439">
        <f>IF(SUM(H170:H179)&gt;0,20-AH169/SUM(H170:H179)*SUM(H174:H179),20)</f>
        <v>20</v>
      </c>
      <c r="AJ174" s="1039">
        <f t="shared" si="296"/>
        <v>0</v>
      </c>
      <c r="AK174" s="989">
        <f>IF(SUM(P170:P179)&gt;0,20-AK169/SUM(P170:P179)*SUM(P170:P174),20)</f>
        <v>20</v>
      </c>
      <c r="AL174" s="1033">
        <f>INDEX(Bauteile!$I$57:$I$1159,BB174)</f>
        <v>0</v>
      </c>
      <c r="AM174" s="997">
        <f t="shared" si="297"/>
        <v>0</v>
      </c>
      <c r="AN174" s="1006">
        <f t="shared" si="298"/>
        <v>0</v>
      </c>
      <c r="AO174" s="563">
        <f t="shared" si="281"/>
        <v>0</v>
      </c>
      <c r="AP174" s="931">
        <f t="shared" si="299"/>
        <v>0</v>
      </c>
      <c r="AQ174" s="7" t="b">
        <f t="shared" si="300"/>
        <v>0</v>
      </c>
      <c r="AR174" s="439">
        <f t="shared" si="282"/>
        <v>0</v>
      </c>
      <c r="AS174" s="5">
        <f t="shared" si="301"/>
        <v>0</v>
      </c>
      <c r="AT174" s="1010">
        <f t="shared" si="283"/>
        <v>0</v>
      </c>
      <c r="AU174" s="931">
        <f t="shared" si="284"/>
        <v>0</v>
      </c>
      <c r="AV174" s="7" t="b">
        <f t="shared" si="302"/>
        <v>0</v>
      </c>
      <c r="AW174" s="439">
        <f t="shared" si="285"/>
        <v>0</v>
      </c>
      <c r="AX174" s="1040">
        <f t="shared" si="303"/>
        <v>0</v>
      </c>
      <c r="AY174" s="439">
        <f>IF(SUM(P170:P179)&gt;0,20-AY169/SUM(P170:P179)*SUM(P174:P179),20)</f>
        <v>20</v>
      </c>
      <c r="BA174" s="341">
        <f t="shared" si="304"/>
        <v>1</v>
      </c>
      <c r="BB174" s="1504">
        <f t="shared" si="305"/>
        <v>1</v>
      </c>
      <c r="BC174" s="333">
        <f t="shared" si="306"/>
        <v>0</v>
      </c>
      <c r="BP174" s="118" t="str">
        <f>Bauteile!B174</f>
        <v>Kalkzement-Putzmörtel m=35</v>
      </c>
      <c r="BQ174" s="2057">
        <v>118</v>
      </c>
      <c r="BU174" s="2098" t="str">
        <f>Bauteile!B203</f>
        <v>Mosaïque céramique</v>
      </c>
      <c r="BV174" s="1872">
        <f>Bauteile!H203</f>
        <v>1</v>
      </c>
      <c r="BW174" s="2099" t="str">
        <f>Bauteile!B470</f>
        <v>**** Verre cellulaire ****</v>
      </c>
      <c r="BX174" s="2056">
        <f>Bauteile!H470</f>
        <v>0</v>
      </c>
    </row>
    <row r="175" spans="1:76" ht="15.6" customHeight="1">
      <c r="B175" s="11">
        <v>6</v>
      </c>
      <c r="C175" s="2212"/>
      <c r="D175" s="2213"/>
      <c r="E175" s="2214"/>
      <c r="F175" s="26"/>
      <c r="G175" s="59">
        <f>INDEX(Bauteile!$H$57:$H$1159,BA175)</f>
        <v>0</v>
      </c>
      <c r="H175" s="312">
        <f t="shared" si="286"/>
        <v>0</v>
      </c>
      <c r="I175" s="4"/>
      <c r="J175" s="11">
        <v>6</v>
      </c>
      <c r="K175" s="2212"/>
      <c r="L175" s="2213"/>
      <c r="M175" s="2214"/>
      <c r="N175" s="320">
        <f t="shared" si="275"/>
        <v>0</v>
      </c>
      <c r="O175" s="59">
        <f>INDEX(Bauteile!$H$57:$H$1159,BB175)</f>
        <v>0</v>
      </c>
      <c r="P175" s="319">
        <f t="shared" si="287"/>
        <v>0</v>
      </c>
      <c r="S175" s="1039">
        <f t="shared" si="288"/>
        <v>0</v>
      </c>
      <c r="T175" s="989">
        <f>IF(SUM(H170:H179)&gt;0,20-T169/SUM(H170:H179)*SUM(H170:H175),20)</f>
        <v>20</v>
      </c>
      <c r="U175" s="1033">
        <f>INDEX(Bauteile!$I$57:$I$1159,BA175)</f>
        <v>0</v>
      </c>
      <c r="V175" s="997">
        <f t="shared" si="289"/>
        <v>0</v>
      </c>
      <c r="W175" s="1006">
        <f t="shared" si="290"/>
        <v>0</v>
      </c>
      <c r="X175" s="563">
        <f t="shared" si="276"/>
        <v>0</v>
      </c>
      <c r="Y175" s="931">
        <f t="shared" si="291"/>
        <v>0</v>
      </c>
      <c r="Z175" s="563" t="b">
        <f t="shared" si="292"/>
        <v>0</v>
      </c>
      <c r="AA175" s="439">
        <f t="shared" si="277"/>
        <v>0</v>
      </c>
      <c r="AB175" s="1009">
        <f t="shared" si="293"/>
        <v>0</v>
      </c>
      <c r="AC175" s="1010">
        <f t="shared" si="278"/>
        <v>0</v>
      </c>
      <c r="AD175" s="931">
        <f t="shared" si="279"/>
        <v>0</v>
      </c>
      <c r="AE175" s="7" t="b">
        <f t="shared" si="294"/>
        <v>0</v>
      </c>
      <c r="AF175" s="439">
        <f t="shared" si="280"/>
        <v>0</v>
      </c>
      <c r="AG175" s="1040">
        <f t="shared" si="295"/>
        <v>0</v>
      </c>
      <c r="AH175" s="439">
        <f>IF(SUM(H170:H179)&gt;0,20-AH169/SUM(H170:H179)*SUM(H175:H179),20)</f>
        <v>20</v>
      </c>
      <c r="AJ175" s="1039">
        <f t="shared" si="296"/>
        <v>0</v>
      </c>
      <c r="AK175" s="989">
        <f>IF(SUM(P170:P179)&gt;0,20-AK169/SUM(P170:P179)*SUM(P170:P175),20)</f>
        <v>20</v>
      </c>
      <c r="AL175" s="1033">
        <f>INDEX(Bauteile!$I$57:$I$1159,BB175)</f>
        <v>0</v>
      </c>
      <c r="AM175" s="997">
        <f t="shared" si="297"/>
        <v>0</v>
      </c>
      <c r="AN175" s="1006">
        <f t="shared" si="298"/>
        <v>0</v>
      </c>
      <c r="AO175" s="563">
        <f t="shared" si="281"/>
        <v>0</v>
      </c>
      <c r="AP175" s="931">
        <f t="shared" si="299"/>
        <v>0</v>
      </c>
      <c r="AQ175" s="7" t="b">
        <f t="shared" si="300"/>
        <v>0</v>
      </c>
      <c r="AR175" s="439">
        <f t="shared" si="282"/>
        <v>0</v>
      </c>
      <c r="AS175" s="5">
        <f t="shared" si="301"/>
        <v>0</v>
      </c>
      <c r="AT175" s="1010">
        <f t="shared" si="283"/>
        <v>0</v>
      </c>
      <c r="AU175" s="931">
        <f t="shared" si="284"/>
        <v>0</v>
      </c>
      <c r="AV175" s="7" t="b">
        <f t="shared" si="302"/>
        <v>0</v>
      </c>
      <c r="AW175" s="439">
        <f t="shared" si="285"/>
        <v>0</v>
      </c>
      <c r="AX175" s="1040">
        <f t="shared" si="303"/>
        <v>0</v>
      </c>
      <c r="AY175" s="439">
        <f>IF(SUM(P170:P179)&gt;0,20-AY169/SUM(P170:P179)*SUM(P175:P179),20)</f>
        <v>20</v>
      </c>
      <c r="BA175" s="341">
        <f t="shared" si="304"/>
        <v>1</v>
      </c>
      <c r="BB175" s="1504">
        <f t="shared" si="305"/>
        <v>1</v>
      </c>
      <c r="BC175" s="333">
        <f t="shared" si="306"/>
        <v>0</v>
      </c>
      <c r="BP175" s="118" t="str">
        <f>Bauteile!B175</f>
        <v>Kellenwurf</v>
      </c>
      <c r="BQ175" s="2057">
        <v>119</v>
      </c>
      <c r="BU175" s="2098">
        <f>Bauteile!B204</f>
        <v>0</v>
      </c>
      <c r="BV175" s="1872">
        <f>Bauteile!H204</f>
        <v>0</v>
      </c>
      <c r="BW175" s="2098" t="str">
        <f>Bauteile!B471</f>
        <v>FOAMGLAS T3+</v>
      </c>
      <c r="BX175" s="2056">
        <f>Bauteile!H471</f>
        <v>3.5999999999999997E-2</v>
      </c>
    </row>
    <row r="176" spans="1:76" ht="15.6" customHeight="1">
      <c r="B176" s="11">
        <v>7</v>
      </c>
      <c r="C176" s="2212"/>
      <c r="D176" s="2213"/>
      <c r="E176" s="2214"/>
      <c r="F176" s="26"/>
      <c r="G176" s="59">
        <f>INDEX(Bauteile!$H$57:$H$1159,BA176)</f>
        <v>0</v>
      </c>
      <c r="H176" s="312">
        <f t="shared" si="286"/>
        <v>0</v>
      </c>
      <c r="I176" s="4"/>
      <c r="J176" s="11">
        <v>7</v>
      </c>
      <c r="K176" s="2212"/>
      <c r="L176" s="2213"/>
      <c r="M176" s="2214"/>
      <c r="N176" s="320">
        <f t="shared" si="275"/>
        <v>0</v>
      </c>
      <c r="O176" s="59">
        <f>INDEX(Bauteile!$H$57:$H$1159,BB176)</f>
        <v>0</v>
      </c>
      <c r="P176" s="319">
        <f t="shared" si="287"/>
        <v>0</v>
      </c>
      <c r="S176" s="1039">
        <f t="shared" si="288"/>
        <v>0</v>
      </c>
      <c r="T176" s="989">
        <f>IF(SUM(H170:H179)&gt;0,20-T169/SUM(H170:H179)*SUM(H170:H176),20)</f>
        <v>20</v>
      </c>
      <c r="U176" s="1033">
        <f>INDEX(Bauteile!$I$57:$I$1159,BA176)</f>
        <v>0</v>
      </c>
      <c r="V176" s="997">
        <f t="shared" si="289"/>
        <v>0</v>
      </c>
      <c r="W176" s="1006">
        <f t="shared" si="290"/>
        <v>0</v>
      </c>
      <c r="X176" s="563">
        <f t="shared" si="276"/>
        <v>0</v>
      </c>
      <c r="Y176" s="931">
        <f t="shared" si="291"/>
        <v>0</v>
      </c>
      <c r="Z176" s="563" t="b">
        <f t="shared" si="292"/>
        <v>0</v>
      </c>
      <c r="AA176" s="439">
        <f t="shared" si="277"/>
        <v>0</v>
      </c>
      <c r="AB176" s="1009">
        <f t="shared" si="293"/>
        <v>0</v>
      </c>
      <c r="AC176" s="1010">
        <f t="shared" si="278"/>
        <v>0</v>
      </c>
      <c r="AD176" s="931">
        <f t="shared" si="279"/>
        <v>0</v>
      </c>
      <c r="AE176" s="7" t="b">
        <f t="shared" si="294"/>
        <v>0</v>
      </c>
      <c r="AF176" s="439">
        <f t="shared" si="280"/>
        <v>0</v>
      </c>
      <c r="AG176" s="1040">
        <f t="shared" si="295"/>
        <v>0</v>
      </c>
      <c r="AH176" s="439">
        <f>IF(SUM(H170:H179)&gt;0,20-AH169/SUM(H170:H179)*SUM(H176:H179),20)</f>
        <v>20</v>
      </c>
      <c r="AJ176" s="1039">
        <f t="shared" si="296"/>
        <v>0</v>
      </c>
      <c r="AK176" s="989">
        <f>IF(SUM(P170:P179)&gt;0,20-AK169/SUM(P170:P179)*SUM(P170:P176),20)</f>
        <v>20</v>
      </c>
      <c r="AL176" s="1033">
        <f>INDEX(Bauteile!$I$57:$I$1159,BB176)</f>
        <v>0</v>
      </c>
      <c r="AM176" s="997">
        <f t="shared" si="297"/>
        <v>0</v>
      </c>
      <c r="AN176" s="1006">
        <f t="shared" si="298"/>
        <v>0</v>
      </c>
      <c r="AO176" s="563">
        <f t="shared" si="281"/>
        <v>0</v>
      </c>
      <c r="AP176" s="931">
        <f t="shared" si="299"/>
        <v>0</v>
      </c>
      <c r="AQ176" s="7" t="b">
        <f t="shared" si="300"/>
        <v>0</v>
      </c>
      <c r="AR176" s="439">
        <f t="shared" si="282"/>
        <v>0</v>
      </c>
      <c r="AS176" s="5">
        <f t="shared" si="301"/>
        <v>0</v>
      </c>
      <c r="AT176" s="1010">
        <f t="shared" si="283"/>
        <v>0</v>
      </c>
      <c r="AU176" s="931">
        <f t="shared" si="284"/>
        <v>0</v>
      </c>
      <c r="AV176" s="7" t="b">
        <f t="shared" si="302"/>
        <v>0</v>
      </c>
      <c r="AW176" s="439">
        <f t="shared" si="285"/>
        <v>0</v>
      </c>
      <c r="AX176" s="1040">
        <f t="shared" si="303"/>
        <v>0</v>
      </c>
      <c r="AY176" s="439">
        <f>IF(SUM(P170:P179)&gt;0,20-AY169/SUM(P170:P179)*SUM(P176:P179),20)</f>
        <v>20</v>
      </c>
      <c r="BA176" s="341">
        <f t="shared" si="304"/>
        <v>1</v>
      </c>
      <c r="BB176" s="1504">
        <f t="shared" si="305"/>
        <v>1</v>
      </c>
      <c r="BC176" s="333">
        <f t="shared" si="306"/>
        <v>0</v>
      </c>
      <c r="BP176" s="118">
        <f>Bauteile!B176</f>
        <v>0</v>
      </c>
      <c r="BQ176" s="2057">
        <v>120</v>
      </c>
      <c r="BU176" s="2098" t="str">
        <f>Bauteile!B205</f>
        <v>Panneau à fibres orientées (OSB)</v>
      </c>
      <c r="BV176" s="1872">
        <f>Bauteile!H205</f>
        <v>0.13</v>
      </c>
      <c r="BW176" s="2098" t="str">
        <f>Bauteile!B472</f>
        <v>FOAMGLAS Tapered T3+</v>
      </c>
      <c r="BX176" s="2056">
        <f>Bauteile!H472</f>
        <v>3.5999999999999997E-2</v>
      </c>
    </row>
    <row r="177" spans="2:76" ht="15.6" customHeight="1" thickBot="1">
      <c r="B177" s="11">
        <v>8</v>
      </c>
      <c r="C177" s="2212"/>
      <c r="D177" s="2213"/>
      <c r="E177" s="2214"/>
      <c r="F177" s="26"/>
      <c r="G177" s="59">
        <f>INDEX(Bauteile!$H$57:$H$1159,BA177)</f>
        <v>0</v>
      </c>
      <c r="H177" s="312">
        <f t="shared" si="286"/>
        <v>0</v>
      </c>
      <c r="I177" s="4"/>
      <c r="J177" s="11">
        <v>8</v>
      </c>
      <c r="K177" s="2212"/>
      <c r="L177" s="2213"/>
      <c r="M177" s="2214"/>
      <c r="N177" s="320">
        <f t="shared" si="275"/>
        <v>0</v>
      </c>
      <c r="O177" s="59">
        <f>INDEX(Bauteile!$H$57:$H$1159,BB177)</f>
        <v>0</v>
      </c>
      <c r="P177" s="319">
        <f t="shared" si="287"/>
        <v>0</v>
      </c>
      <c r="S177" s="1041">
        <f t="shared" si="288"/>
        <v>0</v>
      </c>
      <c r="T177" s="1014">
        <f>IF(SUM(H170:H179)&gt;0,20-T169/SUM(H170:H179)*SUM(H170:H177),20)</f>
        <v>20</v>
      </c>
      <c r="U177" s="1033">
        <f>INDEX(Bauteile!$I$57:$I$1159,BA177)</f>
        <v>0</v>
      </c>
      <c r="V177" s="997">
        <f t="shared" si="289"/>
        <v>0</v>
      </c>
      <c r="W177" s="1004">
        <f t="shared" si="290"/>
        <v>0</v>
      </c>
      <c r="X177" s="11"/>
      <c r="Y177" s="1042">
        <f t="shared" si="291"/>
        <v>0</v>
      </c>
      <c r="Z177" s="11" t="b">
        <f t="shared" si="292"/>
        <v>0</v>
      </c>
      <c r="AA177" s="1043"/>
      <c r="AB177" s="1011">
        <f t="shared" si="293"/>
        <v>0</v>
      </c>
      <c r="AC177" s="1012">
        <f>V177*U177</f>
        <v>0</v>
      </c>
      <c r="AD177" s="1042">
        <f>IF(AND(AB177&gt;0,AC177&gt;0),Ak/AC177-Bk/AB177,)</f>
        <v>0</v>
      </c>
      <c r="AE177" s="9" t="b">
        <f t="shared" si="294"/>
        <v>0</v>
      </c>
      <c r="AF177" s="1043"/>
      <c r="AG177" s="1044">
        <f t="shared" si="295"/>
        <v>0</v>
      </c>
      <c r="AH177" s="1043">
        <f>IF(SUM(H170:H179)&gt;0,20-AH169/SUM(H170:H179)*SUM(H177:H179),20)</f>
        <v>20</v>
      </c>
      <c r="AJ177" s="1041">
        <f t="shared" si="296"/>
        <v>0</v>
      </c>
      <c r="AK177" s="1014">
        <f>IF(SUM(P170:P179)&gt;0,20-AK169/SUM(P170:P179)*SUM(P170:P177),20)</f>
        <v>20</v>
      </c>
      <c r="AL177" s="1033">
        <f>INDEX(Bauteile!$I$57:$I$1159,BB177)</f>
        <v>0</v>
      </c>
      <c r="AM177" s="997">
        <f t="shared" si="297"/>
        <v>0</v>
      </c>
      <c r="AN177" s="1004">
        <f t="shared" si="298"/>
        <v>0</v>
      </c>
      <c r="AO177" s="11"/>
      <c r="AP177" s="1042">
        <f t="shared" si="299"/>
        <v>0</v>
      </c>
      <c r="AQ177" s="9" t="b">
        <f t="shared" si="300"/>
        <v>0</v>
      </c>
      <c r="AR177" s="1043"/>
      <c r="AS177" s="10">
        <f t="shared" si="301"/>
        <v>0</v>
      </c>
      <c r="AT177" s="1012">
        <f>AM177*AL177</f>
        <v>0</v>
      </c>
      <c r="AU177" s="1042">
        <f>IF(AND(AS177&gt;0,AT177&gt;0),Ak/AT177-Bk/AS177,)</f>
        <v>0</v>
      </c>
      <c r="AV177" s="9" t="b">
        <f t="shared" si="302"/>
        <v>0</v>
      </c>
      <c r="AW177" s="1043"/>
      <c r="AX177" s="1044">
        <f t="shared" si="303"/>
        <v>0</v>
      </c>
      <c r="AY177" s="1043">
        <f>IF(SUM(P170:P179)&gt;0,20-AY169/SUM(P170:P179)*SUM(P177:P179),20)</f>
        <v>20</v>
      </c>
      <c r="BA177" s="341">
        <f t="shared" si="304"/>
        <v>1</v>
      </c>
      <c r="BB177" s="1504">
        <f t="shared" si="305"/>
        <v>1</v>
      </c>
      <c r="BC177" s="333">
        <f t="shared" si="306"/>
        <v>0</v>
      </c>
      <c r="BP177" s="118" t="str">
        <f>Bauteile!B177</f>
        <v>Laine de bois, couverture 10mm (N), l. 0.10</v>
      </c>
      <c r="BQ177" s="2057">
        <v>121</v>
      </c>
      <c r="BU177" s="2098" t="str">
        <f>Bauteile!B206</f>
        <v>Panneau de bois croisé</v>
      </c>
      <c r="BV177" s="1872">
        <f>Bauteile!H206</f>
        <v>0.44</v>
      </c>
      <c r="BW177" s="2098" t="str">
        <f>Bauteile!B473</f>
        <v>FOAMGLAS W+F</v>
      </c>
      <c r="BX177" s="2056">
        <f>Bauteile!H473</f>
        <v>3.7999999999999999E-2</v>
      </c>
    </row>
    <row r="178" spans="2:76" ht="15.6" customHeight="1" thickBot="1">
      <c r="B178" s="11">
        <v>9</v>
      </c>
      <c r="C178" s="2212"/>
      <c r="D178" s="2213"/>
      <c r="E178" s="2214"/>
      <c r="F178" s="10"/>
      <c r="G178" s="59">
        <f>INDEX(Bauteile!$P$284:$P$296,BA178,1)</f>
        <v>0</v>
      </c>
      <c r="H178" s="312">
        <f>IF(G178=0,0,1/G178)</f>
        <v>0</v>
      </c>
      <c r="I178" s="4"/>
      <c r="J178" s="11">
        <v>9</v>
      </c>
      <c r="K178" s="2212"/>
      <c r="L178" s="2213"/>
      <c r="M178" s="2214"/>
      <c r="N178" s="320"/>
      <c r="O178" s="59">
        <f>INDEX(Bauteile!$P$284:$P$296,BB178,1)</f>
        <v>0</v>
      </c>
      <c r="P178" s="319">
        <f>IF(O178=0,0,1/O178)</f>
        <v>0</v>
      </c>
      <c r="S178" s="1045"/>
      <c r="T178" s="1046"/>
      <c r="U178" s="1047" t="b">
        <f>IF(AND(V168,V169&lt;&gt;TRUE),Z178,IF(AND(V169,V168&lt;&gt;TRUE),AE178,FALSE))</f>
        <v>0</v>
      </c>
      <c r="V178" s="1015" t="str">
        <f>IF(AND(V168,V169&lt;&gt;TRUE),AA178,IF(AND(V169,V168&lt;&gt;TRUE),AF178,""))</f>
        <v/>
      </c>
      <c r="W178" s="990"/>
      <c r="X178" s="991"/>
      <c r="Y178" s="991"/>
      <c r="Z178" s="1048" t="b">
        <f>IF(OR(Z171,Z172,Z173,Z174,Z175,Z176,Z177),TRUE,FALSE)</f>
        <v>0</v>
      </c>
      <c r="AA178" s="993">
        <f>MAX(AA171:AA177)</f>
        <v>0</v>
      </c>
      <c r="AB178" s="990"/>
      <c r="AC178" s="991"/>
      <c r="AD178" s="991"/>
      <c r="AE178" s="1048" t="b">
        <f>IF(OR(AE171,AE172,AE173,AE174,AE175,AE176,AE177),TRUE,FALSE)</f>
        <v>0</v>
      </c>
      <c r="AF178" s="1049">
        <f>MAX(AF171:AF177)</f>
        <v>0</v>
      </c>
      <c r="AG178" s="1045"/>
      <c r="AH178" s="1046"/>
      <c r="AJ178" s="1045"/>
      <c r="AK178" s="1046"/>
      <c r="AL178" s="1047" t="b">
        <f>IF(AND(AM168,AM169&lt;&gt;TRUE),AQ178,IF(AND(AM169,AM168&lt;&gt;TRUE),AV178,FALSE))</f>
        <v>0</v>
      </c>
      <c r="AM178" s="1015" t="str">
        <f>IF(AND(AM168,AM169&lt;&gt;TRUE),AR178,IF(AND(AM169,AM168&lt;&gt;TRUE),AW178,""))</f>
        <v/>
      </c>
      <c r="AN178" s="990"/>
      <c r="AO178" s="991"/>
      <c r="AP178" s="991"/>
      <c r="AQ178" s="1048" t="b">
        <f>IF(OR(AQ171,AQ172,AQ173,AQ174,AQ175,AQ176,AQ177),TRUE,FALSE)</f>
        <v>0</v>
      </c>
      <c r="AR178" s="1049">
        <f>MAX(AR171:AR177)</f>
        <v>0</v>
      </c>
      <c r="AS178" s="990"/>
      <c r="AT178" s="991"/>
      <c r="AU178" s="991"/>
      <c r="AV178" s="1048" t="b">
        <f>IF(OR(AV171,AV172,AV173,AV174,AV175,AV176,AV177),TRUE,FALSE)</f>
        <v>0</v>
      </c>
      <c r="AW178" s="1049">
        <f>MAX(AW171:AW177)</f>
        <v>0</v>
      </c>
      <c r="AX178" s="1045"/>
      <c r="AY178" s="1046"/>
      <c r="BA178" s="341">
        <f>IF($C178="",1,VLOOKUP($C178,$BR$40:$BS$52,2,FALSE))</f>
        <v>1</v>
      </c>
      <c r="BB178" s="1504">
        <f>IF($K178="",1,VLOOKUP($K178,$BR$40:$BS$52,2,FALSE))</f>
        <v>1</v>
      </c>
      <c r="BC178" s="333">
        <f>H178</f>
        <v>0</v>
      </c>
      <c r="BP178" s="118" t="str">
        <f>Bauteile!B178</f>
        <v>Laine de bois, couverture 5mm (N), l. 0.15</v>
      </c>
      <c r="BQ178" s="2057">
        <v>122</v>
      </c>
      <c r="BU178" s="2098" t="str">
        <f>Bauteile!B207</f>
        <v>Panneau de constr., amiante-ciment, f. lisse</v>
      </c>
      <c r="BV178" s="1872">
        <f>Bauteile!H207</f>
        <v>0.45</v>
      </c>
      <c r="BW178" s="2098" t="str">
        <f>Bauteile!B474</f>
        <v>FOAMGLAS Wall Board W+F</v>
      </c>
      <c r="BX178" s="2056">
        <f>Bauteile!H474</f>
        <v>3.7999999999999999E-2</v>
      </c>
    </row>
    <row r="179" spans="2:76" ht="15.6" customHeight="1">
      <c r="B179" s="11">
        <v>10</v>
      </c>
      <c r="C179" s="2212"/>
      <c r="D179" s="2213"/>
      <c r="E179" s="2214"/>
      <c r="F179" s="10"/>
      <c r="G179" s="59">
        <f>INDEX(Bauteile!$O$280:$O$282,BA179)</f>
        <v>0</v>
      </c>
      <c r="H179" s="312">
        <f>IF(G179=0,0,1/G179)</f>
        <v>0</v>
      </c>
      <c r="I179" s="15"/>
      <c r="J179" s="11">
        <v>10</v>
      </c>
      <c r="K179" s="2212"/>
      <c r="L179" s="2213"/>
      <c r="M179" s="2214"/>
      <c r="N179" s="320"/>
      <c r="O179" s="59">
        <f>INDEX(Bauteile!$O$280:$O$282,BB179)</f>
        <v>0</v>
      </c>
      <c r="P179" s="319">
        <f>IF(O179=0,0,1/O179)</f>
        <v>0</v>
      </c>
      <c r="AL179" s="116"/>
      <c r="BA179" s="340">
        <f>IF($C179="",3,VLOOKUP($C179,$BR$36:$BS$38,2,FALSE))</f>
        <v>3</v>
      </c>
      <c r="BB179" s="1505">
        <f>IF($K179="",3,VLOOKUP($K179,$BR$36:$BS$38,2,FALSE))</f>
        <v>3</v>
      </c>
      <c r="BC179" s="334">
        <f>H179</f>
        <v>0</v>
      </c>
      <c r="BP179" s="118" t="str">
        <f>Bauteile!B179</f>
        <v>Laine de bois, couverture 7.5mm (N), l. 0.125</v>
      </c>
      <c r="BQ179" s="2057">
        <v>123</v>
      </c>
      <c r="BU179" s="2098" t="str">
        <f>Bauteile!B208</f>
        <v>Panneau de construction en plâtre</v>
      </c>
      <c r="BV179" s="1872">
        <f>Bauteile!H208</f>
        <v>0.4</v>
      </c>
      <c r="BW179" s="2098" t="str">
        <f>Bauteile!B475</f>
        <v>FOAMGLAS T4+</v>
      </c>
      <c r="BX179" s="2056">
        <f>Bauteile!H475</f>
        <v>4.1000000000000002E-2</v>
      </c>
    </row>
    <row r="180" spans="2:76" ht="4.1500000000000004" customHeight="1">
      <c r="B180" s="4"/>
      <c r="C180" s="258"/>
      <c r="D180" s="258"/>
      <c r="E180" s="258"/>
      <c r="F180" s="4"/>
      <c r="G180" s="4"/>
      <c r="H180" s="21"/>
      <c r="I180" s="4"/>
      <c r="J180" s="4"/>
      <c r="K180" s="258"/>
      <c r="L180" s="4"/>
      <c r="M180" s="4"/>
      <c r="N180" s="4"/>
      <c r="O180" s="4"/>
      <c r="P180" s="21"/>
      <c r="R180" s="2"/>
      <c r="S180" s="1051"/>
      <c r="AH180" s="467"/>
      <c r="AI180" s="467"/>
      <c r="AJ180" s="467"/>
      <c r="AK180" s="467"/>
      <c r="AL180" s="467"/>
      <c r="BP180" s="118" t="str">
        <f>Bauteile!B180</f>
        <v>Laine de brebis (N)</v>
      </c>
      <c r="BQ180" s="2057">
        <v>124</v>
      </c>
      <c r="BU180" s="2098"/>
      <c r="BV180" s="2051"/>
      <c r="BW180" s="2098" t="str">
        <f>Bauteile!B476</f>
        <v>FOAMGLAS Tapered T4+</v>
      </c>
      <c r="BX180" s="2056">
        <f>Bauteile!H476</f>
        <v>4.1000000000000002E-2</v>
      </c>
    </row>
    <row r="181" spans="2:76" ht="15.6" hidden="1" customHeight="1">
      <c r="B181" s="4"/>
      <c r="C181" s="258"/>
      <c r="D181" s="258"/>
      <c r="E181" s="258"/>
      <c r="F181" s="4"/>
      <c r="G181" s="4"/>
      <c r="H181" s="21"/>
      <c r="I181" s="4"/>
      <c r="J181" s="4"/>
      <c r="K181" s="258"/>
      <c r="L181" s="4"/>
      <c r="M181" s="4"/>
      <c r="N181" s="4"/>
      <c r="O181" s="4"/>
      <c r="P181" s="21"/>
      <c r="R181" s="2"/>
      <c r="S181" s="1051"/>
      <c r="AH181" s="467"/>
      <c r="AI181" s="467"/>
      <c r="AJ181" s="467"/>
      <c r="AK181" s="467"/>
      <c r="AL181" s="467"/>
      <c r="BP181" s="118" t="str">
        <f>Bauteile!B181</f>
        <v>Laine de pierre, en vrac (N)</v>
      </c>
      <c r="BQ181" s="2057">
        <v>125</v>
      </c>
      <c r="BU181" s="2098"/>
      <c r="BV181" s="2051"/>
      <c r="BW181" s="2098" t="str">
        <f>Bauteile!B477</f>
        <v>FOAMGLAS Ready Block T4+</v>
      </c>
      <c r="BX181" s="2056">
        <f>Bauteile!H477</f>
        <v>4.1000000000000002E-2</v>
      </c>
    </row>
    <row r="182" spans="2:76" ht="22.9" customHeight="1">
      <c r="B182" s="99" t="str">
        <f>Uebersetzung!D465</f>
        <v>Constructions:</v>
      </c>
      <c r="F182" s="1582" t="str">
        <f>Uebersetzung!D451</f>
        <v>Valeur U W/m2K</v>
      </c>
      <c r="G182" s="1582" t="str">
        <f>IF(GraueEnergie,"Graue Energie","")</f>
        <v/>
      </c>
      <c r="H182" s="929" t="str">
        <f>Uebersetzung!D452</f>
        <v>Valeur b:</v>
      </c>
      <c r="I182" s="929"/>
      <c r="N182" s="1582" t="str">
        <f>F182</f>
        <v>Valeur U W/m2K</v>
      </c>
      <c r="O182" s="1582" t="str">
        <f>IF(GraueEnergie,"Graue Energie","")</f>
        <v/>
      </c>
      <c r="P182" s="929" t="s">
        <v>2010</v>
      </c>
      <c r="Q182" s="929"/>
      <c r="BP182" s="118" t="str">
        <f>Bauteile!B182</f>
        <v>Laine de pierre, panneaux, matelas (N)</v>
      </c>
      <c r="BQ182" s="2057">
        <v>126</v>
      </c>
      <c r="BU182" s="2098" t="str">
        <f>Bauteile!B209</f>
        <v>Panneau de construction en plâtre cartonné</v>
      </c>
      <c r="BV182" s="1872">
        <f>Bauteile!H209</f>
        <v>0.21</v>
      </c>
      <c r="BW182" s="2098" t="str">
        <f>Bauteile!B478</f>
        <v>FOAMGLAS Ready Board T4+</v>
      </c>
      <c r="BX182" s="2056">
        <f>Bauteile!H478</f>
        <v>4.1000000000000002E-2</v>
      </c>
    </row>
    <row r="183" spans="2:76" ht="3" customHeight="1">
      <c r="P183" s="4"/>
      <c r="BP183" s="118" t="str">
        <f>Bauteile!B183</f>
        <v>Laine de pierre, panneaux, matelas (U)</v>
      </c>
      <c r="BQ183" s="2057">
        <v>127</v>
      </c>
      <c r="BU183" s="2098"/>
      <c r="BV183" s="2051"/>
      <c r="BW183" s="2098" t="str">
        <f>Bauteile!B479</f>
        <v>FOAMGLAS Floor Board T4+</v>
      </c>
      <c r="BX183" s="2056">
        <f>Bauteile!H479</f>
        <v>4.1000000000000002E-2</v>
      </c>
    </row>
    <row r="184" spans="2:76" ht="18" hidden="1" customHeight="1">
      <c r="B184" s="102">
        <v>20</v>
      </c>
      <c r="C184" s="2232"/>
      <c r="D184" s="2228"/>
      <c r="E184" s="2233"/>
      <c r="F184" s="1423" t="str">
        <f>F148</f>
        <v/>
      </c>
      <c r="G184" s="2" t="s">
        <v>247</v>
      </c>
      <c r="H184" s="927">
        <f>D147</f>
        <v>0</v>
      </c>
      <c r="J184" s="102">
        <v>21</v>
      </c>
      <c r="K184" s="2222"/>
      <c r="L184" s="2223"/>
      <c r="M184" s="2224"/>
      <c r="N184" s="1423" t="str">
        <f>F165</f>
        <v/>
      </c>
      <c r="O184" s="2" t="s">
        <v>247</v>
      </c>
      <c r="P184" s="927">
        <f>D164</f>
        <v>0</v>
      </c>
      <c r="BP184" s="118" t="str">
        <f>Bauteile!B184</f>
        <v>Laine de roche, en vrac (N)</v>
      </c>
      <c r="BQ184" s="2057">
        <v>128</v>
      </c>
      <c r="BU184" s="2098"/>
      <c r="BV184" s="2051"/>
      <c r="BW184" s="2098" t="str">
        <f>Bauteile!B480</f>
        <v>FOAMGLAS S3</v>
      </c>
      <c r="BX184" s="2056">
        <f>Bauteile!H480</f>
        <v>4.4999999999999998E-2</v>
      </c>
    </row>
    <row r="185" spans="2:76" ht="18" customHeight="1">
      <c r="B185" s="102">
        <v>22</v>
      </c>
      <c r="C185" s="2229"/>
      <c r="D185" s="2230"/>
      <c r="E185" s="2231"/>
      <c r="F185" s="103"/>
      <c r="G185" s="1583"/>
      <c r="H185" s="928"/>
      <c r="J185" s="102">
        <v>27</v>
      </c>
      <c r="K185" s="2222"/>
      <c r="L185" s="2223"/>
      <c r="M185" s="2224"/>
      <c r="N185" s="103"/>
      <c r="O185" s="1583"/>
      <c r="P185" s="928"/>
      <c r="BP185" s="118" t="str">
        <f>Bauteile!B185</f>
        <v>Laine de roche, panneaux, matelas, rouleaux (N)</v>
      </c>
      <c r="BQ185" s="2057">
        <v>129</v>
      </c>
      <c r="BU185" s="2098" t="str">
        <f>Bauteile!B210</f>
        <v>Panneau de copeaux de bois, minéralisés</v>
      </c>
      <c r="BV185" s="1872">
        <f>Bauteile!H210</f>
        <v>8.5000000000000006E-2</v>
      </c>
      <c r="BW185" s="2098" t="str">
        <f>Bauteile!B481</f>
        <v>FOAMGLAS Tapered S3</v>
      </c>
      <c r="BX185" s="2056">
        <f>Bauteile!H481</f>
        <v>4.4999999999999998E-2</v>
      </c>
    </row>
    <row r="186" spans="2:76" ht="18" customHeight="1">
      <c r="B186" s="102">
        <v>23</v>
      </c>
      <c r="C186" s="2225"/>
      <c r="D186" s="2226"/>
      <c r="E186" s="2227"/>
      <c r="F186" s="103"/>
      <c r="G186" s="1583"/>
      <c r="H186" s="928"/>
      <c r="J186" s="102">
        <v>28</v>
      </c>
      <c r="K186" s="2222"/>
      <c r="L186" s="2223"/>
      <c r="M186" s="2224"/>
      <c r="N186" s="103"/>
      <c r="O186" s="1583"/>
      <c r="P186" s="928"/>
      <c r="V186" s="926"/>
      <c r="X186" s="926"/>
      <c r="BP186" s="118" t="str">
        <f>Bauteile!B186</f>
        <v>Laine de roche, panneaux, matelas, rouleaux (U)</v>
      </c>
      <c r="BQ186" s="2057">
        <v>130</v>
      </c>
      <c r="BU186" s="2098" t="str">
        <f>Bauteile!B211</f>
        <v>Panneau de fibres de bois (N)</v>
      </c>
      <c r="BV186" s="1872">
        <f>Bauteile!H211</f>
        <v>0.08</v>
      </c>
      <c r="BW186" s="2098" t="str">
        <f>Bauteile!B482</f>
        <v>FOAMGLAS Ready Board S3</v>
      </c>
      <c r="BX186" s="2056">
        <f>Bauteile!H482</f>
        <v>4.4999999999999998E-2</v>
      </c>
    </row>
    <row r="187" spans="2:76" ht="18" customHeight="1">
      <c r="B187" s="102">
        <v>24</v>
      </c>
      <c r="C187" s="2225"/>
      <c r="D187" s="2226"/>
      <c r="E187" s="2227"/>
      <c r="F187" s="103"/>
      <c r="G187" s="1583"/>
      <c r="H187" s="928"/>
      <c r="J187" s="102">
        <v>29</v>
      </c>
      <c r="K187" s="2222"/>
      <c r="L187" s="2223"/>
      <c r="M187" s="2224"/>
      <c r="N187" s="103"/>
      <c r="O187" s="1583"/>
      <c r="P187" s="928"/>
      <c r="V187" s="926"/>
      <c r="X187" s="926"/>
      <c r="BP187" s="118" t="str">
        <f>Bauteile!B187</f>
        <v>Laine de verre, en vrac (N)</v>
      </c>
      <c r="BQ187" s="2057">
        <v>131</v>
      </c>
      <c r="BU187" s="2098" t="str">
        <f>Bauteile!B212</f>
        <v>Panneau de fibres de bois (U)</v>
      </c>
      <c r="BV187" s="1872">
        <f>Bauteile!H212</f>
        <v>5.1999999999999998E-2</v>
      </c>
      <c r="BW187" s="2098" t="str">
        <f>Bauteile!B483</f>
        <v>FOAMGLAS Floor Board S3</v>
      </c>
      <c r="BX187" s="2056">
        <f>Bauteile!H483</f>
        <v>4.4999999999999998E-2</v>
      </c>
    </row>
    <row r="188" spans="2:76" ht="18" customHeight="1">
      <c r="B188" s="102">
        <v>25</v>
      </c>
      <c r="C188" s="2222"/>
      <c r="D188" s="2223"/>
      <c r="E188" s="2224"/>
      <c r="F188" s="103"/>
      <c r="G188" s="1583"/>
      <c r="H188" s="928"/>
      <c r="J188" s="102">
        <v>30</v>
      </c>
      <c r="K188" s="2222"/>
      <c r="L188" s="2223"/>
      <c r="M188" s="2224"/>
      <c r="N188" s="103"/>
      <c r="O188" s="1583"/>
      <c r="P188" s="928"/>
      <c r="V188" s="926"/>
      <c r="X188" s="926"/>
      <c r="BP188" s="118" t="str">
        <f>Bauteile!B188</f>
        <v>Laine de verre, panneaux, matelas (N)</v>
      </c>
      <c r="BQ188" s="2057">
        <v>132</v>
      </c>
      <c r="BU188" s="2098" t="str">
        <f>Bauteile!B213</f>
        <v>Panneau de fibres de bois, mi-durs</v>
      </c>
      <c r="BV188" s="1872">
        <f>Bauteile!H213</f>
        <v>8.5000000000000006E-2</v>
      </c>
      <c r="BW188" s="2098" t="str">
        <f>Bauteile!B484</f>
        <v>FOAMGLAS F</v>
      </c>
      <c r="BX188" s="2056">
        <f>Bauteile!H484</f>
        <v>0.05</v>
      </c>
    </row>
    <row r="189" spans="2:76" ht="18" customHeight="1">
      <c r="B189" s="102">
        <v>26</v>
      </c>
      <c r="C189" s="2222"/>
      <c r="D189" s="2223"/>
      <c r="E189" s="2224"/>
      <c r="F189" s="103"/>
      <c r="G189" s="1583"/>
      <c r="H189" s="927"/>
      <c r="J189" s="102">
        <v>31</v>
      </c>
      <c r="K189" s="2222"/>
      <c r="L189" s="2223"/>
      <c r="M189" s="2224"/>
      <c r="N189" s="103"/>
      <c r="O189" s="1583"/>
      <c r="P189" s="928"/>
      <c r="V189" s="926"/>
      <c r="X189" s="926"/>
      <c r="BP189" s="118" t="str">
        <f>Bauteile!B189</f>
        <v>Laine de verre, panneaux, matelas (U)</v>
      </c>
      <c r="BQ189" s="2057">
        <v>133</v>
      </c>
      <c r="BU189" s="2098" t="str">
        <f>Bauteile!B214</f>
        <v>Panneau de fibres de bois, poreux</v>
      </c>
      <c r="BV189" s="1872">
        <f>Bauteile!H214</f>
        <v>0.05</v>
      </c>
      <c r="BW189" s="2098" t="str">
        <f>Bauteile!B485</f>
        <v>FOAMGLAS Tapered F</v>
      </c>
      <c r="BX189" s="2056">
        <f>Bauteile!H485</f>
        <v>0.05</v>
      </c>
    </row>
    <row r="190" spans="2:76" ht="18" customHeight="1">
      <c r="BP190" s="118" t="str">
        <f>Bauteile!B190</f>
        <v>Laiton</v>
      </c>
      <c r="BQ190" s="2057">
        <v>134</v>
      </c>
      <c r="BU190" s="2098" t="str">
        <f>Bauteile!B215</f>
        <v>Panneau de fibres de lin (N)</v>
      </c>
      <c r="BV190" s="1872">
        <f>Bauteile!H215</f>
        <v>5.5E-2</v>
      </c>
      <c r="BW190" s="2098" t="str">
        <f>Bauteile!B486</f>
        <v>FOAMGLAS Ready Board F</v>
      </c>
      <c r="BX190" s="2056">
        <f>Bauteile!H486</f>
        <v>0.05</v>
      </c>
    </row>
    <row r="191" spans="2:76" ht="18" customHeight="1">
      <c r="BP191" s="118" t="str">
        <f>Bauteile!B191</f>
        <v>Lambris en pin</v>
      </c>
      <c r="BQ191" s="2057">
        <v>135</v>
      </c>
      <c r="BU191" s="2098"/>
      <c r="BV191" s="1872"/>
      <c r="BW191" s="2098" t="str">
        <f>Bauteile!B487</f>
        <v>FOAMGLAS Floor Board F</v>
      </c>
      <c r="BX191" s="2056">
        <f>Bauteile!H487</f>
        <v>0.05</v>
      </c>
    </row>
    <row r="192" spans="2:76" ht="56.45" customHeight="1">
      <c r="B192" s="436" t="str">
        <f>Uebersetzung!D466</f>
        <v>Eléments variables par mois:</v>
      </c>
      <c r="F192" s="527">
        <v>100</v>
      </c>
      <c r="H192" s="528">
        <v>0</v>
      </c>
      <c r="N192" s="527">
        <v>100</v>
      </c>
      <c r="P192" s="528">
        <v>0</v>
      </c>
      <c r="BP192" s="118" t="str">
        <f>Bauteile!B192</f>
        <v>Liège, panneaux, matelas (N)</v>
      </c>
      <c r="BQ192" s="2057">
        <v>136</v>
      </c>
      <c r="BU192" s="2099" t="str">
        <f>Bauteile!B216</f>
        <v>Panneau en laine de bois (N), lambda 0.11</v>
      </c>
      <c r="BV192" s="1872">
        <f>Bauteile!H216</f>
        <v>0.11</v>
      </c>
      <c r="BW192" s="2098" t="str">
        <f>Bauteile!B488</f>
        <v>FOAMGLAS Perinsul S</v>
      </c>
      <c r="BX192" s="2056">
        <f>Bauteile!H488</f>
        <v>0.05</v>
      </c>
    </row>
    <row r="193" spans="2:76" ht="18" customHeight="1">
      <c r="B193" s="2" t="s">
        <v>1198</v>
      </c>
      <c r="C193" s="447" t="str">
        <f>IF(Drehung=1,Uebersetzung!D468,Uebersetzung!D467)</f>
        <v xml:space="preserve">Exposition Sud  </v>
      </c>
      <c r="D193" s="2" t="s">
        <v>1209</v>
      </c>
      <c r="F193" s="2" t="str">
        <f>Uebersetzung!D449</f>
        <v>Valeur U</v>
      </c>
      <c r="H193" s="1581" t="str">
        <f>Uebersetzung!D450</f>
        <v>Valeur g</v>
      </c>
      <c r="J193" s="2" t="s">
        <v>1198</v>
      </c>
      <c r="K193" s="434" t="str">
        <f>IF(Drehung=1,Uebersetzung!D470,Uebersetzung!D469)</f>
        <v xml:space="preserve">Exposition Est  </v>
      </c>
      <c r="L193" s="2" t="s">
        <v>1209</v>
      </c>
      <c r="N193" s="2" t="str">
        <f>F193</f>
        <v>Valeur U</v>
      </c>
      <c r="P193" s="435" t="str">
        <f>H193</f>
        <v>Valeur g</v>
      </c>
      <c r="BP193" s="118" t="str">
        <f>Bauteile!B193</f>
        <v>Liège, panneaux, matelas (U)</v>
      </c>
      <c r="BQ193" s="2057">
        <v>137</v>
      </c>
      <c r="BU193" s="2098" t="str">
        <f>Bauteile!B217</f>
        <v>Panneau en laine de bois (U), lambda 0.089</v>
      </c>
      <c r="BV193" s="1872">
        <f>Bauteile!H217</f>
        <v>8.8999999999999996E-2</v>
      </c>
      <c r="BW193" s="2098">
        <f>Bauteile!B489</f>
        <v>0</v>
      </c>
      <c r="BX193" s="2056">
        <f>Bauteile!H489</f>
        <v>0</v>
      </c>
    </row>
    <row r="194" spans="2:76" ht="18" customHeight="1">
      <c r="B194" s="102">
        <v>32</v>
      </c>
      <c r="C194" s="442"/>
      <c r="D194" s="2">
        <f ca="1">Thetaea</f>
        <v>0</v>
      </c>
      <c r="E194" s="2" t="s">
        <v>2324</v>
      </c>
      <c r="F194" s="454">
        <f ca="1">(F195*(20-D195)+F196*(20-D196)+F197*(20-D197)+F198*(20-D198)+F199*(20-D199)+F200*(20-D200)+F201*(20-D201)+F202*(20-D202)+F203*(20-D203)+F204*(20-D204)+F205*(20-D205)+F206*(20-D206))/((20-D194)*12)</f>
        <v>0</v>
      </c>
      <c r="G194" s="2" t="s">
        <v>247</v>
      </c>
      <c r="H194" s="438">
        <f ca="1">(H195*(20-D195)+H196*(20-D196)+H197*(20-D197)+H198*(20-D198)+H199*(20-D199)+H200*(20-D200)+H201*(20-D201)+H202*(20-D202)+H203*(20-D203)+H204*(20-D204)+H205*(20-D205)+H206*(20-D206))/((20-D194)*12)</f>
        <v>0</v>
      </c>
      <c r="J194" s="102">
        <v>33</v>
      </c>
      <c r="K194" s="442"/>
      <c r="L194" s="2">
        <f t="shared" ref="L194:L206" ca="1" si="307">D194</f>
        <v>0</v>
      </c>
      <c r="M194" s="2" t="s">
        <v>2324</v>
      </c>
      <c r="N194" s="454">
        <f ca="1">(N195*(20-L195)+N196*(20-L196)+N197*(20-L197)+N198*(20-L198)+N199*(20-L199)+N200*(20-L200)+N201*(20-L201)+N202*(20-L202)+N203*(20-L203)+N204*(20-L204)+N205*(20-L205)+N206*(20-L206))/((20-L194)*12)</f>
        <v>0</v>
      </c>
      <c r="O194" s="2" t="s">
        <v>247</v>
      </c>
      <c r="P194" s="454">
        <f ca="1">(P195*(20-L195)+P196*(20-L196)+P197*(20-L197)+P198*(20-L198)+P199*(20-L199)+P200*(20-L200)+P201*(20-L201)+P202*(20-L202)+P203*(20-L203)+P204*(20-L204)+P205*(20-L205)+P206*(20-L206))/((20-L194)*12)</f>
        <v>0</v>
      </c>
      <c r="BP194" s="118" t="str">
        <f>Bauteile!B194</f>
        <v>Laine de mouton (N)</v>
      </c>
      <c r="BQ194" s="2057">
        <v>138</v>
      </c>
      <c r="BU194" s="2098">
        <f>Bauteile!B218</f>
        <v>0</v>
      </c>
      <c r="BV194" s="1872">
        <f>Bauteile!H218</f>
        <v>1</v>
      </c>
      <c r="BW194" s="2098" t="str">
        <f>Bauteile!B490</f>
        <v>Misapor 10/75</v>
      </c>
      <c r="BX194" s="2056">
        <f>Bauteile!H490</f>
        <v>8.1000000000000003E-2</v>
      </c>
    </row>
    <row r="195" spans="2:76" ht="18" customHeight="1">
      <c r="C195" s="434" t="str">
        <f>Uebersetzung!D475</f>
        <v>Janvier</v>
      </c>
      <c r="D195" s="2">
        <f ca="1">'M1'!C15</f>
        <v>0</v>
      </c>
      <c r="E195" s="2" t="s">
        <v>2324</v>
      </c>
      <c r="F195" s="103"/>
      <c r="G195" s="2" t="s">
        <v>247</v>
      </c>
      <c r="H195" s="437"/>
      <c r="K195" s="434" t="str">
        <f>C195</f>
        <v>Janvier</v>
      </c>
      <c r="L195" s="2">
        <f t="shared" ca="1" si="307"/>
        <v>0</v>
      </c>
      <c r="M195" s="2" t="s">
        <v>2324</v>
      </c>
      <c r="N195" s="103"/>
      <c r="O195" s="2" t="s">
        <v>247</v>
      </c>
      <c r="P195" s="103"/>
      <c r="BP195" s="118" t="str">
        <f>Bauteile!B195</f>
        <v>Marbre</v>
      </c>
      <c r="BQ195" s="2057">
        <v>139</v>
      </c>
      <c r="BU195" s="2098" t="str">
        <f>Bauteile!B219</f>
        <v>Panneaux isolants sous vide (VIP)</v>
      </c>
      <c r="BV195" s="1872">
        <f>Bauteile!H219</f>
        <v>0.02</v>
      </c>
      <c r="BW195" s="2098" t="str">
        <f>Bauteile!B491</f>
        <v>MISAPOR 10/50</v>
      </c>
      <c r="BX195" s="2056">
        <f>Bauteile!H491</f>
        <v>8.5000000000000006E-2</v>
      </c>
    </row>
    <row r="196" spans="2:76" ht="18" customHeight="1">
      <c r="C196" s="434" t="str">
        <f>Uebersetzung!D476</f>
        <v>Février</v>
      </c>
      <c r="D196" s="2">
        <f ca="1">'M1'!D15</f>
        <v>0</v>
      </c>
      <c r="E196" s="2" t="s">
        <v>2324</v>
      </c>
      <c r="F196" s="103"/>
      <c r="G196" s="2" t="s">
        <v>247</v>
      </c>
      <c r="H196" s="437"/>
      <c r="K196" s="434" t="str">
        <f t="shared" ref="K196:K206" si="308">C196</f>
        <v>Février</v>
      </c>
      <c r="L196" s="2">
        <f t="shared" ca="1" si="307"/>
        <v>0</v>
      </c>
      <c r="M196" s="2" t="s">
        <v>2324</v>
      </c>
      <c r="N196" s="103"/>
      <c r="O196" s="2" t="s">
        <v>247</v>
      </c>
      <c r="P196" s="103"/>
      <c r="BP196" s="118" t="str">
        <f>Bauteile!B196</f>
        <v>Matelas en fibres de chanvre (N)</v>
      </c>
      <c r="BQ196" s="2057">
        <v>140</v>
      </c>
      <c r="BU196" s="2098" t="str">
        <f>Bauteile!B220</f>
        <v>Panneau de particules (densité 300)</v>
      </c>
      <c r="BV196" s="1872">
        <f>Bauteile!H220</f>
        <v>0.1</v>
      </c>
      <c r="BW196" s="2098" t="str">
        <f>Bauteile!B492</f>
        <v>ecoglas</v>
      </c>
      <c r="BX196" s="2056">
        <f>Bauteile!H492</f>
        <v>8.7999999999999995E-2</v>
      </c>
    </row>
    <row r="197" spans="2:76" ht="18" customHeight="1">
      <c r="C197" s="434" t="str">
        <f>Uebersetzung!D477</f>
        <v>Mars</v>
      </c>
      <c r="D197" s="2">
        <f ca="1">'M1'!E15</f>
        <v>0</v>
      </c>
      <c r="E197" s="2" t="s">
        <v>2324</v>
      </c>
      <c r="F197" s="103"/>
      <c r="G197" s="2" t="s">
        <v>247</v>
      </c>
      <c r="H197" s="437"/>
      <c r="K197" s="434" t="str">
        <f t="shared" si="308"/>
        <v>Mars</v>
      </c>
      <c r="L197" s="2">
        <f t="shared" ca="1" si="307"/>
        <v>0</v>
      </c>
      <c r="M197" s="2" t="s">
        <v>2324</v>
      </c>
      <c r="N197" s="103"/>
      <c r="O197" s="2" t="s">
        <v>247</v>
      </c>
      <c r="P197" s="103"/>
      <c r="BP197" s="118" t="str">
        <f>Bauteile!B197</f>
        <v>Matelas en fibres de cocos (N)</v>
      </c>
      <c r="BQ197" s="2057">
        <v>141</v>
      </c>
      <c r="BU197" s="2098" t="str">
        <f>Bauteile!B221</f>
        <v>Panneau de particules (densité 600)</v>
      </c>
      <c r="BV197" s="1872">
        <f>Bauteile!H221</f>
        <v>0.14000000000000001</v>
      </c>
      <c r="BW197" s="2098" t="str">
        <f>Bauteile!B493</f>
        <v>Perlite, vermiculite: en vrac; non controlé</v>
      </c>
      <c r="BX197" s="2056">
        <f>Bauteile!H493</f>
        <v>0.08</v>
      </c>
    </row>
    <row r="198" spans="2:76" ht="18" customHeight="1">
      <c r="C198" s="434" t="str">
        <f>Uebersetzung!D478</f>
        <v>Avril</v>
      </c>
      <c r="D198" s="2">
        <f ca="1">'M1'!F15</f>
        <v>0</v>
      </c>
      <c r="E198" s="2" t="s">
        <v>2324</v>
      </c>
      <c r="F198" s="103"/>
      <c r="G198" s="2" t="s">
        <v>247</v>
      </c>
      <c r="H198" s="437"/>
      <c r="K198" s="434" t="str">
        <f t="shared" si="308"/>
        <v>Avril</v>
      </c>
      <c r="L198" s="2">
        <f t="shared" ca="1" si="307"/>
        <v>0</v>
      </c>
      <c r="M198" s="2" t="s">
        <v>2324</v>
      </c>
      <c r="N198" s="103"/>
      <c r="O198" s="2" t="s">
        <v>247</v>
      </c>
      <c r="P198" s="103"/>
      <c r="BP198" s="118" t="str">
        <f>Bauteile!B198</f>
        <v>Matériaux légers en laine de bois (h.=13%)</v>
      </c>
      <c r="BQ198" s="2057">
        <v>142</v>
      </c>
      <c r="BU198" s="2098" t="str">
        <f>Bauteile!B222</f>
        <v>Panneau de particules (densité 900)</v>
      </c>
      <c r="BV198" s="1872">
        <f>Bauteile!H222</f>
        <v>0.19</v>
      </c>
      <c r="BW198" s="2098">
        <f>Bauteile!B494</f>
        <v>0</v>
      </c>
      <c r="BX198" s="2056">
        <f>Bauteile!H494</f>
        <v>0</v>
      </c>
    </row>
    <row r="199" spans="2:76" ht="18" customHeight="1">
      <c r="C199" s="434" t="str">
        <f>Uebersetzung!D479</f>
        <v>Mai</v>
      </c>
      <c r="D199" s="2">
        <f ca="1">'M1'!G15</f>
        <v>0</v>
      </c>
      <c r="E199" s="2" t="s">
        <v>2324</v>
      </c>
      <c r="F199" s="103"/>
      <c r="G199" s="2" t="s">
        <v>247</v>
      </c>
      <c r="H199" s="437"/>
      <c r="K199" s="434" t="str">
        <f t="shared" si="308"/>
        <v>Mai</v>
      </c>
      <c r="L199" s="2">
        <f t="shared" ca="1" si="307"/>
        <v>0</v>
      </c>
      <c r="M199" s="2" t="s">
        <v>2324</v>
      </c>
      <c r="N199" s="103"/>
      <c r="O199" s="2" t="s">
        <v>247</v>
      </c>
      <c r="P199" s="103"/>
      <c r="BP199" s="118" t="str">
        <f>Bauteile!B199</f>
        <v>Mortier bâtard</v>
      </c>
      <c r="BQ199" s="2057">
        <v>143</v>
      </c>
      <c r="BU199" s="2099" t="str">
        <f>Bauteile!B223</f>
        <v>Panneau de particules lié au ciment</v>
      </c>
      <c r="BV199" s="1872">
        <f>Bauteile!H223</f>
        <v>0.23</v>
      </c>
      <c r="BW199" s="2098" t="str">
        <f>Bauteile!B495</f>
        <v>BACHL DS Perlit Dämmschüttung</v>
      </c>
      <c r="BX199" s="2056">
        <f>Bauteile!H495</f>
        <v>0.05</v>
      </c>
    </row>
    <row r="200" spans="2:76" ht="18" customHeight="1">
      <c r="C200" s="434" t="str">
        <f>Uebersetzung!D480</f>
        <v>Juin</v>
      </c>
      <c r="D200" s="2">
        <f ca="1">'M1'!H15</f>
        <v>0</v>
      </c>
      <c r="E200" s="2" t="s">
        <v>2324</v>
      </c>
      <c r="F200" s="103"/>
      <c r="G200" s="2" t="s">
        <v>247</v>
      </c>
      <c r="H200" s="437"/>
      <c r="K200" s="434" t="str">
        <f t="shared" si="308"/>
        <v>Juin</v>
      </c>
      <c r="L200" s="2">
        <f t="shared" ca="1" si="307"/>
        <v>0</v>
      </c>
      <c r="M200" s="2" t="s">
        <v>2324</v>
      </c>
      <c r="N200" s="103"/>
      <c r="O200" s="2" t="s">
        <v>247</v>
      </c>
      <c r="P200" s="103"/>
      <c r="BP200" s="118" t="str">
        <f>Bauteile!B200</f>
        <v>Mortier d'anhydrit m=10</v>
      </c>
      <c r="BQ200" s="2057">
        <v>144</v>
      </c>
      <c r="BU200" s="2098" t="str">
        <f>Bauteile!B224</f>
        <v>Panneau dur en fibres de bois</v>
      </c>
      <c r="BV200" s="1872">
        <f>Bauteile!H224</f>
        <v>0.17</v>
      </c>
      <c r="BW200" s="2098" t="str">
        <f>Bauteile!B496</f>
        <v>BACHL ES Perlit Dämmschüttung</v>
      </c>
      <c r="BX200" s="2056">
        <f>Bauteile!H496</f>
        <v>0.05</v>
      </c>
    </row>
    <row r="201" spans="2:76" ht="18" customHeight="1">
      <c r="C201" s="434" t="str">
        <f>Uebersetzung!D481</f>
        <v>Juillet</v>
      </c>
      <c r="D201" s="2">
        <f ca="1">'M1'!I15</f>
        <v>0</v>
      </c>
      <c r="E201" s="2" t="s">
        <v>2324</v>
      </c>
      <c r="F201" s="103"/>
      <c r="G201" s="2" t="s">
        <v>247</v>
      </c>
      <c r="H201" s="437"/>
      <c r="K201" s="434" t="str">
        <f t="shared" si="308"/>
        <v>Juillet</v>
      </c>
      <c r="L201" s="2">
        <f t="shared" ca="1" si="307"/>
        <v>0</v>
      </c>
      <c r="M201" s="2" t="s">
        <v>2324</v>
      </c>
      <c r="N201" s="103"/>
      <c r="O201" s="2" t="s">
        <v>247</v>
      </c>
      <c r="P201" s="103"/>
      <c r="BP201" s="118" t="str">
        <f>Bauteile!B201</f>
        <v>Mortier de chaux</v>
      </c>
      <c r="BQ201" s="2057">
        <v>145</v>
      </c>
      <c r="BU201" s="2098" t="str">
        <f>Bauteile!B225</f>
        <v>Panneau en bois aggloméré, lambda 0.11</v>
      </c>
      <c r="BV201" s="1872">
        <f>Bauteile!H225</f>
        <v>0.11</v>
      </c>
      <c r="BW201" s="2098" t="str">
        <f>Bauteile!B497</f>
        <v>BACHL HY Perlit Dämmschüttung</v>
      </c>
      <c r="BX201" s="2056">
        <f>Bauteile!H497</f>
        <v>0.05</v>
      </c>
    </row>
    <row r="202" spans="2:76" ht="18" customHeight="1">
      <c r="C202" s="434" t="str">
        <f>Uebersetzung!D482</f>
        <v>Août</v>
      </c>
      <c r="D202" s="2">
        <f ca="1">'M1'!J15</f>
        <v>0</v>
      </c>
      <c r="E202" s="2" t="s">
        <v>2324</v>
      </c>
      <c r="F202" s="103"/>
      <c r="G202" s="2" t="s">
        <v>247</v>
      </c>
      <c r="H202" s="437"/>
      <c r="K202" s="434" t="str">
        <f t="shared" si="308"/>
        <v>Août</v>
      </c>
      <c r="L202" s="2">
        <f t="shared" ca="1" si="307"/>
        <v>0</v>
      </c>
      <c r="M202" s="2" t="s">
        <v>2324</v>
      </c>
      <c r="N202" s="103"/>
      <c r="O202" s="2" t="s">
        <v>247</v>
      </c>
      <c r="P202" s="103"/>
      <c r="BP202" s="118" t="str">
        <f>Bauteile!B202</f>
        <v>Mortier de ciment</v>
      </c>
      <c r="BQ202" s="2057">
        <v>146</v>
      </c>
      <c r="BU202" s="2098" t="str">
        <f>Bauteile!B226</f>
        <v>Panneau en bois aggloméré, lambda 0.15</v>
      </c>
      <c r="BV202" s="1872">
        <f>Bauteile!H226</f>
        <v>0.15</v>
      </c>
      <c r="BW202" s="2098">
        <f>Bauteile!B498</f>
        <v>0</v>
      </c>
      <c r="BX202" s="2056">
        <f>Bauteile!H498</f>
        <v>0</v>
      </c>
    </row>
    <row r="203" spans="2:76" ht="18" customHeight="1">
      <c r="C203" s="434" t="str">
        <f>Uebersetzung!D483</f>
        <v>Septembre</v>
      </c>
      <c r="D203" s="2">
        <f ca="1">'M1'!K15</f>
        <v>0</v>
      </c>
      <c r="E203" s="2" t="s">
        <v>2324</v>
      </c>
      <c r="F203" s="103"/>
      <c r="G203" s="2" t="s">
        <v>247</v>
      </c>
      <c r="H203" s="437"/>
      <c r="K203" s="434" t="str">
        <f t="shared" si="308"/>
        <v>Septembre</v>
      </c>
      <c r="L203" s="2">
        <f t="shared" ca="1" si="307"/>
        <v>0</v>
      </c>
      <c r="M203" s="2" t="s">
        <v>2324</v>
      </c>
      <c r="N203" s="103"/>
      <c r="O203" s="2" t="s">
        <v>247</v>
      </c>
      <c r="P203" s="103"/>
      <c r="BP203" s="118" t="str">
        <f>Bauteile!B203</f>
        <v>Mosaïque céramique</v>
      </c>
      <c r="BQ203" s="2057">
        <v>147</v>
      </c>
      <c r="BU203" s="2098" t="str">
        <f>Bauteile!B227</f>
        <v>Panneau isolant, copeaux de bois aggl. cim.</v>
      </c>
      <c r="BV203" s="1872">
        <f>Bauteile!H227</f>
        <v>0.12</v>
      </c>
      <c r="BW203" s="2098">
        <f>Bauteile!B499</f>
        <v>0</v>
      </c>
      <c r="BX203" s="2056">
        <f>Bauteile!H499</f>
        <v>0</v>
      </c>
    </row>
    <row r="204" spans="2:76" ht="18" customHeight="1">
      <c r="C204" s="434" t="str">
        <f>Uebersetzung!D484</f>
        <v>Octobre</v>
      </c>
      <c r="D204" s="2">
        <f ca="1">'M1'!L15</f>
        <v>0</v>
      </c>
      <c r="E204" s="2" t="s">
        <v>2324</v>
      </c>
      <c r="F204" s="103"/>
      <c r="G204" s="2" t="s">
        <v>247</v>
      </c>
      <c r="H204" s="437"/>
      <c r="K204" s="434" t="str">
        <f t="shared" si="308"/>
        <v>Octobre</v>
      </c>
      <c r="L204" s="2">
        <f t="shared" ca="1" si="307"/>
        <v>0</v>
      </c>
      <c r="M204" s="2" t="s">
        <v>2324</v>
      </c>
      <c r="N204" s="103"/>
      <c r="O204" s="2" t="s">
        <v>247</v>
      </c>
      <c r="P204" s="103"/>
      <c r="BP204" s="118">
        <f>Bauteile!B204</f>
        <v>0</v>
      </c>
      <c r="BQ204" s="2057">
        <v>148</v>
      </c>
      <c r="BU204" s="2099" t="str">
        <f>Bauteile!B228</f>
        <v>Pâte de plâtre, lambda 0.58</v>
      </c>
      <c r="BV204" s="1872">
        <f>Bauteile!H228</f>
        <v>0.57999999999999996</v>
      </c>
      <c r="BW204" s="2099" t="str">
        <f>Bauteile!B500</f>
        <v>**** Polystyrène expansé (EPS) ****</v>
      </c>
      <c r="BX204" s="2056">
        <f>Bauteile!H500</f>
        <v>0</v>
      </c>
    </row>
    <row r="205" spans="2:76" ht="18" customHeight="1">
      <c r="C205" s="434" t="str">
        <f>Uebersetzung!D485</f>
        <v>Novembre</v>
      </c>
      <c r="D205" s="2">
        <f ca="1">'M1'!M15</f>
        <v>0</v>
      </c>
      <c r="E205" s="2" t="s">
        <v>2324</v>
      </c>
      <c r="F205" s="103"/>
      <c r="G205" s="2" t="s">
        <v>247</v>
      </c>
      <c r="H205" s="437"/>
      <c r="K205" s="434" t="str">
        <f t="shared" si="308"/>
        <v>Novembre</v>
      </c>
      <c r="L205" s="2">
        <f t="shared" ca="1" si="307"/>
        <v>0</v>
      </c>
      <c r="M205" s="2" t="s">
        <v>2324</v>
      </c>
      <c r="N205" s="103"/>
      <c r="O205" s="2" t="s">
        <v>247</v>
      </c>
      <c r="P205" s="103"/>
      <c r="BP205" s="118" t="str">
        <f>Bauteile!B205</f>
        <v>Panneau à fibres orientées (OSB)</v>
      </c>
      <c r="BQ205" s="2057">
        <v>149</v>
      </c>
      <c r="BU205" s="2098" t="str">
        <f>Bauteile!B229</f>
        <v>Pâte de plâtre, lambda 0.7</v>
      </c>
      <c r="BV205" s="1872">
        <f>Bauteile!H229</f>
        <v>0.7</v>
      </c>
      <c r="BW205" s="2098" t="str">
        <f>Bauteile!B501</f>
        <v>Baumit OPEN reflect</v>
      </c>
      <c r="BX205" s="2056" t="str">
        <f>Bauteile!H501</f>
        <v>0.031</v>
      </c>
    </row>
    <row r="206" spans="2:76" ht="18" customHeight="1">
      <c r="C206" s="434" t="str">
        <f>Uebersetzung!D486</f>
        <v>Décembre</v>
      </c>
      <c r="D206" s="2">
        <f ca="1">'M1'!N15</f>
        <v>0</v>
      </c>
      <c r="E206" s="2" t="s">
        <v>2324</v>
      </c>
      <c r="F206" s="103"/>
      <c r="G206" s="2" t="s">
        <v>247</v>
      </c>
      <c r="H206" s="437"/>
      <c r="K206" s="434" t="str">
        <f t="shared" si="308"/>
        <v>Décembre</v>
      </c>
      <c r="L206" s="2">
        <f t="shared" ca="1" si="307"/>
        <v>0</v>
      </c>
      <c r="M206" s="2" t="s">
        <v>2324</v>
      </c>
      <c r="N206" s="103"/>
      <c r="O206" s="2" t="s">
        <v>247</v>
      </c>
      <c r="P206" s="103"/>
      <c r="BP206" s="118" t="str">
        <f>Bauteile!B206</f>
        <v>Panneau de bois croisé</v>
      </c>
      <c r="BQ206" s="2057">
        <v>150</v>
      </c>
      <c r="BU206" s="2098" t="str">
        <f>Bauteile!B230</f>
        <v>Perlite, vermiculite, en vrac (N)</v>
      </c>
      <c r="BV206" s="1872">
        <f>Bauteile!H230</f>
        <v>0.08</v>
      </c>
      <c r="BW206" s="2098" t="str">
        <f>Bauteile!B502</f>
        <v>BACHL mousse dure</v>
      </c>
      <c r="BX206" s="2056">
        <f>Bauteile!H502</f>
        <v>3.4000000000000002E-2</v>
      </c>
    </row>
    <row r="207" spans="2:76" ht="39.6" customHeight="1">
      <c r="B207" s="2" t="s">
        <v>1198</v>
      </c>
      <c r="C207" s="434" t="str">
        <f>IF(Drehung=1,Uebersetzung!D472,Uebersetzung!D471)</f>
        <v xml:space="preserve">Exposition Ouest  </v>
      </c>
      <c r="F207" s="527">
        <v>100</v>
      </c>
      <c r="H207" s="529">
        <v>0</v>
      </c>
      <c r="J207" s="2" t="s">
        <v>1198</v>
      </c>
      <c r="K207" s="434" t="str">
        <f>IF(Drehung=1,Uebersetzung!D474,Uebersetzung!D473)</f>
        <v xml:space="preserve">Exposition Nord  </v>
      </c>
      <c r="N207" s="527">
        <v>100</v>
      </c>
      <c r="P207" s="528">
        <v>0</v>
      </c>
      <c r="BP207" s="118" t="str">
        <f>Bauteile!B207</f>
        <v>Panneau de constr., amiante-ciment, f. lisse</v>
      </c>
      <c r="BQ207" s="2057">
        <v>151</v>
      </c>
      <c r="BU207" s="2098" t="str">
        <f>Bauteile!B231</f>
        <v>Planches de roseaux (N)</v>
      </c>
      <c r="BV207" s="1872">
        <f>Bauteile!H231</f>
        <v>7.1999999999999995E-2</v>
      </c>
      <c r="BW207" s="2098" t="str">
        <f>Bauteile!B503</f>
        <v>BACHL EPS Dach 120 kPa</v>
      </c>
      <c r="BX207" s="2056">
        <f>Bauteile!H503</f>
        <v>3.4000000000000002E-2</v>
      </c>
    </row>
    <row r="208" spans="2:76" ht="18" customHeight="1">
      <c r="B208" s="102">
        <v>34</v>
      </c>
      <c r="C208" s="442"/>
      <c r="D208" s="2">
        <f ca="1">Thetaea</f>
        <v>0</v>
      </c>
      <c r="E208" s="2" t="s">
        <v>2324</v>
      </c>
      <c r="F208" s="454">
        <f ca="1">(F209*(20-D209)+F210*(20-D210)+F211*(20-D211)+F212*(20-D212)+F213*(20-D213)+F214*(20-D214)+F215*(20-D215)+F216*(20-D216)+F217*(20-D217)+F218*(20-D218)+F219*(20-D219)+F220*(20-D220))/((20-D208)*12)</f>
        <v>0</v>
      </c>
      <c r="G208" s="2" t="s">
        <v>247</v>
      </c>
      <c r="H208" s="438">
        <f ca="1">(H209*(20-D209)+H210*(20-D210)+H211*(20-D211)+H212*(20-D212)+H213*(20-D213)+H214*(20-D214)+H215*(20-D215)+H216*(20-D216)+H217*(20-D217)+H218*(20-D218)+H219*(20-D219)+H220*(20-D220))/((20-D208)*12)</f>
        <v>0</v>
      </c>
      <c r="J208" s="102">
        <v>35</v>
      </c>
      <c r="K208" s="442"/>
      <c r="L208" s="2">
        <f t="shared" ref="L208:L220" ca="1" si="309">D208</f>
        <v>0</v>
      </c>
      <c r="M208" s="2" t="s">
        <v>2324</v>
      </c>
      <c r="N208" s="454">
        <f ca="1">(N209*(20-L209)+N210*(20-L210)+N211*(20-L211)+N212*(20-L212)+N213*(20-L213)+N214*(20-L214)+N215*(20-L215)+N216*(20-L216)+N217*(20-L217)+N218*(20-L218)+N219*(20-L219)+N220*(20-L220))/((20-L208)*12)</f>
        <v>0</v>
      </c>
      <c r="O208" s="2" t="s">
        <v>247</v>
      </c>
      <c r="P208" s="454">
        <f ca="1">(P209*(20-L209)+P210*(20-L210)+P211*(20-L211)+P212*(20-L212)+P213*(20-L213)+P214*(20-L214)+P215*(20-L215)+P216*(20-L216)+P217*(20-L217)+P218*(20-L218)+P219*(20-L219)+P220*(20-L220))/((20-L208)*12)</f>
        <v>0</v>
      </c>
      <c r="BP208" s="118" t="str">
        <f>Bauteile!B208</f>
        <v>Panneau de construction en plâtre</v>
      </c>
      <c r="BQ208" s="2057">
        <v>152</v>
      </c>
      <c r="BU208" s="2098" t="str">
        <f>Bauteile!B232</f>
        <v>Planelles céramiques</v>
      </c>
      <c r="BV208" s="1872">
        <f>Bauteile!H232</f>
        <v>1</v>
      </c>
      <c r="BW208" s="2098" t="str">
        <f>Bauteile!B504</f>
        <v>BACHL mousse dure en blocs contre le bruit de chocs 039</v>
      </c>
      <c r="BX208" s="2056">
        <f>Bauteile!H504</f>
        <v>3.9E-2</v>
      </c>
    </row>
    <row r="209" spans="3:76" ht="18" customHeight="1">
      <c r="C209" s="434" t="str">
        <f>C195</f>
        <v>Janvier</v>
      </c>
      <c r="D209" s="2">
        <f t="shared" ref="D209:D220" ca="1" si="310">D195</f>
        <v>0</v>
      </c>
      <c r="E209" s="2" t="s">
        <v>2324</v>
      </c>
      <c r="F209" s="103"/>
      <c r="G209" s="2" t="s">
        <v>247</v>
      </c>
      <c r="H209" s="437"/>
      <c r="K209" s="434" t="str">
        <f>K195</f>
        <v>Janvier</v>
      </c>
      <c r="L209" s="2">
        <f t="shared" ca="1" si="309"/>
        <v>0</v>
      </c>
      <c r="M209" s="2" t="s">
        <v>2324</v>
      </c>
      <c r="N209" s="103"/>
      <c r="O209" s="2" t="s">
        <v>247</v>
      </c>
      <c r="P209" s="103"/>
      <c r="BP209" s="118" t="str">
        <f>Bauteile!B209</f>
        <v>Panneau de construction en plâtre cartonné</v>
      </c>
      <c r="BQ209" s="2057">
        <v>153</v>
      </c>
      <c r="BU209" s="2099" t="str">
        <f>Bauteile!B233</f>
        <v>Planelles de klinker</v>
      </c>
      <c r="BV209" s="1872">
        <f>Bauteile!H233</f>
        <v>1.05</v>
      </c>
      <c r="BW209" s="2098" t="str">
        <f>Bauteile!B505</f>
        <v>BACHL pour isolation extérieure enterrée</v>
      </c>
      <c r="BX209" s="2056">
        <f>Bauteile!H505</f>
        <v>3.3000000000000002E-2</v>
      </c>
    </row>
    <row r="210" spans="3:76" ht="18" customHeight="1">
      <c r="C210" s="434" t="str">
        <f t="shared" ref="C210:C220" si="311">C196</f>
        <v>Février</v>
      </c>
      <c r="D210" s="2">
        <f t="shared" ca="1" si="310"/>
        <v>0</v>
      </c>
      <c r="E210" s="2" t="s">
        <v>2324</v>
      </c>
      <c r="F210" s="103"/>
      <c r="G210" s="2" t="s">
        <v>247</v>
      </c>
      <c r="H210" s="437"/>
      <c r="K210" s="434" t="str">
        <f t="shared" ref="K210:K220" si="312">K196</f>
        <v>Février</v>
      </c>
      <c r="L210" s="2">
        <f t="shared" ca="1" si="309"/>
        <v>0</v>
      </c>
      <c r="M210" s="2" t="s">
        <v>2324</v>
      </c>
      <c r="N210" s="103"/>
      <c r="O210" s="2" t="s">
        <v>247</v>
      </c>
      <c r="P210" s="103"/>
      <c r="BP210" s="118" t="str">
        <f>Bauteile!B210</f>
        <v>Panneau de copeaux de bois, minéralisés</v>
      </c>
      <c r="BQ210" s="2057">
        <v>154</v>
      </c>
      <c r="BU210" s="2098" t="str">
        <f>Bauteile!B234</f>
        <v>Planelles isolantes</v>
      </c>
      <c r="BV210" s="1872">
        <f>Bauteile!H234</f>
        <v>0.44</v>
      </c>
      <c r="BW210" s="2098" t="str">
        <f>Bauteile!B506</f>
        <v>BACHL Automatenplatte mit Vlies 033</v>
      </c>
      <c r="BX210" s="2056">
        <f>Bauteile!H506</f>
        <v>3.3000000000000002E-2</v>
      </c>
    </row>
    <row r="211" spans="3:76" ht="18" customHeight="1">
      <c r="C211" s="434" t="str">
        <f t="shared" si="311"/>
        <v>Mars</v>
      </c>
      <c r="D211" s="2">
        <f t="shared" ca="1" si="310"/>
        <v>0</v>
      </c>
      <c r="E211" s="2" t="s">
        <v>2324</v>
      </c>
      <c r="F211" s="103"/>
      <c r="G211" s="2" t="s">
        <v>247</v>
      </c>
      <c r="H211" s="437"/>
      <c r="K211" s="434" t="str">
        <f t="shared" si="312"/>
        <v>Mars</v>
      </c>
      <c r="L211" s="2">
        <f t="shared" ca="1" si="309"/>
        <v>0</v>
      </c>
      <c r="M211" s="2" t="s">
        <v>2324</v>
      </c>
      <c r="N211" s="103"/>
      <c r="O211" s="2" t="s">
        <v>247</v>
      </c>
      <c r="P211" s="103"/>
      <c r="BP211" s="118" t="str">
        <f>Bauteile!B211</f>
        <v>Panneau de fibres de bois (N)</v>
      </c>
      <c r="BQ211" s="2057">
        <v>155</v>
      </c>
      <c r="BU211" s="2098" t="str">
        <f>Bauteile!B235</f>
        <v>Plaques de béton</v>
      </c>
      <c r="BV211" s="1872">
        <f>Bauteile!H235</f>
        <v>1.48</v>
      </c>
      <c r="BW211" s="2098" t="str">
        <f>Bauteile!B507</f>
        <v>BACHL mousse dure 038</v>
      </c>
      <c r="BX211" s="2056">
        <f>Bauteile!H507</f>
        <v>3.7999999999999999E-2</v>
      </c>
    </row>
    <row r="212" spans="3:76" ht="18" customHeight="1">
      <c r="C212" s="434" t="str">
        <f t="shared" si="311"/>
        <v>Avril</v>
      </c>
      <c r="D212" s="2">
        <f t="shared" ca="1" si="310"/>
        <v>0</v>
      </c>
      <c r="E212" s="2" t="s">
        <v>2324</v>
      </c>
      <c r="F212" s="103"/>
      <c r="G212" s="2" t="s">
        <v>247</v>
      </c>
      <c r="H212" s="437"/>
      <c r="K212" s="434" t="str">
        <f t="shared" si="312"/>
        <v>Avril</v>
      </c>
      <c r="L212" s="2">
        <f t="shared" ca="1" si="309"/>
        <v>0</v>
      </c>
      <c r="M212" s="2" t="s">
        <v>2324</v>
      </c>
      <c r="N212" s="103"/>
      <c r="O212" s="2" t="s">
        <v>247</v>
      </c>
      <c r="P212" s="103"/>
      <c r="BP212" s="118" t="str">
        <f>Bauteile!B212</f>
        <v>Panneau de fibres de bois (U)</v>
      </c>
      <c r="BQ212" s="2057">
        <v>156</v>
      </c>
      <c r="BU212" s="2098" t="str">
        <f>Bauteile!B236</f>
        <v>Plaques de marbre</v>
      </c>
      <c r="BV212" s="1872">
        <f>Bauteile!H236</f>
        <v>3.5</v>
      </c>
      <c r="BW212" s="2098" t="str">
        <f>Bauteile!B508</f>
        <v>BACHL mousse dure 036</v>
      </c>
      <c r="BX212" s="2056">
        <f>Bauteile!H508</f>
        <v>3.5999999999999997E-2</v>
      </c>
    </row>
    <row r="213" spans="3:76" ht="18" customHeight="1">
      <c r="C213" s="434" t="str">
        <f t="shared" si="311"/>
        <v>Mai</v>
      </c>
      <c r="D213" s="2">
        <f t="shared" ca="1" si="310"/>
        <v>0</v>
      </c>
      <c r="E213" s="2" t="s">
        <v>2324</v>
      </c>
      <c r="F213" s="103"/>
      <c r="G213" s="2" t="s">
        <v>247</v>
      </c>
      <c r="H213" s="437"/>
      <c r="K213" s="434" t="str">
        <f t="shared" si="312"/>
        <v>Mai</v>
      </c>
      <c r="L213" s="2">
        <f t="shared" ca="1" si="309"/>
        <v>0</v>
      </c>
      <c r="M213" s="2" t="s">
        <v>2324</v>
      </c>
      <c r="N213" s="103"/>
      <c r="O213" s="2" t="s">
        <v>247</v>
      </c>
      <c r="P213" s="103"/>
      <c r="BP213" s="118" t="str">
        <f>Bauteile!B213</f>
        <v>Panneau de fibres de bois, mi-durs</v>
      </c>
      <c r="BQ213" s="2057">
        <v>157</v>
      </c>
      <c r="BU213" s="2098" t="str">
        <f>Bauteile!B237</f>
        <v>Plâtre (densité 600)</v>
      </c>
      <c r="BV213" s="1872">
        <f>Bauteile!H237</f>
        <v>0.18</v>
      </c>
      <c r="BW213" s="2098" t="str">
        <f>Bauteile!B509</f>
        <v>BACHL mousse dure 033</v>
      </c>
      <c r="BX213" s="2056">
        <f>Bauteile!H509</f>
        <v>3.3000000000000002E-2</v>
      </c>
    </row>
    <row r="214" spans="3:76" ht="18" customHeight="1">
      <c r="C214" s="434" t="str">
        <f t="shared" si="311"/>
        <v>Juin</v>
      </c>
      <c r="D214" s="2">
        <f t="shared" ca="1" si="310"/>
        <v>0</v>
      </c>
      <c r="E214" s="2" t="s">
        <v>2324</v>
      </c>
      <c r="F214" s="103"/>
      <c r="G214" s="2" t="s">
        <v>247</v>
      </c>
      <c r="H214" s="437"/>
      <c r="K214" s="434" t="str">
        <f t="shared" si="312"/>
        <v>Juin</v>
      </c>
      <c r="L214" s="2">
        <f t="shared" ca="1" si="309"/>
        <v>0</v>
      </c>
      <c r="M214" s="2" t="s">
        <v>2324</v>
      </c>
      <c r="N214" s="103"/>
      <c r="O214" s="2" t="s">
        <v>247</v>
      </c>
      <c r="P214" s="103"/>
      <c r="BP214" s="118" t="str">
        <f>Bauteile!B214</f>
        <v>Panneau de fibres de bois, poreux</v>
      </c>
      <c r="BQ214" s="2057">
        <v>158</v>
      </c>
      <c r="BU214" s="2098" t="str">
        <f>Bauteile!B238</f>
        <v>Plâtre (densité 900)</v>
      </c>
      <c r="BV214" s="1872">
        <f>Bauteile!H238</f>
        <v>0.3</v>
      </c>
      <c r="BW214" s="2098" t="str">
        <f>Bauteile!B510</f>
        <v>BACHL EPS Dach 150 kPa</v>
      </c>
      <c r="BX214" s="2056">
        <f>Bauteile!H510</f>
        <v>3.3000000000000002E-2</v>
      </c>
    </row>
    <row r="215" spans="3:76" ht="18" customHeight="1">
      <c r="C215" s="434" t="str">
        <f t="shared" si="311"/>
        <v>Juillet</v>
      </c>
      <c r="D215" s="2">
        <f t="shared" ca="1" si="310"/>
        <v>0</v>
      </c>
      <c r="E215" s="2" t="s">
        <v>2324</v>
      </c>
      <c r="F215" s="103"/>
      <c r="G215" s="2" t="s">
        <v>247</v>
      </c>
      <c r="H215" s="437"/>
      <c r="K215" s="434" t="str">
        <f t="shared" si="312"/>
        <v>Juillet</v>
      </c>
      <c r="L215" s="2">
        <f t="shared" ca="1" si="309"/>
        <v>0</v>
      </c>
      <c r="M215" s="2" t="s">
        <v>2324</v>
      </c>
      <c r="N215" s="103"/>
      <c r="O215" s="2" t="s">
        <v>247</v>
      </c>
      <c r="P215" s="103"/>
      <c r="BP215" s="118" t="str">
        <f>Bauteile!B215</f>
        <v>Panneau de fibres de lin (N)</v>
      </c>
      <c r="BQ215" s="2057">
        <v>159</v>
      </c>
      <c r="BU215" s="2098" t="str">
        <f>Bauteile!B239</f>
        <v>Plâtre (densité 1200)</v>
      </c>
      <c r="BV215" s="1872">
        <f>Bauteile!H239</f>
        <v>0.43</v>
      </c>
      <c r="BW215" s="2098" t="str">
        <f>Bauteile!B511</f>
        <v>BACHL mousse dure Neopor / NeoStep</v>
      </c>
      <c r="BX215" s="2056">
        <f>Bauteile!H511</f>
        <v>3.1E-2</v>
      </c>
    </row>
    <row r="216" spans="3:76" ht="18" customHeight="1">
      <c r="C216" s="434" t="str">
        <f t="shared" si="311"/>
        <v>Août</v>
      </c>
      <c r="D216" s="2">
        <f t="shared" ca="1" si="310"/>
        <v>0</v>
      </c>
      <c r="E216" s="2" t="s">
        <v>2324</v>
      </c>
      <c r="F216" s="103"/>
      <c r="G216" s="2" t="s">
        <v>247</v>
      </c>
      <c r="H216" s="437"/>
      <c r="K216" s="434" t="str">
        <f t="shared" si="312"/>
        <v>Août</v>
      </c>
      <c r="L216" s="2">
        <f t="shared" ca="1" si="309"/>
        <v>0</v>
      </c>
      <c r="M216" s="2" t="s">
        <v>2324</v>
      </c>
      <c r="N216" s="103"/>
      <c r="O216" s="2" t="s">
        <v>247</v>
      </c>
      <c r="P216" s="103"/>
      <c r="BP216" s="118" t="str">
        <f>Bauteile!B216</f>
        <v>Panneau en laine de bois (N), lambda 0.11</v>
      </c>
      <c r="BQ216" s="2057">
        <v>160</v>
      </c>
      <c r="BU216" s="2098" t="str">
        <f>Bauteile!B240</f>
        <v>Plâtre (densité 1500)</v>
      </c>
      <c r="BV216" s="1872">
        <f>Bauteile!H240</f>
        <v>0.56000000000000005</v>
      </c>
      <c r="BW216" s="2098" t="str">
        <f>Bauteile!B512</f>
        <v>BACHL Hartschaum Neopor TS 033 neoStep</v>
      </c>
      <c r="BX216" s="2056">
        <f>Bauteile!H512</f>
        <v>3.3000000000000002E-2</v>
      </c>
    </row>
    <row r="217" spans="3:76" ht="18" customHeight="1">
      <c r="C217" s="434" t="str">
        <f t="shared" si="311"/>
        <v>Septembre</v>
      </c>
      <c r="D217" s="2">
        <f t="shared" ca="1" si="310"/>
        <v>0</v>
      </c>
      <c r="E217" s="2" t="s">
        <v>2324</v>
      </c>
      <c r="F217" s="103"/>
      <c r="G217" s="2" t="s">
        <v>247</v>
      </c>
      <c r="H217" s="437"/>
      <c r="K217" s="434" t="str">
        <f t="shared" si="312"/>
        <v>Septembre</v>
      </c>
      <c r="L217" s="2">
        <f t="shared" ca="1" si="309"/>
        <v>0</v>
      </c>
      <c r="M217" s="2" t="s">
        <v>2324</v>
      </c>
      <c r="N217" s="103"/>
      <c r="O217" s="2" t="s">
        <v>247</v>
      </c>
      <c r="P217" s="103"/>
      <c r="BP217" s="118" t="str">
        <f>Bauteile!B217</f>
        <v>Panneau en laine de bois (U), lambda 0.089</v>
      </c>
      <c r="BQ217" s="2057">
        <v>161</v>
      </c>
      <c r="BU217" s="2098" t="str">
        <f>Bauteile!B241</f>
        <v>Placoplâtre</v>
      </c>
      <c r="BV217" s="1872">
        <f>Bauteile!H241</f>
        <v>0.21</v>
      </c>
      <c r="BW217" s="2098" t="str">
        <f>Bauteile!B513</f>
        <v>EuroTherm White 030</v>
      </c>
      <c r="BX217" s="2056">
        <f>Bauteile!H513</f>
        <v>0.03</v>
      </c>
    </row>
    <row r="218" spans="3:76" ht="18" customHeight="1">
      <c r="C218" s="434" t="str">
        <f t="shared" si="311"/>
        <v>Octobre</v>
      </c>
      <c r="D218" s="2">
        <f t="shared" ca="1" si="310"/>
        <v>0</v>
      </c>
      <c r="E218" s="2" t="s">
        <v>2324</v>
      </c>
      <c r="F218" s="103"/>
      <c r="G218" s="2" t="s">
        <v>247</v>
      </c>
      <c r="H218" s="437"/>
      <c r="K218" s="434" t="str">
        <f t="shared" si="312"/>
        <v>Octobre</v>
      </c>
      <c r="L218" s="2">
        <f t="shared" ca="1" si="309"/>
        <v>0</v>
      </c>
      <c r="M218" s="2" t="s">
        <v>2324</v>
      </c>
      <c r="N218" s="103"/>
      <c r="O218" s="2" t="s">
        <v>247</v>
      </c>
      <c r="P218" s="103"/>
      <c r="BP218" s="118">
        <f>Bauteile!B218</f>
        <v>0</v>
      </c>
      <c r="BQ218" s="2057">
        <v>162</v>
      </c>
      <c r="BU218" s="2098" t="str">
        <f>Bauteile!B242</f>
        <v>Panneau en Plâtre</v>
      </c>
      <c r="BV218" s="1872">
        <f>Bauteile!H242</f>
        <v>0.4</v>
      </c>
      <c r="BW218" s="2098" t="str">
        <f>Bauteile!B514</f>
        <v>EuroTherm White 031</v>
      </c>
      <c r="BX218" s="2056">
        <f>Bauteile!H514</f>
        <v>3.1E-2</v>
      </c>
    </row>
    <row r="219" spans="3:76" ht="18" customHeight="1">
      <c r="C219" s="434" t="str">
        <f t="shared" si="311"/>
        <v>Novembre</v>
      </c>
      <c r="D219" s="2">
        <f t="shared" ca="1" si="310"/>
        <v>0</v>
      </c>
      <c r="E219" s="2" t="s">
        <v>2324</v>
      </c>
      <c r="F219" s="103"/>
      <c r="G219" s="2" t="s">
        <v>247</v>
      </c>
      <c r="H219" s="437"/>
      <c r="K219" s="434" t="str">
        <f t="shared" si="312"/>
        <v>Novembre</v>
      </c>
      <c r="L219" s="2">
        <f t="shared" ca="1" si="309"/>
        <v>0</v>
      </c>
      <c r="M219" s="2" t="s">
        <v>2324</v>
      </c>
      <c r="N219" s="103"/>
      <c r="O219" s="2" t="s">
        <v>247</v>
      </c>
      <c r="P219" s="103"/>
      <c r="BP219" s="118" t="str">
        <f>Bauteile!B219</f>
        <v>Panneaux isolants sous vide (VIP)</v>
      </c>
      <c r="BQ219" s="2057">
        <v>163</v>
      </c>
      <c r="BU219" s="2098" t="str">
        <f>Bauteile!B243</f>
        <v>Plomb</v>
      </c>
      <c r="BV219" s="1872">
        <f>Bauteile!H243</f>
        <v>35</v>
      </c>
      <c r="BW219" s="2098" t="str">
        <f>Bauteile!B515</f>
        <v>EuroThermEPS 037</v>
      </c>
      <c r="BX219" s="2056">
        <f>Bauteile!H515</f>
        <v>3.6999999999999998E-2</v>
      </c>
    </row>
    <row r="220" spans="3:76" ht="18" customHeight="1">
      <c r="C220" s="434" t="str">
        <f t="shared" si="311"/>
        <v>Décembre</v>
      </c>
      <c r="D220" s="2">
        <f t="shared" ca="1" si="310"/>
        <v>0</v>
      </c>
      <c r="E220" s="2" t="s">
        <v>2324</v>
      </c>
      <c r="F220" s="103"/>
      <c r="G220" s="2" t="s">
        <v>247</v>
      </c>
      <c r="H220" s="437"/>
      <c r="K220" s="434" t="str">
        <f t="shared" si="312"/>
        <v>Décembre</v>
      </c>
      <c r="L220" s="2">
        <f t="shared" ca="1" si="309"/>
        <v>0</v>
      </c>
      <c r="M220" s="2" t="s">
        <v>2324</v>
      </c>
      <c r="N220" s="103"/>
      <c r="O220" s="2" t="s">
        <v>247</v>
      </c>
      <c r="P220" s="103"/>
      <c r="BP220" s="118" t="str">
        <f>Bauteile!B220</f>
        <v>Panneau de particules (densité 300)</v>
      </c>
      <c r="BQ220" s="2057">
        <v>164</v>
      </c>
      <c r="BU220" s="2099" t="str">
        <f>Bauteile!B244</f>
        <v>****Polyisocyanate (PIR)****</v>
      </c>
      <c r="BV220" s="1872">
        <f>Bauteile!H244</f>
        <v>0</v>
      </c>
      <c r="BW220" s="2098" t="str">
        <f>Bauteile!B516</f>
        <v>EPS-W20 Flapor Wärmedämmplatte</v>
      </c>
      <c r="BX220" s="2056">
        <f>Bauteile!H516</f>
        <v>3.5000000000000003E-2</v>
      </c>
    </row>
    <row r="221" spans="3:76" ht="18" customHeight="1">
      <c r="BP221" s="118" t="str">
        <f>Bauteile!B221</f>
        <v>Panneau de particules (densité 600)</v>
      </c>
      <c r="BQ221" s="2057">
        <v>165</v>
      </c>
      <c r="BU221" s="2098" t="str">
        <f>Bauteile!B245</f>
        <v>PIR, Pentan, étanché (N), lambda 0.03</v>
      </c>
      <c r="BV221" s="1872">
        <f>Bauteile!H245</f>
        <v>0.03</v>
      </c>
      <c r="BW221" s="2098" t="str">
        <f>Bauteile!B517</f>
        <v>EPS-W25 Flapor Wärmedämmplatte</v>
      </c>
      <c r="BX221" s="2056">
        <f>Bauteile!H517</f>
        <v>3.4000000000000002E-2</v>
      </c>
    </row>
    <row r="222" spans="3:76" ht="18" customHeight="1">
      <c r="BP222" s="118" t="str">
        <f>Bauteile!B222</f>
        <v>Panneau de particules (densité 900)</v>
      </c>
      <c r="BQ222" s="2057">
        <v>166</v>
      </c>
      <c r="BU222" s="2098" t="str">
        <f>Bauteile!B246</f>
        <v>PIR, Pentan, étanché (U), lambda 0.027</v>
      </c>
      <c r="BV222" s="1872">
        <f>Bauteile!H246</f>
        <v>2.5999999999999999E-2</v>
      </c>
      <c r="BW222" s="2098" t="str">
        <f>Bauteile!B518</f>
        <v>Flapor plus EPS-W20 Wärmedämmplatte</v>
      </c>
      <c r="BX222" s="2056">
        <f>Bauteile!H518</f>
        <v>3.1E-2</v>
      </c>
    </row>
    <row r="223" spans="3:76" ht="18" customHeight="1">
      <c r="BP223" s="118" t="str">
        <f>Bauteile!B223</f>
        <v>Panneau de particules lié au ciment</v>
      </c>
      <c r="BQ223" s="2057">
        <v>167</v>
      </c>
      <c r="BU223" s="2098" t="str">
        <f>Bauteile!B247</f>
        <v>PIR, Pentan, ouvert (N), lambda 0.035</v>
      </c>
      <c r="BV223" s="1872">
        <f>Bauteile!H247</f>
        <v>3.5000000000000003E-2</v>
      </c>
      <c r="BW223" s="2098" t="str">
        <f>Bauteile!B519</f>
        <v>EPS-F Flapor pour façades</v>
      </c>
      <c r="BX223" s="2056">
        <f>Bauteile!H519</f>
        <v>3.7999999999999999E-2</v>
      </c>
    </row>
    <row r="224" spans="3:76" ht="18" customHeight="1">
      <c r="BP224" s="118" t="str">
        <f>Bauteile!B224</f>
        <v>Panneau dur en fibres de bois</v>
      </c>
      <c r="BQ224" s="2057">
        <v>168</v>
      </c>
      <c r="BU224" s="2098" t="str">
        <f>Bauteile!B248</f>
        <v>PIR, Pentan, ouvert (U), lambda 0.032</v>
      </c>
      <c r="BV224" s="1872">
        <f>Bauteile!H248</f>
        <v>3.2000000000000001E-2</v>
      </c>
      <c r="BW224" s="2098" t="str">
        <f>Bauteile!B520</f>
        <v>EPS Flaporplus DUO-W25 Wärmedämmplatte</v>
      </c>
      <c r="BX224" s="2056">
        <f>Bauteile!H520</f>
        <v>2.9000000000000001E-2</v>
      </c>
    </row>
    <row r="225" spans="68:76" ht="18" customHeight="1">
      <c r="BP225" s="118" t="str">
        <f>Bauteile!B225</f>
        <v>Panneau en bois aggloméré, lambda 0.11</v>
      </c>
      <c r="BQ225" s="2057">
        <v>169</v>
      </c>
      <c r="BU225" s="2098">
        <f>Bauteile!B249</f>
        <v>0</v>
      </c>
      <c r="BV225" s="1872">
        <f>Bauteile!H249</f>
        <v>0</v>
      </c>
      <c r="BW225" s="2098" t="str">
        <f>Bauteile!B521</f>
        <v>Perimeter-/Sockel-Dämmplatte FLAPORplus EPS-P</v>
      </c>
      <c r="BX225" s="2056">
        <f>Bauteile!H521</f>
        <v>3.1E-2</v>
      </c>
    </row>
    <row r="226" spans="68:76" ht="18" customHeight="1">
      <c r="BP226" s="118" t="str">
        <f>Bauteile!B226</f>
        <v>Panneau en bois aggloméré, lambda 0.15</v>
      </c>
      <c r="BQ226" s="2057">
        <v>170</v>
      </c>
      <c r="BU226" s="2098">
        <f>Bauteile!B250</f>
        <v>0</v>
      </c>
      <c r="BV226" s="1872">
        <f>Bauteile!H250</f>
        <v>0</v>
      </c>
      <c r="BW226" s="2098" t="str">
        <f>Bauteile!B522</f>
        <v>FLAPORplus EPS-F DUO 030 Fassadendämmplatte</v>
      </c>
      <c r="BX226" s="2056">
        <f>Bauteile!H522</f>
        <v>0.03</v>
      </c>
    </row>
    <row r="227" spans="68:76" ht="18" customHeight="1">
      <c r="BP227" s="118" t="str">
        <f>Bauteile!B227</f>
        <v>Panneau isolant, copeaux de bois aggl. cim.</v>
      </c>
      <c r="BQ227" s="2057">
        <v>171</v>
      </c>
      <c r="BU227" s="2098" t="str">
        <f>Bauteile!B251</f>
        <v>****Polystyrène (EPS) expansé****</v>
      </c>
      <c r="BV227" s="1872">
        <f>Bauteile!H251</f>
        <v>0</v>
      </c>
      <c r="BW227" s="2098" t="str">
        <f>Bauteile!B523</f>
        <v>FLAPORplus EPS-F 030 Fassadendämmplatte</v>
      </c>
      <c r="BX227" s="2056">
        <f>Bauteile!H523</f>
        <v>0.03</v>
      </c>
    </row>
    <row r="228" spans="68:76" ht="18" customHeight="1">
      <c r="BP228" s="118" t="str">
        <f>Bauteile!B228</f>
        <v>Pâte de plâtre, lambda 0.58</v>
      </c>
      <c r="BQ228" s="2057">
        <v>172</v>
      </c>
      <c r="BU228" s="2098" t="str">
        <f>Bauteile!B252</f>
        <v>Polystyrène (EPS) expansé, densité 15-40 (N)</v>
      </c>
      <c r="BV228" s="1872">
        <f>Bauteile!H252</f>
        <v>4.4999999999999998E-2</v>
      </c>
      <c r="BW228" s="2098" t="str">
        <f>Bauteile!B524</f>
        <v>Fassadendämmplatte EPS-F 031 Takeit Alpin Relax</v>
      </c>
      <c r="BX228" s="2056">
        <f>Bauteile!H524</f>
        <v>3.1E-2</v>
      </c>
    </row>
    <row r="229" spans="68:76" ht="18" customHeight="1">
      <c r="BP229" s="118" t="str">
        <f>Bauteile!B229</f>
        <v>Pâte de plâtre, lambda 0.7</v>
      </c>
      <c r="BQ229" s="2057">
        <v>173</v>
      </c>
      <c r="BU229" s="2098" t="str">
        <f>Bauteile!B253</f>
        <v>Polystyrène (EPS) expansé, densité 15-40 (U)</v>
      </c>
      <c r="BV229" s="1872">
        <f>Bauteile!H253</f>
        <v>4.1000000000000002E-2</v>
      </c>
      <c r="BW229" s="2098" t="str">
        <f>Bauteile!B525</f>
        <v>FLAPORplus EPS-F DUO 031 Fassadendämmplatte</v>
      </c>
      <c r="BX229" s="2056">
        <f>Bauteile!H525</f>
        <v>3.1E-2</v>
      </c>
    </row>
    <row r="230" spans="68:76" ht="18" customHeight="1">
      <c r="BP230" s="118" t="str">
        <f>Bauteile!B230</f>
        <v>Perlite, vermiculite, en vrac (N)</v>
      </c>
      <c r="BQ230" s="2057">
        <v>174</v>
      </c>
      <c r="BU230" s="2098" t="str">
        <f>Bauteile!B254</f>
        <v>Polystyrène (EPS) expansé, densité &lt;15 (N)</v>
      </c>
      <c r="BV230" s="1872">
        <f>Bauteile!H254</f>
        <v>0.05</v>
      </c>
      <c r="BW230" s="2098" t="str">
        <f>Bauteile!B526</f>
        <v>FLAPORplus EPS-W25 Wärmedämmplatte</v>
      </c>
      <c r="BX230" s="2056">
        <f>Bauteile!H526</f>
        <v>2.9000000000000001E-2</v>
      </c>
    </row>
    <row r="231" spans="68:76" ht="18" customHeight="1">
      <c r="BP231" s="118" t="str">
        <f>Bauteile!B231</f>
        <v>Planches de roseaux (N)</v>
      </c>
      <c r="BQ231" s="2057">
        <v>175</v>
      </c>
      <c r="BU231" s="2098" t="str">
        <f>Bauteile!B255</f>
        <v>Polystyrène (EPS) expansé, densité &lt;15 (U)</v>
      </c>
      <c r="BV231" s="1872">
        <f>Bauteile!H255</f>
        <v>4.5999999999999999E-2</v>
      </c>
      <c r="BW231" s="2098" t="str">
        <f>Bauteile!B527</f>
        <v>Flaporplus EPS-F pour façades</v>
      </c>
      <c r="BX231" s="2056">
        <f>Bauteile!H527</f>
        <v>3.1E-2</v>
      </c>
    </row>
    <row r="232" spans="68:76" ht="18" customHeight="1">
      <c r="BP232" s="118" t="str">
        <f>Bauteile!B232</f>
        <v>Planelles céramiques</v>
      </c>
      <c r="BQ232" s="2057">
        <v>176</v>
      </c>
      <c r="BU232" s="2098" t="str">
        <f>Bauteile!B256</f>
        <v>****Polystyrène (XPS) extrudé****</v>
      </c>
      <c r="BV232" s="1872">
        <f>Bauteile!H256</f>
        <v>0</v>
      </c>
      <c r="BW232" s="2098" t="str">
        <f>Bauteile!B528</f>
        <v>Flapor EPS-P Perimeter</v>
      </c>
      <c r="BX232" s="2056">
        <f>Bauteile!H528</f>
        <v>3.5000000000000003E-2</v>
      </c>
    </row>
    <row r="233" spans="68:76" ht="18" customHeight="1">
      <c r="BP233" s="118" t="str">
        <f>Bauteile!B233</f>
        <v>Planelles de klinker</v>
      </c>
      <c r="BQ233" s="2057">
        <v>177</v>
      </c>
      <c r="BU233" s="2098" t="str">
        <f>Bauteile!B257</f>
        <v>XPS (N), lambda 0.045</v>
      </c>
      <c r="BV233" s="1872">
        <f>Bauteile!H257</f>
        <v>4.4999999999999998E-2</v>
      </c>
      <c r="BW233" s="2098" t="str">
        <f>Bauteile!B529</f>
        <v>FRAGMAT NEO SUPER F</v>
      </c>
      <c r="BX233" s="2056">
        <f>Bauteile!H529</f>
        <v>3.2000000000000001E-2</v>
      </c>
    </row>
    <row r="234" spans="68:76" ht="18" customHeight="1">
      <c r="BP234" s="118" t="str">
        <f>Bauteile!B234</f>
        <v>Planelles isolantes</v>
      </c>
      <c r="BQ234" s="2057">
        <v>178</v>
      </c>
      <c r="BU234" s="2098" t="str">
        <f>Bauteile!B258</f>
        <v>XPS (U), lambda 0.041</v>
      </c>
      <c r="BV234" s="1872">
        <f>Bauteile!H258</f>
        <v>4.1000000000000002E-2</v>
      </c>
      <c r="BW234" s="2098" t="str">
        <f>Bauteile!B530</f>
        <v>FRAGMAT NEO SUPER F 031</v>
      </c>
      <c r="BX234" s="2056">
        <f>Bauteile!H530</f>
        <v>3.1E-2</v>
      </c>
    </row>
    <row r="235" spans="68:76" ht="18" customHeight="1">
      <c r="BP235" s="118" t="str">
        <f>Bauteile!B235</f>
        <v>Plaques de béton</v>
      </c>
      <c r="BQ235" s="2057">
        <v>179</v>
      </c>
      <c r="BU235" s="2098" t="str">
        <f>Bauteile!B259</f>
        <v>XPS (U), lambda 0.033</v>
      </c>
      <c r="BV235" s="1872">
        <f>Bauteile!H259</f>
        <v>3.3000000000000002E-2</v>
      </c>
      <c r="BW235" s="2098" t="str">
        <f>Bauteile!B531</f>
        <v>goEPS Intégral 030</v>
      </c>
      <c r="BX235" s="2056">
        <f>Bauteile!H531</f>
        <v>0.03</v>
      </c>
    </row>
    <row r="236" spans="68:76" ht="18" customHeight="1">
      <c r="BP236" s="118" t="str">
        <f>Bauteile!B236</f>
        <v>Plaques de marbre</v>
      </c>
      <c r="BQ236" s="2057">
        <v>180</v>
      </c>
      <c r="BU236" s="2098">
        <f>Bauteile!B260</f>
        <v>0</v>
      </c>
      <c r="BV236" s="1872">
        <f>Bauteile!H260</f>
        <v>0</v>
      </c>
      <c r="BW236" s="2098" t="str">
        <f>Bauteile!B532</f>
        <v>goEPS gris 031</v>
      </c>
      <c r="BX236" s="2056">
        <f>Bauteile!H532</f>
        <v>3.1E-2</v>
      </c>
    </row>
    <row r="237" spans="68:76" ht="18" customHeight="1">
      <c r="BP237" s="118" t="str">
        <f>Bauteile!B237</f>
        <v>Plâtre (densité 600)</v>
      </c>
      <c r="BQ237" s="2057">
        <v>181</v>
      </c>
      <c r="BU237" s="2098" t="str">
        <f>Bauteile!B261</f>
        <v>****Polyuréthane (PUR)****</v>
      </c>
      <c r="BV237" s="1872">
        <f>Bauteile!H261</f>
        <v>0</v>
      </c>
      <c r="BW237" s="2098" t="str">
        <f>Bauteile!B533</f>
        <v>goEPS blanc 033</v>
      </c>
      <c r="BX237" s="2056">
        <f>Bauteile!H533</f>
        <v>3.3000000000000002E-2</v>
      </c>
    </row>
    <row r="238" spans="68:76" ht="18" customHeight="1">
      <c r="BP238" s="118" t="str">
        <f>Bauteile!B238</f>
        <v>Plâtre (densité 900)</v>
      </c>
      <c r="BQ238" s="2057">
        <v>182</v>
      </c>
      <c r="BU238" s="2098" t="str">
        <f>Bauteile!B262</f>
        <v>PUR, Pentan, étanché (N), lambda 0.03</v>
      </c>
      <c r="BV238" s="1872">
        <f>Bauteile!H262</f>
        <v>0.03</v>
      </c>
      <c r="BW238" s="2098" t="str">
        <f>Bauteile!B534</f>
        <v>goEPS blanc 036</v>
      </c>
      <c r="BX238" s="2056">
        <f>Bauteile!H534</f>
        <v>3.5999999999999997E-2</v>
      </c>
    </row>
    <row r="239" spans="68:76" ht="18" customHeight="1">
      <c r="BP239" s="118" t="str">
        <f>Bauteile!B239</f>
        <v>Plâtre (densité 1200)</v>
      </c>
      <c r="BQ239" s="2057">
        <v>183</v>
      </c>
      <c r="BU239" s="2098" t="str">
        <f>Bauteile!B263</f>
        <v>PUR, Pentan, étanché (U), lambda 0.026</v>
      </c>
      <c r="BV239" s="1872">
        <f>Bauteile!H263</f>
        <v>2.5999999999999999E-2</v>
      </c>
      <c r="BW239" s="2098" t="str">
        <f>Bauteile!B535</f>
        <v>goEPS blanc 038</v>
      </c>
      <c r="BX239" s="2056">
        <f>Bauteile!H535</f>
        <v>3.7999999999999999E-2</v>
      </c>
    </row>
    <row r="240" spans="68:76" ht="18" customHeight="1">
      <c r="BP240" s="118" t="str">
        <f>Bauteile!B240</f>
        <v>Plâtre (densité 1500)</v>
      </c>
      <c r="BQ240" s="2057">
        <v>184</v>
      </c>
      <c r="BU240" s="2098" t="str">
        <f>Bauteile!B264</f>
        <v>PUR, Pentan, ouvert (N), lambda 0.035</v>
      </c>
      <c r="BV240" s="1872">
        <f>Bauteile!H264</f>
        <v>3.5000000000000003E-2</v>
      </c>
      <c r="BW240" s="2098" t="str">
        <f>Bauteile!B536</f>
        <v>goPST blanc 038</v>
      </c>
      <c r="BX240" s="2056">
        <f>Bauteile!H536</f>
        <v>3.7999999999999999E-2</v>
      </c>
    </row>
    <row r="241" spans="68:76" ht="18" customHeight="1">
      <c r="BP241" s="118" t="str">
        <f>Bauteile!B241</f>
        <v>Placoplâtre</v>
      </c>
      <c r="BQ241" s="2057">
        <v>185</v>
      </c>
      <c r="BU241" s="2098" t="str">
        <f>Bauteile!B265</f>
        <v>PUR, Pentan, ouvert (U), lambda 0.032</v>
      </c>
      <c r="BV241" s="1872">
        <f>Bauteile!H265</f>
        <v>3.2000000000000001E-2</v>
      </c>
      <c r="BW241" s="2098" t="str">
        <f>Bauteile!B537</f>
        <v>goIntégral 031</v>
      </c>
      <c r="BX241" s="2056">
        <f>Bauteile!H537</f>
        <v>3.1E-2</v>
      </c>
    </row>
    <row r="242" spans="68:76" ht="18" customHeight="1">
      <c r="BP242" s="118" t="str">
        <f>Bauteile!B242</f>
        <v>Panneau en Plâtre</v>
      </c>
      <c r="BQ242" s="2057">
        <v>186</v>
      </c>
      <c r="BU242" s="2098">
        <f>Bauteile!B266</f>
        <v>0</v>
      </c>
      <c r="BV242" s="1872">
        <f>Bauteile!H266</f>
        <v>0</v>
      </c>
      <c r="BW242" s="2098" t="str">
        <f>Bauteile!B538</f>
        <v>Panneau isolant EPS 035 DAA DAD DEO ds200</v>
      </c>
      <c r="BX242" s="2056">
        <f>Bauteile!H538</f>
        <v>3.5000000000000003E-2</v>
      </c>
    </row>
    <row r="243" spans="68:76" ht="18" customHeight="1">
      <c r="BP243" s="118" t="str">
        <f>Bauteile!B243</f>
        <v>Plomb</v>
      </c>
      <c r="BQ243" s="2057">
        <v>187</v>
      </c>
      <c r="BU243" s="2098">
        <f>Bauteile!B267</f>
        <v>0</v>
      </c>
      <c r="BV243" s="1872">
        <f>Bauteile!H267</f>
        <v>0</v>
      </c>
      <c r="BW243" s="2098" t="str">
        <f>Bauteile!B539</f>
        <v>Panneau isolant EPS 040 WI, DI, WZ, DZ, WAB, WDV, WAP</v>
      </c>
      <c r="BX243" s="2056">
        <f>Bauteile!H539</f>
        <v>0.04</v>
      </c>
    </row>
    <row r="244" spans="68:76" ht="18" customHeight="1">
      <c r="BP244" s="118" t="str">
        <f>Bauteile!B244</f>
        <v>****Polyisocyanate (PIR)****</v>
      </c>
      <c r="BQ244" s="2057">
        <v>188</v>
      </c>
      <c r="BU244" s="2098" t="str">
        <f>Bauteile!B268</f>
        <v>PVC en lés</v>
      </c>
      <c r="BV244" s="1872">
        <f>Bauteile!H268</f>
        <v>0.22</v>
      </c>
      <c r="BW244" s="2098" t="str">
        <f>Bauteile!B540</f>
        <v>Panneau insonorisant EPS 040 DES sg</v>
      </c>
      <c r="BX244" s="2056">
        <f>Bauteile!H540</f>
        <v>0.04</v>
      </c>
    </row>
    <row r="245" spans="68:76" ht="18" customHeight="1">
      <c r="BP245" s="118" t="str">
        <f>Bauteile!B245</f>
        <v>PIR, Pentan, étanché (N), lambda 0.03</v>
      </c>
      <c r="BQ245" s="2057">
        <v>189</v>
      </c>
      <c r="BU245" s="2098">
        <f>Bauteile!B269</f>
        <v>0</v>
      </c>
      <c r="BV245" s="1872">
        <f>Bauteile!H269</f>
        <v>0</v>
      </c>
      <c r="BW245" s="2098" t="str">
        <f>Bauteile!B541</f>
        <v>Panneau pour façades EPS 035 WDV</v>
      </c>
      <c r="BX245" s="2056">
        <f>Bauteile!H541</f>
        <v>3.5000000000000003E-2</v>
      </c>
    </row>
    <row r="246" spans="68:76" ht="18" customHeight="1">
      <c r="BP246" s="118" t="str">
        <f>Bauteile!B246</f>
        <v>PIR, Pentan, étanché (U), lambda 0.027</v>
      </c>
      <c r="BQ246" s="2057">
        <v>190</v>
      </c>
      <c r="BU246" s="2098" t="str">
        <f>Bauteile!B270</f>
        <v>Quarzabrieb</v>
      </c>
      <c r="BV246" s="1872">
        <f>Bauteile!H270</f>
        <v>0.9</v>
      </c>
      <c r="BW246" s="2098" t="str">
        <f>Bauteile!B542</f>
        <v>Panneau pour façades EPS 035 WDV IR</v>
      </c>
      <c r="BX246" s="2056">
        <f>Bauteile!H542</f>
        <v>3.5000000000000003E-2</v>
      </c>
    </row>
    <row r="247" spans="68:76" ht="18" customHeight="1">
      <c r="BP247" s="118" t="str">
        <f>Bauteile!B247</f>
        <v>PIR, Pentan, ouvert (N), lambda 0.035</v>
      </c>
      <c r="BQ247" s="2057">
        <v>191</v>
      </c>
      <c r="BU247" s="2098">
        <f>Bauteile!B271</f>
        <v>0</v>
      </c>
      <c r="BV247" s="1872">
        <f>Bauteile!H271</f>
        <v>0</v>
      </c>
      <c r="BW247" s="2098" t="str">
        <f>Bauteile!B543</f>
        <v>Panneau pour isolation extérieure Perimaxx, 5 in 1, SP3</v>
      </c>
      <c r="BX247" s="2056">
        <f>Bauteile!H543</f>
        <v>3.5000000000000003E-2</v>
      </c>
    </row>
    <row r="248" spans="68:76" ht="18" customHeight="1">
      <c r="BP248" s="118" t="str">
        <f>Bauteile!B248</f>
        <v>PIR, Pentan, ouvert (U), lambda 0.032</v>
      </c>
      <c r="BQ248" s="2057">
        <v>192</v>
      </c>
      <c r="BU248" s="2098" t="str">
        <f>Bauteile!B272</f>
        <v>Roches cristallines et métamorphiques</v>
      </c>
      <c r="BV248" s="1872">
        <f>Bauteile!H272</f>
        <v>3.5</v>
      </c>
      <c r="BW248" s="2098" t="str">
        <f>Bauteile!B544</f>
        <v>Panneau isolant EPS 035 DAA dm, DAD dm, DEO dm</v>
      </c>
      <c r="BX248" s="2056">
        <f>Bauteile!H544</f>
        <v>3.5000000000000003E-2</v>
      </c>
    </row>
    <row r="249" spans="68:76" ht="18" customHeight="1">
      <c r="BP249" s="118">
        <f>Bauteile!B249</f>
        <v>0</v>
      </c>
      <c r="BQ249" s="2057">
        <v>193</v>
      </c>
      <c r="BU249" s="2098" t="str">
        <f>Bauteile!B273</f>
        <v>Roches sédimentaires</v>
      </c>
      <c r="BV249" s="1872">
        <f>Bauteile!H273</f>
        <v>2.2999999999999998</v>
      </c>
      <c r="BW249" s="2098" t="str">
        <f>Bauteile!B545</f>
        <v>Panneau insonorisant EPS 045 DES sm</v>
      </c>
      <c r="BX249" s="2056">
        <f>Bauteile!H545</f>
        <v>4.4999999999999998E-2</v>
      </c>
    </row>
    <row r="250" spans="68:76" ht="18" customHeight="1">
      <c r="BP250" s="118">
        <f>Bauteile!B250</f>
        <v>0</v>
      </c>
      <c r="BQ250" s="2057">
        <v>194</v>
      </c>
      <c r="BU250" s="2098" t="str">
        <f>Bauteile!B274</f>
        <v>****Revêtements de sol****</v>
      </c>
      <c r="BV250" s="1872">
        <f>Bauteile!H274</f>
        <v>0</v>
      </c>
      <c r="BW250" s="2098" t="str">
        <f>Bauteile!B546</f>
        <v>Panneau isolant EPS 031 DAA DAD DEO IR</v>
      </c>
      <c r="BX250" s="2056">
        <f>Bauteile!H546</f>
        <v>3.1E-2</v>
      </c>
    </row>
    <row r="251" spans="68:76" ht="18" customHeight="1">
      <c r="BP251" s="118" t="str">
        <f>Bauteile!B251</f>
        <v>****Polystyrène (EPS) expansé****</v>
      </c>
      <c r="BQ251" s="2057">
        <v>195</v>
      </c>
      <c r="BU251" s="2098" t="str">
        <f>Bauteile!B275</f>
        <v>Caoutchouc</v>
      </c>
      <c r="BV251" s="1872">
        <f>Bauteile!H275</f>
        <v>0.17</v>
      </c>
      <c r="BW251" s="2098" t="str">
        <f>Bauteile!B547</f>
        <v>EPS 038 DAA, DAD, DEO</v>
      </c>
      <c r="BX251" s="2056">
        <f>Bauteile!H547</f>
        <v>3.7999999999999999E-2</v>
      </c>
    </row>
    <row r="252" spans="68:76" ht="18" customHeight="1">
      <c r="BP252" s="118" t="str">
        <f>Bauteile!B252</f>
        <v>Polystyrène (EPS) expansé, densité 15-40 (N)</v>
      </c>
      <c r="BQ252" s="2057">
        <v>196</v>
      </c>
      <c r="BU252" s="2098" t="str">
        <f>Bauteile!B276</f>
        <v>Plastique</v>
      </c>
      <c r="BV252" s="1872">
        <f>Bauteile!H276</f>
        <v>0.25</v>
      </c>
      <c r="BW252" s="2098" t="str">
        <f>Bauteile!B548</f>
        <v>Fassadendämmplatte SunJa 031</v>
      </c>
      <c r="BX252" s="2056">
        <f>Bauteile!H548</f>
        <v>3.1E-2</v>
      </c>
    </row>
    <row r="253" spans="68:76" ht="18" customHeight="1">
      <c r="BP253" s="118" t="str">
        <f>Bauteile!B253</f>
        <v>Polystyrène (EPS) expansé, densité 15-40 (U)</v>
      </c>
      <c r="BQ253" s="2057">
        <v>197</v>
      </c>
      <c r="BU253" s="2098" t="str">
        <f>Bauteile!B277</f>
        <v>Caoutchouc-mousse ou plastique cellulaire</v>
      </c>
      <c r="BV253" s="1872">
        <f>Bauteile!H277</f>
        <v>0.1</v>
      </c>
      <c r="BW253" s="2098" t="str">
        <f>Bauteile!B549</f>
        <v>EPS 034 DAA dh150, DAD dh150, DEO dh150</v>
      </c>
      <c r="BX253" s="2056">
        <f>Bauteile!H549</f>
        <v>3.4000000000000002E-2</v>
      </c>
    </row>
    <row r="254" spans="68:76" ht="18" customHeight="1">
      <c r="BP254" s="118" t="str">
        <f>Bauteile!B254</f>
        <v>Polystyrène (EPS) expansé, densité &lt;15 (N)</v>
      </c>
      <c r="BQ254" s="2057">
        <v>198</v>
      </c>
      <c r="BU254" s="2098" t="str">
        <f>Bauteile!B278</f>
        <v>Feutre</v>
      </c>
      <c r="BV254" s="1872">
        <f>Bauteile!H278</f>
        <v>0.05</v>
      </c>
      <c r="BW254" s="2098" t="str">
        <f>Bauteile!B550</f>
        <v>EPS 034 DAA dm120, DAD dm120, DEO dm120</v>
      </c>
      <c r="BX254" s="2056">
        <f>Bauteile!H550</f>
        <v>3.4000000000000002E-2</v>
      </c>
    </row>
    <row r="255" spans="68:76" ht="18" customHeight="1">
      <c r="BP255" s="118" t="str">
        <f>Bauteile!B255</f>
        <v>Polystyrène (EPS) expansé, densité &lt;15 (U)</v>
      </c>
      <c r="BQ255" s="2057">
        <v>199</v>
      </c>
      <c r="BU255" s="2098" t="str">
        <f>Bauteile!B279</f>
        <v>Laine</v>
      </c>
      <c r="BV255" s="1872">
        <f>Bauteile!H279</f>
        <v>0.06</v>
      </c>
      <c r="BW255" s="2098" t="str">
        <f>Bauteile!B551</f>
        <v>Panneau pour façades EPS 031 IR</v>
      </c>
      <c r="BX255" s="2056">
        <f>Bauteile!H551</f>
        <v>3.1E-2</v>
      </c>
    </row>
    <row r="256" spans="68:76" ht="18" customHeight="1">
      <c r="BP256" s="118" t="str">
        <f>Bauteile!B256</f>
        <v>****Polystyrène (XPS) extrudé****</v>
      </c>
      <c r="BQ256" s="2057">
        <v>200</v>
      </c>
      <c r="BU256" s="2098" t="str">
        <f>Bauteile!B280</f>
        <v>Liège</v>
      </c>
      <c r="BV256" s="1872">
        <f>Bauteile!H280</f>
        <v>0.05</v>
      </c>
      <c r="BW256" s="2098" t="str">
        <f>Bauteile!B552</f>
        <v>Fassadendämmplatte duopor 031</v>
      </c>
      <c r="BX256" s="2056">
        <f>Bauteile!H552</f>
        <v>3.1E-2</v>
      </c>
    </row>
    <row r="257" spans="68:76" ht="18" customHeight="1">
      <c r="BP257" s="118" t="str">
        <f>Bauteile!B257</f>
        <v>XPS (N), lambda 0.045</v>
      </c>
      <c r="BQ257" s="2057">
        <v>201</v>
      </c>
      <c r="BU257" s="2098" t="str">
        <f>Bauteile!B281</f>
        <v>Plaques de liège</v>
      </c>
      <c r="BV257" s="1872">
        <f>Bauteile!H281</f>
        <v>6.5000000000000002E-2</v>
      </c>
      <c r="BW257" s="2098" t="str">
        <f>Bauteile!B553</f>
        <v>ISOPOR EPS 15 (038)</v>
      </c>
      <c r="BX257" s="2056">
        <f>Bauteile!H553</f>
        <v>3.7999999999999999E-2</v>
      </c>
    </row>
    <row r="258" spans="68:76" ht="18" customHeight="1">
      <c r="BP258" s="118" t="str">
        <f>Bauteile!B258</f>
        <v>XPS (U), lambda 0.041</v>
      </c>
      <c r="BQ258" s="2057">
        <v>202</v>
      </c>
      <c r="BU258" s="2098" t="str">
        <f>Bauteile!B282</f>
        <v>Linoléum</v>
      </c>
      <c r="BV258" s="1872">
        <f>Bauteile!H282</f>
        <v>0.17</v>
      </c>
      <c r="BW258" s="2098" t="str">
        <f>Bauteile!B554</f>
        <v>ISOPOR EPS 20 (036)</v>
      </c>
      <c r="BX258" s="2056">
        <f>Bauteile!H554</f>
        <v>3.5999999999999997E-2</v>
      </c>
    </row>
    <row r="259" spans="68:76" ht="18" customHeight="1">
      <c r="BP259" s="118" t="str">
        <f>Bauteile!B259</f>
        <v>XPS (U), lambda 0.033</v>
      </c>
      <c r="BQ259" s="2057">
        <v>203</v>
      </c>
      <c r="BU259" s="2098">
        <f>Bauteile!B283</f>
        <v>0</v>
      </c>
      <c r="BV259" s="1872">
        <f>Bauteile!H283</f>
        <v>0</v>
      </c>
      <c r="BW259" s="2098" t="str">
        <f>Bauteile!B555</f>
        <v>ISOPOR EPS 30 (033)</v>
      </c>
      <c r="BX259" s="2056">
        <f>Bauteile!H555</f>
        <v>3.3000000000000002E-2</v>
      </c>
    </row>
    <row r="260" spans="68:76" ht="18" customHeight="1">
      <c r="BP260" s="118">
        <f>Bauteile!B260</f>
        <v>0</v>
      </c>
      <c r="BQ260" s="2057">
        <v>204</v>
      </c>
      <c r="BU260" s="2098" t="str">
        <f>Bauteile!B284</f>
        <v>Sable</v>
      </c>
      <c r="BV260" s="1872">
        <f>Bauteile!H284</f>
        <v>0.7</v>
      </c>
      <c r="BW260" s="2098" t="str">
        <f>Bauteile!B556</f>
        <v>ISOPOR EPS 120 Dach (034)</v>
      </c>
      <c r="BX260" s="2056">
        <f>Bauteile!H556</f>
        <v>3.4000000000000002E-2</v>
      </c>
    </row>
    <row r="261" spans="68:76" ht="18" customHeight="1">
      <c r="BP261" s="118" t="str">
        <f>Bauteile!B261</f>
        <v>****Polyuréthane (PUR)****</v>
      </c>
      <c r="BQ261" s="2057">
        <v>205</v>
      </c>
      <c r="BU261" s="2098" t="str">
        <f>Bauteile!B285</f>
        <v>Sable calcaire coquiller</v>
      </c>
      <c r="BV261" s="1872">
        <f>Bauteile!H285</f>
        <v>2.2999999999999998</v>
      </c>
      <c r="BW261" s="2098" t="str">
        <f>Bauteile!B557</f>
        <v>ISOPOR EPS 120 Dach grau (030)</v>
      </c>
      <c r="BX261" s="2056">
        <f>Bauteile!H557</f>
        <v>0.03</v>
      </c>
    </row>
    <row r="262" spans="68:76" ht="18" customHeight="1">
      <c r="BP262" s="118" t="str">
        <f>Bauteile!B262</f>
        <v>PUR, Pentan, étanché (N), lambda 0.03</v>
      </c>
      <c r="BQ262" s="2057">
        <v>206</v>
      </c>
      <c r="BU262" s="2098" t="str">
        <f>Bauteile!B286</f>
        <v>Silikonharzputz m=55</v>
      </c>
      <c r="BV262" s="1872">
        <f>Bauteile!H286</f>
        <v>0.9</v>
      </c>
      <c r="BW262" s="2098" t="str">
        <f>Bauteile!B558</f>
        <v>ISOPOR EPS 150 (033)</v>
      </c>
      <c r="BX262" s="2056">
        <f>Bauteile!H558</f>
        <v>3.3000000000000002E-2</v>
      </c>
    </row>
    <row r="263" spans="68:76" ht="18" customHeight="1">
      <c r="BP263" s="118" t="str">
        <f>Bauteile!B263</f>
        <v>PUR, Pentan, étanché (U), lambda 0.026</v>
      </c>
      <c r="BQ263" s="2057">
        <v>207</v>
      </c>
      <c r="BU263" s="2098" t="str">
        <f>Bauteile!B287</f>
        <v xml:space="preserve">Spatule de plâtre </v>
      </c>
      <c r="BV263" s="1872">
        <f>Bauteile!H287</f>
        <v>0.8</v>
      </c>
      <c r="BW263" s="2098" t="str">
        <f>Bauteile!B559</f>
        <v>ISOPOR EPS F G&amp;W (031)</v>
      </c>
      <c r="BX263" s="2056">
        <f>Bauteile!H559</f>
        <v>3.1E-2</v>
      </c>
    </row>
    <row r="264" spans="68:76" ht="18" customHeight="1">
      <c r="BP264" s="118" t="str">
        <f>Bauteile!B264</f>
        <v>PUR, Pentan, ouvert (N), lambda 0.035</v>
      </c>
      <c r="BQ264" s="2057">
        <v>208</v>
      </c>
      <c r="BU264" s="2098">
        <f>Bauteile!B288</f>
        <v>0</v>
      </c>
      <c r="BV264" s="1872">
        <f>Bauteile!H288</f>
        <v>0</v>
      </c>
      <c r="BW264" s="2098" t="str">
        <f>Bauteile!B560</f>
        <v>ISOPOR EPS F G&amp;W Top (030)</v>
      </c>
      <c r="BX264" s="2056">
        <f>Bauteile!H560</f>
        <v>0.03</v>
      </c>
    </row>
    <row r="265" spans="68:76" ht="18" customHeight="1">
      <c r="BP265" s="118" t="str">
        <f>Bauteile!B265</f>
        <v>PUR, Pentan, ouvert (U), lambda 0.032</v>
      </c>
      <c r="BQ265" s="2057">
        <v>209</v>
      </c>
      <c r="BU265" s="2098" t="str">
        <f>Bauteile!B289</f>
        <v>Terre compacte, humidité naturelle</v>
      </c>
      <c r="BV265" s="1872">
        <f>Bauteile!H289</f>
        <v>2.09</v>
      </c>
      <c r="BW265" s="2098" t="str">
        <f>Bauteile!B561</f>
        <v>ISOPOR EPS F grau (030)</v>
      </c>
      <c r="BX265" s="2056">
        <f>Bauteile!H561</f>
        <v>0.03</v>
      </c>
    </row>
    <row r="266" spans="68:76" ht="18" customHeight="1">
      <c r="BP266" s="118">
        <f>Bauteile!B266</f>
        <v>0</v>
      </c>
      <c r="BQ266" s="2057">
        <v>210</v>
      </c>
      <c r="BU266" s="2098" t="str">
        <f>Bauteile!B290</f>
        <v>Terre glaise, compacte</v>
      </c>
      <c r="BV266" s="1872">
        <f>Bauteile!H290</f>
        <v>0.93</v>
      </c>
      <c r="BW266" s="2098" t="str">
        <f>Bauteile!B562</f>
        <v>ISOPOR EPS TS (039)</v>
      </c>
      <c r="BX266" s="2056">
        <f>Bauteile!H562</f>
        <v>3.9E-2</v>
      </c>
    </row>
    <row r="267" spans="68:76" ht="18" customHeight="1">
      <c r="BP267" s="118">
        <f>Bauteile!B267</f>
        <v>0</v>
      </c>
      <c r="BQ267" s="2057">
        <v>211</v>
      </c>
      <c r="BU267" s="2098" t="str">
        <f>Bauteile!B291</f>
        <v>Terre sableuse, humidité naturelle</v>
      </c>
      <c r="BV267" s="1872">
        <f>Bauteile!H291</f>
        <v>1.4</v>
      </c>
      <c r="BW267" s="2098" t="str">
        <f>Bauteile!B563</f>
        <v>ISOPOR EPS TS grau (031)</v>
      </c>
      <c r="BX267" s="2056">
        <f>Bauteile!H563</f>
        <v>3.1E-2</v>
      </c>
    </row>
    <row r="268" spans="68:76" ht="18" customHeight="1">
      <c r="BP268" s="118" t="str">
        <f>Bauteile!B268</f>
        <v>PVC en lés</v>
      </c>
      <c r="BQ268" s="2057">
        <v>212</v>
      </c>
      <c r="BU268" s="2098">
        <f>Bauteile!B292</f>
        <v>0</v>
      </c>
      <c r="BV268" s="1872">
        <f>Bauteile!H292</f>
        <v>0</v>
      </c>
      <c r="BW268" s="2098" t="str">
        <f>Bauteile!B564</f>
        <v>Hightherm 030</v>
      </c>
      <c r="BX268" s="2056">
        <f>Bauteile!H564</f>
        <v>0.03</v>
      </c>
    </row>
    <row r="269" spans="68:76" ht="18" customHeight="1">
      <c r="BP269" s="118">
        <f>Bauteile!B269</f>
        <v>0</v>
      </c>
      <c r="BQ269" s="2057">
        <v>213</v>
      </c>
      <c r="BU269" s="2098" t="str">
        <f>Bauteile!B293</f>
        <v>Verre</v>
      </c>
      <c r="BV269" s="1872">
        <f>Bauteile!H293</f>
        <v>0.81</v>
      </c>
      <c r="BW269" s="2098" t="str">
        <f>Bauteile!B565</f>
        <v>Joma EPS Perimeter grau</v>
      </c>
      <c r="BX269" s="2056">
        <f>Bauteile!H565</f>
        <v>3.1E-2</v>
      </c>
    </row>
    <row r="270" spans="68:76" ht="18" customHeight="1">
      <c r="BP270" s="118" t="str">
        <f>Bauteile!B270</f>
        <v>Quarzabrieb</v>
      </c>
      <c r="BQ270" s="2057">
        <v>214</v>
      </c>
      <c r="BU270" s="2098" t="str">
        <f>Bauteile!B294</f>
        <v>Verre cellulaire, en vrac (N)</v>
      </c>
      <c r="BV270" s="1872">
        <f>Bauteile!H294</f>
        <v>9.4E-2</v>
      </c>
      <c r="BW270" s="2098" t="str">
        <f>Bauteile!B566</f>
        <v>Joma EPS 15</v>
      </c>
      <c r="BX270" s="2056">
        <f>Bauteile!H566</f>
        <v>3.9E-2</v>
      </c>
    </row>
    <row r="271" spans="68:76" ht="18" customHeight="1">
      <c r="BP271" s="118">
        <f>Bauteile!B271</f>
        <v>0</v>
      </c>
      <c r="BQ271" s="2057">
        <v>215</v>
      </c>
      <c r="BU271" s="2098" t="str">
        <f>Bauteile!B295</f>
        <v>Verre cellulaire, panneaux (N)</v>
      </c>
      <c r="BV271" s="1872">
        <f>Bauteile!H295</f>
        <v>0.06</v>
      </c>
      <c r="BW271" s="2098" t="str">
        <f>Bauteile!B567</f>
        <v>Joma EPS 18</v>
      </c>
      <c r="BX271" s="2056">
        <f>Bauteile!H567</f>
        <v>3.7999999999999999E-2</v>
      </c>
    </row>
    <row r="272" spans="68:76" ht="18" customHeight="1">
      <c r="BP272" s="118" t="str">
        <f>Bauteile!B272</f>
        <v>Roches cristallines et métamorphiques</v>
      </c>
      <c r="BQ272" s="2057">
        <v>216</v>
      </c>
      <c r="BU272" s="2098" t="str">
        <f>Bauteile!B296</f>
        <v>Verre cellulaire, panneaux (U)</v>
      </c>
      <c r="BV272" s="1872">
        <f>Bauteile!H296</f>
        <v>5.0999999999999997E-2</v>
      </c>
      <c r="BW272" s="2098" t="str">
        <f>Bauteile!B568</f>
        <v>Joma EPS 20</v>
      </c>
      <c r="BX272" s="2056">
        <f>Bauteile!H568</f>
        <v>3.4000000000000002E-2</v>
      </c>
    </row>
    <row r="273" spans="68:76" ht="18" customHeight="1">
      <c r="BP273" s="118" t="str">
        <f>Bauteile!B273</f>
        <v>Roches sédimentaires</v>
      </c>
      <c r="BQ273" s="2057">
        <v>217</v>
      </c>
      <c r="BU273" s="2098">
        <f>Bauteile!B297</f>
        <v>0</v>
      </c>
      <c r="BV273" s="1872">
        <f>Bauteile!H297</f>
        <v>0</v>
      </c>
      <c r="BW273" s="2098" t="str">
        <f>Bauteile!B569</f>
        <v>Joma EPS 25</v>
      </c>
      <c r="BX273" s="2056">
        <f>Bauteile!H569</f>
        <v>3.4000000000000002E-2</v>
      </c>
    </row>
    <row r="274" spans="68:76" ht="18" customHeight="1">
      <c r="BP274" s="118" t="str">
        <f>Bauteile!B274</f>
        <v>****Revêtements de sol****</v>
      </c>
      <c r="BQ274" s="2057">
        <v>218</v>
      </c>
      <c r="BU274" s="2098">
        <f>Bauteile!B300</f>
        <v>0</v>
      </c>
      <c r="BV274" s="1872">
        <f>Bauteile!H300</f>
        <v>0</v>
      </c>
      <c r="BW274" s="2098" t="str">
        <f>Bauteile!B570</f>
        <v>Joma EPS 30</v>
      </c>
      <c r="BX274" s="2056">
        <f>Bauteile!H570</f>
        <v>3.4000000000000002E-2</v>
      </c>
    </row>
    <row r="275" spans="68:76" ht="18" customHeight="1">
      <c r="BP275" s="118" t="str">
        <f>Bauteile!B275</f>
        <v>Caoutchouc</v>
      </c>
      <c r="BQ275" s="2057">
        <v>219</v>
      </c>
      <c r="BU275" s="2098"/>
      <c r="BV275" s="2051"/>
      <c r="BW275" s="2098" t="str">
        <f>Bauteile!B571</f>
        <v>Joma EPS PST</v>
      </c>
      <c r="BX275" s="2056">
        <f>Bauteile!H571</f>
        <v>4.1000000000000002E-2</v>
      </c>
    </row>
    <row r="276" spans="68:76" ht="18" customHeight="1">
      <c r="BP276" s="118" t="str">
        <f>Bauteile!B276</f>
        <v>Plastique</v>
      </c>
      <c r="BQ276" s="2057">
        <v>220</v>
      </c>
      <c r="BU276" s="2098"/>
      <c r="BV276" s="2051"/>
      <c r="BW276" s="2098" t="str">
        <f>Bauteile!B572</f>
        <v>Joma EPS Perimeter</v>
      </c>
      <c r="BX276" s="2056">
        <f>Bauteile!H572</f>
        <v>3.4000000000000002E-2</v>
      </c>
    </row>
    <row r="277" spans="68:76" ht="18" customHeight="1">
      <c r="BP277" s="118" t="str">
        <f>Bauteile!B277</f>
        <v>Caoutchouc-mousse ou plastique cellulaire</v>
      </c>
      <c r="BQ277" s="2057">
        <v>221</v>
      </c>
      <c r="BU277" s="2098"/>
      <c r="BV277" s="2051"/>
      <c r="BW277" s="2098" t="str">
        <f>Bauteile!B573</f>
        <v>Joma EPS 030 gris</v>
      </c>
      <c r="BX277" s="2056">
        <f>Bauteile!H573</f>
        <v>0.03</v>
      </c>
    </row>
    <row r="278" spans="68:76" ht="18" customHeight="1">
      <c r="BP278" s="118" t="str">
        <f>Bauteile!B278</f>
        <v>Feutre</v>
      </c>
      <c r="BQ278" s="2057">
        <v>222</v>
      </c>
      <c r="BU278" s="2098"/>
      <c r="BV278" s="2051"/>
      <c r="BW278" s="2098" t="str">
        <f>Bauteile!B574</f>
        <v>DUO Therm 030 EPS</v>
      </c>
      <c r="BX278" s="2056">
        <f>Bauteile!H574</f>
        <v>0.03</v>
      </c>
    </row>
    <row r="279" spans="68:76" ht="18" customHeight="1">
      <c r="BP279" s="118" t="str">
        <f>Bauteile!B279</f>
        <v>Laine</v>
      </c>
      <c r="BQ279" s="2057">
        <v>223</v>
      </c>
      <c r="BU279" s="2098"/>
      <c r="BV279" s="2051"/>
      <c r="BW279" s="2098" t="str">
        <f>Bauteile!B575</f>
        <v>Duo Therm 031</v>
      </c>
      <c r="BX279" s="2056">
        <f>Bauteile!H575</f>
        <v>3.1E-2</v>
      </c>
    </row>
    <row r="280" spans="68:76" ht="18" customHeight="1">
      <c r="BP280" s="118" t="str">
        <f>Bauteile!B280</f>
        <v>Liège</v>
      </c>
      <c r="BQ280" s="2057">
        <v>224</v>
      </c>
      <c r="BU280" s="2098"/>
      <c r="BV280" s="2051"/>
      <c r="BW280" s="2098" t="str">
        <f>Bauteile!B576</f>
        <v>ECO Therm 031</v>
      </c>
      <c r="BX280" s="2056">
        <f>Bauteile!H576</f>
        <v>3.1E-2</v>
      </c>
    </row>
    <row r="281" spans="68:76" ht="18" customHeight="1">
      <c r="BP281" s="118" t="str">
        <f>Bauteile!B281</f>
        <v>Plaques de liège</v>
      </c>
      <c r="BQ281" s="2057">
        <v>225</v>
      </c>
      <c r="BU281" s="2098"/>
      <c r="BV281" s="2051"/>
      <c r="BW281" s="2098" t="str">
        <f>Bauteile!B577</f>
        <v>Joma EPS 031 gris</v>
      </c>
      <c r="BX281" s="2056">
        <f>Bauteile!H577</f>
        <v>3.1E-2</v>
      </c>
    </row>
    <row r="282" spans="68:76" ht="18" customHeight="1">
      <c r="BP282" s="118" t="str">
        <f>Bauteile!B282</f>
        <v>Linoléum</v>
      </c>
      <c r="BQ282" s="2057">
        <v>226</v>
      </c>
      <c r="BU282" s="2098"/>
      <c r="BV282" s="2051"/>
      <c r="BW282" s="2098" t="str">
        <f>Bauteile!B578</f>
        <v>Joma EPS 033 gris</v>
      </c>
      <c r="BX282" s="2056">
        <f>Bauteile!H578</f>
        <v>3.3000000000000002E-2</v>
      </c>
    </row>
    <row r="283" spans="68:76" ht="18" customHeight="1">
      <c r="BP283" s="118">
        <f>Bauteile!B283</f>
        <v>0</v>
      </c>
      <c r="BQ283" s="2057">
        <v>227</v>
      </c>
      <c r="BU283" s="2098"/>
      <c r="BV283" s="2051"/>
      <c r="BW283" s="2098" t="str">
        <f>Bauteile!B579</f>
        <v>ECO Therm 030</v>
      </c>
      <c r="BX283" s="2056">
        <f>Bauteile!H579</f>
        <v>0.03</v>
      </c>
    </row>
    <row r="284" spans="68:76" ht="18" customHeight="1">
      <c r="BP284" s="118" t="str">
        <f>Bauteile!B284</f>
        <v>Sable</v>
      </c>
      <c r="BQ284" s="2057">
        <v>228</v>
      </c>
      <c r="BU284" s="2098"/>
      <c r="BV284" s="2051"/>
      <c r="BW284" s="2098" t="str">
        <f>Bauteile!B580</f>
        <v>KNAUF Therm ITEx Th38 SE</v>
      </c>
      <c r="BX284" s="2056">
        <f>Bauteile!H580</f>
        <v>3.7999999999999999E-2</v>
      </c>
    </row>
    <row r="285" spans="68:76" ht="18" customHeight="1">
      <c r="BP285" s="118" t="str">
        <f>Bauteile!B285</f>
        <v>Sable calcaire coquiller</v>
      </c>
      <c r="BQ285" s="2057">
        <v>229</v>
      </c>
      <c r="BU285" s="2098"/>
      <c r="BV285" s="2051"/>
      <c r="BW285" s="2098" t="str">
        <f>Bauteile!B581</f>
        <v>KNAUF XTherm ITEx Sun +</v>
      </c>
      <c r="BX285" s="2056">
        <f>Bauteile!H581</f>
        <v>3.1E-2</v>
      </c>
    </row>
    <row r="286" spans="68:76" ht="18" customHeight="1">
      <c r="BP286" s="118" t="str">
        <f>Bauteile!B286</f>
        <v>Silikonharzputz m=55</v>
      </c>
      <c r="BQ286" s="2057">
        <v>230</v>
      </c>
      <c r="BU286" s="2098"/>
      <c r="BV286" s="2051"/>
      <c r="BW286" s="2098" t="str">
        <f>Bauteile!B582</f>
        <v>KNAUF Therm Soubassement SE</v>
      </c>
      <c r="BX286" s="2056">
        <f>Bauteile!H582</f>
        <v>3.5999999999999997E-2</v>
      </c>
    </row>
    <row r="287" spans="68:76" ht="18" customHeight="1">
      <c r="BP287" s="118" t="str">
        <f>Bauteile!B287</f>
        <v xml:space="preserve">Spatule de plâtre </v>
      </c>
      <c r="BQ287" s="2057">
        <v>231</v>
      </c>
      <c r="BU287" s="2098"/>
      <c r="BV287" s="2051"/>
      <c r="BW287" s="2098" t="str">
        <f>Bauteile!B583</f>
        <v>Rthermo plus 30 Neopor</v>
      </c>
      <c r="BX287" s="2056">
        <f>Bauteile!H583</f>
        <v>3.1E-2</v>
      </c>
    </row>
    <row r="288" spans="68:76" ht="18" customHeight="1">
      <c r="BP288" s="118">
        <f>Bauteile!B288</f>
        <v>0</v>
      </c>
      <c r="BQ288" s="2057">
        <v>232</v>
      </c>
      <c r="BU288" s="2098"/>
      <c r="BV288" s="2051"/>
      <c r="BW288" s="2098" t="str">
        <f>Bauteile!B584</f>
        <v>SAGEX Nero (030) 15</v>
      </c>
      <c r="BX288" s="2056">
        <f>Bauteile!H584</f>
        <v>0.03</v>
      </c>
    </row>
    <row r="289" spans="68:76" ht="18" customHeight="1">
      <c r="BP289" s="118" t="str">
        <f>Bauteile!B289</f>
        <v>Terre compacte, humidité naturelle</v>
      </c>
      <c r="BQ289" s="2057">
        <v>233</v>
      </c>
      <c r="BU289" s="2098"/>
      <c r="BV289" s="2051"/>
      <c r="BW289" s="2098" t="str">
        <f>Bauteile!B585</f>
        <v>SAGEX Zebra (030)</v>
      </c>
      <c r="BX289" s="2056">
        <f>Bauteile!H585</f>
        <v>0.03</v>
      </c>
    </row>
    <row r="290" spans="68:76" ht="18" customHeight="1">
      <c r="BP290" s="118" t="str">
        <f>Bauteile!B290</f>
        <v>Terre glaise, compacte</v>
      </c>
      <c r="BQ290" s="2057">
        <v>234</v>
      </c>
      <c r="BU290" s="2098"/>
      <c r="BV290" s="2051"/>
      <c r="BW290" s="2098" t="str">
        <f>Bauteile!B586</f>
        <v>EPS Dalmatiner (032)</v>
      </c>
      <c r="BX290" s="2056">
        <f>Bauteile!H586</f>
        <v>3.2000000000000001E-2</v>
      </c>
    </row>
    <row r="291" spans="68:76" ht="18" customHeight="1">
      <c r="BP291" s="118" t="str">
        <f>Bauteile!B291</f>
        <v>Terre sableuse, humidité naturelle</v>
      </c>
      <c r="BQ291" s="2057">
        <v>235</v>
      </c>
      <c r="BU291" s="2098"/>
      <c r="BV291" s="2051"/>
      <c r="BW291" s="2098" t="str">
        <f>Bauteile!B587</f>
        <v>SAGEX (033) 25 DS 150</v>
      </c>
      <c r="BX291" s="2056">
        <f>Bauteile!H587</f>
        <v>3.3000000000000002E-2</v>
      </c>
    </row>
    <row r="292" spans="68:76" ht="18" customHeight="1">
      <c r="BP292" s="118">
        <f>Bauteile!B292</f>
        <v>0</v>
      </c>
      <c r="BQ292" s="2057">
        <v>236</v>
      </c>
      <c r="BU292" s="2098"/>
      <c r="BV292" s="2051"/>
      <c r="BW292" s="2098" t="str">
        <f>Bauteile!B588</f>
        <v>SAGEX (033) 30</v>
      </c>
      <c r="BX292" s="2056">
        <f>Bauteile!H588</f>
        <v>3.3000000000000002E-2</v>
      </c>
    </row>
    <row r="293" spans="68:76" ht="18" customHeight="1">
      <c r="BP293" s="118" t="str">
        <f>Bauteile!B293</f>
        <v>Verre</v>
      </c>
      <c r="BQ293" s="2057">
        <v>237</v>
      </c>
      <c r="BU293" s="2098"/>
      <c r="BV293" s="2051"/>
      <c r="BW293" s="2098" t="str">
        <f>Bauteile!B589</f>
        <v>SAGEX (036) 20</v>
      </c>
      <c r="BX293" s="2056">
        <f>Bauteile!H589</f>
        <v>3.5999999999999997E-2</v>
      </c>
    </row>
    <row r="294" spans="68:76" ht="18" customHeight="1">
      <c r="BP294" s="118" t="str">
        <f>Bauteile!B294</f>
        <v>Verre cellulaire, en vrac (N)</v>
      </c>
      <c r="BQ294" s="2057">
        <v>238</v>
      </c>
      <c r="BU294" s="2098"/>
      <c r="BV294" s="2051"/>
      <c r="BW294" s="2098" t="str">
        <f>Bauteile!B590</f>
        <v>SAGEX (038) 15</v>
      </c>
      <c r="BX294" s="2056">
        <f>Bauteile!H590</f>
        <v>3.7999999999999999E-2</v>
      </c>
    </row>
    <row r="295" spans="68:76" ht="18" customHeight="1">
      <c r="BP295" s="118" t="str">
        <f>Bauteile!B295</f>
        <v>Verre cellulaire, panneaux (N)</v>
      </c>
      <c r="BQ295" s="2057">
        <v>239</v>
      </c>
      <c r="BU295" s="2098"/>
      <c r="BV295" s="2051"/>
      <c r="BW295" s="2098" t="str">
        <f>Bauteile!B591</f>
        <v>SAGEX Nero (030) 25</v>
      </c>
      <c r="BX295" s="2056">
        <f>Bauteile!H591</f>
        <v>0.03</v>
      </c>
    </row>
    <row r="296" spans="68:76" ht="18" customHeight="1">
      <c r="BP296" s="118" t="str">
        <f>Bauteile!B296</f>
        <v>Verre cellulaire, panneaux (U)</v>
      </c>
      <c r="BQ296" s="2057">
        <v>240</v>
      </c>
      <c r="BU296" s="2098"/>
      <c r="BV296" s="2051"/>
      <c r="BW296" s="2098" t="str">
        <f>Bauteile!B592</f>
        <v>SAGEX Nero (030) 20</v>
      </c>
      <c r="BX296" s="2056">
        <f>Bauteile!H592</f>
        <v>0.03</v>
      </c>
    </row>
    <row r="297" spans="68:76" ht="18" customHeight="1">
      <c r="BP297" s="118">
        <f>Bauteile!B297</f>
        <v>0</v>
      </c>
      <c r="BQ297" s="2057">
        <v>241</v>
      </c>
      <c r="BU297" s="2098"/>
      <c r="BV297" s="2051"/>
      <c r="BW297" s="2098" t="str">
        <f>Bauteile!B593</f>
        <v>SAGEX Zebra (031) 15</v>
      </c>
      <c r="BX297" s="2056">
        <f>Bauteile!H593</f>
        <v>3.1E-2</v>
      </c>
    </row>
    <row r="298" spans="68:76" ht="18" customHeight="1">
      <c r="BP298" s="118" t="str">
        <f>Bauteile!B298</f>
        <v>Zinc</v>
      </c>
      <c r="BQ298" s="2057">
        <v>242</v>
      </c>
      <c r="BU298" s="2098"/>
      <c r="BV298" s="2051"/>
      <c r="BW298" s="2098" t="str">
        <f>Bauteile!B594</f>
        <v>SAGEX Zebra (029) Premium</v>
      </c>
      <c r="BX298" s="2056">
        <f>Bauteile!H594</f>
        <v>2.9000000000000001E-2</v>
      </c>
    </row>
    <row r="299" spans="68:76" ht="18" customHeight="1">
      <c r="BP299" s="118">
        <f>Bauteile!B299</f>
        <v>0</v>
      </c>
      <c r="BQ299" s="2057">
        <v>243</v>
      </c>
      <c r="BU299" s="2098"/>
      <c r="BV299" s="2051"/>
      <c r="BW299" s="2098" t="str">
        <f>Bauteile!B595</f>
        <v>ISOVER EPS Dämmplatte DI, DZ, WI, WZ, WAP</v>
      </c>
      <c r="BX299" s="2056">
        <f>Bauteile!H595</f>
        <v>3.7999999999999999E-2</v>
      </c>
    </row>
    <row r="300" spans="68:76" ht="18" customHeight="1">
      <c r="BP300" s="118">
        <f>Bauteile!B300</f>
        <v>0</v>
      </c>
      <c r="BQ300" s="2057">
        <v>244</v>
      </c>
      <c r="BU300" s="2098"/>
      <c r="BV300" s="2051"/>
      <c r="BW300" s="2098" t="str">
        <f>Bauteile!B596</f>
        <v>ISOVER EPS Dämmplatte DEO dm, DAA dm, DAD dm, WAB</v>
      </c>
      <c r="BX300" s="2056">
        <f>Bauteile!H596</f>
        <v>3.7999999999999999E-2</v>
      </c>
    </row>
    <row r="301" spans="68:76" ht="18" customHeight="1">
      <c r="BP301" s="1268" t="str">
        <f>Bauteile!B301</f>
        <v>Produits spécifiés</v>
      </c>
      <c r="BQ301" s="2057">
        <v>245</v>
      </c>
      <c r="BU301" s="2098"/>
      <c r="BV301" s="2051"/>
      <c r="BW301" s="2098" t="str">
        <f>Bauteile!B597</f>
        <v>ISOVER EPS  DI, DZ, WI, WZ, DEO, DAA, DAD, WAB, WAP</v>
      </c>
      <c r="BX301" s="2056">
        <f>Bauteile!H597</f>
        <v>3.4000000000000002E-2</v>
      </c>
    </row>
    <row r="302" spans="68:76" ht="18" customHeight="1">
      <c r="BP302" s="118">
        <f>Bauteile!B302</f>
        <v>0</v>
      </c>
      <c r="BQ302" s="2057">
        <v>246</v>
      </c>
      <c r="BU302" s="2098"/>
      <c r="BV302" s="2051"/>
      <c r="BW302" s="2098" t="str">
        <f>Bauteile!B598</f>
        <v>ISOVER EPS Dämmplatte DEO dh, DAA dh, DAD dh</v>
      </c>
      <c r="BX302" s="2056">
        <f>Bauteile!H598</f>
        <v>3.4000000000000002E-2</v>
      </c>
    </row>
    <row r="303" spans="68:76" ht="18" customHeight="1">
      <c r="BP303" s="1268" t="str">
        <f>Bauteile!B303</f>
        <v>**** Laine de roche ****</v>
      </c>
      <c r="BQ303" s="2057">
        <v>247</v>
      </c>
      <c r="BU303" s="2098"/>
      <c r="BV303" s="2051"/>
      <c r="BW303" s="2098" t="str">
        <f>Bauteile!B599</f>
        <v>ISOVER EPS Dämmplatte DEO ds, DAA ds, DAD ds</v>
      </c>
      <c r="BX303" s="2056">
        <f>Bauteile!H599</f>
        <v>3.4000000000000002E-2</v>
      </c>
    </row>
    <row r="304" spans="68:76" ht="18" customHeight="1">
      <c r="BP304" s="118" t="str">
        <f>Bauteile!B304</f>
        <v>FIBRANgeo B-040</v>
      </c>
      <c r="BQ304" s="2057">
        <v>248</v>
      </c>
      <c r="BU304" s="2098"/>
      <c r="BV304" s="2051"/>
      <c r="BW304" s="2098" t="str">
        <f>Bauteile!B600</f>
        <v>ISOVER Perimeter- und Sockeldämmplatte 035 BW3 150</v>
      </c>
      <c r="BX304" s="2056">
        <f>Bauteile!H600</f>
        <v>3.4000000000000002E-2</v>
      </c>
    </row>
    <row r="305" spans="68:76" ht="18" customHeight="1">
      <c r="BP305" s="118" t="str">
        <f>Bauteile!B305</f>
        <v>Panneau de sol Flumroc</v>
      </c>
      <c r="BQ305" s="2057">
        <v>249</v>
      </c>
      <c r="BU305" s="2098"/>
      <c r="BV305" s="2051"/>
      <c r="BW305" s="2098" t="str">
        <f>Bauteile!B601</f>
        <v>ISOVER panneau pour façades, gris 035</v>
      </c>
      <c r="BX305" s="2056">
        <f>Bauteile!H601</f>
        <v>3.4000000000000002E-2</v>
      </c>
    </row>
    <row r="306" spans="68:76" ht="18" customHeight="1">
      <c r="BP306" s="118" t="str">
        <f>Bauteile!B306</f>
        <v>Panneau de sol Flumroc</v>
      </c>
      <c r="BQ306" s="2057">
        <v>250</v>
      </c>
      <c r="BU306" s="2098"/>
      <c r="BV306" s="2051"/>
      <c r="BW306" s="2098" t="str">
        <f>Bauteile!B602</f>
        <v>ISOVER panneau pour façades, gris 032</v>
      </c>
      <c r="BX306" s="2056">
        <f>Bauteile!H602</f>
        <v>3.1E-2</v>
      </c>
    </row>
    <row r="307" spans="68:76" ht="18" customHeight="1">
      <c r="BP307" s="118" t="str">
        <f>Bauteile!B307</f>
        <v>Panneau isolant Flumroc DECO</v>
      </c>
      <c r="BQ307" s="2057">
        <v>251</v>
      </c>
      <c r="BU307" s="2098"/>
      <c r="BV307" s="2051"/>
      <c r="BW307" s="2098" t="str">
        <f>Bauteile!B603</f>
        <v>ISOVER panneau pour façades EPSe 040 WDV</v>
      </c>
      <c r="BX307" s="2056">
        <f>Bauteile!H603</f>
        <v>3.7999999999999999E-2</v>
      </c>
    </row>
    <row r="308" spans="68:76" ht="18" customHeight="1">
      <c r="BP308" s="118" t="str">
        <f>Bauteile!B308</f>
        <v>Panneau isolant Flumroc 3</v>
      </c>
      <c r="BQ308" s="2057">
        <v>252</v>
      </c>
      <c r="BU308" s="2098"/>
      <c r="BV308" s="2051"/>
      <c r="BW308" s="2098" t="str">
        <f>Bauteile!B604</f>
        <v>ISOVER panneau pour façades EPSe 035 WDV</v>
      </c>
      <c r="BX308" s="2056">
        <f>Bauteile!H604</f>
        <v>3.4000000000000002E-2</v>
      </c>
    </row>
    <row r="309" spans="68:76" ht="18" customHeight="1">
      <c r="BP309" s="118" t="str">
        <f>Bauteile!B309</f>
        <v>Panneau isolant Flumroc 341</v>
      </c>
      <c r="BQ309" s="2057">
        <v>253</v>
      </c>
      <c r="BU309" s="2098"/>
      <c r="BV309" s="2051"/>
      <c r="BW309" s="2098" t="str">
        <f>Bauteile!B605</f>
        <v>ISOVER panneau insonorisant pour façades gris Silence dB Plus 032</v>
      </c>
      <c r="BX309" s="2056">
        <f>Bauteile!H605</f>
        <v>3.1E-2</v>
      </c>
    </row>
    <row r="310" spans="68:76" ht="18" customHeight="1">
      <c r="BP310" s="118" t="str">
        <f>Bauteile!B310</f>
        <v>Panneau isolant Flumroc DUO / DUO C / DUO D20</v>
      </c>
      <c r="BQ310" s="2057">
        <v>254</v>
      </c>
      <c r="BU310" s="2098"/>
      <c r="BV310" s="2051"/>
      <c r="BW310" s="2098" t="str">
        <f>Bauteile!B606</f>
        <v>ISOVER Perimeter- und Sockeldämmplatte 035 AW3 150</v>
      </c>
      <c r="BX310" s="2056">
        <f>Bauteile!H606</f>
        <v>3.4000000000000002E-2</v>
      </c>
    </row>
    <row r="311" spans="68:76" ht="18" customHeight="1">
      <c r="BP311" s="118" t="str">
        <f>Bauteile!B311</f>
        <v>Panneau isolant Flumroc ECCO</v>
      </c>
      <c r="BQ311" s="2057">
        <v>255</v>
      </c>
      <c r="BU311" s="2098"/>
      <c r="BV311" s="2051"/>
      <c r="BW311" s="2098" t="str">
        <f>Bauteile!B607</f>
        <v>ISOVER Perimeter- und Sockeldämmplatte 032 AW3 150 grau</v>
      </c>
      <c r="BX311" s="2056">
        <f>Bauteile!H607</f>
        <v>3.1E-2</v>
      </c>
    </row>
    <row r="312" spans="68:76" ht="18" customHeight="1">
      <c r="BP312" s="118" t="str">
        <f>Bauteile!B312</f>
        <v>Panneau isolant Flumroc MEGA</v>
      </c>
      <c r="BQ312" s="2057">
        <v>256</v>
      </c>
      <c r="BU312" s="2098"/>
      <c r="BV312" s="2051"/>
      <c r="BW312" s="2098" t="str">
        <f>Bauteile!B608</f>
        <v>ISOVER Trittschalldämmplatte EPS 045 DES sm</v>
      </c>
      <c r="BX312" s="2056">
        <f>Bauteile!H608</f>
        <v>4.3999999999999997E-2</v>
      </c>
    </row>
    <row r="313" spans="68:76" ht="18" customHeight="1">
      <c r="BP313" s="118" t="str">
        <f>Bauteile!B313</f>
        <v>Panneau isolant Flumroc MONO</v>
      </c>
      <c r="BQ313" s="2057">
        <v>257</v>
      </c>
      <c r="BU313" s="2098"/>
      <c r="BV313" s="2051"/>
      <c r="BW313" s="2098" t="str">
        <f>Bauteile!B609</f>
        <v>ISOVER Trittschalldämmplatte EPS 040 DES sg</v>
      </c>
      <c r="BX313" s="2056">
        <f>Bauteile!H609</f>
        <v>3.7999999999999999E-2</v>
      </c>
    </row>
    <row r="314" spans="68:76" ht="18" customHeight="1">
      <c r="BP314" s="118" t="str">
        <f>Bauteile!B314</f>
        <v>Panneau isolant Flumroc PARA</v>
      </c>
      <c r="BQ314" s="2057">
        <v>258</v>
      </c>
      <c r="BU314" s="2098"/>
      <c r="BV314" s="2051"/>
      <c r="BW314" s="2098" t="str">
        <f>Bauteile!B610</f>
        <v>Sarna Granol K5 EPS 030 GR</v>
      </c>
      <c r="BX314" s="2056">
        <f>Bauteile!H610</f>
        <v>0.03</v>
      </c>
    </row>
    <row r="315" spans="68:76" ht="18" customHeight="1">
      <c r="BP315" s="118" t="str">
        <f>Bauteile!B315</f>
        <v>Panneau isolant Flumroc PRIMA</v>
      </c>
      <c r="BQ315" s="2057">
        <v>259</v>
      </c>
      <c r="BU315" s="2098"/>
      <c r="BV315" s="2051"/>
      <c r="BW315" s="2098" t="str">
        <f>Bauteile!B611</f>
        <v>S-Therm Plus</v>
      </c>
      <c r="BX315" s="2056">
        <f>Bauteile!H611</f>
        <v>2.9000000000000001E-2</v>
      </c>
    </row>
    <row r="316" spans="68:76" ht="18" customHeight="1">
      <c r="BP316" s="118" t="str">
        <f>Bauteile!B316</f>
        <v>Panneau isolant Flumroc SIGMA</v>
      </c>
      <c r="BQ316" s="2057">
        <v>260</v>
      </c>
      <c r="BU316" s="2098"/>
      <c r="BV316" s="2051"/>
      <c r="BW316" s="2098" t="str">
        <f>Bauteile!B612</f>
        <v>S-Therm Roof</v>
      </c>
      <c r="BX316" s="2056">
        <f>Bauteile!H612</f>
        <v>3.4000000000000002E-2</v>
      </c>
    </row>
    <row r="317" spans="68:76" ht="18" customHeight="1">
      <c r="BP317" s="118" t="str">
        <f>Bauteile!B317</f>
        <v>Panneau isolant Flumroc 1</v>
      </c>
      <c r="BQ317" s="2057">
        <v>261</v>
      </c>
      <c r="BU317" s="2098"/>
      <c r="BV317" s="2051"/>
      <c r="BW317" s="2098" t="str">
        <f>Bauteile!B613</f>
        <v>S-Therm Duro</v>
      </c>
      <c r="BX317" s="2056">
        <f>Bauteile!H613</f>
        <v>3.2000000000000001E-2</v>
      </c>
    </row>
    <row r="318" spans="68:76" ht="18" customHeight="1">
      <c r="BP318" s="118" t="str">
        <f>Bauteile!B318</f>
        <v>Panneau isolant Flumroc SOLO</v>
      </c>
      <c r="BQ318" s="2057">
        <v>262</v>
      </c>
      <c r="BU318" s="2098"/>
      <c r="BV318" s="2051"/>
      <c r="BW318" s="2098" t="str">
        <f>Bauteile!B614</f>
        <v>NEOSTIR Lambda 29</v>
      </c>
      <c r="BX318" s="2056">
        <f>Bauteile!H614</f>
        <v>2.9000000000000001E-2</v>
      </c>
    </row>
    <row r="319" spans="68:76" ht="18" customHeight="1">
      <c r="BP319" s="118" t="str">
        <f>Bauteile!B319</f>
        <v>Panneau isolant Flumroc FHW 80</v>
      </c>
      <c r="BQ319" s="2057">
        <v>263</v>
      </c>
      <c r="BU319" s="2098"/>
      <c r="BV319" s="2051"/>
      <c r="BW319" s="2098" t="str">
        <f>Bauteile!B615</f>
        <v>SIRAPOR 120 Lambda 34</v>
      </c>
      <c r="BX319" s="2056">
        <f>Bauteile!H615</f>
        <v>3.4000000000000002E-2</v>
      </c>
    </row>
    <row r="320" spans="68:76" ht="18" customHeight="1">
      <c r="BP320" s="118" t="str">
        <f>Bauteile!B320</f>
        <v>Panneau isolant Flumroc COMPACT PRO</v>
      </c>
      <c r="BQ320" s="2057">
        <v>264</v>
      </c>
      <c r="BU320" s="2098"/>
      <c r="BV320" s="2051"/>
      <c r="BW320" s="2098" t="str">
        <f>Bauteile!B616</f>
        <v>NEOSTIR</v>
      </c>
      <c r="BX320" s="2056">
        <f>Bauteile!H616</f>
        <v>3.1E-2</v>
      </c>
    </row>
    <row r="321" spans="68:76" ht="18" customHeight="1">
      <c r="BP321" s="118" t="str">
        <f>Bauteile!B321</f>
        <v>Élément pour sol de combles Flumroc ESTRA</v>
      </c>
      <c r="BQ321" s="2057">
        <v>265</v>
      </c>
      <c r="BU321" s="2098"/>
      <c r="BV321" s="2051"/>
      <c r="BW321" s="2098" t="str">
        <f>Bauteile!B617</f>
        <v>SIRAPOR EPS 100</v>
      </c>
      <c r="BX321" s="2056">
        <f>Bauteile!H617</f>
        <v>3.5999999999999997E-2</v>
      </c>
    </row>
    <row r="322" spans="68:76" ht="18" customHeight="1">
      <c r="BP322" s="118" t="str">
        <f>Bauteile!B322</f>
        <v>Panneau isolant Flumroc FUTURO 1</v>
      </c>
      <c r="BQ322" s="2057">
        <v>266</v>
      </c>
      <c r="BU322" s="2098"/>
      <c r="BV322" s="2051"/>
      <c r="BW322" s="2098" t="str">
        <f>Bauteile!B618</f>
        <v>SIRAPOR EPS 200</v>
      </c>
      <c r="BX322" s="2056">
        <f>Bauteile!H618</f>
        <v>3.3000000000000002E-2</v>
      </c>
    </row>
    <row r="323" spans="68:76" ht="18" customHeight="1">
      <c r="BP323" s="118" t="str">
        <f>Bauteile!B323</f>
        <v>Panneau isolant Flumroc ROCA</v>
      </c>
      <c r="BQ323" s="2057">
        <v>267</v>
      </c>
      <c r="BU323" s="2098"/>
      <c r="BV323" s="2051"/>
      <c r="BW323" s="2098" t="str">
        <f>Bauteile!B619</f>
        <v>NEOSTIR GW 30</v>
      </c>
      <c r="BX323" s="2056">
        <f>Bauteile!H619</f>
        <v>0.03</v>
      </c>
    </row>
    <row r="324" spans="68:76" ht="18" customHeight="1">
      <c r="BP324" s="118" t="str">
        <f>Bauteile!B324</f>
        <v>Protect BSP 30</v>
      </c>
      <c r="BQ324" s="2057">
        <v>268</v>
      </c>
      <c r="BU324" s="2098"/>
      <c r="BV324" s="2051"/>
      <c r="BW324" s="2098" t="str">
        <f>Bauteile!B620</f>
        <v>steinopor Roll EPS-T</v>
      </c>
      <c r="BX324" s="2056">
        <f>Bauteile!H620</f>
        <v>4.2000000000000003E-2</v>
      </c>
    </row>
    <row r="325" spans="68:76" ht="18" customHeight="1">
      <c r="BP325" s="118" t="str">
        <f>Bauteile!B325</f>
        <v>Protect BSP 50</v>
      </c>
      <c r="BQ325" s="2057">
        <v>269</v>
      </c>
      <c r="BU325" s="2098"/>
      <c r="BV325" s="2051"/>
      <c r="BW325" s="2098" t="str">
        <f>Bauteile!B621</f>
        <v>steinopor Roll EPS-T plus</v>
      </c>
      <c r="BX325" s="2056">
        <f>Bauteile!H621</f>
        <v>3.2000000000000001E-2</v>
      </c>
    </row>
    <row r="326" spans="68:76" ht="18" customHeight="1">
      <c r="BP326" s="118" t="str">
        <f>Bauteile!B326</f>
        <v>COVERROCK II</v>
      </c>
      <c r="BQ326" s="2057">
        <v>270</v>
      </c>
      <c r="BU326" s="2098"/>
      <c r="BV326" s="2051"/>
      <c r="BW326" s="2098" t="str">
        <f>Bauteile!B622</f>
        <v>steinopor EPS - 100 kPa</v>
      </c>
      <c r="BX326" s="2056">
        <f>Bauteile!H622</f>
        <v>3.5999999999999997E-2</v>
      </c>
    </row>
    <row r="327" spans="68:76" ht="18" customHeight="1">
      <c r="BP327" s="118" t="str">
        <f>Bauteile!B327</f>
        <v>COVERROCK 036</v>
      </c>
      <c r="BQ327" s="2057">
        <v>271</v>
      </c>
      <c r="BU327" s="2098"/>
      <c r="BV327" s="2051"/>
      <c r="BW327" s="2098" t="str">
        <f>Bauteile!B623</f>
        <v>steinopor EPS - 120 kPa</v>
      </c>
      <c r="BX327" s="2056">
        <f>Bauteile!H623</f>
        <v>3.4000000000000002E-2</v>
      </c>
    </row>
    <row r="328" spans="68:76" ht="18" customHeight="1">
      <c r="BP328" s="118" t="str">
        <f>Bauteile!B328</f>
        <v>SONOROCK</v>
      </c>
      <c r="BQ328" s="2057">
        <v>272</v>
      </c>
      <c r="BU328" s="2098"/>
      <c r="BV328" s="2051"/>
      <c r="BW328" s="2098" t="str">
        <f>Bauteile!B624</f>
        <v>steinopor EPS plus 031</v>
      </c>
      <c r="BX328" s="2056">
        <f>Bauteile!H624</f>
        <v>3.1E-2</v>
      </c>
    </row>
    <row r="329" spans="68:76" ht="18" customHeight="1">
      <c r="BP329" s="118" t="str">
        <f>Bauteile!B329</f>
        <v>COVERROCK II</v>
      </c>
      <c r="BQ329" s="2057">
        <v>273</v>
      </c>
      <c r="BU329" s="2098"/>
      <c r="BV329" s="2051"/>
      <c r="BW329" s="2098" t="str">
        <f>Bauteile!B625</f>
        <v>steinodur PSN</v>
      </c>
      <c r="BX329" s="2056">
        <f>Bauteile!H625</f>
        <v>3.5000000000000003E-2</v>
      </c>
    </row>
    <row r="330" spans="68:76" ht="18" customHeight="1">
      <c r="BP330" s="118" t="str">
        <f>Bauteile!B330</f>
        <v>COVERROCK 036</v>
      </c>
      <c r="BQ330" s="2057">
        <v>274</v>
      </c>
      <c r="BU330" s="2098"/>
      <c r="BV330" s="2051"/>
      <c r="BW330" s="2098" t="str">
        <f>Bauteile!B626</f>
        <v>steinodur UKD</v>
      </c>
      <c r="BX330" s="2056">
        <f>Bauteile!H626</f>
        <v>3.6999999999999998E-2</v>
      </c>
    </row>
    <row r="331" spans="68:76" ht="18" customHeight="1">
      <c r="BP331" s="118" t="str">
        <f>Bauteile!B331</f>
        <v>SPEEDROCK II</v>
      </c>
      <c r="BQ331" s="2057">
        <v>275</v>
      </c>
      <c r="BU331" s="2098"/>
      <c r="BV331" s="2051"/>
      <c r="BW331" s="2098" t="str">
        <f>Bauteile!B627</f>
        <v>steinodur UKD plus</v>
      </c>
      <c r="BX331" s="2056">
        <f>Bauteile!H627</f>
        <v>3.2000000000000001E-2</v>
      </c>
    </row>
    <row r="332" spans="68:76" ht="18" customHeight="1">
      <c r="BP332" s="118" t="str">
        <f>Bauteile!B332</f>
        <v>RP-PL</v>
      </c>
      <c r="BQ332" s="2057">
        <v>276</v>
      </c>
      <c r="BU332" s="2098"/>
      <c r="BV332" s="2051"/>
      <c r="BW332" s="2098" t="str">
        <f>Bauteile!B628</f>
        <v>steinodur SPL</v>
      </c>
      <c r="BX332" s="2056">
        <f>Bauteile!H628</f>
        <v>3.5000000000000003E-2</v>
      </c>
    </row>
    <row r="333" spans="68:76" ht="18" customHeight="1">
      <c r="BP333" s="118" t="str">
        <f>Bauteile!B333</f>
        <v>ISOPANEL-AT</v>
      </c>
      <c r="BQ333" s="2057">
        <v>277</v>
      </c>
      <c r="BU333" s="2098"/>
      <c r="BV333" s="2051"/>
      <c r="BW333" s="2098" t="str">
        <f>Bauteile!B629</f>
        <v>steinopor EPS-F</v>
      </c>
      <c r="BX333" s="2056">
        <f>Bauteile!H629</f>
        <v>3.7999999999999999E-2</v>
      </c>
    </row>
    <row r="334" spans="68:76" ht="18" customHeight="1">
      <c r="BP334" s="118" t="str">
        <f>Bauteile!B334</f>
        <v>DDP-RT</v>
      </c>
      <c r="BQ334" s="2057">
        <v>278</v>
      </c>
      <c r="BU334" s="2098"/>
      <c r="BV334" s="2051"/>
      <c r="BW334" s="2098" t="str">
        <f>Bauteile!B630</f>
        <v>steinopor EPS-F 20</v>
      </c>
      <c r="BX334" s="2056">
        <f>Bauteile!H630</f>
        <v>3.5999999999999997E-2</v>
      </c>
    </row>
    <row r="335" spans="68:76" ht="18" customHeight="1">
      <c r="BP335" s="118" t="str">
        <f>Bauteile!B335</f>
        <v>DPF 40</v>
      </c>
      <c r="BQ335" s="2057">
        <v>279</v>
      </c>
      <c r="BU335" s="2098"/>
      <c r="BV335" s="2051"/>
      <c r="BW335" s="2098" t="str">
        <f>Bauteile!B631</f>
        <v>steinopor EPS-F plus</v>
      </c>
      <c r="BX335" s="2056">
        <f>Bauteile!H631</f>
        <v>3.1E-2</v>
      </c>
    </row>
    <row r="336" spans="68:76" ht="18" customHeight="1">
      <c r="BP336" s="118" t="str">
        <f>Bauteile!B336</f>
        <v>FKD-S, FKD-S C1, FKD-S C2</v>
      </c>
      <c r="BQ336" s="2057">
        <v>280</v>
      </c>
      <c r="BU336" s="2098"/>
      <c r="BV336" s="2051"/>
      <c r="BW336" s="2098" t="str">
        <f>Bauteile!B632</f>
        <v>swissporEPS 15</v>
      </c>
      <c r="BX336" s="2056">
        <f>Bauteile!H632</f>
        <v>3.7999999999999999E-2</v>
      </c>
    </row>
    <row r="337" spans="68:76" ht="18" customHeight="1">
      <c r="BP337" s="118" t="str">
        <f>Bauteile!B337</f>
        <v>FKD-T C2, FKD-T FB C2</v>
      </c>
      <c r="BQ337" s="2057">
        <v>281</v>
      </c>
      <c r="BU337" s="2098"/>
      <c r="BV337" s="2051"/>
      <c r="BW337" s="2098" t="str">
        <f>Bauteile!B633</f>
        <v>swissporEPS 15 100% recyclé</v>
      </c>
      <c r="BX337" s="2056">
        <f>Bauteile!H633</f>
        <v>3.7999999999999999E-2</v>
      </c>
    </row>
    <row r="338" spans="68:76" ht="18" customHeight="1">
      <c r="BP338" s="118" t="str">
        <f>Bauteile!B338</f>
        <v>FKD-U C2</v>
      </c>
      <c r="BQ338" s="2057">
        <v>282</v>
      </c>
      <c r="BU338" s="2098"/>
      <c r="BV338" s="2051"/>
      <c r="BW338" s="2098" t="str">
        <f>Bauteile!B634</f>
        <v>swissporEPS 20</v>
      </c>
      <c r="BX338" s="2056">
        <f>Bauteile!H634</f>
        <v>3.5999999999999997E-2</v>
      </c>
    </row>
    <row r="339" spans="68:76" ht="18" customHeight="1">
      <c r="BP339" s="118" t="str">
        <f>Bauteile!B339</f>
        <v>FPS</v>
      </c>
      <c r="BQ339" s="2057">
        <v>283</v>
      </c>
      <c r="BU339" s="2098"/>
      <c r="BV339" s="2051"/>
      <c r="BW339" s="2098" t="str">
        <f>Bauteile!B635</f>
        <v>swissporEPS 30</v>
      </c>
      <c r="BX339" s="2056">
        <f>Bauteile!H635</f>
        <v>3.3000000000000002E-2</v>
      </c>
    </row>
    <row r="340" spans="68:76" ht="18" customHeight="1">
      <c r="BP340" s="118" t="str">
        <f>Bauteile!B340</f>
        <v>KP-035/HB</v>
      </c>
      <c r="BQ340" s="2057">
        <v>284</v>
      </c>
      <c r="BU340" s="2098"/>
      <c r="BV340" s="2051"/>
      <c r="BW340" s="2098" t="str">
        <f>Bauteile!B636</f>
        <v>swissporEPS 30 100% recyclé</v>
      </c>
      <c r="BX340" s="2056">
        <f>Bauteile!H636</f>
        <v>3.3000000000000002E-2</v>
      </c>
    </row>
    <row r="341" spans="68:76" ht="18" customHeight="1">
      <c r="BP341" s="118" t="str">
        <f>Bauteile!B341</f>
        <v>KP-036/HB</v>
      </c>
      <c r="BQ341" s="2057">
        <v>285</v>
      </c>
      <c r="BU341" s="2098"/>
      <c r="BV341" s="2051"/>
      <c r="BW341" s="2098" t="str">
        <f>Bauteile!B637</f>
        <v>swissporEPS Socle</v>
      </c>
      <c r="BX341" s="2056">
        <f>Bauteile!H637</f>
        <v>3.3000000000000002E-2</v>
      </c>
    </row>
    <row r="342" spans="68:76" ht="18" customHeight="1">
      <c r="BP342" s="118" t="str">
        <f>Bauteile!B342</f>
        <v>Quick White</v>
      </c>
      <c r="BQ342" s="2057">
        <v>286</v>
      </c>
      <c r="BU342" s="2098"/>
      <c r="BV342" s="2051"/>
      <c r="BW342" s="2098" t="str">
        <f>Bauteile!B638</f>
        <v>swissporEPS Panneau périmétrique</v>
      </c>
      <c r="BX342" s="2056">
        <f>Bauteile!H638</f>
        <v>3.3000000000000002E-2</v>
      </c>
    </row>
    <row r="343" spans="68:76" ht="18" customHeight="1">
      <c r="BP343" s="118" t="str">
        <f>Bauteile!B343</f>
        <v>SDP-035</v>
      </c>
      <c r="BQ343" s="2057">
        <v>287</v>
      </c>
      <c r="BU343" s="2098"/>
      <c r="BV343" s="2051"/>
      <c r="BW343" s="2098" t="str">
        <f>Bauteile!B639</f>
        <v>swissporEPS Panneau Drain</v>
      </c>
      <c r="BX343" s="2056">
        <f>Bauteile!H639</f>
        <v>3.3000000000000002E-2</v>
      </c>
    </row>
    <row r="344" spans="68:76" ht="18" customHeight="1">
      <c r="BP344" s="118" t="str">
        <f>Bauteile!B344</f>
        <v>SKP-035</v>
      </c>
      <c r="BQ344" s="2057">
        <v>288</v>
      </c>
      <c r="BU344" s="2098"/>
      <c r="BV344" s="2051"/>
      <c r="BW344" s="2098" t="str">
        <f>Bauteile!B640</f>
        <v>swissporEPS-T (isolation phonique)</v>
      </c>
      <c r="BX344" s="2056">
        <f>Bauteile!H640</f>
        <v>3.9E-2</v>
      </c>
    </row>
    <row r="345" spans="68:76" ht="18" customHeight="1">
      <c r="BP345" s="118" t="str">
        <f>Bauteile!B345</f>
        <v>TPD</v>
      </c>
      <c r="BQ345" s="2057">
        <v>289</v>
      </c>
      <c r="BU345" s="2098"/>
      <c r="BV345" s="2051"/>
      <c r="BW345" s="2098" t="str">
        <f>Bauteile!B641</f>
        <v>swissporEPS 150 Sol</v>
      </c>
      <c r="BX345" s="2056">
        <f>Bauteile!H641</f>
        <v>3.3000000000000002E-2</v>
      </c>
    </row>
    <row r="346" spans="68:76" ht="18" customHeight="1">
      <c r="BP346" s="118" t="str">
        <f>Bauteile!B346</f>
        <v>TPE</v>
      </c>
      <c r="BQ346" s="2057">
        <v>290</v>
      </c>
      <c r="BU346" s="2098"/>
      <c r="BV346" s="2051"/>
      <c r="BW346" s="2098" t="str">
        <f>Bauteile!B642</f>
        <v>swissporEPS Roof</v>
      </c>
      <c r="BX346" s="2056">
        <f>Bauteile!H642</f>
        <v>3.4000000000000002E-2</v>
      </c>
    </row>
    <row r="347" spans="68:76" ht="18" customHeight="1">
      <c r="BP347" s="118" t="str">
        <f>Bauteile!B347</f>
        <v>TPS</v>
      </c>
      <c r="BQ347" s="2057">
        <v>291</v>
      </c>
      <c r="BU347" s="2098"/>
      <c r="BV347" s="2051"/>
      <c r="BW347" s="2098" t="str">
        <f>Bauteile!B643</f>
        <v>swissporEPS Roof ECO</v>
      </c>
      <c r="BX347" s="2056">
        <f>Bauteile!H643</f>
        <v>3.3000000000000002E-2</v>
      </c>
    </row>
    <row r="348" spans="68:76" ht="18" customHeight="1">
      <c r="BP348" s="118" t="str">
        <f>Bauteile!B348</f>
        <v>TW</v>
      </c>
      <c r="BQ348" s="2057">
        <v>292</v>
      </c>
      <c r="BU348" s="2098"/>
      <c r="BV348" s="2051"/>
      <c r="BW348" s="2098" t="str">
        <f>Bauteile!B644</f>
        <v>swissporLAMBDA Socle 030</v>
      </c>
      <c r="BX348" s="2056">
        <f>Bauteile!H644</f>
        <v>0.03</v>
      </c>
    </row>
    <row r="349" spans="68:76" ht="18" customHeight="1">
      <c r="BP349" s="118" t="str">
        <f>Bauteile!B349</f>
        <v>DDP2-U</v>
      </c>
      <c r="BQ349" s="2057">
        <v>293</v>
      </c>
      <c r="BU349" s="2098"/>
      <c r="BV349" s="2051"/>
      <c r="BW349" s="2098" t="str">
        <f>Bauteile!B645</f>
        <v>swissporLAMBDA Roof</v>
      </c>
      <c r="BX349" s="2056">
        <f>Bauteile!H645</f>
        <v>2.9000000000000001E-2</v>
      </c>
    </row>
    <row r="350" spans="68:76" ht="18" customHeight="1">
      <c r="BP350" s="118" t="str">
        <f>Bauteile!B350</f>
        <v>basic plus</v>
      </c>
      <c r="BQ350" s="2057">
        <v>294</v>
      </c>
      <c r="BU350" s="2098"/>
      <c r="BV350" s="2051"/>
      <c r="BW350" s="2098" t="str">
        <f>Bauteile!B646</f>
        <v>swissporLAMBDA Vento Premium</v>
      </c>
      <c r="BX350" s="2056">
        <f>Bauteile!H646</f>
        <v>2.9000000000000001E-2</v>
      </c>
    </row>
    <row r="351" spans="68:76" ht="18" customHeight="1">
      <c r="BP351" s="118" t="str">
        <f>Bauteile!B351</f>
        <v>DDP-X</v>
      </c>
      <c r="BQ351" s="2057">
        <v>295</v>
      </c>
      <c r="BU351" s="2098"/>
      <c r="BV351" s="2051"/>
      <c r="BW351" s="2098" t="str">
        <f>Bauteile!B647</f>
        <v>swissporLAMBDA Cassette</v>
      </c>
      <c r="BX351" s="2056">
        <f>Bauteile!H647</f>
        <v>2.9000000000000001E-2</v>
      </c>
    </row>
    <row r="352" spans="68:76" ht="18" customHeight="1">
      <c r="BP352" s="118" t="str">
        <f>Bauteile!B352</f>
        <v>PAROC FAS 2, FAS 2cc (LINIO 10, LINIO 10cc)</v>
      </c>
      <c r="BQ352" s="2057">
        <v>296</v>
      </c>
      <c r="BU352" s="2098"/>
      <c r="BV352" s="2051"/>
      <c r="BW352" s="2098" t="str">
        <f>Bauteile!B648</f>
        <v>swissporLAMBDA Universel 029</v>
      </c>
      <c r="BX352" s="2056">
        <f>Bauteile!H648</f>
        <v>2.9000000000000001E-2</v>
      </c>
    </row>
    <row r="353" spans="68:76" ht="18" customHeight="1">
      <c r="BP353" s="118" t="str">
        <f>Bauteile!B353</f>
        <v>Sillatherm WVP 1-035</v>
      </c>
      <c r="BQ353" s="2057">
        <v>297</v>
      </c>
      <c r="BU353" s="2098"/>
      <c r="BV353" s="2051"/>
      <c r="BW353" s="2098" t="str">
        <f>Bauteile!B649</f>
        <v>swissporLAMBDA-T (isolation phonique)</v>
      </c>
      <c r="BX353" s="2056">
        <f>Bauteile!H649</f>
        <v>3.1E-2</v>
      </c>
    </row>
    <row r="354" spans="68:76" ht="18" customHeight="1">
      <c r="BP354" s="118" t="str">
        <f>Bauteile!B354</f>
        <v>swissporROC Type 1</v>
      </c>
      <c r="BQ354" s="2057">
        <v>298</v>
      </c>
      <c r="BU354" s="2098"/>
      <c r="BV354" s="2051"/>
      <c r="BW354" s="2098" t="str">
        <f>Bauteile!B650</f>
        <v>swissporLAMBDA Vento</v>
      </c>
      <c r="BX354" s="2056">
        <f>Bauteile!H650</f>
        <v>3.1E-2</v>
      </c>
    </row>
    <row r="355" spans="68:76" ht="18" customHeight="1">
      <c r="BP355" s="118" t="str">
        <f>Bauteile!B355</f>
        <v>swissporROC Type 3</v>
      </c>
      <c r="BQ355" s="2057">
        <v>299</v>
      </c>
      <c r="BU355" s="2098"/>
      <c r="BV355" s="2051"/>
      <c r="BW355" s="2098" t="str">
        <f>Bauteile!B651</f>
        <v>swissporLAMBDA White 031</v>
      </c>
      <c r="BX355" s="2056">
        <f>Bauteile!H651</f>
        <v>3.1E-2</v>
      </c>
    </row>
    <row r="356" spans="68:76" ht="18" customHeight="1">
      <c r="BP356" s="118" t="str">
        <f>Bauteile!B356</f>
        <v>swissporROC Type 150</v>
      </c>
      <c r="BQ356" s="2057">
        <v>300</v>
      </c>
      <c r="BU356" s="2098"/>
      <c r="BV356" s="2051"/>
      <c r="BW356" s="2098" t="str">
        <f>Bauteile!B652</f>
        <v>swissporLAMBDA White Mono 031</v>
      </c>
      <c r="BX356" s="2056">
        <f>Bauteile!H652</f>
        <v>3.1E-2</v>
      </c>
    </row>
    <row r="357" spans="68:76" ht="18" customHeight="1">
      <c r="BP357" s="118" t="str">
        <f>Bauteile!B357</f>
        <v>swissporROC Panneau à crépir</v>
      </c>
      <c r="BQ357" s="2057">
        <v>301</v>
      </c>
      <c r="BU357" s="2098"/>
      <c r="BV357" s="2051"/>
      <c r="BW357" s="2098" t="str">
        <f>Bauteile!B653</f>
        <v>swissporLAMBDA universell 031</v>
      </c>
      <c r="BX357" s="2056">
        <f>Bauteile!H653</f>
        <v>3.1E-2</v>
      </c>
    </row>
    <row r="358" spans="68:76" ht="18" customHeight="1">
      <c r="BP358" s="118" t="str">
        <f>Bauteile!B358</f>
        <v>swissporROC Panneau de sol TS</v>
      </c>
      <c r="BQ358" s="2057">
        <v>302</v>
      </c>
      <c r="BU358" s="2098"/>
      <c r="BV358" s="2051"/>
      <c r="BW358" s="2098" t="str">
        <f>Bauteile!B654</f>
        <v>swissporLAMBDA Façade 030</v>
      </c>
      <c r="BX358" s="2056">
        <f>Bauteile!H654</f>
        <v>0.03</v>
      </c>
    </row>
    <row r="359" spans="68:76" ht="18" customHeight="1">
      <c r="BP359" s="118" t="str">
        <f>Bauteile!B359</f>
        <v>swissporROC Élément coupe-feu</v>
      </c>
      <c r="BQ359" s="2057">
        <v>303</v>
      </c>
      <c r="BU359" s="2098"/>
      <c r="BV359" s="2051"/>
      <c r="BW359" s="2098" t="str">
        <f>Bauteile!B655</f>
        <v>swissporLAMBDA White 030</v>
      </c>
      <c r="BX359" s="2056">
        <f>Bauteile!H655</f>
        <v>0.03</v>
      </c>
    </row>
    <row r="360" spans="68:76" ht="18" customHeight="1">
      <c r="BP360" s="118" t="str">
        <f>Bauteile!B360</f>
        <v>swissporROC Lamellen WVL</v>
      </c>
      <c r="BQ360" s="2057">
        <v>304</v>
      </c>
      <c r="BU360" s="2098"/>
      <c r="BV360" s="2051"/>
      <c r="BW360" s="2098" t="str">
        <f>Bauteile!B656</f>
        <v>swissporLAMBDA White Mono 030</v>
      </c>
      <c r="BX360" s="2056">
        <f>Bauteile!H656</f>
        <v>0.03</v>
      </c>
    </row>
    <row r="361" spans="68:76" ht="18" customHeight="1">
      <c r="BP361" s="118" t="str">
        <f>Bauteile!B361</f>
        <v>swissporROC Panneau de cloison</v>
      </c>
      <c r="BQ361" s="2057">
        <v>305</v>
      </c>
      <c r="BU361" s="2098"/>
      <c r="BV361" s="2051"/>
      <c r="BW361" s="2098">
        <f>Bauteile!B657</f>
        <v>0</v>
      </c>
      <c r="BX361" s="2056">
        <f>Bauteile!H657</f>
        <v>0</v>
      </c>
    </row>
    <row r="362" spans="68:76" ht="18" customHeight="1">
      <c r="BP362" s="118" t="str">
        <f>Bauteile!B362</f>
        <v>swissporROC panneau à crépir 034</v>
      </c>
      <c r="BQ362" s="2057">
        <v>306</v>
      </c>
      <c r="BU362" s="2098"/>
      <c r="BV362" s="2051"/>
      <c r="BW362" s="2098" t="str">
        <f>Bauteile!B658</f>
        <v>isofloc H2 Wall, isofloc pearl</v>
      </c>
      <c r="BX362" s="2056">
        <f>Bauteile!H658</f>
        <v>3.3000000000000002E-2</v>
      </c>
    </row>
    <row r="363" spans="68:76" ht="18" customHeight="1">
      <c r="BP363" s="118" t="str">
        <f>Bauteile!B363</f>
        <v>swissporTETTO ROC</v>
      </c>
      <c r="BQ363" s="2057">
        <v>307</v>
      </c>
      <c r="BU363" s="2098"/>
      <c r="BV363" s="2051"/>
      <c r="BW363" s="2098">
        <f>Bauteile!B659</f>
        <v>0</v>
      </c>
      <c r="BX363" s="2056">
        <f>Bauteile!H659</f>
        <v>0</v>
      </c>
    </row>
    <row r="364" spans="68:76" ht="18" customHeight="1">
      <c r="BP364" s="118" t="str">
        <f>Bauteile!B364</f>
        <v>ISOLOOSE</v>
      </c>
      <c r="BQ364" s="2057">
        <v>308</v>
      </c>
      <c r="BU364" s="2098"/>
      <c r="BV364" s="2051"/>
      <c r="BW364" s="2099" t="str">
        <f>Bauteile!B660</f>
        <v>**** Polystyrène extrudé (XPS) ****</v>
      </c>
      <c r="BX364" s="2056">
        <f>Bauteile!H660</f>
        <v>0</v>
      </c>
    </row>
    <row r="365" spans="68:76" ht="18" customHeight="1">
      <c r="BP365" s="118" t="str">
        <f>Bauteile!B365</f>
        <v>ProtectFill     Knauf Insulation GmbH</v>
      </c>
      <c r="BQ365" s="2057">
        <v>309</v>
      </c>
      <c r="BU365" s="2098"/>
      <c r="BV365" s="2051"/>
      <c r="BW365" s="2098" t="str">
        <f>Bauteile!B661</f>
        <v>Styrisol</v>
      </c>
      <c r="BX365" s="2056">
        <f>Bauteile!H661</f>
        <v>3.5000000000000003E-2</v>
      </c>
    </row>
    <row r="366" spans="68:76" ht="18" customHeight="1">
      <c r="BP366" s="118" t="str">
        <f>Bauteile!B366</f>
        <v>steinwool-Mineralwolle-Flocken     Steinbacher Dämmstoff GmbH</v>
      </c>
      <c r="BQ366" s="2057">
        <v>310</v>
      </c>
      <c r="BU366" s="2098"/>
      <c r="BV366" s="2051"/>
      <c r="BW366" s="2098" t="str">
        <f>Bauteile!B662</f>
        <v>Styrisol 500</v>
      </c>
      <c r="BX366" s="2056">
        <f>Bauteile!H662</f>
        <v>3.5000000000000003E-2</v>
      </c>
    </row>
    <row r="367" spans="68:76" ht="18" customHeight="1">
      <c r="BP367" s="118" t="str">
        <f>Bauteile!B367</f>
        <v>Mineralwolle-Flocken     Austroflex Rohr-Isoliersysteme GmbH</v>
      </c>
      <c r="BQ367" s="2057">
        <v>311</v>
      </c>
      <c r="BU367" s="2098"/>
      <c r="BV367" s="2051"/>
      <c r="BW367" s="2098" t="str">
        <f>Bauteile!B663</f>
        <v>Styrisol GR-300</v>
      </c>
      <c r="BX367" s="2056">
        <f>Bauteile!H663</f>
        <v>3.5000000000000003E-2</v>
      </c>
    </row>
    <row r="368" spans="68:76" ht="18" customHeight="1">
      <c r="BP368" s="118">
        <f>Bauteile!B368</f>
        <v>0</v>
      </c>
      <c r="BQ368" s="2057">
        <v>312</v>
      </c>
      <c r="BU368" s="2098"/>
      <c r="BV368" s="2051"/>
      <c r="BW368" s="2098" t="str">
        <f>Bauteile!B664</f>
        <v>Austrotherm XPS TOP P 3-6cm</v>
      </c>
      <c r="BX368" s="2056">
        <f>Bauteile!H664</f>
        <v>3.5000000000000003E-2</v>
      </c>
    </row>
    <row r="369" spans="68:76" ht="18" customHeight="1">
      <c r="BP369" s="1268" t="str">
        <f>Bauteile!B369</f>
        <v>**** Laine de verre ****</v>
      </c>
      <c r="BQ369" s="2057">
        <v>313</v>
      </c>
      <c r="BU369" s="2098"/>
      <c r="BV369" s="2051"/>
      <c r="BW369" s="2098" t="str">
        <f>Bauteile!B665</f>
        <v>Austrotherm XPS TOP P 8-12cm</v>
      </c>
      <c r="BX369" s="2056">
        <f>Bauteile!H665</f>
        <v>3.5999999999999997E-2</v>
      </c>
    </row>
    <row r="370" spans="68:76" ht="18" customHeight="1">
      <c r="BP370" s="118" t="str">
        <f>Bauteile!B370</f>
        <v>climowool DF1, DF1-H, DF1/V, HRF1</v>
      </c>
      <c r="BQ370" s="2057">
        <v>314</v>
      </c>
      <c r="BU370" s="2098"/>
      <c r="BV370" s="2051"/>
      <c r="BW370" s="2098" t="str">
        <f>Bauteile!B666</f>
        <v>Austrotherm XPS TOP P 14-20cm</v>
      </c>
      <c r="BX370" s="2056">
        <f>Bauteile!H666</f>
        <v>3.7999999999999999E-2</v>
      </c>
    </row>
    <row r="371" spans="68:76" ht="18" customHeight="1">
      <c r="BP371" s="118" t="str">
        <f>Bauteile!B371</f>
        <v>climowool SSP1/V, TW1, TWR1, WKP1, WKP1/V</v>
      </c>
      <c r="BQ371" s="2057">
        <v>315</v>
      </c>
      <c r="BU371" s="2098"/>
      <c r="BV371" s="2051"/>
      <c r="BW371" s="2098" t="str">
        <f>Bauteile!B667</f>
        <v>Austrotherm XPS TOP 30 3-6cm</v>
      </c>
      <c r="BX371" s="2056">
        <f>Bauteile!H667</f>
        <v>3.5000000000000003E-2</v>
      </c>
    </row>
    <row r="372" spans="68:76" ht="18" customHeight="1">
      <c r="BP372" s="118" t="str">
        <f>Bauteile!B372</f>
        <v>climowool FD1/V, KD1/V, KF1</v>
      </c>
      <c r="BQ372" s="2057">
        <v>316</v>
      </c>
      <c r="BU372" s="2098"/>
      <c r="BV372" s="2051"/>
      <c r="BW372" s="2098" t="str">
        <f>Bauteile!B668</f>
        <v>Austrotherm XPS TOP 30 8-12cm</v>
      </c>
      <c r="BX372" s="2056">
        <f>Bauteile!H668</f>
        <v>3.5999999999999997E-2</v>
      </c>
    </row>
    <row r="373" spans="68:76" ht="18" customHeight="1">
      <c r="BP373" s="118" t="str">
        <f>Bauteile!B373</f>
        <v>climowool TW2, WKP2, WKP2/V</v>
      </c>
      <c r="BQ373" s="2057">
        <v>317</v>
      </c>
      <c r="BU373" s="2098"/>
      <c r="BV373" s="2051"/>
      <c r="BW373" s="2098" t="str">
        <f>Bauteile!B669</f>
        <v>Austrotherm XPS TOP 30 14-20cm</v>
      </c>
      <c r="BX373" s="2056">
        <f>Bauteile!H669</f>
        <v>3.7999999999999999E-2</v>
      </c>
    </row>
    <row r="374" spans="68:76" ht="18" customHeight="1">
      <c r="BP374" s="118" t="str">
        <f>Bauteile!B374</f>
        <v>climowool KD2/V, KF2, KF2/V, KF2-H</v>
      </c>
      <c r="BQ374" s="2057">
        <v>318</v>
      </c>
      <c r="BU374" s="2098"/>
      <c r="BV374" s="2051"/>
      <c r="BW374" s="2098" t="str">
        <f>Bauteile!B670</f>
        <v>Austrotherm XPS TOP 50 5-6cm</v>
      </c>
      <c r="BX374" s="2056">
        <f>Bauteile!H670</f>
        <v>3.5000000000000003E-2</v>
      </c>
    </row>
    <row r="375" spans="68:76" ht="18" customHeight="1">
      <c r="BP375" s="118" t="str">
        <f>Bauteile!B375</f>
        <v>climowool DF2, DF2-H, DF2/V, HRF2, FD2/V</v>
      </c>
      <c r="BQ375" s="2057">
        <v>319</v>
      </c>
      <c r="BU375" s="2098"/>
      <c r="BV375" s="2051"/>
      <c r="BW375" s="2098" t="str">
        <f>Bauteile!B671</f>
        <v>Austrotherm XPS TOP 50 8-12cm</v>
      </c>
      <c r="BX375" s="2056">
        <f>Bauteile!H671</f>
        <v>3.5999999999999997E-2</v>
      </c>
    </row>
    <row r="376" spans="68:76" ht="18" customHeight="1">
      <c r="BP376" s="118" t="str">
        <f>Bauteile!B376</f>
        <v>climowool KD3/V, KF3, KF3/V, TFP, TW3, UF3/V, WKP3</v>
      </c>
      <c r="BQ376" s="2057">
        <v>320</v>
      </c>
      <c r="BU376" s="2098"/>
      <c r="BV376" s="2051"/>
      <c r="BW376" s="2098" t="str">
        <f>Bauteile!B672</f>
        <v>Austrotherm XPS TOP 50 14-20cm</v>
      </c>
      <c r="BX376" s="2056">
        <f>Bauteile!H672</f>
        <v>3.7999999999999999E-2</v>
      </c>
    </row>
    <row r="377" spans="68:76" ht="18" customHeight="1">
      <c r="BP377" s="118" t="str">
        <f>Bauteile!B377</f>
        <v>climowool DF3, DF3-H, DF3/V, EP, FD3/V</v>
      </c>
      <c r="BQ377" s="2057">
        <v>321</v>
      </c>
      <c r="BU377" s="2098"/>
      <c r="BV377" s="2051"/>
      <c r="BW377" s="2098" t="str">
        <f>Bauteile!B673</f>
        <v>Styrodur C  2-4cm</v>
      </c>
      <c r="BX377" s="2056">
        <f>Bauteile!H673</f>
        <v>3.2000000000000001E-2</v>
      </c>
    </row>
    <row r="378" spans="68:76" ht="18" customHeight="1">
      <c r="BP378" s="118" t="str">
        <f>Bauteile!B378</f>
        <v>TI 432 U</v>
      </c>
      <c r="BQ378" s="2057">
        <v>322</v>
      </c>
      <c r="BU378" s="2098"/>
      <c r="BV378" s="2051"/>
      <c r="BW378" s="2098" t="str">
        <f>Bauteile!B674</f>
        <v>Styrodur C  5-6cm</v>
      </c>
      <c r="BX378" s="2056">
        <f>Bauteile!H674</f>
        <v>3.4000000000000002E-2</v>
      </c>
    </row>
    <row r="379" spans="68:76" ht="18" customHeight="1">
      <c r="BP379" s="118" t="str">
        <f>Bauteile!B379</f>
        <v>MW 35</v>
      </c>
      <c r="BQ379" s="2057">
        <v>323</v>
      </c>
      <c r="BU379" s="2098"/>
      <c r="BV379" s="2051"/>
      <c r="BW379" s="2098" t="str">
        <f>Bauteile!B675</f>
        <v>Styrodur C  8-10cm</v>
      </c>
      <c r="BX379" s="2056">
        <f>Bauteile!H675</f>
        <v>3.5000000000000003E-2</v>
      </c>
    </row>
    <row r="380" spans="68:76" ht="18" customHeight="1">
      <c r="BP380" s="118" t="str">
        <f>Bauteile!B380</f>
        <v>TI 132 U</v>
      </c>
      <c r="BQ380" s="2057">
        <v>324</v>
      </c>
      <c r="BU380" s="2098"/>
      <c r="BV380" s="2051"/>
      <c r="BW380" s="2098" t="str">
        <f>Bauteile!B676</f>
        <v>Styrodur C  12cm</v>
      </c>
      <c r="BX380" s="2056">
        <f>Bauteile!H676</f>
        <v>3.5999999999999997E-2</v>
      </c>
    </row>
    <row r="381" spans="68:76" ht="18" customHeight="1">
      <c r="BP381" s="118" t="str">
        <f>Bauteile!B381</f>
        <v>TP KD 432, TP 432 B</v>
      </c>
      <c r="BQ381" s="2057">
        <v>325</v>
      </c>
      <c r="BU381" s="2098"/>
      <c r="BV381" s="2051"/>
      <c r="BW381" s="2098" t="str">
        <f>Bauteile!B677</f>
        <v>Styrodur C  14-20cm</v>
      </c>
      <c r="BX381" s="2056">
        <f>Bauteile!H677</f>
        <v>3.7999999999999999E-2</v>
      </c>
    </row>
    <row r="382" spans="68:76" ht="18" customHeight="1">
      <c r="BP382" s="118" t="str">
        <f>Bauteile!B382</f>
        <v>TP KD 430, TP 120 A</v>
      </c>
      <c r="BQ382" s="2057">
        <v>326</v>
      </c>
      <c r="BU382" s="2098"/>
      <c r="BV382" s="2051"/>
      <c r="BW382" s="2098" t="str">
        <f>Bauteile!B678</f>
        <v>Styrodur 3000 CS</v>
      </c>
      <c r="BX382" s="2056">
        <f>Bauteile!H678</f>
        <v>3.3000000000000002E-2</v>
      </c>
    </row>
    <row r="383" spans="68:76" ht="18" customHeight="1">
      <c r="BP383" s="118" t="str">
        <f>Bauteile!B383</f>
        <v>TI 135 U, Naturoll 035</v>
      </c>
      <c r="BQ383" s="2057">
        <v>327</v>
      </c>
      <c r="BU383" s="2098"/>
      <c r="BV383" s="2051"/>
      <c r="BW383" s="2098" t="str">
        <f>Bauteile!B679</f>
        <v>Styrodur 4000 CS</v>
      </c>
      <c r="BX383" s="2056">
        <f>Bauteile!H679</f>
        <v>3.5000000000000003E-2</v>
      </c>
    </row>
    <row r="384" spans="68:76" ht="18" customHeight="1">
      <c r="BP384" s="118" t="str">
        <f>Bauteile!B384</f>
        <v>TI 140 W, TP 115</v>
      </c>
      <c r="BQ384" s="2057">
        <v>328</v>
      </c>
      <c r="BU384" s="2098"/>
      <c r="BV384" s="2051"/>
      <c r="BW384" s="2098" t="str">
        <f>Bauteile!B680</f>
        <v>Styrodur 5000 CS</v>
      </c>
      <c r="BX384" s="2056">
        <f>Bauteile!H680</f>
        <v>3.5000000000000003E-2</v>
      </c>
    </row>
    <row r="385" spans="68:76" ht="18" customHeight="1">
      <c r="BP385" s="118" t="str">
        <f>Bauteile!B385</f>
        <v>SAGLAN (030) FA 50 Carbolane</v>
      </c>
      <c r="BQ385" s="2057">
        <v>329</v>
      </c>
      <c r="BU385" s="2098"/>
      <c r="BV385" s="2051"/>
      <c r="BW385" s="2098" t="str">
        <f>Bauteile!B681</f>
        <v>Roofmate SL-AP  &lt;=8cm</v>
      </c>
      <c r="BX385" s="2056">
        <f>Bauteile!H681</f>
        <v>3.3000000000000002E-2</v>
      </c>
    </row>
    <row r="386" spans="68:76" ht="18" customHeight="1">
      <c r="BP386" s="118" t="str">
        <f>Bauteile!B386</f>
        <v>SAGLAN (033) TW 33 / TWR 33</v>
      </c>
      <c r="BQ386" s="2057">
        <v>330</v>
      </c>
      <c r="BU386" s="2098"/>
      <c r="BV386" s="2051"/>
      <c r="BW386" s="2098" t="str">
        <f>Bauteile!B682</f>
        <v>Roofmate SL-AP  10-12cm</v>
      </c>
      <c r="BX386" s="2056">
        <f>Bauteile!H682</f>
        <v>3.4000000000000002E-2</v>
      </c>
    </row>
    <row r="387" spans="68:76" ht="18" customHeight="1">
      <c r="BP387" s="118" t="str">
        <f>Bauteile!B387</f>
        <v>SAGLAN (038) DF 100</v>
      </c>
      <c r="BQ387" s="2057">
        <v>331</v>
      </c>
      <c r="BU387" s="2098"/>
      <c r="BV387" s="2051"/>
      <c r="BW387" s="2098" t="str">
        <f>Bauteile!B683</f>
        <v>Roofmate SL-AP  14-20cm</v>
      </c>
      <c r="BX387" s="2056">
        <f>Bauteile!H683</f>
        <v>3.5999999999999997E-2</v>
      </c>
    </row>
    <row r="388" spans="68:76" ht="18" customHeight="1">
      <c r="BP388" s="118" t="str">
        <f>Bauteile!B388</f>
        <v>SAGLAN (032) ST 100</v>
      </c>
      <c r="BQ388" s="2057">
        <v>332</v>
      </c>
      <c r="BU388" s="2098"/>
      <c r="BV388" s="2051"/>
      <c r="BW388" s="2098" t="str">
        <f>Bauteile!B684</f>
        <v>Styrofoam TG-AP  &lt;=8cm</v>
      </c>
      <c r="BX388" s="2056">
        <f>Bauteile!H684</f>
        <v>3.3000000000000002E-2</v>
      </c>
    </row>
    <row r="389" spans="68:76" ht="18" customHeight="1">
      <c r="BP389" s="118" t="str">
        <f>Bauteile!B389</f>
        <v>SAGLAN (034) SBR / SBR chevrons / SAGLAN T-P HT 400 KA</v>
      </c>
      <c r="BQ389" s="2057">
        <v>333</v>
      </c>
      <c r="BU389" s="2098"/>
      <c r="BV389" s="2051"/>
      <c r="BW389" s="2098" t="str">
        <f>Bauteile!B685</f>
        <v>Styrofoam TG-AP  &gt;8cm</v>
      </c>
      <c r="BX389" s="2056">
        <f>Bauteile!H685</f>
        <v>3.4000000000000002E-2</v>
      </c>
    </row>
    <row r="390" spans="68:76" ht="18" customHeight="1">
      <c r="BP390" s="118" t="str">
        <f>Bauteile!B390</f>
        <v>SAGLAN (034) SB 22</v>
      </c>
      <c r="BQ390" s="2057">
        <v>334</v>
      </c>
      <c r="BU390" s="2098"/>
      <c r="BV390" s="2051"/>
      <c r="BW390" s="2098" t="str">
        <f>Bauteile!B686</f>
        <v>Perimate DI-AP  &lt;=8cm</v>
      </c>
      <c r="BX390" s="2056">
        <f>Bauteile!H686</f>
        <v>3.3000000000000002E-2</v>
      </c>
    </row>
    <row r="391" spans="68:76" ht="18" customHeight="1">
      <c r="BP391" s="118" t="str">
        <f>Bauteile!B391</f>
        <v>SAGLAN (035) SR 22 / TC 22</v>
      </c>
      <c r="BQ391" s="2057">
        <v>335</v>
      </c>
      <c r="BU391" s="2098"/>
      <c r="BV391" s="2051"/>
      <c r="BW391" s="2098" t="str">
        <f>Bauteile!B687</f>
        <v>Perimate DI-AP 10-12cm</v>
      </c>
      <c r="BX391" s="2056">
        <f>Bauteile!H687</f>
        <v>3.4000000000000002E-2</v>
      </c>
    </row>
    <row r="392" spans="68:76" ht="18" customHeight="1">
      <c r="BP392" s="118" t="str">
        <f>Bauteile!B392</f>
        <v>SAGLAN (031) ST</v>
      </c>
      <c r="BQ392" s="2057">
        <v>336</v>
      </c>
      <c r="BU392" s="2098"/>
      <c r="BV392" s="2051"/>
      <c r="BW392" s="2098" t="str">
        <f>Bauteile!B688</f>
        <v>Perimate DI-AP  &gt;12cm</v>
      </c>
      <c r="BX392" s="2056">
        <f>Bauteile!H688</f>
        <v>3.5999999999999997E-2</v>
      </c>
    </row>
    <row r="393" spans="68:76" ht="18" customHeight="1">
      <c r="BP393" s="118" t="str">
        <f>Bauteile!B393</f>
        <v>SAGLAN (031) SB 55 / SB 55 K / SA 55 Vs</v>
      </c>
      <c r="BQ393" s="2057">
        <v>337</v>
      </c>
      <c r="BU393" s="2098"/>
      <c r="BV393" s="2051"/>
      <c r="BW393" s="2098" t="str">
        <f>Bauteile!B689</f>
        <v>Floormate 500-AP  &lt;8cm</v>
      </c>
      <c r="BX393" s="2056">
        <f>Bauteile!H689</f>
        <v>3.4000000000000002E-2</v>
      </c>
    </row>
    <row r="394" spans="68:76" ht="18" customHeight="1">
      <c r="BP394" s="118" t="str">
        <f>Bauteile!B394</f>
        <v>SAGLAN (032) SB 40 / SR 40 / SA 40 A / SK 40 Vs</v>
      </c>
      <c r="BQ394" s="2057">
        <v>338</v>
      </c>
      <c r="BU394" s="2098"/>
      <c r="BV394" s="2051"/>
      <c r="BW394" s="2098" t="str">
        <f>Bauteile!B690</f>
        <v>Floormate 500-AP  8-12cm</v>
      </c>
      <c r="BX394" s="2056">
        <f>Bauteile!H690</f>
        <v>3.5000000000000003E-2</v>
      </c>
    </row>
    <row r="395" spans="68:76" ht="18" customHeight="1">
      <c r="BP395" s="118" t="str">
        <f>Bauteile!B395</f>
        <v>SAGLAN (032) SR 30 / SI 30 / SK 32 / SKN 32</v>
      </c>
      <c r="BQ395" s="2057">
        <v>339</v>
      </c>
      <c r="BU395" s="2098"/>
      <c r="BV395" s="2051"/>
      <c r="BW395" s="2098" t="str">
        <f>Bauteile!B691</f>
        <v>Floormate 500-AP  &gt;12cm</v>
      </c>
      <c r="BX395" s="2056">
        <f>Bauteile!H691</f>
        <v>3.5999999999999997E-2</v>
      </c>
    </row>
    <row r="396" spans="68:76" ht="18" customHeight="1">
      <c r="BP396" s="118" t="str">
        <f>Bauteile!B396</f>
        <v>SAGLAN (032) FA 40 / FA 40 Vg / FA 40 Vs</v>
      </c>
      <c r="BQ396" s="2057">
        <v>340</v>
      </c>
      <c r="BU396" s="2098"/>
      <c r="BV396" s="2051"/>
      <c r="BW396" s="2098" t="str">
        <f>Bauteile!B692</f>
        <v>Floormate 700-AP  &lt;8cm</v>
      </c>
      <c r="BX396" s="2056">
        <f>Bauteile!H692</f>
        <v>3.4000000000000002E-2</v>
      </c>
    </row>
    <row r="397" spans="68:76" ht="18" customHeight="1">
      <c r="BP397" s="118" t="str">
        <f>Bauteile!B397</f>
        <v>SAGLAN (032) FA / SR Light</v>
      </c>
      <c r="BQ397" s="2057">
        <v>341</v>
      </c>
      <c r="BU397" s="2098"/>
      <c r="BV397" s="2051"/>
      <c r="BW397" s="2098" t="str">
        <f>Bauteile!B693</f>
        <v>Floormate 700-AP  8-12cm</v>
      </c>
      <c r="BX397" s="2056">
        <f>Bauteile!H693</f>
        <v>3.5000000000000003E-2</v>
      </c>
    </row>
    <row r="398" spans="68:76" ht="18" customHeight="1">
      <c r="BP398" s="118" t="str">
        <f>Bauteile!B398</f>
        <v>SAGLAN (032) SBR plus Vgl / SBR plus Vgl Sparren</v>
      </c>
      <c r="BQ398" s="2057">
        <v>342</v>
      </c>
      <c r="BU398" s="2098"/>
      <c r="BV398" s="2051"/>
      <c r="BW398" s="2098" t="str">
        <f>Bauteile!B694</f>
        <v>Floormate 700-AP  &gt;12cm</v>
      </c>
      <c r="BX398" s="2056">
        <f>Bauteile!H694</f>
        <v>3.5999999999999997E-2</v>
      </c>
    </row>
    <row r="399" spans="68:76" ht="18" customHeight="1">
      <c r="BP399" s="118" t="str">
        <f>Bauteile!B399</f>
        <v>SAGLAN (035) SA 25 / SA 25 Vs / Si 25 / Si 25 A</v>
      </c>
      <c r="BQ399" s="2057">
        <v>343</v>
      </c>
      <c r="BU399" s="2098"/>
      <c r="BV399" s="2051"/>
      <c r="BW399" s="2098" t="str">
        <f>Bauteile!B695</f>
        <v>Styrofoam IB-CH-AP  &lt;=8cm</v>
      </c>
      <c r="BX399" s="2056">
        <f>Bauteile!H695</f>
        <v>3.3000000000000002E-2</v>
      </c>
    </row>
    <row r="400" spans="68:76" ht="18" customHeight="1">
      <c r="BP400" s="118" t="str">
        <f>Bauteile!B400</f>
        <v>SAGLAN (035) DF70</v>
      </c>
      <c r="BQ400" s="2057">
        <v>344</v>
      </c>
      <c r="BU400" s="2098"/>
      <c r="BV400" s="2051"/>
      <c r="BW400" s="2098" t="str">
        <f>Bauteile!B696</f>
        <v>Styrofoam IB-CH-AP  10-12cm</v>
      </c>
      <c r="BX400" s="2056">
        <f>Bauteile!H696</f>
        <v>3.4000000000000002E-2</v>
      </c>
    </row>
    <row r="401" spans="68:76" ht="18" customHeight="1">
      <c r="BP401" s="118" t="str">
        <f>Bauteile!B401</f>
        <v>SAGLAN (038) R 300 / (038) 300</v>
      </c>
      <c r="BQ401" s="2057">
        <v>345</v>
      </c>
      <c r="BU401" s="2098"/>
      <c r="BV401" s="2051"/>
      <c r="BW401" s="2098" t="str">
        <f>Bauteile!B697</f>
        <v>Styrofoam IB-CH-AP  &gt;12cm</v>
      </c>
      <c r="BX401" s="2056">
        <f>Bauteile!H697</f>
        <v>3.5999999999999997E-2</v>
      </c>
    </row>
    <row r="402" spans="68:76" ht="18" customHeight="1">
      <c r="BP402" s="118" t="str">
        <f>Bauteile!B402</f>
        <v>THERMO-PLUS / THERMO-PLUS COLOR</v>
      </c>
      <c r="BQ402" s="2057">
        <v>346</v>
      </c>
      <c r="BU402" s="2098"/>
      <c r="BV402" s="2051"/>
      <c r="BW402" s="2098" t="str">
        <f>Bauteile!B698</f>
        <v>XENERGY 500P</v>
      </c>
      <c r="BX402" s="2056">
        <f>Bauteile!H698</f>
        <v>3.2000000000000001E-2</v>
      </c>
    </row>
    <row r="403" spans="68:76" ht="18" customHeight="1">
      <c r="BP403" s="118" t="str">
        <f>Bauteile!B403</f>
        <v>ISOVER PBS 50</v>
      </c>
      <c r="BQ403" s="2057">
        <v>347</v>
      </c>
      <c r="BU403" s="2098"/>
      <c r="BV403" s="2051"/>
      <c r="BW403" s="2098" t="str">
        <f>Bauteile!B699</f>
        <v>XENERGY IBP  5-8cm</v>
      </c>
      <c r="BX403" s="2056">
        <f>Bauteile!H699</f>
        <v>3.1E-2</v>
      </c>
    </row>
    <row r="404" spans="68:76" ht="18" customHeight="1">
      <c r="BP404" s="118" t="str">
        <f>Bauteile!B404</f>
        <v>ISOVER PB A 031</v>
      </c>
      <c r="BQ404" s="2057">
        <v>348</v>
      </c>
      <c r="BU404" s="2098"/>
      <c r="BV404" s="2051"/>
      <c r="BW404" s="2098" t="str">
        <f>Bauteile!B700</f>
        <v>XENERGY IBP  9-20cm</v>
      </c>
      <c r="BX404" s="2056">
        <f>Bauteile!H700</f>
        <v>3.2000000000000001E-2</v>
      </c>
    </row>
    <row r="405" spans="68:76" ht="18" customHeight="1">
      <c r="BP405" s="118" t="str">
        <f>Bauteile!B405</f>
        <v>ISOVER PB F 032</v>
      </c>
      <c r="BQ405" s="2057">
        <v>349</v>
      </c>
      <c r="BU405" s="2098"/>
      <c r="BV405" s="2051"/>
      <c r="BW405" s="2098" t="str">
        <f>Bauteile!B701</f>
        <v>XENERGY SLP  5-8cm</v>
      </c>
      <c r="BX405" s="2056">
        <f>Bauteile!H701</f>
        <v>3.1E-2</v>
      </c>
    </row>
    <row r="406" spans="68:76" ht="18" customHeight="1">
      <c r="BP406" s="118" t="str">
        <f>Bauteile!B406</f>
        <v>ISOVER FM</v>
      </c>
      <c r="BQ406" s="2057">
        <v>350</v>
      </c>
      <c r="BU406" s="2098"/>
      <c r="BV406" s="2051"/>
      <c r="BW406" s="2098" t="str">
        <f>Bauteile!B702</f>
        <v>XENERGY SLP  9-20cm</v>
      </c>
      <c r="BX406" s="2056">
        <f>Bauteile!H702</f>
        <v>3.2000000000000001E-2</v>
      </c>
    </row>
    <row r="407" spans="68:76" ht="18" customHeight="1">
      <c r="BP407" s="118" t="str">
        <f>Bauteile!B407</f>
        <v>ISOVER PB M 035</v>
      </c>
      <c r="BQ407" s="2057">
        <v>351</v>
      </c>
      <c r="BU407" s="2098"/>
      <c r="BV407" s="2051"/>
      <c r="BW407" s="2098" t="str">
        <f>Bauteile!B703</f>
        <v>X-Foam Wafer  2-4cm</v>
      </c>
      <c r="BX407" s="2056">
        <f>Bauteile!H703</f>
        <v>3.3000000000000002E-2</v>
      </c>
    </row>
    <row r="408" spans="68:76" ht="18" customHeight="1">
      <c r="BP408" s="118" t="str">
        <f>Bauteile!B408</f>
        <v>ISOVER PB M KRAFT 035</v>
      </c>
      <c r="BQ408" s="2057">
        <v>352</v>
      </c>
      <c r="BU408" s="2098"/>
      <c r="BV408" s="2051"/>
      <c r="BW408" s="2098" t="str">
        <f>Bauteile!B704</f>
        <v>X-Foam Wafer  5-6cm</v>
      </c>
      <c r="BX408" s="2056">
        <f>Bauteile!H704</f>
        <v>3.4000000000000002E-2</v>
      </c>
    </row>
    <row r="409" spans="68:76" ht="18" customHeight="1">
      <c r="BP409" s="118" t="str">
        <f>Bauteile!B409</f>
        <v>ISOVER ISOVOX</v>
      </c>
      <c r="BQ409" s="2057">
        <v>353</v>
      </c>
      <c r="BU409" s="2098"/>
      <c r="BV409" s="2051"/>
      <c r="BW409" s="2098" t="str">
        <f>Bauteile!B705</f>
        <v>X-Foam Wafer  8-14cm</v>
      </c>
      <c r="BX409" s="2056">
        <f>Bauteile!H705</f>
        <v>3.6999999999999998E-2</v>
      </c>
    </row>
    <row r="410" spans="68:76" ht="18" customHeight="1">
      <c r="BP410" s="118" t="str">
        <f>Bauteile!B410</f>
        <v>RIS GREEN</v>
      </c>
      <c r="BQ410" s="2057">
        <v>354</v>
      </c>
      <c r="BU410" s="2098"/>
      <c r="BV410" s="2051"/>
      <c r="BW410" s="2098" t="str">
        <f>Bauteile!B706</f>
        <v>X-Foam Wafer  16-20cm</v>
      </c>
      <c r="BX410" s="2056">
        <f>Bauteile!H706</f>
        <v>3.9E-2</v>
      </c>
    </row>
    <row r="411" spans="68:76" ht="18" customHeight="1">
      <c r="BP411" s="118" t="str">
        <f>Bauteile!B411</f>
        <v>ISOVER UNIROLL 035 / UNIROLL 035 PR</v>
      </c>
      <c r="BQ411" s="2057">
        <v>355</v>
      </c>
      <c r="BU411" s="2098"/>
      <c r="BV411" s="2051"/>
      <c r="BW411" s="2098" t="str">
        <f>Bauteile!B707</f>
        <v>X-Foam HBT 300  3-4cm</v>
      </c>
      <c r="BX411" s="2056">
        <f>Bauteile!H707</f>
        <v>3.3000000000000002E-2</v>
      </c>
    </row>
    <row r="412" spans="68:76" ht="18" customHeight="1">
      <c r="BP412" s="118" t="str">
        <f>Bauteile!B412</f>
        <v>ISOVER ISOFIX 035</v>
      </c>
      <c r="BQ412" s="2057">
        <v>356</v>
      </c>
      <c r="BU412" s="2098"/>
      <c r="BV412" s="2051"/>
      <c r="BW412" s="2098" t="str">
        <f>Bauteile!B708</f>
        <v>X-Foam HBT 300  5-6cm</v>
      </c>
      <c r="BX412" s="2056">
        <f>Bauteile!H708</f>
        <v>3.4000000000000002E-2</v>
      </c>
    </row>
    <row r="413" spans="68:76" ht="18" customHeight="1">
      <c r="BP413" s="118" t="str">
        <f>Bauteile!B413</f>
        <v>ISOVER PB M R 035</v>
      </c>
      <c r="BQ413" s="2057">
        <v>357</v>
      </c>
      <c r="BU413" s="2098"/>
      <c r="BV413" s="2051"/>
      <c r="BW413" s="2098" t="str">
        <f>Bauteile!B709</f>
        <v>X-Foam HBT 300  8-12cm</v>
      </c>
      <c r="BX413" s="2056">
        <f>Bauteile!H709</f>
        <v>3.6999999999999998E-2</v>
      </c>
    </row>
    <row r="414" spans="68:76" ht="18" customHeight="1">
      <c r="BP414" s="118" t="str">
        <f>Bauteile!B414</f>
        <v>ISOVER DP-BASWA</v>
      </c>
      <c r="BQ414" s="2057">
        <v>358</v>
      </c>
      <c r="BU414" s="2098"/>
      <c r="BV414" s="2051"/>
      <c r="BW414" s="2098" t="str">
        <f>Bauteile!B710</f>
        <v>X-Foam HBT 300  16-20cm</v>
      </c>
      <c r="BX414" s="2056">
        <f>Bauteile!H710</f>
        <v>3.9E-2</v>
      </c>
    </row>
    <row r="415" spans="68:76" ht="18" customHeight="1">
      <c r="BP415" s="118" t="str">
        <f>Bauteile!B415</f>
        <v>ISOVER ISOCALOR</v>
      </c>
      <c r="BQ415" s="2057">
        <v>359</v>
      </c>
      <c r="BU415" s="2098"/>
      <c r="BV415" s="2051"/>
      <c r="BW415" s="2098" t="str">
        <f>Bauteile!B711</f>
        <v>X-Foam HBT 500  5-6cm</v>
      </c>
      <c r="BX415" s="2056">
        <f>Bauteile!H711</f>
        <v>3.4000000000000002E-2</v>
      </c>
    </row>
    <row r="416" spans="68:76" ht="18" customHeight="1">
      <c r="BP416" s="118" t="str">
        <f>Bauteile!B416</f>
        <v>ISOVER PS C</v>
      </c>
      <c r="BQ416" s="2057">
        <v>360</v>
      </c>
      <c r="BU416" s="2098"/>
      <c r="BV416" s="2051"/>
      <c r="BW416" s="2098" t="str">
        <f>Bauteile!B712</f>
        <v>X-Foam HBT 500  8-12cm</v>
      </c>
      <c r="BX416" s="2056">
        <f>Bauteile!H712</f>
        <v>3.6999999999999998E-2</v>
      </c>
    </row>
    <row r="417" spans="68:76" ht="18" customHeight="1">
      <c r="BP417" s="118" t="str">
        <f>Bauteile!B417</f>
        <v>ISOVER ISOTHERM 035</v>
      </c>
      <c r="BQ417" s="2057">
        <v>361</v>
      </c>
      <c r="BU417" s="2098"/>
      <c r="BV417" s="2051"/>
      <c r="BW417" s="2098" t="str">
        <f>Bauteile!B713</f>
        <v>FIBRAN XPS  2-3cm</v>
      </c>
      <c r="BX417" s="2056">
        <f>Bauteile!H713</f>
        <v>3.3000000000000002E-2</v>
      </c>
    </row>
    <row r="418" spans="68:76" ht="18" customHeight="1">
      <c r="BP418" s="118" t="str">
        <f>Bauteile!B418</f>
        <v>ISOVER LURO 814</v>
      </c>
      <c r="BQ418" s="2057">
        <v>362</v>
      </c>
      <c r="BU418" s="2098"/>
      <c r="BV418" s="2051"/>
      <c r="BW418" s="2098" t="str">
        <f>Bauteile!B714</f>
        <v>FIBRAN XPS  4-5cm</v>
      </c>
      <c r="BX418" s="2056">
        <f>Bauteile!H714</f>
        <v>3.4000000000000002E-2</v>
      </c>
    </row>
    <row r="419" spans="68:76" ht="18" customHeight="1">
      <c r="BP419" s="118" t="str">
        <f>Bauteile!B419</f>
        <v>ISOVER HDF 814</v>
      </c>
      <c r="BQ419" s="2057">
        <v>363</v>
      </c>
      <c r="BU419" s="2098"/>
      <c r="BV419" s="2051"/>
      <c r="BW419" s="2098" t="str">
        <f>Bauteile!B715</f>
        <v>FIBRAN XPS  6-10cm</v>
      </c>
      <c r="BX419" s="2056">
        <f>Bauteile!H715</f>
        <v>3.5000000000000003E-2</v>
      </c>
    </row>
    <row r="420" spans="68:76" ht="18" customHeight="1">
      <c r="BP420" s="118" t="str">
        <f>Bauteile!B420</f>
        <v>RIS GREEN CONFORT</v>
      </c>
      <c r="BQ420" s="2057">
        <v>364</v>
      </c>
      <c r="BU420" s="2098"/>
      <c r="BV420" s="2051"/>
      <c r="BW420" s="2098" t="str">
        <f>Bauteile!B716</f>
        <v>FIBRAN XPS  12cm</v>
      </c>
      <c r="BX420" s="2056">
        <f>Bauteile!H716</f>
        <v>3.5999999999999997E-2</v>
      </c>
    </row>
    <row r="421" spans="68:76" ht="18" customHeight="1">
      <c r="BP421" s="118" t="str">
        <f>Bauteile!B421</f>
        <v>ISOVER ISOVOX R CONFORT</v>
      </c>
      <c r="BQ421" s="2057">
        <v>365</v>
      </c>
      <c r="BU421" s="2098"/>
      <c r="BV421" s="2051"/>
      <c r="BW421" s="2098" t="str">
        <f>Bauteile!B717</f>
        <v>FIBRAN XPS  14-20cm</v>
      </c>
      <c r="BX421" s="2056">
        <f>Bauteile!H717</f>
        <v>3.6999999999999998E-2</v>
      </c>
    </row>
    <row r="422" spans="68:76" ht="18" customHeight="1">
      <c r="BP422" s="118" t="str">
        <f>Bauteile!B422</f>
        <v>ISOVER PS C</v>
      </c>
      <c r="BQ422" s="2057">
        <v>366</v>
      </c>
      <c r="BU422" s="2098"/>
      <c r="BV422" s="2051"/>
      <c r="BW422" s="2098" t="str">
        <f>Bauteile!B718</f>
        <v>Jackodur Plus 300</v>
      </c>
      <c r="BX422" s="2056">
        <f>Bauteile!H718</f>
        <v>2.7E-2</v>
      </c>
    </row>
    <row r="423" spans="68:76" ht="18" customHeight="1">
      <c r="BP423" s="118" t="str">
        <f>Bauteile!B423</f>
        <v>ISOVER ISORESIST 1000 034</v>
      </c>
      <c r="BQ423" s="2057">
        <v>367</v>
      </c>
      <c r="BU423" s="2098"/>
      <c r="BV423" s="2051"/>
      <c r="BW423" s="2098" t="str">
        <f>Bauteile!B719</f>
        <v>Jackodur KF 300  2-6cm</v>
      </c>
      <c r="BX423" s="2056">
        <f>Bauteile!H719</f>
        <v>3.4000000000000002E-2</v>
      </c>
    </row>
    <row r="424" spans="68:76" ht="18" customHeight="1">
      <c r="BP424" s="118" t="str">
        <f>Bauteile!B424</f>
        <v>ISOVER ISORESIST 1000 034 F</v>
      </c>
      <c r="BQ424" s="2057">
        <v>368</v>
      </c>
      <c r="BU424" s="2098"/>
      <c r="BV424" s="2051"/>
      <c r="BW424" s="2098" t="str">
        <f>Bauteile!B720</f>
        <v>Jackodur KF 300  7-18cm</v>
      </c>
      <c r="BX424" s="2056">
        <f>Bauteile!H720</f>
        <v>3.5000000000000003E-2</v>
      </c>
    </row>
    <row r="425" spans="68:76" ht="18" customHeight="1">
      <c r="BP425" s="118" t="str">
        <f>Bauteile!B425</f>
        <v>ISOVER ISORESIST 1000 036 / 1000 036 PR</v>
      </c>
      <c r="BQ425" s="2057">
        <v>369</v>
      </c>
      <c r="BU425" s="2098"/>
      <c r="BV425" s="2051"/>
      <c r="BW425" s="2098" t="str">
        <f>Bauteile!B721</f>
        <v>Jackodur KF 500  4-6cm</v>
      </c>
      <c r="BX425" s="2056">
        <f>Bauteile!H721</f>
        <v>3.4000000000000002E-2</v>
      </c>
    </row>
    <row r="426" spans="68:76" ht="18" customHeight="1">
      <c r="BP426" s="118" t="str">
        <f>Bauteile!B426</f>
        <v>ISOVER ISORESIST PIANO PLUS / PIANO PLUS P</v>
      </c>
      <c r="BQ426" s="2057">
        <v>370</v>
      </c>
      <c r="BU426" s="2098"/>
      <c r="BV426" s="2051"/>
      <c r="BW426" s="2098" t="str">
        <f>Bauteile!B722</f>
        <v>Jackodur KF 500  7-16cm</v>
      </c>
      <c r="BX426" s="2056">
        <f>Bauteile!H722</f>
        <v>3.5000000000000003E-2</v>
      </c>
    </row>
    <row r="427" spans="68:76" ht="18" customHeight="1">
      <c r="BP427" s="118" t="str">
        <f>Bauteile!B427</f>
        <v>ISOVER ISORESIST 1000 039</v>
      </c>
      <c r="BQ427" s="2057">
        <v>371</v>
      </c>
      <c r="BU427" s="2098"/>
      <c r="BV427" s="2051"/>
      <c r="BW427" s="2098" t="str">
        <f>Bauteile!B723</f>
        <v>Jackodur KF 500  17-32cm</v>
      </c>
      <c r="BX427" s="2056">
        <f>Bauteile!H723</f>
        <v>3.6999999999999998E-2</v>
      </c>
    </row>
    <row r="428" spans="68:76" ht="18" customHeight="1">
      <c r="BP428" s="118" t="str">
        <f>Bauteile!B428</f>
        <v>ISOVER ISORESIST PIANO</v>
      </c>
      <c r="BQ428" s="2057">
        <v>372</v>
      </c>
      <c r="BU428" s="2098"/>
      <c r="BV428" s="2051"/>
      <c r="BW428" s="2098" t="str">
        <f>Bauteile!B724</f>
        <v>Jackodur KF 700  4-6cm</v>
      </c>
      <c r="BX428" s="2056">
        <f>Bauteile!H724</f>
        <v>3.4000000000000002E-2</v>
      </c>
    </row>
    <row r="429" spans="68:76" ht="18" customHeight="1">
      <c r="BP429" s="118" t="str">
        <f>Bauteile!B429</f>
        <v>ISOVER PB M 032</v>
      </c>
      <c r="BQ429" s="2057">
        <v>373</v>
      </c>
      <c r="BU429" s="2098"/>
      <c r="BV429" s="2051"/>
      <c r="BW429" s="2098" t="str">
        <f>Bauteile!B725</f>
        <v>Jackodur KF 700  7-16cm</v>
      </c>
      <c r="BX429" s="2056">
        <f>Bauteile!H725</f>
        <v>3.5000000000000003E-2</v>
      </c>
    </row>
    <row r="430" spans="68:76" ht="18" customHeight="1">
      <c r="BP430" s="118" t="str">
        <f>Bauteile!B430</f>
        <v>ISOVER PB M KRAFT 032</v>
      </c>
      <c r="BQ430" s="2057">
        <v>374</v>
      </c>
      <c r="BU430" s="2098"/>
      <c r="BV430" s="2051"/>
      <c r="BW430" s="2098" t="str">
        <f>Bauteile!B726</f>
        <v>Jackodur KF 700  17-32cm</v>
      </c>
      <c r="BX430" s="2056">
        <f>Bauteile!H726</f>
        <v>3.6999999999999998E-2</v>
      </c>
    </row>
    <row r="431" spans="68:76" ht="18" customHeight="1">
      <c r="BP431" s="118" t="str">
        <f>Bauteile!B431</f>
        <v>ISOVER PANNEAUX CHEVRONS 032 PR</v>
      </c>
      <c r="BQ431" s="2057">
        <v>375</v>
      </c>
      <c r="BU431" s="2098"/>
      <c r="BV431" s="2051"/>
      <c r="BW431" s="2098" t="str">
        <f>Bauteile!B727</f>
        <v>Jackodur CFR 300 / 500  2-6cm</v>
      </c>
      <c r="BX431" s="2056">
        <f>Bauteile!H727</f>
        <v>3.4000000000000002E-2</v>
      </c>
    </row>
    <row r="432" spans="68:76" ht="18" customHeight="1">
      <c r="BP432" s="118" t="str">
        <f>Bauteile!B432</f>
        <v>ISOVER CLADIROLL 032</v>
      </c>
      <c r="BQ432" s="2057">
        <v>376</v>
      </c>
      <c r="BU432" s="2098"/>
      <c r="BV432" s="2051"/>
      <c r="BW432" s="2098" t="str">
        <f>Bauteile!B728</f>
        <v>Jackodur CFR 300 / 500  &gt;6cm</v>
      </c>
      <c r="BX432" s="2056">
        <f>Bauteile!H728</f>
        <v>3.5999999999999997E-2</v>
      </c>
    </row>
    <row r="433" spans="68:76" ht="18" customHeight="1">
      <c r="BP433" s="118" t="str">
        <f>Bauteile!B433</f>
        <v>ISOVER ISOCONFORT 032 / ISOCONFORT 032 PR</v>
      </c>
      <c r="BQ433" s="2057">
        <v>377</v>
      </c>
      <c r="BU433" s="2098"/>
      <c r="BV433" s="2051"/>
      <c r="BW433" s="2098" t="str">
        <f>Bauteile!B729</f>
        <v>Jackodur DS 300  2-6cm</v>
      </c>
      <c r="BX433" s="2056">
        <f>Bauteile!H729</f>
        <v>3.4000000000000002E-2</v>
      </c>
    </row>
    <row r="434" spans="68:76" ht="18" customHeight="1">
      <c r="BP434" s="118" t="str">
        <f>Bauteile!B434</f>
        <v>ISOVER CLADISOL 032</v>
      </c>
      <c r="BQ434" s="2057">
        <v>378</v>
      </c>
      <c r="BU434" s="2098"/>
      <c r="BV434" s="2051"/>
      <c r="BW434" s="2098" t="str">
        <f>Bauteile!B730</f>
        <v>Jackodur DS 300  7-8cm</v>
      </c>
      <c r="BX434" s="2056">
        <f>Bauteile!H730</f>
        <v>3.5000000000000003E-2</v>
      </c>
    </row>
    <row r="435" spans="68:76" ht="18" customHeight="1">
      <c r="BP435" s="118" t="str">
        <f>Bauteile!B435</f>
        <v>ISOVER PS 81</v>
      </c>
      <c r="BQ435" s="2057">
        <v>379</v>
      </c>
      <c r="BU435" s="2098"/>
      <c r="BV435" s="2051"/>
      <c r="BW435" s="2098" t="str">
        <f>Bauteile!B731</f>
        <v>Jackodur DS 300  9-16cm</v>
      </c>
      <c r="BX435" s="2056">
        <f>Bauteile!H731</f>
        <v>3.5999999999999997E-2</v>
      </c>
    </row>
    <row r="436" spans="68:76" ht="18" customHeight="1">
      <c r="BP436" s="118" t="str">
        <f>Bauteile!B436</f>
        <v>ISOVER PBS 80</v>
      </c>
      <c r="BQ436" s="2057">
        <v>380</v>
      </c>
      <c r="BU436" s="2098"/>
      <c r="BV436" s="2051"/>
      <c r="BW436" s="2098" t="str">
        <f>Bauteile!B732</f>
        <v>Jackodur DS 300  17-22cm</v>
      </c>
      <c r="BX436" s="2056">
        <f>Bauteile!H732</f>
        <v>3.6999999999999998E-2</v>
      </c>
    </row>
    <row r="437" spans="68:76" ht="18" customHeight="1">
      <c r="BP437" s="118" t="str">
        <f>Bauteile!B437</f>
        <v>ISOVER ISOPONTE 032</v>
      </c>
      <c r="BQ437" s="2057">
        <v>381</v>
      </c>
      <c r="BU437" s="2098"/>
      <c r="BV437" s="2051"/>
      <c r="BW437" s="2098" t="str">
        <f>Bauteile!B733</f>
        <v>Jackodur KF 300 Jackodrain 2-6cm</v>
      </c>
      <c r="BX437" s="2056">
        <f>Bauteile!H733</f>
        <v>3.4000000000000002E-2</v>
      </c>
    </row>
    <row r="438" spans="68:76" ht="18" customHeight="1">
      <c r="BP438" s="118" t="str">
        <f>Bauteile!B438</f>
        <v>ISOVER ISOLENE P 032</v>
      </c>
      <c r="BQ438" s="2057">
        <v>382</v>
      </c>
      <c r="BU438" s="2098"/>
      <c r="BV438" s="2051"/>
      <c r="BW438" s="2098" t="str">
        <f>Bauteile!B734</f>
        <v>Jackodur KF 300 Jackodrain &gt;6cm</v>
      </c>
      <c r="BX438" s="2056">
        <f>Bauteile!H734</f>
        <v>3.5000000000000003E-2</v>
      </c>
    </row>
    <row r="439" spans="68:76" ht="18" customHeight="1">
      <c r="BP439" s="118" t="str">
        <f>Bauteile!B439</f>
        <v>ISOVER PHOENIX 032</v>
      </c>
      <c r="BQ439" s="2057">
        <v>383</v>
      </c>
      <c r="BU439" s="2098"/>
      <c r="BV439" s="2051"/>
      <c r="BW439" s="2098" t="str">
        <f>Bauteile!B735</f>
        <v>Gematherm XC7  5-6cm</v>
      </c>
      <c r="BX439" s="2056">
        <f>Bauteile!H735</f>
        <v>3.4000000000000002E-2</v>
      </c>
    </row>
    <row r="440" spans="68:76" ht="18" customHeight="1">
      <c r="BP440" s="118" t="str">
        <f>Bauteile!B440</f>
        <v>ISOVER PB F ECO 032</v>
      </c>
      <c r="BQ440" s="2057">
        <v>384</v>
      </c>
      <c r="BU440" s="2098"/>
      <c r="BV440" s="2051"/>
      <c r="BW440" s="2098" t="str">
        <f>Bauteile!B736</f>
        <v>Gematherm XC7  8-12cm</v>
      </c>
      <c r="BX440" s="2056">
        <f>Bauteile!H736</f>
        <v>3.5999999999999997E-2</v>
      </c>
    </row>
    <row r="441" spans="68:76" ht="18" customHeight="1">
      <c r="BP441" s="118" t="str">
        <f>Bauteile!B441</f>
        <v>ISOVER PB F EXTRA 032</v>
      </c>
      <c r="BQ441" s="2057">
        <v>385</v>
      </c>
      <c r="BU441" s="2098"/>
      <c r="BV441" s="2051"/>
      <c r="BW441" s="2098" t="str">
        <f>Bauteile!B737</f>
        <v>Gematherm XC3 / XCW  3-4cm</v>
      </c>
      <c r="BX441" s="2056">
        <f>Bauteile!H737</f>
        <v>3.3000000000000002E-2</v>
      </c>
    </row>
    <row r="442" spans="68:76" ht="18" customHeight="1">
      <c r="BP442" s="118" t="str">
        <f>Bauteile!B442</f>
        <v>ISOVER PB F 030 / PB F MARMOR 030</v>
      </c>
      <c r="BQ442" s="2057">
        <v>386</v>
      </c>
      <c r="BU442" s="2098"/>
      <c r="BV442" s="2051"/>
      <c r="BW442" s="2098" t="str">
        <f>Bauteile!B738</f>
        <v>Gematherm XC3 / XCW  5-6cm</v>
      </c>
      <c r="BX442" s="2056">
        <f>Bauteile!H738</f>
        <v>3.4000000000000002E-2</v>
      </c>
    </row>
    <row r="443" spans="68:76" ht="18" customHeight="1">
      <c r="BP443" s="118" t="str">
        <f>Bauteile!B443</f>
        <v>ISOVER ISOCOMPACT 035</v>
      </c>
      <c r="BQ443" s="2057">
        <v>387</v>
      </c>
      <c r="BU443" s="2098"/>
      <c r="BV443" s="2051"/>
      <c r="BW443" s="2098" t="str">
        <f>Bauteile!B739</f>
        <v>Gematherm XC3 / XCW  8-30cm</v>
      </c>
      <c r="BX443" s="2056">
        <f>Bauteile!H739</f>
        <v>3.5999999999999997E-2</v>
      </c>
    </row>
    <row r="444" spans="68:76" ht="18" customHeight="1">
      <c r="BP444" s="118" t="str">
        <f>Bauteile!B444</f>
        <v>ULTIMATE U HFU-040</v>
      </c>
      <c r="BQ444" s="2057">
        <v>388</v>
      </c>
      <c r="BU444" s="2098"/>
      <c r="BV444" s="2051"/>
      <c r="BW444" s="2098" t="str">
        <f>Bauteile!B740</f>
        <v>Gematherm XC5  5-6cm</v>
      </c>
      <c r="BX444" s="2056">
        <f>Bauteile!H740</f>
        <v>3.4000000000000002E-2</v>
      </c>
    </row>
    <row r="445" spans="68:76" ht="18" customHeight="1">
      <c r="BP445" s="118" t="str">
        <f>Bauteile!B445</f>
        <v>ULTIMATE U Holzbaufilz-040</v>
      </c>
      <c r="BQ445" s="2057">
        <v>389</v>
      </c>
      <c r="BU445" s="2098"/>
      <c r="BV445" s="2051"/>
      <c r="BW445" s="2098" t="str">
        <f>Bauteile!B741</f>
        <v>Gematherm XC5  8-30cm</v>
      </c>
      <c r="BX445" s="2056">
        <f>Bauteile!H741</f>
        <v>3.5999999999999997E-2</v>
      </c>
    </row>
    <row r="446" spans="68:76" ht="18" customHeight="1">
      <c r="BP446" s="118" t="str">
        <f>Bauteile!B446</f>
        <v>ULTIMATE U Holzbaufilz-035</v>
      </c>
      <c r="BQ446" s="2057">
        <v>390</v>
      </c>
      <c r="BU446" s="2098"/>
      <c r="BV446" s="2051"/>
      <c r="BW446" s="2098" t="str">
        <f>Bauteile!B742</f>
        <v>Gemadrain XPS  5-6cm</v>
      </c>
      <c r="BX446" s="2056">
        <f>Bauteile!H742</f>
        <v>3.4000000000000002E-2</v>
      </c>
    </row>
    <row r="447" spans="68:76" ht="18" customHeight="1">
      <c r="BP447" s="118" t="str">
        <f>Bauteile!B447</f>
        <v>Kontur FSP 1-032</v>
      </c>
      <c r="BQ447" s="2057">
        <v>391</v>
      </c>
      <c r="BU447" s="2098"/>
      <c r="BV447" s="2051"/>
      <c r="BW447" s="2098" t="str">
        <f>Bauteile!B743</f>
        <v>Gemadrain XPS  8-30cm</v>
      </c>
      <c r="BX447" s="2056">
        <f>Bauteile!H743</f>
        <v>3.5999999999999997E-2</v>
      </c>
    </row>
    <row r="448" spans="68:76" ht="18" customHeight="1">
      <c r="BP448" s="118" t="str">
        <f>Bauteile!B448</f>
        <v>Metac WF-032</v>
      </c>
      <c r="BQ448" s="2057">
        <v>392</v>
      </c>
      <c r="BU448" s="2098"/>
      <c r="BV448" s="2051"/>
      <c r="BW448" s="2098" t="str">
        <f>Bauteile!B744</f>
        <v>Sundolitt XPS 300 kPa</v>
      </c>
      <c r="BX448" s="2056">
        <f>Bauteile!H744</f>
        <v>3.5999999999999997E-2</v>
      </c>
    </row>
    <row r="449" spans="68:76" ht="18" customHeight="1">
      <c r="BP449" s="118" t="str">
        <f>Bauteile!B449</f>
        <v>Metac UF-032</v>
      </c>
      <c r="BQ449" s="2057">
        <v>393</v>
      </c>
      <c r="BU449" s="2098"/>
      <c r="BV449" s="2051"/>
      <c r="BW449" s="2098" t="str">
        <f>Bauteile!B745</f>
        <v>swissporXPS Premium Plus</v>
      </c>
      <c r="BX449" s="2056">
        <f>Bauteile!H745</f>
        <v>2.7E-2</v>
      </c>
    </row>
    <row r="450" spans="68:76" ht="18" customHeight="1">
      <c r="BP450" s="118" t="str">
        <f>Bauteile!B450</f>
        <v>Metac UF-035</v>
      </c>
      <c r="BQ450" s="2057">
        <v>394</v>
      </c>
      <c r="BU450" s="2098"/>
      <c r="BV450" s="2051"/>
      <c r="BW450" s="2098" t="str">
        <f>Bauteile!B746</f>
        <v>swissporXPS  1-8cm</v>
      </c>
      <c r="BX450" s="2056">
        <f>Bauteile!H746</f>
        <v>3.3000000000000002E-2</v>
      </c>
    </row>
    <row r="451" spans="68:76" ht="18" customHeight="1">
      <c r="BP451" s="118" t="str">
        <f>Bauteile!B451</f>
        <v>Metac UF-040</v>
      </c>
      <c r="BQ451" s="2057">
        <v>395</v>
      </c>
      <c r="BU451" s="2098"/>
      <c r="BV451" s="2051"/>
      <c r="BW451" s="2098" t="str">
        <f>Bauteile!B747</f>
        <v>swissporXPS  9-40cm</v>
      </c>
      <c r="BX451" s="2056">
        <f>Bauteile!H747</f>
        <v>3.5000000000000003E-2</v>
      </c>
    </row>
    <row r="452" spans="68:76" ht="18" customHeight="1">
      <c r="BP452" s="118" t="str">
        <f>Bauteile!B452</f>
        <v>Integra ZKF 1-035</v>
      </c>
      <c r="BQ452" s="2057">
        <v>396</v>
      </c>
      <c r="BU452" s="2098"/>
      <c r="BV452" s="2051"/>
      <c r="BW452" s="2098" t="str">
        <f>Bauteile!B748</f>
        <v>swissporXPS Premium</v>
      </c>
      <c r="BX452" s="2056">
        <f>Bauteile!H748</f>
        <v>3.2000000000000001E-2</v>
      </c>
    </row>
    <row r="453" spans="68:76" ht="18" customHeight="1">
      <c r="BP453" s="118" t="str">
        <f>Bauteile!B453</f>
        <v>Integra ZKF 1-040</v>
      </c>
      <c r="BQ453" s="2057">
        <v>397</v>
      </c>
      <c r="BU453" s="2098"/>
      <c r="BV453" s="2051"/>
      <c r="BW453" s="2098" t="str">
        <f>Bauteile!B749</f>
        <v>URSA XPS N-III  2-6cm</v>
      </c>
      <c r="BX453" s="2056">
        <f>Bauteile!H749</f>
        <v>3.4000000000000002E-2</v>
      </c>
    </row>
    <row r="454" spans="68:76" ht="18" customHeight="1">
      <c r="BP454" s="118" t="str">
        <f>Bauteile!B454</f>
        <v>Akustic EP 1</v>
      </c>
      <c r="BQ454" s="2057">
        <v>398</v>
      </c>
      <c r="BU454" s="2098"/>
      <c r="BV454" s="2051"/>
      <c r="BW454" s="2098" t="str">
        <f>Bauteile!B750</f>
        <v>URSA XPS N-III  7-12cm</v>
      </c>
      <c r="BX454" s="2056">
        <f>Bauteile!H750</f>
        <v>3.5999999999999997E-2</v>
      </c>
    </row>
    <row r="455" spans="68:76" ht="18" customHeight="1">
      <c r="BP455" s="118" t="str">
        <f>Bauteile!B455</f>
        <v>TWP 1, TWP 1 HOME, Pure 40 PN Trennwandplatte</v>
      </c>
      <c r="BQ455" s="2057">
        <v>399</v>
      </c>
      <c r="BU455" s="2098"/>
      <c r="BV455" s="2051"/>
      <c r="BW455" s="2098" t="str">
        <f>Bauteile!B751</f>
        <v>URSA XPS N-III  14-16cm</v>
      </c>
      <c r="BX455" s="2056">
        <f>Bauteile!H751</f>
        <v>3.6999999999999998E-2</v>
      </c>
    </row>
    <row r="456" spans="68:76" ht="18" customHeight="1">
      <c r="BP456" s="118" t="str">
        <f>Bauteile!B456</f>
        <v>URSA FDP 4, DF 32h, HRF 32, DFH 32, FKR 32</v>
      </c>
      <c r="BQ456" s="2057">
        <v>400</v>
      </c>
      <c r="BU456" s="2098"/>
      <c r="BV456" s="2051"/>
      <c r="BW456" s="2098" t="str">
        <f>Bauteile!B752</f>
        <v>URSA XPS N-V  2-6cm</v>
      </c>
      <c r="BX456" s="2056">
        <f>Bauteile!H752</f>
        <v>3.4000000000000002E-2</v>
      </c>
    </row>
    <row r="457" spans="68:76" ht="18" customHeight="1">
      <c r="BP457" s="118" t="str">
        <f>Bauteile!B457</f>
        <v>URSA SF 32, USF 32 PLUS, TWP 32, AKP 32</v>
      </c>
      <c r="BQ457" s="2057">
        <v>401</v>
      </c>
      <c r="BU457" s="2098"/>
      <c r="BV457" s="2051"/>
      <c r="BW457" s="2098" t="str">
        <f>Bauteile!B753</f>
        <v>URSA XPS N-V  7-12cm</v>
      </c>
      <c r="BX457" s="2056">
        <f>Bauteile!H753</f>
        <v>3.5999999999999997E-2</v>
      </c>
    </row>
    <row r="458" spans="68:76" ht="18" customHeight="1">
      <c r="BP458" s="118" t="str">
        <f>Bauteile!B458</f>
        <v>URSA FDP 32, FKP 32, ZFP 32, KDP 32</v>
      </c>
      <c r="BQ458" s="2057">
        <v>402</v>
      </c>
      <c r="BU458" s="2098"/>
      <c r="BV458" s="2051"/>
      <c r="BW458" s="2098" t="str">
        <f>Bauteile!B754</f>
        <v>URSA XPS N-VII  6cm</v>
      </c>
      <c r="BX458" s="2056">
        <f>Bauteile!H754</f>
        <v>3.5999999999999997E-2</v>
      </c>
    </row>
    <row r="459" spans="68:76" ht="18" customHeight="1">
      <c r="BP459" s="118" t="str">
        <f>Bauteile!B459</f>
        <v>URSA TFP, TSP, TEP</v>
      </c>
      <c r="BQ459" s="2057">
        <v>403</v>
      </c>
      <c r="BU459" s="2098"/>
      <c r="BV459" s="2051"/>
      <c r="BW459" s="2098" t="str">
        <f>Bauteile!B755</f>
        <v>URSA XPS N-VII  7-12cm</v>
      </c>
      <c r="BX459" s="2056">
        <f>Bauteile!H755</f>
        <v>3.6999999999999998E-2</v>
      </c>
    </row>
    <row r="460" spans="68:76" ht="18" customHeight="1">
      <c r="BP460" s="118" t="str">
        <f>Bauteile!B460</f>
        <v>URSA DF 35, SF 35, HRF 35, FTP 2, FKR 35, KDR 35, AKP2, KDP</v>
      </c>
      <c r="BQ460" s="2057">
        <v>404</v>
      </c>
      <c r="BU460" s="2098"/>
      <c r="BV460" s="2051"/>
      <c r="BW460" s="2098" t="str">
        <f>Bauteile!B756</f>
        <v>URSA XPS D N-III PZ</v>
      </c>
      <c r="BX460" s="2056">
        <f>Bauteile!H756</f>
        <v>3.2000000000000001E-2</v>
      </c>
    </row>
    <row r="461" spans="68:76" ht="18" customHeight="1">
      <c r="BP461" s="118" t="str">
        <f>Bauteile!B461</f>
        <v>URSA DF 40, TWF 1, SF 40,  FDP 1,  TWP 1, FKP 1, HRF 40</v>
      </c>
      <c r="BQ461" s="2057">
        <v>405</v>
      </c>
      <c r="BU461" s="2098"/>
      <c r="BV461" s="2051"/>
      <c r="BW461" s="2098" t="str">
        <f>Bauteile!B757</f>
        <v>URSA XPS N TWINS (N-III,  N-III PZ, N-V, N-VII), 10-12cm</v>
      </c>
      <c r="BX461" s="2056">
        <f>Bauteile!H757</f>
        <v>3.4000000000000002E-2</v>
      </c>
    </row>
    <row r="462" spans="68:76" ht="18" customHeight="1">
      <c r="BP462" s="118" t="str">
        <f>Bauteile!B462</f>
        <v>Pure 32</v>
      </c>
      <c r="BQ462" s="2057">
        <v>406</v>
      </c>
      <c r="BU462" s="2098"/>
      <c r="BV462" s="2051"/>
      <c r="BW462" s="2098" t="str">
        <f>Bauteile!B758</f>
        <v>URSA XPS N TWINS (N-III,  N-III PZ, N-V, N-VII), 13-40cm</v>
      </c>
      <c r="BX462" s="2056">
        <f>Bauteile!H758</f>
        <v>3.5999999999999997E-2</v>
      </c>
    </row>
    <row r="463" spans="68:76" ht="18" customHeight="1">
      <c r="BP463" s="118" t="str">
        <f>Bauteile!B463</f>
        <v>Pure 35</v>
      </c>
      <c r="BQ463" s="2057">
        <v>407</v>
      </c>
      <c r="BU463" s="2098"/>
      <c r="BV463" s="2051"/>
      <c r="BW463" s="2098" t="str">
        <f>Bauteile!B759</f>
        <v>URSA XPS N  2-6cm</v>
      </c>
      <c r="BX463" s="2056">
        <f>Bauteile!H759</f>
        <v>3.4000000000000002E-2</v>
      </c>
    </row>
    <row r="464" spans="68:76" ht="18" customHeight="1">
      <c r="BP464" s="118" t="str">
        <f>Bauteile!B464</f>
        <v>Pure 40</v>
      </c>
      <c r="BQ464" s="2057">
        <v>408</v>
      </c>
      <c r="BU464" s="2098"/>
      <c r="BV464" s="2051"/>
      <c r="BW464" s="2098" t="str">
        <f>Bauteile!B760</f>
        <v>URSA XPS N  7-10cm</v>
      </c>
      <c r="BX464" s="2056">
        <f>Bauteile!H760</f>
        <v>3.5999999999999997E-2</v>
      </c>
    </row>
    <row r="465" spans="68:76" ht="18" customHeight="1">
      <c r="BP465" s="118">
        <f>Bauteile!B465</f>
        <v>0</v>
      </c>
      <c r="BQ465" s="2057">
        <v>409</v>
      </c>
      <c r="BU465" s="2098"/>
      <c r="BV465" s="2051"/>
      <c r="BW465" s="2098">
        <f>Bauteile!B761</f>
        <v>0</v>
      </c>
      <c r="BX465" s="2056">
        <f>Bauteile!H761</f>
        <v>0</v>
      </c>
    </row>
    <row r="466" spans="68:76" ht="18" customHeight="1">
      <c r="BP466" s="118" t="str">
        <f>Bauteile!B466</f>
        <v>Supafil Timber Frame</v>
      </c>
      <c r="BQ466" s="2057">
        <v>410</v>
      </c>
      <c r="BU466" s="2098"/>
      <c r="BV466" s="2051"/>
      <c r="BW466" s="2099" t="str">
        <f>Bauteile!B762</f>
        <v>**** Polyurethan (PUR), Polyisocyanurat (PIR) ****</v>
      </c>
      <c r="BX466" s="2056">
        <f>Bauteile!H762</f>
        <v>0</v>
      </c>
    </row>
    <row r="467" spans="68:76" ht="18" customHeight="1">
      <c r="BP467" s="118" t="str">
        <f>Bauteile!B467</f>
        <v>Supafil Cavity Wall</v>
      </c>
      <c r="BQ467" s="2057">
        <v>411</v>
      </c>
      <c r="BU467" s="2098"/>
      <c r="BV467" s="2051"/>
      <c r="BW467" s="2098" t="str">
        <f>Bauteile!B763</f>
        <v>BACHL PUR ALU</v>
      </c>
      <c r="BX467" s="2056">
        <f>Bauteile!H763</f>
        <v>2.1999999999999999E-2</v>
      </c>
    </row>
    <row r="468" spans="68:76" ht="18" customHeight="1">
      <c r="BP468" s="118" t="str">
        <f>Bauteile!B468</f>
        <v>ISOVER LAINE TRIV</v>
      </c>
      <c r="BQ468" s="2057">
        <v>412</v>
      </c>
      <c r="BU468" s="2098"/>
      <c r="BV468" s="2051"/>
      <c r="BW468" s="2098" t="str">
        <f>Bauteile!B764</f>
        <v>BACHL PUR Vlies  2-7cm</v>
      </c>
      <c r="BX468" s="2056">
        <f>Bauteile!H764</f>
        <v>2.7E-2</v>
      </c>
    </row>
    <row r="469" spans="68:76" ht="18" customHeight="1">
      <c r="BP469" s="118">
        <f>Bauteile!B469</f>
        <v>0</v>
      </c>
      <c r="BQ469" s="2057">
        <v>413</v>
      </c>
      <c r="BU469" s="2098"/>
      <c r="BV469" s="2051"/>
      <c r="BW469" s="2098" t="str">
        <f>Bauteile!B765</f>
        <v>BACHL PUR Vlies  8-11cm</v>
      </c>
      <c r="BX469" s="2056">
        <f>Bauteile!H765</f>
        <v>2.5999999999999999E-2</v>
      </c>
    </row>
    <row r="470" spans="68:76" ht="18" customHeight="1">
      <c r="BP470" s="1268" t="str">
        <f>Bauteile!B470</f>
        <v>**** Verre cellulaire ****</v>
      </c>
      <c r="BQ470" s="2057">
        <v>414</v>
      </c>
      <c r="BU470" s="2098"/>
      <c r="BV470" s="2051"/>
      <c r="BW470" s="2098" t="str">
        <f>Bauteile!B766</f>
        <v>BACHL PUR Vlies  12-24cm</v>
      </c>
      <c r="BX470" s="2056">
        <f>Bauteile!H766</f>
        <v>2.5000000000000001E-2</v>
      </c>
    </row>
    <row r="471" spans="68:76" ht="18" customHeight="1">
      <c r="BP471" s="118" t="str">
        <f>Bauteile!B471</f>
        <v>FOAMGLAS T3+</v>
      </c>
      <c r="BQ471" s="2057">
        <v>415</v>
      </c>
      <c r="BU471" s="2098"/>
      <c r="BV471" s="2051"/>
      <c r="BW471" s="2098" t="str">
        <f>Bauteile!B767</f>
        <v>Therma TR26 FM</v>
      </c>
      <c r="BX471" s="2056">
        <f>Bauteile!H767</f>
        <v>2.1999999999999999E-2</v>
      </c>
    </row>
    <row r="472" spans="68:76" ht="18" customHeight="1">
      <c r="BP472" s="118" t="str">
        <f>Bauteile!B472</f>
        <v>FOAMGLAS Tapered T3+</v>
      </c>
      <c r="BQ472" s="2057">
        <v>416</v>
      </c>
      <c r="BU472" s="2098"/>
      <c r="BV472" s="2051"/>
      <c r="BW472" s="2098" t="str">
        <f>Bauteile!B768</f>
        <v>Montanatherm panneau sandwich</v>
      </c>
      <c r="BX472" s="2056">
        <f>Bauteile!H768</f>
        <v>2.1999999999999999E-2</v>
      </c>
    </row>
    <row r="473" spans="68:76" ht="18" customHeight="1">
      <c r="BP473" s="118" t="str">
        <f>Bauteile!B473</f>
        <v>FOAMGLAS W+F</v>
      </c>
      <c r="BQ473" s="2057">
        <v>417</v>
      </c>
      <c r="BU473" s="2098"/>
      <c r="BV473" s="2051"/>
      <c r="BW473" s="2098" t="str">
        <f>Bauteile!B769</f>
        <v>Bauder PIR étanche à la diffusion</v>
      </c>
      <c r="BX473" s="2056">
        <f>Bauteile!H769</f>
        <v>2.1999999999999999E-2</v>
      </c>
    </row>
    <row r="474" spans="68:76" ht="18" customHeight="1">
      <c r="BP474" s="118" t="str">
        <f>Bauteile!B474</f>
        <v>FOAMGLAS Wall Board W+F</v>
      </c>
      <c r="BQ474" s="2057">
        <v>418</v>
      </c>
      <c r="BU474" s="2098"/>
      <c r="BV474" s="2051"/>
      <c r="BW474" s="2098" t="str">
        <f>Bauteile!B770</f>
        <v>Bauder PIR perméable à la diffusion  2-7cm</v>
      </c>
      <c r="BX474" s="2056">
        <f>Bauteile!H770</f>
        <v>2.7E-2</v>
      </c>
    </row>
    <row r="475" spans="68:76" ht="18" customHeight="1">
      <c r="BP475" s="118" t="str">
        <f>Bauteile!B475</f>
        <v>FOAMGLAS T4+</v>
      </c>
      <c r="BQ475" s="2057">
        <v>419</v>
      </c>
      <c r="BU475" s="2098"/>
      <c r="BV475" s="2051"/>
      <c r="BW475" s="2098" t="str">
        <f>Bauteile!B771</f>
        <v>Bauder PIR perméable à la diffusion  8-11cm</v>
      </c>
      <c r="BX475" s="2056">
        <f>Bauteile!H771</f>
        <v>2.5999999999999999E-2</v>
      </c>
    </row>
    <row r="476" spans="68:76" ht="18" customHeight="1">
      <c r="BP476" s="118" t="str">
        <f>Bauteile!B476</f>
        <v>FOAMGLAS Tapered T4+</v>
      </c>
      <c r="BQ476" s="2057">
        <v>420</v>
      </c>
      <c r="BU476" s="2098"/>
      <c r="BV476" s="2051"/>
      <c r="BW476" s="2098" t="str">
        <f>Bauteile!B772</f>
        <v>Bauder PIR perméable à la diffusion  12-24cm</v>
      </c>
      <c r="BX476" s="2056">
        <f>Bauteile!H772</f>
        <v>2.5000000000000001E-2</v>
      </c>
    </row>
    <row r="477" spans="68:76" ht="18" customHeight="1">
      <c r="BP477" s="118" t="str">
        <f>Bauteile!B477</f>
        <v>FOAMGLAS Ready Block T4+</v>
      </c>
      <c r="BQ477" s="2057">
        <v>421</v>
      </c>
      <c r="BU477" s="2098"/>
      <c r="BV477" s="2051"/>
      <c r="BW477" s="2098" t="str">
        <f>Bauteile!B773</f>
        <v>puren Protect</v>
      </c>
      <c r="BX477" s="2056">
        <f>Bauteile!H773</f>
        <v>2.1999999999999999E-2</v>
      </c>
    </row>
    <row r="478" spans="68:76" ht="18" customHeight="1">
      <c r="BP478" s="118" t="str">
        <f>Bauteile!B478</f>
        <v>FOAMGLAS Ready Board T4+</v>
      </c>
      <c r="BQ478" s="2057">
        <v>422</v>
      </c>
      <c r="BU478" s="2098"/>
      <c r="BV478" s="2051"/>
      <c r="BW478" s="2098" t="str">
        <f>Bauteile!B774</f>
        <v>puren Plus  8-11cm</v>
      </c>
      <c r="BX478" s="2056">
        <f>Bauteile!H774</f>
        <v>2.5999999999999999E-2</v>
      </c>
    </row>
    <row r="479" spans="68:76" ht="18" customHeight="1">
      <c r="BP479" s="118" t="str">
        <f>Bauteile!B479</f>
        <v>FOAMGLAS Floor Board T4+</v>
      </c>
      <c r="BQ479" s="2057">
        <v>423</v>
      </c>
      <c r="BU479" s="2098"/>
      <c r="BV479" s="2051"/>
      <c r="BW479" s="2098" t="str">
        <f>Bauteile!B775</f>
        <v>puren Plus  12-22cm</v>
      </c>
      <c r="BX479" s="2056">
        <f>Bauteile!H775</f>
        <v>2.5000000000000001E-2</v>
      </c>
    </row>
    <row r="480" spans="68:76" ht="18" customHeight="1">
      <c r="BP480" s="118" t="str">
        <f>Bauteile!B480</f>
        <v>FOAMGLAS S3</v>
      </c>
      <c r="BQ480" s="2057">
        <v>424</v>
      </c>
      <c r="BU480" s="2098"/>
      <c r="BV480" s="2051"/>
      <c r="BW480" s="2098" t="str">
        <f>Bauteile!B776</f>
        <v>puren Dämmschalung</v>
      </c>
      <c r="BX480" s="2056">
        <f>Bauteile!H776</f>
        <v>2.8000000000000001E-2</v>
      </c>
    </row>
    <row r="481" spans="68:76" ht="18" customHeight="1">
      <c r="BP481" s="118" t="str">
        <f>Bauteile!B481</f>
        <v>FOAMGLAS Tapered S3</v>
      </c>
      <c r="BQ481" s="2057">
        <v>425</v>
      </c>
      <c r="BU481" s="2098"/>
      <c r="BV481" s="2051"/>
      <c r="BW481" s="2098" t="str">
        <f>Bauteile!B777</f>
        <v>puren-PIR (étanche à la diffusion)  2-7cm</v>
      </c>
      <c r="BX481" s="2056">
        <f>Bauteile!H777</f>
        <v>2.3E-2</v>
      </c>
    </row>
    <row r="482" spans="68:76" ht="18" customHeight="1">
      <c r="BP482" s="118" t="str">
        <f>Bauteile!B482</f>
        <v>FOAMGLAS Ready Board S3</v>
      </c>
      <c r="BQ482" s="2057">
        <v>426</v>
      </c>
      <c r="BU482" s="2098"/>
      <c r="BV482" s="2051"/>
      <c r="BW482" s="2098" t="str">
        <f>Bauteile!B778</f>
        <v>puren-PIR (étanche à la diffusion)  8-20cm</v>
      </c>
      <c r="BX482" s="2056">
        <f>Bauteile!H778</f>
        <v>2.1999999999999999E-2</v>
      </c>
    </row>
    <row r="483" spans="68:76" ht="18" customHeight="1">
      <c r="BP483" s="118" t="str">
        <f>Bauteile!B483</f>
        <v>FOAMGLAS Floor Board S3</v>
      </c>
      <c r="BQ483" s="2057">
        <v>427</v>
      </c>
      <c r="BU483" s="2098"/>
      <c r="BV483" s="2051"/>
      <c r="BW483" s="2098" t="str">
        <f>Bauteile!B779</f>
        <v>puren-PIR (perméable à la diffusion)  2-7cm</v>
      </c>
      <c r="BX483" s="2056">
        <f>Bauteile!H779</f>
        <v>2.8000000000000001E-2</v>
      </c>
    </row>
    <row r="484" spans="68:76" ht="18" customHeight="1">
      <c r="BP484" s="118" t="str">
        <f>Bauteile!B484</f>
        <v>FOAMGLAS F</v>
      </c>
      <c r="BQ484" s="2057">
        <v>428</v>
      </c>
      <c r="BU484" s="2098"/>
      <c r="BV484" s="2051"/>
      <c r="BW484" s="2098" t="str">
        <f>Bauteile!B780</f>
        <v>puren-PIR (perméable à la diffusion)  8-11cm</v>
      </c>
      <c r="BX484" s="2056">
        <f>Bauteile!H780</f>
        <v>2.5999999999999999E-2</v>
      </c>
    </row>
    <row r="485" spans="68:76" ht="18" customHeight="1">
      <c r="BP485" s="118" t="str">
        <f>Bauteile!B485</f>
        <v>FOAMGLAS Tapered F</v>
      </c>
      <c r="BQ485" s="2057">
        <v>429</v>
      </c>
      <c r="BU485" s="2098"/>
      <c r="BV485" s="2051"/>
      <c r="BW485" s="2098" t="str">
        <f>Bauteile!B781</f>
        <v>puren-PIR (perméable à la diffusion)  &gt;=12cm</v>
      </c>
      <c r="BX485" s="2056">
        <f>Bauteile!H781</f>
        <v>2.5000000000000001E-2</v>
      </c>
    </row>
    <row r="486" spans="68:76" ht="18" customHeight="1">
      <c r="BP486" s="118" t="str">
        <f>Bauteile!B486</f>
        <v>FOAMGLAS Ready Board F</v>
      </c>
      <c r="BQ486" s="2057">
        <v>430</v>
      </c>
      <c r="BU486" s="2098"/>
      <c r="BV486" s="2051"/>
      <c r="BW486" s="2098" t="str">
        <f>Bauteile!B782</f>
        <v>puren PIR NE / purenotherm  2-7cm</v>
      </c>
      <c r="BX486" s="2056">
        <f>Bauteile!H782</f>
        <v>2.7E-2</v>
      </c>
    </row>
    <row r="487" spans="68:76" ht="18" customHeight="1">
      <c r="BP487" s="118" t="str">
        <f>Bauteile!B487</f>
        <v>FOAMGLAS Floor Board F</v>
      </c>
      <c r="BQ487" s="2057">
        <v>431</v>
      </c>
      <c r="BU487" s="2098"/>
      <c r="BV487" s="2051"/>
      <c r="BW487" s="2098" t="str">
        <f>Bauteile!B783</f>
        <v>puren PIR NE / purenotherm  8-11cm</v>
      </c>
      <c r="BX487" s="2056">
        <f>Bauteile!H783</f>
        <v>2.5999999999999999E-2</v>
      </c>
    </row>
    <row r="488" spans="68:76" ht="18" customHeight="1">
      <c r="BP488" s="118" t="str">
        <f>Bauteile!B488</f>
        <v>FOAMGLAS Perinsul S</v>
      </c>
      <c r="BQ488" s="2057">
        <v>432</v>
      </c>
      <c r="BU488" s="2098"/>
      <c r="BV488" s="2051"/>
      <c r="BW488" s="2098" t="str">
        <f>Bauteile!B784</f>
        <v>puren PIR NE / purenotherm &gt;=12cm</v>
      </c>
      <c r="BX488" s="2056">
        <f>Bauteile!H784</f>
        <v>2.5000000000000001E-2</v>
      </c>
    </row>
    <row r="489" spans="68:76" ht="18" customHeight="1">
      <c r="BP489" s="118">
        <f>Bauteile!B489</f>
        <v>0</v>
      </c>
      <c r="BQ489" s="2057">
        <v>433</v>
      </c>
      <c r="BU489" s="2098"/>
      <c r="BV489" s="2051"/>
      <c r="BW489" s="2098" t="str">
        <f>Bauteile!B785</f>
        <v>puren PIR NE / purenotherm S  2-7cm</v>
      </c>
      <c r="BX489" s="2056">
        <f>Bauteile!H785</f>
        <v>2.5000000000000001E-2</v>
      </c>
    </row>
    <row r="490" spans="68:76" ht="18" customHeight="1">
      <c r="BP490" s="118" t="str">
        <f>Bauteile!B490</f>
        <v>Misapor 10/75</v>
      </c>
      <c r="BQ490" s="2057">
        <v>434</v>
      </c>
      <c r="BU490" s="2098"/>
      <c r="BV490" s="2051"/>
      <c r="BW490" s="2098" t="str">
        <f>Bauteile!B786</f>
        <v>puren PIR NE / purenotherm S  8-11cm</v>
      </c>
      <c r="BX490" s="2056">
        <f>Bauteile!H786</f>
        <v>2.4E-2</v>
      </c>
    </row>
    <row r="491" spans="68:76" ht="18" customHeight="1">
      <c r="BP491" s="118" t="str">
        <f>Bauteile!B491</f>
        <v>MISAPOR 10/50</v>
      </c>
      <c r="BQ491" s="2057">
        <v>435</v>
      </c>
      <c r="BU491" s="2100"/>
      <c r="BV491" s="2052"/>
      <c r="BW491" s="2098" t="str">
        <f>Bauteile!B787</f>
        <v>puren PIR NE / purenotherm S &gt;=12cm</v>
      </c>
      <c r="BX491" s="2056">
        <f>Bauteile!H787</f>
        <v>2.3E-2</v>
      </c>
    </row>
    <row r="492" spans="68:76" ht="18" customHeight="1">
      <c r="BP492" s="118" t="str">
        <f>Bauteile!B492</f>
        <v>ecoglas</v>
      </c>
      <c r="BQ492" s="2057">
        <v>436</v>
      </c>
      <c r="BW492" s="2098" t="str">
        <f>Bauteile!B788</f>
        <v>puren PIR, novoPIR</v>
      </c>
      <c r="BX492" s="2056">
        <f>Bauteile!H788</f>
        <v>2.1000000000000001E-2</v>
      </c>
    </row>
    <row r="493" spans="68:76" ht="18" customHeight="1">
      <c r="BP493" s="118" t="str">
        <f>Bauteile!B493</f>
        <v>Perlite, vermiculite: en vrac; non controlé</v>
      </c>
      <c r="BQ493" s="2057">
        <v>437</v>
      </c>
      <c r="BW493" s="2098" t="str">
        <f>Bauteile!B789</f>
        <v>Eurothane FB ALV</v>
      </c>
      <c r="BX493" s="2056" t="str">
        <f>Bauteile!H789</f>
        <v>0.023</v>
      </c>
    </row>
    <row r="494" spans="68:76" ht="18" customHeight="1">
      <c r="BP494" s="118">
        <f>Bauteile!B494</f>
        <v>0</v>
      </c>
      <c r="BQ494" s="2057">
        <v>438</v>
      </c>
      <c r="BW494" s="2098" t="str">
        <f>Bauteile!B790</f>
        <v>goPIR</v>
      </c>
      <c r="BX494" s="2056" t="str">
        <f>Bauteile!H790</f>
        <v>0.023</v>
      </c>
    </row>
    <row r="495" spans="68:76" ht="18" customHeight="1">
      <c r="BP495" s="118" t="str">
        <f>Bauteile!B495</f>
        <v>BACHL DS Perlit Dämmschüttung</v>
      </c>
      <c r="BQ495" s="2057">
        <v>439</v>
      </c>
      <c r="BW495" s="2098" t="str">
        <f>Bauteile!B791</f>
        <v>Powerdeck</v>
      </c>
      <c r="BX495" s="2056" t="str">
        <f>Bauteile!H791</f>
        <v>0.024</v>
      </c>
    </row>
    <row r="496" spans="68:76" ht="18" customHeight="1">
      <c r="BP496" s="118" t="str">
        <f>Bauteile!B496</f>
        <v>BACHL ES Perlit Dämmschüttung</v>
      </c>
      <c r="BQ496" s="2057">
        <v>440</v>
      </c>
      <c r="BW496" s="2098" t="str">
        <f>Bauteile!B792</f>
        <v>Sarnapur (PIR) étanche à la diffusion  2-7cm</v>
      </c>
      <c r="BX496" s="2056">
        <f>Bauteile!H792</f>
        <v>2.3E-2</v>
      </c>
    </row>
    <row r="497" spans="68:76" ht="18" customHeight="1">
      <c r="BP497" s="118" t="str">
        <f>Bauteile!B497</f>
        <v>BACHL HY Perlit Dämmschüttung</v>
      </c>
      <c r="BQ497" s="2057">
        <v>441</v>
      </c>
      <c r="BW497" s="2098" t="str">
        <f>Bauteile!B793</f>
        <v>Sarnapur (PIR) étanche à la diffusion  8-20cm</v>
      </c>
      <c r="BX497" s="2056">
        <f>Bauteile!H793</f>
        <v>2.1999999999999999E-2</v>
      </c>
    </row>
    <row r="498" spans="68:76" ht="18" customHeight="1">
      <c r="BP498" s="118">
        <f>Bauteile!B498</f>
        <v>0</v>
      </c>
      <c r="BQ498" s="2057">
        <v>442</v>
      </c>
      <c r="BW498" s="2098" t="str">
        <f>Bauteile!B794</f>
        <v>Sarnapur (PIR) perméable à la diffusion  2-7cm</v>
      </c>
      <c r="BX498" s="2056">
        <f>Bauteile!H794</f>
        <v>2.8000000000000001E-2</v>
      </c>
    </row>
    <row r="499" spans="68:76" ht="18" customHeight="1">
      <c r="BP499" s="118">
        <f>Bauteile!B499</f>
        <v>0</v>
      </c>
      <c r="BQ499" s="2057">
        <v>443</v>
      </c>
      <c r="BW499" s="2098" t="str">
        <f>Bauteile!B795</f>
        <v>Sarnapur (PIR) perméable à la diffusion  8-11cm</v>
      </c>
      <c r="BX499" s="2056">
        <f>Bauteile!H795</f>
        <v>2.5999999999999999E-2</v>
      </c>
    </row>
    <row r="500" spans="68:76" ht="18" customHeight="1">
      <c r="BP500" s="1268" t="str">
        <f>Bauteile!B500</f>
        <v>**** Polystyrène expansé (EPS) ****</v>
      </c>
      <c r="BQ500" s="2057">
        <v>444</v>
      </c>
      <c r="BW500" s="2098" t="str">
        <f>Bauteile!B796</f>
        <v>Sarnapur (PIR) perméable à la diffusion &gt;=12cm</v>
      </c>
      <c r="BX500" s="2056">
        <f>Bauteile!H796</f>
        <v>2.5000000000000001E-2</v>
      </c>
    </row>
    <row r="501" spans="68:76" ht="18" customHeight="1">
      <c r="BP501" s="118" t="str">
        <f>Bauteile!B501</f>
        <v>Baumit OPEN reflect</v>
      </c>
      <c r="BQ501" s="2057">
        <v>445</v>
      </c>
      <c r="BW501" s="2098" t="str">
        <f>Bauteile!B797</f>
        <v>Sarnapur novoPIR</v>
      </c>
      <c r="BX501" s="2056">
        <f>Bauteile!H797</f>
        <v>2.1000000000000001E-2</v>
      </c>
    </row>
    <row r="502" spans="68:76" ht="18" customHeight="1">
      <c r="BP502" s="118" t="str">
        <f>Bauteile!B502</f>
        <v>BACHL mousse dure</v>
      </c>
      <c r="BQ502" s="2057">
        <v>446</v>
      </c>
      <c r="BW502" s="2098" t="str">
        <f>Bauteile!B798</f>
        <v>steinothan 120</v>
      </c>
      <c r="BX502" s="2056">
        <f>Bauteile!H798</f>
        <v>2.3E-2</v>
      </c>
    </row>
    <row r="503" spans="68:76" ht="18" customHeight="1">
      <c r="BP503" s="118" t="str">
        <f>Bauteile!B503</f>
        <v>BACHL EPS Dach 120 kPa</v>
      </c>
      <c r="BQ503" s="2057">
        <v>447</v>
      </c>
      <c r="BW503" s="2098" t="str">
        <f>Bauteile!B799</f>
        <v>steinothan Alu 022</v>
      </c>
      <c r="BX503" s="2056">
        <f>Bauteile!H799</f>
        <v>2.1999999999999999E-2</v>
      </c>
    </row>
    <row r="504" spans="68:76" ht="18" customHeight="1">
      <c r="BP504" s="118" t="str">
        <f>Bauteile!B504</f>
        <v>BACHL mousse dure en blocs contre le bruit de chocs 039</v>
      </c>
      <c r="BQ504" s="2057">
        <v>448</v>
      </c>
      <c r="BW504" s="2098" t="str">
        <f>Bauteile!B800</f>
        <v>steinothan MV 025</v>
      </c>
      <c r="BX504" s="2056">
        <f>Bauteile!H800</f>
        <v>2.5000000000000001E-2</v>
      </c>
    </row>
    <row r="505" spans="68:76" ht="18" customHeight="1">
      <c r="BP505" s="118" t="str">
        <f>Bauteile!B505</f>
        <v>BACHL pour isolation extérieure enterrée</v>
      </c>
      <c r="BQ505" s="2057">
        <v>449</v>
      </c>
      <c r="BW505" s="2098" t="str">
        <f>Bauteile!B801</f>
        <v>steinothan MV 026</v>
      </c>
      <c r="BX505" s="2056">
        <f>Bauteile!H801</f>
        <v>2.5999999999999999E-2</v>
      </c>
    </row>
    <row r="506" spans="68:76" ht="18" customHeight="1">
      <c r="BP506" s="118" t="str">
        <f>Bauteile!B506</f>
        <v>BACHL Automatenplatte mit Vlies 033</v>
      </c>
      <c r="BQ506" s="2057">
        <v>450</v>
      </c>
      <c r="BW506" s="2098" t="str">
        <f>Bauteile!B802</f>
        <v>steinothan Alu 023</v>
      </c>
      <c r="BX506" s="2056">
        <f>Bauteile!H802</f>
        <v>2.3E-2</v>
      </c>
    </row>
    <row r="507" spans="68:76" ht="18" customHeight="1">
      <c r="BP507" s="118" t="str">
        <f>Bauteile!B507</f>
        <v>BACHL mousse dure 038</v>
      </c>
      <c r="BQ507" s="2057">
        <v>451</v>
      </c>
      <c r="BW507" s="2098" t="str">
        <f>Bauteile!B803</f>
        <v>steinothan MV 028</v>
      </c>
      <c r="BX507" s="2056">
        <f>Bauteile!H803</f>
        <v>2.8000000000000001E-2</v>
      </c>
    </row>
    <row r="508" spans="68:76" ht="18" customHeight="1">
      <c r="BP508" s="118" t="str">
        <f>Bauteile!B508</f>
        <v>BACHL mousse dure 036</v>
      </c>
      <c r="BQ508" s="2057">
        <v>452</v>
      </c>
      <c r="BW508" s="2098" t="str">
        <f>Bauteile!B804</f>
        <v>swissporPUR Alu</v>
      </c>
      <c r="BX508" s="2056">
        <f>Bauteile!H804</f>
        <v>2.1999999999999999E-2</v>
      </c>
    </row>
    <row r="509" spans="68:76" ht="18" customHeight="1">
      <c r="BP509" s="118" t="str">
        <f>Bauteile!B509</f>
        <v>BACHL mousse dure 033</v>
      </c>
      <c r="BQ509" s="2057">
        <v>453</v>
      </c>
      <c r="BW509" s="2098" t="str">
        <f>Bauteile!B805</f>
        <v>swissporPUR (PIR) Floor</v>
      </c>
      <c r="BX509" s="2056">
        <f>Bauteile!H805</f>
        <v>2.1999999999999999E-2</v>
      </c>
    </row>
    <row r="510" spans="68:76" ht="18" customHeight="1">
      <c r="BP510" s="118" t="str">
        <f>Bauteile!B510</f>
        <v>BACHL EPS Dach 150 kPa</v>
      </c>
      <c r="BQ510" s="2057">
        <v>454</v>
      </c>
      <c r="BW510" s="2098" t="str">
        <f>Bauteile!B806</f>
        <v>swissporTETTO Alu  8-14cm</v>
      </c>
      <c r="BX510" s="2056">
        <f>Bauteile!H806</f>
        <v>2.3E-2</v>
      </c>
    </row>
    <row r="511" spans="68:76" ht="18" customHeight="1">
      <c r="BP511" s="118" t="str">
        <f>Bauteile!B511</f>
        <v>BACHL mousse dure Neopor / NeoStep</v>
      </c>
      <c r="BQ511" s="2057">
        <v>455</v>
      </c>
      <c r="BW511" s="2098" t="str">
        <f>Bauteile!B807</f>
        <v>swissporTETTO Alu  16-20cm</v>
      </c>
      <c r="BX511" s="2056">
        <f>Bauteile!H807</f>
        <v>2.1999999999999999E-2</v>
      </c>
    </row>
    <row r="512" spans="68:76" ht="18" customHeight="1">
      <c r="BP512" s="118" t="str">
        <f>Bauteile!B512</f>
        <v>BACHL Hartschaum Neopor TS 033 neoStep</v>
      </c>
      <c r="BQ512" s="2057">
        <v>456</v>
      </c>
      <c r="BW512" s="2098" t="str">
        <f>Bauteile!B808</f>
        <v>swissporTETTO Vlies  8-10cm</v>
      </c>
      <c r="BX512" s="2056">
        <f>Bauteile!H808</f>
        <v>2.7E-2</v>
      </c>
    </row>
    <row r="513" spans="68:76" ht="18" customHeight="1">
      <c r="BP513" s="118" t="str">
        <f>Bauteile!B513</f>
        <v>EuroTherm White 030</v>
      </c>
      <c r="BQ513" s="2057">
        <v>457</v>
      </c>
      <c r="BW513" s="2098" t="str">
        <f>Bauteile!B809</f>
        <v>swissporTETTO Vlies  12-14cm</v>
      </c>
      <c r="BX513" s="2056">
        <f>Bauteile!H809</f>
        <v>2.5999999999999999E-2</v>
      </c>
    </row>
    <row r="514" spans="68:76" ht="18" customHeight="1">
      <c r="BP514" s="118" t="str">
        <f>Bauteile!B514</f>
        <v>EuroTherm White 031</v>
      </c>
      <c r="BQ514" s="2057">
        <v>458</v>
      </c>
      <c r="BW514" s="2098" t="str">
        <f>Bauteile!B810</f>
        <v>swissporTETTO Vlies  16-20cm</v>
      </c>
      <c r="BX514" s="2056">
        <f>Bauteile!H810</f>
        <v>2.5000000000000001E-2</v>
      </c>
    </row>
    <row r="515" spans="68:76" ht="18" customHeight="1">
      <c r="BP515" s="118" t="str">
        <f>Bauteile!B515</f>
        <v>EuroThermEPS 037</v>
      </c>
      <c r="BQ515" s="2057">
        <v>459</v>
      </c>
      <c r="BW515" s="2098" t="str">
        <f>Bauteile!B811</f>
        <v>swissporPIR Top023  6cm</v>
      </c>
      <c r="BX515" s="2056">
        <f>Bauteile!H811</f>
        <v>2.5000000000000001E-2</v>
      </c>
    </row>
    <row r="516" spans="68:76" ht="18" customHeight="1">
      <c r="BP516" s="118" t="str">
        <f>Bauteile!B516</f>
        <v>EPS-W20 Flapor Wärmedämmplatte</v>
      </c>
      <c r="BQ516" s="2057">
        <v>460</v>
      </c>
      <c r="BW516" s="2098" t="str">
        <f>Bauteile!B812</f>
        <v>swissporPIR Top023  8-10cm</v>
      </c>
      <c r="BX516" s="2056">
        <f>Bauteile!H812</f>
        <v>2.4E-2</v>
      </c>
    </row>
    <row r="517" spans="68:76" ht="18" customHeight="1">
      <c r="BP517" s="118" t="str">
        <f>Bauteile!B517</f>
        <v>EPS-W25 Flapor Wärmedämmplatte</v>
      </c>
      <c r="BQ517" s="2057">
        <v>461</v>
      </c>
      <c r="BW517" s="2098" t="str">
        <f>Bauteile!B813</f>
        <v>swissporPIR Top023  12-24cm</v>
      </c>
      <c r="BX517" s="2056">
        <f>Bauteile!H813</f>
        <v>2.3E-2</v>
      </c>
    </row>
    <row r="518" spans="68:76" ht="18" customHeight="1">
      <c r="BP518" s="118" t="str">
        <f>Bauteile!B518</f>
        <v>Flapor plus EPS-W20 Wärmedämmplatte</v>
      </c>
      <c r="BQ518" s="2057">
        <v>462</v>
      </c>
      <c r="BW518" s="2098" t="str">
        <f>Bauteile!B814</f>
        <v>swisspor CH-PIR Élément coupe-feu UB 3.2</v>
      </c>
      <c r="BX518" s="2056">
        <f>Bauteile!H814</f>
        <v>2.8000000000000001E-2</v>
      </c>
    </row>
    <row r="519" spans="68:76" ht="18" customHeight="1">
      <c r="BP519" s="118" t="str">
        <f>Bauteile!B519</f>
        <v>EPS-F Flapor pour façades</v>
      </c>
      <c r="BQ519" s="2057">
        <v>463</v>
      </c>
      <c r="BW519" s="2098" t="str">
        <f>Bauteile!B815</f>
        <v>swissporPUR voile  2-7cm</v>
      </c>
      <c r="BX519" s="2056">
        <f>Bauteile!H815</f>
        <v>2.7E-2</v>
      </c>
    </row>
    <row r="520" spans="68:76" ht="18" customHeight="1">
      <c r="BP520" s="118" t="str">
        <f>Bauteile!B520</f>
        <v>EPS Flaporplus DUO-W25 Wärmedämmplatte</v>
      </c>
      <c r="BQ520" s="2057">
        <v>464</v>
      </c>
      <c r="BW520" s="2098" t="str">
        <f>Bauteile!B816</f>
        <v>swissporPUR voile  8-11cm</v>
      </c>
      <c r="BX520" s="2056">
        <f>Bauteile!H816</f>
        <v>2.5999999999999999E-2</v>
      </c>
    </row>
    <row r="521" spans="68:76" ht="18" customHeight="1">
      <c r="BP521" s="118" t="str">
        <f>Bauteile!B521</f>
        <v>Perimeter-/Sockel-Dämmplatte FLAPORplus EPS-P</v>
      </c>
      <c r="BQ521" s="2057">
        <v>465</v>
      </c>
      <c r="BW521" s="2098" t="str">
        <f>Bauteile!B817</f>
        <v>swissporPUR voile  12-24cm</v>
      </c>
      <c r="BX521" s="2056">
        <f>Bauteile!H817</f>
        <v>2.5000000000000001E-2</v>
      </c>
    </row>
    <row r="522" spans="68:76" ht="18" customHeight="1">
      <c r="BP522" s="118" t="str">
        <f>Bauteile!B522</f>
        <v>FLAPORplus EPS-F DUO 030 Fassadendämmplatte</v>
      </c>
      <c r="BQ522" s="2057">
        <v>466</v>
      </c>
      <c r="BW522" s="2098" t="str">
        <f>Bauteile!B818</f>
        <v>swissporPUR Premium</v>
      </c>
      <c r="BX522" s="2056">
        <f>Bauteile!H818</f>
        <v>0.02</v>
      </c>
    </row>
    <row r="523" spans="68:76" ht="18" customHeight="1">
      <c r="BP523" s="118" t="str">
        <f>Bauteile!B523</f>
        <v>FLAPORplus EPS-F 030 Fassadendämmplatte</v>
      </c>
      <c r="BQ523" s="2057">
        <v>467</v>
      </c>
      <c r="BW523" s="2098" t="str">
        <f>Bauteile!B819</f>
        <v>swissporBATISOL panneau isolant sur chevrons</v>
      </c>
      <c r="BX523" s="2056">
        <f>Bauteile!H819</f>
        <v>2.7E-2</v>
      </c>
    </row>
    <row r="524" spans="68:76" ht="18" customHeight="1">
      <c r="BP524" s="118" t="str">
        <f>Bauteile!B524</f>
        <v>Fassadendämmplatte EPS-F 031 Takeit Alpin Relax</v>
      </c>
      <c r="BQ524" s="2057">
        <v>468</v>
      </c>
      <c r="BW524" s="2098" t="str">
        <f>Bauteile!B820</f>
        <v>UTHERM FLOOR PIR K</v>
      </c>
      <c r="BX524" s="2056">
        <f>Bauteile!H820</f>
        <v>2.1999999999999999E-2</v>
      </c>
    </row>
    <row r="525" spans="68:76" ht="18" customHeight="1">
      <c r="BP525" s="118" t="str">
        <f>Bauteile!B525</f>
        <v>FLAPORplus EPS-F DUO 031 Fassadendämmplatte</v>
      </c>
      <c r="BQ525" s="2057">
        <v>469</v>
      </c>
      <c r="BW525" s="2098" t="str">
        <f>Bauteile!B821</f>
        <v>UTHERM ROOF PIR K</v>
      </c>
      <c r="BX525" s="2056">
        <f>Bauteile!H821</f>
        <v>2.1999999999999999E-2</v>
      </c>
    </row>
    <row r="526" spans="68:76" ht="18" customHeight="1">
      <c r="BP526" s="118" t="str">
        <f>Bauteile!B526</f>
        <v>FLAPORplus EPS-W25 Wärmedämmplatte</v>
      </c>
      <c r="BQ526" s="2057">
        <v>470</v>
      </c>
      <c r="BW526" s="2098" t="str">
        <f>Bauteile!B822</f>
        <v>UTHERM ROOF PIR L</v>
      </c>
      <c r="BX526" s="2056">
        <f>Bauteile!H822</f>
        <v>2.1999999999999999E-2</v>
      </c>
    </row>
    <row r="527" spans="68:76" ht="18" customHeight="1">
      <c r="BP527" s="118" t="str">
        <f>Bauteile!B527</f>
        <v>Flaporplus EPS-F pour façades</v>
      </c>
      <c r="BQ527" s="2057">
        <v>471</v>
      </c>
      <c r="BW527" s="2098">
        <f>Bauteile!B823</f>
        <v>0</v>
      </c>
      <c r="BX527" s="2056">
        <f>Bauteile!H823</f>
        <v>0</v>
      </c>
    </row>
    <row r="528" spans="68:76" ht="18" customHeight="1">
      <c r="BP528" s="118" t="str">
        <f>Bauteile!B528</f>
        <v>Flapor EPS-P Perimeter</v>
      </c>
      <c r="BQ528" s="2057">
        <v>472</v>
      </c>
      <c r="BW528" s="2099" t="str">
        <f>Bauteile!B824</f>
        <v>**** Mousse phénolique ****</v>
      </c>
      <c r="BX528" s="2056">
        <f>Bauteile!H824</f>
        <v>0</v>
      </c>
    </row>
    <row r="529" spans="68:76" ht="18" customHeight="1">
      <c r="BP529" s="118" t="str">
        <f>Bauteile!B529</f>
        <v>FRAGMAT NEO SUPER F</v>
      </c>
      <c r="BQ529" s="2057">
        <v>473</v>
      </c>
      <c r="BW529" s="2098" t="str">
        <f>Bauteile!B825</f>
        <v>Austrotherm Resolution</v>
      </c>
      <c r="BX529" s="2056" t="str">
        <f>Bauteile!H825</f>
        <v>0.023</v>
      </c>
    </row>
    <row r="530" spans="68:76" ht="18" customHeight="1">
      <c r="BP530" s="118" t="str">
        <f>Bauteile!B530</f>
        <v>FRAGMAT NEO SUPER F 031</v>
      </c>
      <c r="BQ530" s="2057">
        <v>474</v>
      </c>
      <c r="BW530" s="2098" t="str">
        <f>Bauteile!B826</f>
        <v>Kooltherm 20-44mm</v>
      </c>
      <c r="BX530" s="2056">
        <f>Bauteile!H826</f>
        <v>2.1000000000000001E-2</v>
      </c>
    </row>
    <row r="531" spans="68:76" ht="18" customHeight="1">
      <c r="BP531" s="118" t="str">
        <f>Bauteile!B531</f>
        <v>goEPS Intégral 030</v>
      </c>
      <c r="BQ531" s="2057">
        <v>475</v>
      </c>
      <c r="BW531" s="2098">
        <f>Bauteile!B827</f>
        <v>0</v>
      </c>
      <c r="BX531" s="2056">
        <f>Bauteile!H827</f>
        <v>0</v>
      </c>
    </row>
    <row r="532" spans="68:76" ht="18" customHeight="1">
      <c r="BP532" s="118" t="str">
        <f>Bauteile!B532</f>
        <v>goEPS gris 031</v>
      </c>
      <c r="BQ532" s="2057">
        <v>476</v>
      </c>
      <c r="BW532" s="2098">
        <f>Bauteile!B828</f>
        <v>0</v>
      </c>
      <c r="BX532" s="2056">
        <f>Bauteile!H828</f>
        <v>0</v>
      </c>
    </row>
    <row r="533" spans="68:76" ht="18" customHeight="1">
      <c r="BP533" s="118" t="str">
        <f>Bauteile!B533</f>
        <v>goEPS blanc 033</v>
      </c>
      <c r="BQ533" s="2057">
        <v>477</v>
      </c>
      <c r="BW533" s="2098">
        <f>Bauteile!B829</f>
        <v>0</v>
      </c>
      <c r="BX533" s="2056">
        <f>Bauteile!H829</f>
        <v>0</v>
      </c>
    </row>
    <row r="534" spans="68:76" ht="18" customHeight="1">
      <c r="BP534" s="118" t="str">
        <f>Bauteile!B534</f>
        <v>goEPS blanc 036</v>
      </c>
      <c r="BQ534" s="2057">
        <v>478</v>
      </c>
      <c r="BW534" s="2098">
        <f>Bauteile!B830</f>
        <v>0</v>
      </c>
      <c r="BX534" s="2056">
        <f>Bauteile!H830</f>
        <v>0</v>
      </c>
    </row>
    <row r="535" spans="68:76" ht="18" customHeight="1">
      <c r="BP535" s="118" t="str">
        <f>Bauteile!B535</f>
        <v>goEPS blanc 038</v>
      </c>
      <c r="BQ535" s="2057">
        <v>479</v>
      </c>
      <c r="BW535" s="2098">
        <f>Bauteile!B831</f>
        <v>0</v>
      </c>
      <c r="BX535" s="2056">
        <f>Bauteile!H831</f>
        <v>0</v>
      </c>
    </row>
    <row r="536" spans="68:76" ht="18" customHeight="1">
      <c r="BP536" s="118" t="str">
        <f>Bauteile!B536</f>
        <v>goPST blanc 038</v>
      </c>
      <c r="BQ536" s="2057">
        <v>480</v>
      </c>
      <c r="BW536" s="2098">
        <f>Bauteile!B832</f>
        <v>0</v>
      </c>
      <c r="BX536" s="2056">
        <f>Bauteile!H832</f>
        <v>0</v>
      </c>
    </row>
    <row r="537" spans="68:76" ht="18" customHeight="1">
      <c r="BP537" s="118" t="str">
        <f>Bauteile!B537</f>
        <v>goIntégral 031</v>
      </c>
      <c r="BQ537" s="2057">
        <v>481</v>
      </c>
      <c r="BW537" s="2098">
        <f>Bauteile!B833</f>
        <v>0</v>
      </c>
      <c r="BX537" s="2056">
        <f>Bauteile!H833</f>
        <v>0</v>
      </c>
    </row>
    <row r="538" spans="68:76" ht="18" customHeight="1">
      <c r="BP538" s="118" t="str">
        <f>Bauteile!B538</f>
        <v>Panneau isolant EPS 035 DAA DAD DEO ds200</v>
      </c>
      <c r="BQ538" s="2057">
        <v>482</v>
      </c>
      <c r="BW538" s="2099" t="str">
        <f>Bauteile!B834</f>
        <v>**** Panneaux en laine de bois ****</v>
      </c>
      <c r="BX538" s="2056">
        <f>Bauteile!H834</f>
        <v>0</v>
      </c>
    </row>
    <row r="539" spans="68:76" ht="18" customHeight="1">
      <c r="BP539" s="118" t="str">
        <f>Bauteile!B539</f>
        <v>Panneau isolant EPS 040 WI, DI, WZ, DZ, WAB, WDV, WAP</v>
      </c>
      <c r="BQ539" s="2057">
        <v>483</v>
      </c>
      <c r="BW539" s="2098" t="str">
        <f>Bauteile!B835</f>
        <v>Fibro-Kustik</v>
      </c>
      <c r="BX539" s="2056">
        <f>Bauteile!H835</f>
        <v>0.09</v>
      </c>
    </row>
    <row r="540" spans="68:76" ht="18" customHeight="1">
      <c r="BP540" s="118" t="str">
        <f>Bauteile!B540</f>
        <v>Panneau insonorisant EPS 040 DES sg</v>
      </c>
      <c r="BQ540" s="2057">
        <v>484</v>
      </c>
      <c r="BW540" s="2098" t="str">
        <f>Bauteile!B836</f>
        <v>Heraklith C</v>
      </c>
      <c r="BX540" s="2056">
        <f>Bauteile!H836</f>
        <v>8.1000000000000003E-2</v>
      </c>
    </row>
    <row r="541" spans="68:76" ht="18" customHeight="1">
      <c r="BP541" s="118" t="str">
        <f>Bauteile!B541</f>
        <v>Panneau pour façades EPS 035 WDV</v>
      </c>
      <c r="BQ541" s="2057">
        <v>485</v>
      </c>
      <c r="BW541" s="2098" t="str">
        <f>Bauteile!B837</f>
        <v>Heraklith BM</v>
      </c>
      <c r="BX541" s="2056">
        <f>Bauteile!H837</f>
        <v>8.1000000000000003E-2</v>
      </c>
    </row>
    <row r="542" spans="68:76" ht="18" customHeight="1">
      <c r="BP542" s="118" t="str">
        <f>Bauteile!B542</f>
        <v>Panneau pour façades EPS 035 WDV IR</v>
      </c>
      <c r="BQ542" s="2057">
        <v>486</v>
      </c>
      <c r="BW542" s="2098" t="str">
        <f>Bauteile!B838</f>
        <v>Heraklith Agro</v>
      </c>
      <c r="BX542" s="2056">
        <f>Bauteile!H838</f>
        <v>8.1000000000000003E-2</v>
      </c>
    </row>
    <row r="543" spans="68:76" ht="18" customHeight="1">
      <c r="BP543" s="118" t="str">
        <f>Bauteile!B543</f>
        <v>Panneau pour isolation extérieure Perimaxx, 5 in 1, SP3</v>
      </c>
      <c r="BQ543" s="2057">
        <v>487</v>
      </c>
      <c r="BW543" s="2098" t="str">
        <f>Bauteile!B839</f>
        <v>Heraklith A2-BM</v>
      </c>
      <c r="BX543" s="2056">
        <f>Bauteile!H839</f>
        <v>8.1000000000000003E-2</v>
      </c>
    </row>
    <row r="544" spans="68:76" ht="18" customHeight="1">
      <c r="BP544" s="118" t="str">
        <f>Bauteile!B544</f>
        <v>Panneau isolant EPS 035 DAA dm, DAD dm, DEO dm</v>
      </c>
      <c r="BQ544" s="2057">
        <v>488</v>
      </c>
      <c r="BW544" s="2098">
        <f>Bauteile!B840</f>
        <v>0</v>
      </c>
      <c r="BX544" s="2056">
        <f>Bauteile!H840</f>
        <v>0</v>
      </c>
    </row>
    <row r="545" spans="68:76" ht="18" customHeight="1">
      <c r="BP545" s="118" t="str">
        <f>Bauteile!B545</f>
        <v>Panneau insonorisant EPS 045 DES sm</v>
      </c>
      <c r="BQ545" s="2057">
        <v>489</v>
      </c>
      <c r="BW545" s="2099" t="str">
        <f>Bauteile!B841</f>
        <v>**** Panneaux de fibres de bois ****</v>
      </c>
      <c r="BX545" s="2056">
        <f>Bauteile!H841</f>
        <v>0</v>
      </c>
    </row>
    <row r="546" spans="68:76" ht="18" customHeight="1">
      <c r="BP546" s="118" t="str">
        <f>Bauteile!B546</f>
        <v>Panneau isolant EPS 031 DAA DAD DEO IR</v>
      </c>
      <c r="BQ546" s="2057">
        <v>490</v>
      </c>
      <c r="BW546" s="2098" t="str">
        <f>Bauteile!B842</f>
        <v>GUTEX Multiplex-top</v>
      </c>
      <c r="BX546" s="2056">
        <f>Bauteile!H842</f>
        <v>4.7E-2</v>
      </c>
    </row>
    <row r="547" spans="68:76" ht="18" customHeight="1">
      <c r="BP547" s="118" t="str">
        <f>Bauteile!B547</f>
        <v>EPS 038 DAA, DAD, DEO</v>
      </c>
      <c r="BQ547" s="2057">
        <v>491</v>
      </c>
      <c r="BW547" s="2098" t="str">
        <f>Bauteile!B843</f>
        <v>GUTEX Thermoflat</v>
      </c>
      <c r="BX547" s="2056">
        <f>Bauteile!H843</f>
        <v>4.2000000000000003E-2</v>
      </c>
    </row>
    <row r="548" spans="68:76" ht="18" customHeight="1">
      <c r="BP548" s="118" t="str">
        <f>Bauteile!B548</f>
        <v>Fassadendämmplatte SunJa 031</v>
      </c>
      <c r="BQ548" s="2057">
        <v>492</v>
      </c>
      <c r="BW548" s="2098" t="str">
        <f>Bauteile!B844</f>
        <v>GUTEX Thermoroom</v>
      </c>
      <c r="BX548" s="2056">
        <f>Bauteile!H844</f>
        <v>4.1000000000000002E-2</v>
      </c>
    </row>
    <row r="549" spans="68:76" ht="18" customHeight="1">
      <c r="BP549" s="118" t="str">
        <f>Bauteile!B549</f>
        <v>EPS 034 DAA dh150, DAD dh150, DEO dh150</v>
      </c>
      <c r="BQ549" s="2057">
        <v>493</v>
      </c>
      <c r="BW549" s="2098" t="str">
        <f>Bauteile!B845</f>
        <v>GUTEX Thermosafe-homogen</v>
      </c>
      <c r="BX549" s="2056">
        <f>Bauteile!H845</f>
        <v>0.04</v>
      </c>
    </row>
    <row r="550" spans="68:76" ht="18" customHeight="1">
      <c r="BP550" s="118" t="str">
        <f>Bauteile!B550</f>
        <v>EPS 034 DAA dm120, DAD dm120, DEO dm120</v>
      </c>
      <c r="BQ550" s="2057">
        <v>494</v>
      </c>
      <c r="BW550" s="2098" t="str">
        <f>Bauteile!B846</f>
        <v>GUTEX Thermosafe-nf</v>
      </c>
      <c r="BX550" s="2056">
        <f>Bauteile!H846</f>
        <v>0.04</v>
      </c>
    </row>
    <row r="551" spans="68:76" ht="18" customHeight="1">
      <c r="BP551" s="118" t="str">
        <f>Bauteile!B551</f>
        <v>Panneau pour façades EPS 031 IR</v>
      </c>
      <c r="BQ551" s="2057">
        <v>495</v>
      </c>
      <c r="BW551" s="2098" t="str">
        <f>Bauteile!B847</f>
        <v>GUTEX Thermosafe-wd</v>
      </c>
      <c r="BX551" s="2056">
        <f>Bauteile!H847</f>
        <v>4.1000000000000002E-2</v>
      </c>
    </row>
    <row r="552" spans="68:76" ht="18" customHeight="1">
      <c r="BP552" s="118" t="str">
        <f>Bauteile!B552</f>
        <v>Fassadendämmplatte duopor 031</v>
      </c>
      <c r="BQ552" s="2057">
        <v>496</v>
      </c>
      <c r="BW552" s="2098" t="str">
        <f>Bauteile!B848</f>
        <v>GUTEX Thermowall</v>
      </c>
      <c r="BX552" s="2056">
        <f>Bauteile!H848</f>
        <v>4.1000000000000002E-2</v>
      </c>
    </row>
    <row r="553" spans="68:76" ht="18" customHeight="1">
      <c r="BP553" s="118" t="str">
        <f>Bauteile!B553</f>
        <v>ISOPOR EPS 15 (038)</v>
      </c>
      <c r="BQ553" s="2057">
        <v>497</v>
      </c>
      <c r="BW553" s="2098" t="str">
        <f>Bauteile!B849</f>
        <v>GUTEX Thermowall-gf</v>
      </c>
      <c r="BX553" s="2056">
        <f>Bauteile!H849</f>
        <v>4.5999999999999999E-2</v>
      </c>
    </row>
    <row r="554" spans="68:76" ht="18" customHeight="1">
      <c r="BP554" s="118" t="str">
        <f>Bauteile!B554</f>
        <v>ISOPOR EPS 20 (036)</v>
      </c>
      <c r="BQ554" s="2057">
        <v>498</v>
      </c>
      <c r="BW554" s="2098" t="str">
        <f>Bauteile!B850</f>
        <v>GUTEX Ultratherm</v>
      </c>
      <c r="BX554" s="2056">
        <f>Bauteile!H850</f>
        <v>4.4999999999999998E-2</v>
      </c>
    </row>
    <row r="555" spans="68:76" ht="18" customHeight="1">
      <c r="BP555" s="118" t="str">
        <f>Bauteile!B555</f>
        <v>ISOPOR EPS 30 (033)</v>
      </c>
      <c r="BQ555" s="2057">
        <v>499</v>
      </c>
      <c r="BW555" s="2098" t="str">
        <f>Bauteile!B851</f>
        <v>GUTEX Thermoinstal</v>
      </c>
      <c r="BX555" s="2056">
        <f>Bauteile!H851</f>
        <v>4.2000000000000003E-2</v>
      </c>
    </row>
    <row r="556" spans="68:76" ht="18" customHeight="1">
      <c r="BP556" s="118" t="str">
        <f>Bauteile!B556</f>
        <v>ISOPOR EPS 120 Dach (034)</v>
      </c>
      <c r="BQ556" s="2057">
        <v>500</v>
      </c>
      <c r="BW556" s="2098" t="str">
        <f>Bauteile!B852</f>
        <v>GUTEX Thermofloor</v>
      </c>
      <c r="BX556" s="2056">
        <f>Bauteile!H852</f>
        <v>4.2000000000000003E-2</v>
      </c>
    </row>
    <row r="557" spans="68:76" ht="18" customHeight="1">
      <c r="BP557" s="118" t="str">
        <f>Bauteile!B557</f>
        <v>ISOPOR EPS 120 Dach grau (030)</v>
      </c>
      <c r="BQ557" s="2057">
        <v>501</v>
      </c>
      <c r="BW557" s="2098" t="str">
        <f>Bauteile!B853</f>
        <v>GUTEX Multitherm</v>
      </c>
      <c r="BX557" s="2056">
        <f>Bauteile!H853</f>
        <v>4.1000000000000002E-2</v>
      </c>
    </row>
    <row r="558" spans="68:76" ht="18" customHeight="1">
      <c r="BP558" s="118" t="str">
        <f>Bauteile!B558</f>
        <v>ISOPOR EPS 150 (033)</v>
      </c>
      <c r="BQ558" s="2057">
        <v>502</v>
      </c>
      <c r="BW558" s="2098" t="str">
        <f>Bauteile!B854</f>
        <v>GUTEX Dämmplatte DW</v>
      </c>
      <c r="BX558" s="2056">
        <f>Bauteile!H854</f>
        <v>4.2000000000000003E-2</v>
      </c>
    </row>
    <row r="559" spans="68:76" ht="18" customHeight="1">
      <c r="BP559" s="118" t="str">
        <f>Bauteile!B559</f>
        <v>ISOPOR EPS F G&amp;W (031)</v>
      </c>
      <c r="BQ559" s="2057">
        <v>503</v>
      </c>
      <c r="BW559" s="2098" t="str">
        <f>Bauteile!B855</f>
        <v>Flex 50</v>
      </c>
      <c r="BX559" s="2056">
        <f>Bauteile!H855</f>
        <v>3.7999999999999999E-2</v>
      </c>
    </row>
    <row r="560" spans="68:76" ht="18" customHeight="1">
      <c r="BP560" s="118" t="str">
        <f>Bauteile!B560</f>
        <v>ISOPOR EPS F G&amp;W Top (030)</v>
      </c>
      <c r="BQ560" s="2057">
        <v>504</v>
      </c>
      <c r="BW560" s="2098" t="str">
        <f>Bauteile!B856</f>
        <v>Floor 140</v>
      </c>
      <c r="BX560" s="2056">
        <f>Bauteile!H856</f>
        <v>4.2000000000000003E-2</v>
      </c>
    </row>
    <row r="561" spans="68:76" ht="18" customHeight="1">
      <c r="BP561" s="118" t="str">
        <f>Bauteile!B561</f>
        <v>ISOPOR EPS F grau (030)</v>
      </c>
      <c r="BQ561" s="2057">
        <v>505</v>
      </c>
      <c r="BW561" s="2098" t="str">
        <f>Bauteile!B857</f>
        <v>Multitherm 110</v>
      </c>
      <c r="BX561" s="2056">
        <f>Bauteile!H857</f>
        <v>0.04</v>
      </c>
    </row>
    <row r="562" spans="68:76" ht="18" customHeight="1">
      <c r="BP562" s="118" t="str">
        <f>Bauteile!B562</f>
        <v>ISOPOR EPS TS (039)</v>
      </c>
      <c r="BQ562" s="2057">
        <v>506</v>
      </c>
      <c r="BW562" s="2098" t="str">
        <f>Bauteile!B858</f>
        <v>Multitherm 140</v>
      </c>
      <c r="BX562" s="2056">
        <f>Bauteile!H858</f>
        <v>4.2000000000000003E-2</v>
      </c>
    </row>
    <row r="563" spans="68:76" ht="18" customHeight="1">
      <c r="BP563" s="118" t="str">
        <f>Bauteile!B563</f>
        <v>ISOPOR EPS TS grau (031)</v>
      </c>
      <c r="BQ563" s="2057">
        <v>507</v>
      </c>
      <c r="BW563" s="2098" t="str">
        <f>Bauteile!B859</f>
        <v>Room 140</v>
      </c>
      <c r="BX563" s="2056">
        <f>Bauteile!H859</f>
        <v>4.2000000000000003E-2</v>
      </c>
    </row>
    <row r="564" spans="68:76" ht="18" customHeight="1">
      <c r="BP564" s="118" t="str">
        <f>Bauteile!B564</f>
        <v>Hightherm 030</v>
      </c>
      <c r="BQ564" s="2057">
        <v>508</v>
      </c>
      <c r="BW564" s="2098" t="str">
        <f>Bauteile!B860</f>
        <v>Top 140</v>
      </c>
      <c r="BX564" s="2056">
        <f>Bauteile!H860</f>
        <v>4.2000000000000003E-2</v>
      </c>
    </row>
    <row r="565" spans="68:76" ht="18" customHeight="1">
      <c r="BP565" s="118" t="str">
        <f>Bauteile!B565</f>
        <v>Joma EPS Perimeter grau</v>
      </c>
      <c r="BQ565" s="2057">
        <v>509</v>
      </c>
      <c r="BW565" s="2098" t="str">
        <f>Bauteile!B861</f>
        <v>Top 160</v>
      </c>
      <c r="BX565" s="2056">
        <f>Bauteile!H861</f>
        <v>4.2000000000000003E-2</v>
      </c>
    </row>
    <row r="566" spans="68:76" ht="18" customHeight="1">
      <c r="BP566" s="118" t="str">
        <f>Bauteile!B566</f>
        <v>Joma EPS 15</v>
      </c>
      <c r="BQ566" s="2057">
        <v>510</v>
      </c>
      <c r="BW566" s="2098" t="str">
        <f>Bauteile!B862</f>
        <v>Top 180</v>
      </c>
      <c r="BX566" s="2056">
        <f>Bauteile!H862</f>
        <v>4.3999999999999997E-2</v>
      </c>
    </row>
    <row r="567" spans="68:76" ht="18" customHeight="1">
      <c r="BP567" s="118" t="str">
        <f>Bauteile!B567</f>
        <v>Joma EPS 18</v>
      </c>
      <c r="BQ567" s="2057">
        <v>511</v>
      </c>
      <c r="BW567" s="2098" t="str">
        <f>Bauteile!B863</f>
        <v>Top 220</v>
      </c>
      <c r="BX567" s="2056">
        <f>Bauteile!H863</f>
        <v>4.7E-2</v>
      </c>
    </row>
    <row r="568" spans="68:76" ht="18" customHeight="1">
      <c r="BP568" s="118" t="str">
        <f>Bauteile!B568</f>
        <v>Joma EPS 20</v>
      </c>
      <c r="BQ568" s="2057">
        <v>512</v>
      </c>
      <c r="BW568" s="2098" t="str">
        <f>Bauteile!B864</f>
        <v>Wall 140</v>
      </c>
      <c r="BX568" s="2056">
        <f>Bauteile!H864</f>
        <v>4.2000000000000003E-2</v>
      </c>
    </row>
    <row r="569" spans="68:76" ht="18" customHeight="1">
      <c r="BP569" s="118" t="str">
        <f>Bauteile!B569</f>
        <v>Joma EPS 25</v>
      </c>
      <c r="BQ569" s="2057">
        <v>513</v>
      </c>
      <c r="BW569" s="2098" t="str">
        <f>Bauteile!B865</f>
        <v>Wall 180</v>
      </c>
      <c r="BX569" s="2056">
        <f>Bauteile!H865</f>
        <v>4.3999999999999997E-2</v>
      </c>
    </row>
    <row r="570" spans="68:76" ht="18" customHeight="1">
      <c r="BP570" s="118" t="str">
        <f>Bauteile!B570</f>
        <v>Joma EPS 30</v>
      </c>
      <c r="BQ570" s="2057">
        <v>514</v>
      </c>
      <c r="BW570" s="2098" t="str">
        <f>Bauteile!B866</f>
        <v>holzFlex</v>
      </c>
      <c r="BX570" s="2056">
        <f>Bauteile!H866</f>
        <v>3.7999999999999999E-2</v>
      </c>
    </row>
    <row r="571" spans="68:76" ht="18" customHeight="1">
      <c r="BP571" s="118" t="str">
        <f>Bauteile!B571</f>
        <v>Joma EPS PST</v>
      </c>
      <c r="BQ571" s="2057">
        <v>515</v>
      </c>
      <c r="BW571" s="2098" t="str">
        <f>Bauteile!B867</f>
        <v>HDP Q11 standard</v>
      </c>
      <c r="BX571" s="2056">
        <f>Bauteile!H867</f>
        <v>3.7999999999999999E-2</v>
      </c>
    </row>
    <row r="572" spans="68:76" ht="18" customHeight="1">
      <c r="BP572" s="118" t="str">
        <f>Bauteile!B572</f>
        <v>Joma EPS Perimeter</v>
      </c>
      <c r="BQ572" s="2057">
        <v>516</v>
      </c>
      <c r="BW572" s="2098" t="str">
        <f>Bauteile!B868</f>
        <v>HDP Q11 protect</v>
      </c>
      <c r="BX572" s="2056">
        <f>Bauteile!H868</f>
        <v>0.04</v>
      </c>
    </row>
    <row r="573" spans="68:76" ht="18" customHeight="1">
      <c r="BP573" s="118" t="str">
        <f>Bauteile!B573</f>
        <v>Joma EPS 030 gris</v>
      </c>
      <c r="BQ573" s="2057">
        <v>517</v>
      </c>
      <c r="BW573" s="2098" t="str">
        <f>Bauteile!B869</f>
        <v>ID Q11 standard</v>
      </c>
      <c r="BX573" s="2056">
        <f>Bauteile!H869</f>
        <v>0.04</v>
      </c>
    </row>
    <row r="574" spans="68:76" ht="18" customHeight="1">
      <c r="BP574" s="118" t="str">
        <f>Bauteile!B574</f>
        <v>DUO Therm 030 EPS</v>
      </c>
      <c r="BQ574" s="2057">
        <v>518</v>
      </c>
      <c r="BW574" s="2098" t="str">
        <f>Bauteile!B870</f>
        <v>UD Q11 protect</v>
      </c>
      <c r="BX574" s="2056">
        <f>Bauteile!H870</f>
        <v>4.3999999999999997E-2</v>
      </c>
    </row>
    <row r="575" spans="68:76" ht="18" customHeight="1">
      <c r="BP575" s="118" t="str">
        <f>Bauteile!B575</f>
        <v>Duo Therm 031</v>
      </c>
      <c r="BQ575" s="2057">
        <v>519</v>
      </c>
      <c r="BW575" s="2098" t="str">
        <f>Bauteile!B871</f>
        <v>Energie Plus massive</v>
      </c>
      <c r="BX575" s="2056">
        <f>Bauteile!H871</f>
        <v>0.04</v>
      </c>
    </row>
    <row r="576" spans="68:76" ht="18" customHeight="1">
      <c r="BP576" s="118" t="str">
        <f>Bauteile!B576</f>
        <v>ECO Therm 031</v>
      </c>
      <c r="BQ576" s="2057">
        <v>520</v>
      </c>
      <c r="BW576" s="2098" t="str">
        <f>Bauteile!B872</f>
        <v>Energie Plus comfort</v>
      </c>
      <c r="BX576" s="2056">
        <f>Bauteile!H872</f>
        <v>4.3999999999999997E-2</v>
      </c>
    </row>
    <row r="577" spans="68:76" ht="18" customHeight="1">
      <c r="BP577" s="118" t="str">
        <f>Bauteile!B577</f>
        <v>Joma EPS 031 gris</v>
      </c>
      <c r="BQ577" s="2057">
        <v>521</v>
      </c>
      <c r="BW577" s="2098" t="str">
        <f>Bauteile!B873</f>
        <v>PAVAPOR</v>
      </c>
      <c r="BX577" s="2056">
        <f>Bauteile!H873</f>
        <v>3.7999999999999999E-2</v>
      </c>
    </row>
    <row r="578" spans="68:76" ht="18" customHeight="1">
      <c r="BP578" s="118" t="str">
        <f>Bauteile!B578</f>
        <v>Joma EPS 033 gris</v>
      </c>
      <c r="BQ578" s="2057">
        <v>522</v>
      </c>
      <c r="BW578" s="2098" t="str">
        <f>Bauteile!B874</f>
        <v>SWISSTHERM</v>
      </c>
      <c r="BX578" s="2056">
        <f>Bauteile!H874</f>
        <v>3.9E-2</v>
      </c>
    </row>
    <row r="579" spans="68:76" ht="18" customHeight="1">
      <c r="BP579" s="118" t="str">
        <f>Bauteile!B579</f>
        <v>ECO Therm 030</v>
      </c>
      <c r="BQ579" s="2057">
        <v>523</v>
      </c>
      <c r="BW579" s="2098" t="str">
        <f>Bauteile!B875</f>
        <v>PAVATHERM-PROFIL</v>
      </c>
      <c r="BX579" s="2056">
        <f>Bauteile!H875</f>
        <v>4.2999999999999997E-2</v>
      </c>
    </row>
    <row r="580" spans="68:76" ht="18" customHeight="1">
      <c r="BP580" s="118" t="str">
        <f>Bauteile!B580</f>
        <v>KNAUF Therm ITEx Th38 SE</v>
      </c>
      <c r="BQ580" s="2057">
        <v>524</v>
      </c>
      <c r="BW580" s="2098" t="str">
        <f>Bauteile!B876</f>
        <v>PAVADENTRO</v>
      </c>
      <c r="BX580" s="2056">
        <f>Bauteile!H876</f>
        <v>4.2999999999999997E-2</v>
      </c>
    </row>
    <row r="581" spans="68:76" ht="18" customHeight="1">
      <c r="BP581" s="118" t="str">
        <f>Bauteile!B581</f>
        <v>KNAUF XTherm ITEx Sun +</v>
      </c>
      <c r="BQ581" s="2057">
        <v>525</v>
      </c>
      <c r="BW581" s="2098" t="str">
        <f>Bauteile!B877</f>
        <v>PAVATHERM-PLUS</v>
      </c>
      <c r="BX581" s="2056">
        <f>Bauteile!H877</f>
        <v>4.2999999999999997E-2</v>
      </c>
    </row>
    <row r="582" spans="68:76" ht="18" customHeight="1">
      <c r="BP582" s="118" t="str">
        <f>Bauteile!B582</f>
        <v>KNAUF Therm Soubassement SE</v>
      </c>
      <c r="BQ582" s="2057">
        <v>526</v>
      </c>
      <c r="BW582" s="2098" t="str">
        <f>Bauteile!B878</f>
        <v>DIFFUTHERM</v>
      </c>
      <c r="BX582" s="2056">
        <f>Bauteile!H878</f>
        <v>4.2999999999999997E-2</v>
      </c>
    </row>
    <row r="583" spans="68:76" ht="18" customHeight="1">
      <c r="BP583" s="118" t="str">
        <f>Bauteile!B583</f>
        <v>Rthermo plus 30 Neopor</v>
      </c>
      <c r="BQ583" s="2057">
        <v>527</v>
      </c>
      <c r="BW583" s="2098" t="str">
        <f>Bauteile!B879</f>
        <v>PAVABOARD</v>
      </c>
      <c r="BX583" s="2056">
        <f>Bauteile!H879</f>
        <v>4.5999999999999999E-2</v>
      </c>
    </row>
    <row r="584" spans="68:76" ht="18" customHeight="1">
      <c r="BP584" s="118" t="str">
        <f>Bauteile!B584</f>
        <v>SAGEX Nero (030) 15</v>
      </c>
      <c r="BQ584" s="2057">
        <v>528</v>
      </c>
      <c r="BW584" s="2098" t="str">
        <f>Bauteile!B880</f>
        <v>ISOROOF 35-60 mm</v>
      </c>
      <c r="BX584" s="2056">
        <f>Bauteile!H880</f>
        <v>4.5999999999999999E-2</v>
      </c>
    </row>
    <row r="585" spans="68:76" ht="18" customHeight="1">
      <c r="BP585" s="118" t="str">
        <f>Bauteile!B585</f>
        <v>SAGEX Zebra (030)</v>
      </c>
      <c r="BQ585" s="2057">
        <v>529</v>
      </c>
      <c r="BW585" s="2098" t="str">
        <f>Bauteile!B881</f>
        <v>SWISSISOLANT</v>
      </c>
      <c r="BX585" s="2056">
        <f>Bauteile!H881</f>
        <v>4.5999999999999999E-2</v>
      </c>
    </row>
    <row r="586" spans="68:76" ht="18" customHeight="1">
      <c r="BP586" s="118" t="str">
        <f>Bauteile!B586</f>
        <v>EPS Dalmatiner (032)</v>
      </c>
      <c r="BQ586" s="2057">
        <v>530</v>
      </c>
      <c r="BW586" s="2098" t="str">
        <f>Bauteile!B882</f>
        <v>ISOROOF 20-24 mm</v>
      </c>
      <c r="BX586" s="2056">
        <f>Bauteile!H882</f>
        <v>4.7E-2</v>
      </c>
    </row>
    <row r="587" spans="68:76" ht="18" customHeight="1">
      <c r="BP587" s="118" t="str">
        <f>Bauteile!B587</f>
        <v>SAGEX (033) 25 DS 150</v>
      </c>
      <c r="BQ587" s="2057">
        <v>531</v>
      </c>
      <c r="BW587" s="2098" t="str">
        <f>Bauteile!B883</f>
        <v>PAVAFLEX</v>
      </c>
      <c r="BX587" s="2056">
        <f>Bauteile!H883</f>
        <v>3.7999999999999999E-2</v>
      </c>
    </row>
    <row r="588" spans="68:76" ht="18" customHeight="1">
      <c r="BP588" s="118" t="str">
        <f>Bauteile!B588</f>
        <v>SAGEX (033) 30</v>
      </c>
      <c r="BQ588" s="2057">
        <v>532</v>
      </c>
      <c r="BW588" s="2098" t="str">
        <f>Bauteile!B884</f>
        <v>ISOLAIR</v>
      </c>
      <c r="BX588" s="2056">
        <f>Bauteile!H884</f>
        <v>4.3999999999999997E-2</v>
      </c>
    </row>
    <row r="589" spans="68:76" ht="18" customHeight="1">
      <c r="BP589" s="118" t="str">
        <f>Bauteile!B589</f>
        <v>SAGEX (036) 20</v>
      </c>
      <c r="BQ589" s="2057">
        <v>533</v>
      </c>
      <c r="BW589" s="2098" t="str">
        <f>Bauteile!B885</f>
        <v>DIFFUBOARD</v>
      </c>
      <c r="BX589" s="2056">
        <f>Bauteile!H885</f>
        <v>4.3999999999999997E-2</v>
      </c>
    </row>
    <row r="590" spans="68:76" ht="18" customHeight="1">
      <c r="BP590" s="118" t="str">
        <f>Bauteile!B590</f>
        <v>SAGEX (038) 15</v>
      </c>
      <c r="BQ590" s="2057">
        <v>534</v>
      </c>
      <c r="BW590" s="2098" t="str">
        <f>Bauteile!B886</f>
        <v>PAVAWALL, PAVAWALL-BLOC</v>
      </c>
      <c r="BX590" s="2056">
        <f>Bauteile!H886</f>
        <v>0.04</v>
      </c>
    </row>
    <row r="591" spans="68:76" ht="18" customHeight="1">
      <c r="BP591" s="118" t="str">
        <f>Bauteile!B591</f>
        <v>SAGEX Nero (030) 25</v>
      </c>
      <c r="BQ591" s="2057">
        <v>535</v>
      </c>
      <c r="BW591" s="2098" t="str">
        <f>Bauteile!B887</f>
        <v>PAVATHERM</v>
      </c>
      <c r="BX591" s="2056">
        <f>Bauteile!H887</f>
        <v>3.7999999999999999E-2</v>
      </c>
    </row>
    <row r="592" spans="68:76" ht="18" customHeight="1">
      <c r="BP592" s="118" t="str">
        <f>Bauteile!B592</f>
        <v>SAGEX Nero (030) 20</v>
      </c>
      <c r="BQ592" s="2057">
        <v>536</v>
      </c>
      <c r="BW592" s="2098" t="str">
        <f>Bauteile!B888</f>
        <v>PAVATHERM-COMBI / ISOLAIR 100-200 mm</v>
      </c>
      <c r="BX592" s="2056">
        <f>Bauteile!H888</f>
        <v>4.1000000000000002E-2</v>
      </c>
    </row>
    <row r="593" spans="68:76" ht="18" customHeight="1">
      <c r="BP593" s="118" t="str">
        <f>Bauteile!B593</f>
        <v>SAGEX Zebra (031) 15</v>
      </c>
      <c r="BQ593" s="2057">
        <v>537</v>
      </c>
      <c r="BW593" s="2098" t="str">
        <f>Bauteile!B889</f>
        <v>ISOVER ISOPROTECT</v>
      </c>
      <c r="BX593" s="2056">
        <f>Bauteile!H889</f>
        <v>4.3999999999999997E-2</v>
      </c>
    </row>
    <row r="594" spans="68:76" ht="18" customHeight="1">
      <c r="BP594" s="118" t="str">
        <f>Bauteile!B594</f>
        <v>SAGEX Zebra (029) Premium</v>
      </c>
      <c r="BQ594" s="2057">
        <v>538</v>
      </c>
      <c r="BW594" s="2098" t="str">
        <f>Bauteile!B890</f>
        <v>ISOVER ISOPROTECT</v>
      </c>
      <c r="BX594" s="2056">
        <f>Bauteile!H890</f>
        <v>4.5999999999999999E-2</v>
      </c>
    </row>
    <row r="595" spans="68:76" ht="18" customHeight="1">
      <c r="BP595" s="118" t="str">
        <f>Bauteile!B595</f>
        <v>ISOVER EPS Dämmplatte DI, DZ, WI, WZ, WAP</v>
      </c>
      <c r="BQ595" s="2057">
        <v>539</v>
      </c>
      <c r="BW595" s="2098" t="str">
        <f>Bauteile!B891</f>
        <v>STEICOflex</v>
      </c>
      <c r="BX595" s="2056">
        <f>Bauteile!H891</f>
        <v>3.7999999999999999E-2</v>
      </c>
    </row>
    <row r="596" spans="68:76" ht="18" customHeight="1">
      <c r="BP596" s="118" t="str">
        <f>Bauteile!B596</f>
        <v>ISOVER EPS Dämmplatte DEO dm, DAA dm, DAD dm, WAB</v>
      </c>
      <c r="BQ596" s="2057">
        <v>540</v>
      </c>
      <c r="BW596" s="2098" t="str">
        <f>Bauteile!B892</f>
        <v>STEICOtherm, STEICOtherm SD, STEICOfloor, STEICOinternal</v>
      </c>
      <c r="BX596" s="2056">
        <f>Bauteile!H892</f>
        <v>3.7999999999999999E-2</v>
      </c>
    </row>
    <row r="597" spans="68:76" ht="18" customHeight="1">
      <c r="BP597" s="118" t="str">
        <f>Bauteile!B597</f>
        <v>ISOVER EPS  DI, DZ, WI, WZ, DEO, DAA, DAD, WAB, WAP</v>
      </c>
      <c r="BQ597" s="2057">
        <v>541</v>
      </c>
      <c r="BW597" s="2098" t="str">
        <f>Bauteile!B893</f>
        <v>STEICOuniversal, STEICOprotect H</v>
      </c>
      <c r="BX597" s="2056">
        <f>Bauteile!H893</f>
        <v>4.8000000000000001E-2</v>
      </c>
    </row>
    <row r="598" spans="68:76" ht="18" customHeight="1">
      <c r="BP598" s="118" t="str">
        <f>Bauteile!B598</f>
        <v>ISOVER EPS Dämmplatte DEO dh, DAA dh, DAD dh</v>
      </c>
      <c r="BQ598" s="2057">
        <v>542</v>
      </c>
      <c r="BW598" s="2098" t="str">
        <f>Bauteile!B894</f>
        <v>STEICOprotect M, STEICOroof</v>
      </c>
      <c r="BX598" s="2056">
        <f>Bauteile!H894</f>
        <v>4.5999999999999999E-2</v>
      </c>
    </row>
    <row r="599" spans="68:76" ht="18" customHeight="1">
      <c r="BP599" s="118" t="str">
        <f>Bauteile!B599</f>
        <v>ISOVER EPS Dämmplatte DEO ds, DAA ds, DAD ds</v>
      </c>
      <c r="BQ599" s="2057">
        <v>543</v>
      </c>
      <c r="BW599" s="2098" t="str">
        <f>Bauteile!B895</f>
        <v>LDF 110, STEICOtherm dry, STEICOprotect L dry</v>
      </c>
      <c r="BX599" s="2056">
        <f>Bauteile!H895</f>
        <v>3.6999999999999998E-2</v>
      </c>
    </row>
    <row r="600" spans="68:76" ht="18" customHeight="1">
      <c r="BP600" s="118" t="str">
        <f>Bauteile!B600</f>
        <v>ISOVER Perimeter- und Sockeldämmplatte 035 BW3 150</v>
      </c>
      <c r="BQ600" s="2057">
        <v>544</v>
      </c>
      <c r="BW600" s="2098" t="str">
        <f>Bauteile!B896</f>
        <v>LDF 140, STEICOspecial dry, M dry, top, install, safe</v>
      </c>
      <c r="BX600" s="2056">
        <f>Bauteile!H896</f>
        <v>0.04</v>
      </c>
    </row>
    <row r="601" spans="68:76" ht="18" customHeight="1">
      <c r="BP601" s="118" t="str">
        <f>Bauteile!B601</f>
        <v>ISOVER panneau pour façades, gris 035</v>
      </c>
      <c r="BQ601" s="2057">
        <v>545</v>
      </c>
      <c r="BW601" s="2098" t="str">
        <f>Bauteile!B897</f>
        <v>LDF 180, STEICOuniversal dry, STEICOprotect H dry</v>
      </c>
      <c r="BX601" s="2056">
        <f>Bauteile!H897</f>
        <v>4.4999999999999998E-2</v>
      </c>
    </row>
    <row r="602" spans="68:76" ht="18" customHeight="1">
      <c r="BP602" s="118" t="str">
        <f>Bauteile!B602</f>
        <v>ISOVER panneau pour façades, gris 032</v>
      </c>
      <c r="BQ602" s="2057">
        <v>546</v>
      </c>
      <c r="BW602" s="2098" t="str">
        <f>Bauteile!B898</f>
        <v>LDF 180, STEICOuniversal dry, STEICOprotect H dry</v>
      </c>
      <c r="BX602" s="2056">
        <f>Bauteile!H898</f>
        <v>4.2999999999999997E-2</v>
      </c>
    </row>
    <row r="603" spans="68:76" ht="18" customHeight="1">
      <c r="BP603" s="118" t="str">
        <f>Bauteile!B603</f>
        <v>ISOVER panneau pour façades EPSe 040 WDV</v>
      </c>
      <c r="BQ603" s="2057">
        <v>547</v>
      </c>
      <c r="BW603" s="2098" t="str">
        <f>Bauteile!B899</f>
        <v>flexCL</v>
      </c>
      <c r="BX603" s="2056">
        <f>Bauteile!H899</f>
        <v>3.9E-2</v>
      </c>
    </row>
    <row r="604" spans="68:76" ht="18" customHeight="1">
      <c r="BP604" s="118" t="str">
        <f>Bauteile!B604</f>
        <v>ISOVER panneau pour façades EPSe 035 WDV</v>
      </c>
      <c r="BQ604" s="2057">
        <v>548</v>
      </c>
      <c r="BW604" s="2099" t="str">
        <f>Bauteile!B900</f>
        <v>**** Fibres de bois en vrac ****</v>
      </c>
      <c r="BX604" s="2056">
        <f>Bauteile!H900</f>
        <v>0</v>
      </c>
    </row>
    <row r="605" spans="68:76" ht="18" customHeight="1">
      <c r="BP605" s="118" t="str">
        <f>Bauteile!B605</f>
        <v>ISOVER panneau insonorisant pour façades gris Silence dB Plus 032</v>
      </c>
      <c r="BQ605" s="2057">
        <v>549</v>
      </c>
      <c r="BW605" s="2098" t="str">
        <f>Bauteile!B901</f>
        <v>Airflex</v>
      </c>
      <c r="BX605" s="2056">
        <f>Bauteile!H901</f>
        <v>3.9E-2</v>
      </c>
    </row>
    <row r="606" spans="68:76" ht="18" customHeight="1">
      <c r="BP606" s="118" t="str">
        <f>Bauteile!B606</f>
        <v>ISOVER Perimeter- und Sockeldämmplatte 035 AW3 150</v>
      </c>
      <c r="BQ606" s="2057">
        <v>550</v>
      </c>
      <c r="BW606" s="2098" t="str">
        <f>Bauteile!B902</f>
        <v>isofloc woodfiber</v>
      </c>
      <c r="BX606" s="2056">
        <f>Bauteile!H902</f>
        <v>3.7999999999999999E-2</v>
      </c>
    </row>
    <row r="607" spans="68:76" ht="18" customHeight="1">
      <c r="BP607" s="118" t="str">
        <f>Bauteile!B607</f>
        <v>ISOVER Perimeter- und Sockeldämmplatte 032 AW3 150 grau</v>
      </c>
      <c r="BQ607" s="2057">
        <v>551</v>
      </c>
      <c r="BW607" s="2098" t="str">
        <f>Bauteile!B903</f>
        <v>STEICOzell</v>
      </c>
      <c r="BX607" s="2056">
        <f>Bauteile!H903</f>
        <v>3.7999999999999999E-2</v>
      </c>
    </row>
    <row r="608" spans="68:76" ht="18" customHeight="1">
      <c r="BP608" s="118" t="str">
        <f>Bauteile!B608</f>
        <v>ISOVER Trittschalldämmplatte EPS 045 DES sm</v>
      </c>
      <c r="BQ608" s="2057">
        <v>552</v>
      </c>
      <c r="BW608" s="2098">
        <f>Bauteile!B904</f>
        <v>0</v>
      </c>
      <c r="BX608" s="2056">
        <f>Bauteile!H904</f>
        <v>0</v>
      </c>
    </row>
    <row r="609" spans="68:76" ht="18" customHeight="1">
      <c r="BP609" s="118" t="str">
        <f>Bauteile!B609</f>
        <v>ISOVER Trittschalldämmplatte EPS 040 DES sg</v>
      </c>
      <c r="BQ609" s="2057">
        <v>553</v>
      </c>
      <c r="BW609" s="2098" t="str">
        <f>Bauteile!B905</f>
        <v>HOIZ Hobelspandämmstoff</v>
      </c>
      <c r="BX609" s="2056">
        <f>Bauteile!H905</f>
        <v>4.7E-2</v>
      </c>
    </row>
    <row r="610" spans="68:76" ht="18" customHeight="1">
      <c r="BP610" s="118" t="str">
        <f>Bauteile!B610</f>
        <v>Sarna Granol K5 EPS 030 GR</v>
      </c>
      <c r="BQ610" s="2057">
        <v>554</v>
      </c>
      <c r="BW610" s="2098">
        <f>Bauteile!B906</f>
        <v>0</v>
      </c>
      <c r="BX610" s="2056">
        <f>Bauteile!H906</f>
        <v>0</v>
      </c>
    </row>
    <row r="611" spans="68:76" ht="18" customHeight="1">
      <c r="BP611" s="118" t="str">
        <f>Bauteile!B611</f>
        <v>S-Therm Plus</v>
      </c>
      <c r="BQ611" s="2057">
        <v>555</v>
      </c>
      <c r="BW611" s="2098">
        <f>Bauteile!B907</f>
        <v>0</v>
      </c>
      <c r="BX611" s="2056">
        <f>Bauteile!H907</f>
        <v>0</v>
      </c>
    </row>
    <row r="612" spans="68:76" ht="18" customHeight="1">
      <c r="BP612" s="118" t="str">
        <f>Bauteile!B612</f>
        <v>S-Therm Roof</v>
      </c>
      <c r="BQ612" s="2057">
        <v>556</v>
      </c>
      <c r="BW612" s="2099" t="str">
        <f>Bauteile!B908</f>
        <v>**** Cellulose (en vrac) ****</v>
      </c>
      <c r="BX612" s="2056">
        <f>Bauteile!H908</f>
        <v>0</v>
      </c>
    </row>
    <row r="613" spans="68:76" ht="18" customHeight="1">
      <c r="BP613" s="118" t="str">
        <f>Bauteile!B613</f>
        <v>S-Therm Duro</v>
      </c>
      <c r="BQ613" s="2057">
        <v>557</v>
      </c>
      <c r="BW613" s="2098" t="str">
        <f>Bauteile!B909</f>
        <v>climacell</v>
      </c>
      <c r="BX613" s="2056">
        <f>Bauteile!H909</f>
        <v>3.7999999999999999E-2</v>
      </c>
    </row>
    <row r="614" spans="68:76" ht="18" customHeight="1">
      <c r="BP614" s="118" t="str">
        <f>Bauteile!B614</f>
        <v>NEOSTIR Lambda 29</v>
      </c>
      <c r="BQ614" s="2057">
        <v>558</v>
      </c>
      <c r="BW614" s="2098" t="str">
        <f>Bauteile!B910</f>
        <v>Isocell</v>
      </c>
      <c r="BX614" s="2056">
        <f>Bauteile!H910</f>
        <v>3.7999999999999999E-2</v>
      </c>
    </row>
    <row r="615" spans="68:76" ht="18" customHeight="1">
      <c r="BP615" s="118" t="str">
        <f>Bauteile!B615</f>
        <v>SIRAPOR 120 Lambda 34</v>
      </c>
      <c r="BQ615" s="2057">
        <v>559</v>
      </c>
      <c r="BW615" s="2098" t="str">
        <f>Bauteile!B911</f>
        <v>trendisol</v>
      </c>
      <c r="BX615" s="2056">
        <f>Bauteile!H911</f>
        <v>3.7999999999999999E-2</v>
      </c>
    </row>
    <row r="616" spans="68:76" ht="18" customHeight="1">
      <c r="BP616" s="118" t="str">
        <f>Bauteile!B616</f>
        <v>NEOSTIR</v>
      </c>
      <c r="BQ616" s="2057">
        <v>560</v>
      </c>
      <c r="BW616" s="2098" t="str">
        <f>Bauteile!B912</f>
        <v>Dobry-Ekovilla</v>
      </c>
      <c r="BX616" s="2056">
        <f>Bauteile!H912</f>
        <v>3.7999999999999999E-2</v>
      </c>
    </row>
    <row r="617" spans="68:76" ht="18" customHeight="1">
      <c r="BP617" s="118" t="str">
        <f>Bauteile!B617</f>
        <v>SIRAPOR EPS 100</v>
      </c>
      <c r="BQ617" s="2057">
        <v>561</v>
      </c>
      <c r="BW617" s="2098" t="str">
        <f>Bauteile!B913</f>
        <v>Pavafloc</v>
      </c>
      <c r="BX617" s="2056">
        <f>Bauteile!H913</f>
        <v>3.7999999999999999E-2</v>
      </c>
    </row>
    <row r="618" spans="68:76" ht="18" customHeight="1">
      <c r="BP618" s="118" t="str">
        <f>Bauteile!B618</f>
        <v>SIRAPOR EPS 200</v>
      </c>
      <c r="BQ618" s="2057">
        <v>562</v>
      </c>
      <c r="BW618" s="2098" t="str">
        <f>Bauteile!B914</f>
        <v>isofloc LM, isofloc L, isofloc FIP, Swissfloc</v>
      </c>
      <c r="BX618" s="2056">
        <f>Bauteile!H914</f>
        <v>3.7999999999999999E-2</v>
      </c>
    </row>
    <row r="619" spans="68:76" ht="18" customHeight="1">
      <c r="BP619" s="118" t="str">
        <f>Bauteile!B619</f>
        <v>NEOSTIR GW 30</v>
      </c>
      <c r="BQ619" s="2057">
        <v>563</v>
      </c>
      <c r="BW619" s="2098" t="str">
        <f>Bauteile!B915</f>
        <v>isofloc eco, isofloc neo</v>
      </c>
      <c r="BX619" s="2056">
        <f>Bauteile!H915</f>
        <v>3.7999999999999999E-2</v>
      </c>
    </row>
    <row r="620" spans="68:76" ht="18" customHeight="1">
      <c r="BP620" s="118" t="str">
        <f>Bauteile!B620</f>
        <v>steinopor Roll EPS-T</v>
      </c>
      <c r="BQ620" s="2057">
        <v>564</v>
      </c>
      <c r="BW620" s="2099" t="str">
        <f>Bauteile!B916</f>
        <v>**** Matériaux isolants végétale &amp; animale ****</v>
      </c>
      <c r="BX620" s="2056">
        <f>Bauteile!H916</f>
        <v>0</v>
      </c>
    </row>
    <row r="621" spans="68:76" ht="18" customHeight="1">
      <c r="BP621" s="118" t="str">
        <f>Bauteile!B621</f>
        <v>steinopor Roll EPS-T plus</v>
      </c>
      <c r="BQ621" s="2057">
        <v>565</v>
      </c>
      <c r="BW621" s="2098" t="str">
        <f>Bauteile!B917</f>
        <v>Herbe: matelas, en vrac; non contrôlé</v>
      </c>
      <c r="BX621" s="2056">
        <f>Bauteile!H917</f>
        <v>0.05</v>
      </c>
    </row>
    <row r="622" spans="68:76" ht="18" customHeight="1">
      <c r="BP622" s="118" t="str">
        <f>Bauteile!B622</f>
        <v>steinopor EPS - 100 kPa</v>
      </c>
      <c r="BQ622" s="2057">
        <v>566</v>
      </c>
      <c r="BW622" s="2098" t="str">
        <f>Bauteile!B918</f>
        <v>Chanvre: matelas, rouleaux; non contrôlé</v>
      </c>
      <c r="BX622" s="2056">
        <f>Bauteile!H918</f>
        <v>0.05</v>
      </c>
    </row>
    <row r="623" spans="68:76" ht="18" customHeight="1">
      <c r="BP623" s="118" t="str">
        <f>Bauteile!B623</f>
        <v>steinopor EPS - 120 kPa</v>
      </c>
      <c r="BQ623" s="2057">
        <v>567</v>
      </c>
      <c r="BW623" s="2098" t="str">
        <f>Bauteile!B919</f>
        <v>Coton: matelas, rouleaux; non contrôlé</v>
      </c>
      <c r="BX623" s="2056">
        <f>Bauteile!H919</f>
        <v>0.05</v>
      </c>
    </row>
    <row r="624" spans="68:76" ht="18" customHeight="1">
      <c r="BP624" s="118" t="str">
        <f>Bauteile!B624</f>
        <v>steinopor EPS plus 031</v>
      </c>
      <c r="BQ624" s="2057">
        <v>568</v>
      </c>
      <c r="BW624" s="2098" t="str">
        <f>Bauteile!B920</f>
        <v>autres matériaux isolants d'origine végétale; non contrôlé</v>
      </c>
      <c r="BX624" s="2056">
        <f>Bauteile!H920</f>
        <v>7.0000000000000007E-2</v>
      </c>
    </row>
    <row r="625" spans="68:76" ht="18" customHeight="1">
      <c r="BP625" s="118" t="str">
        <f>Bauteile!B625</f>
        <v>steinodur PSN</v>
      </c>
      <c r="BQ625" s="2057">
        <v>569</v>
      </c>
      <c r="BW625" s="2098" t="str">
        <f>Bauteile!B921</f>
        <v>AgriCell BW</v>
      </c>
      <c r="BX625" s="2056">
        <f>Bauteile!H921</f>
        <v>4.4999999999999998E-2</v>
      </c>
    </row>
    <row r="626" spans="68:76" ht="18" customHeight="1">
      <c r="BP626" s="118" t="str">
        <f>Bauteile!B626</f>
        <v>steinodur UKD</v>
      </c>
      <c r="BQ626" s="2057">
        <v>570</v>
      </c>
      <c r="BW626" s="2098" t="str">
        <f>Bauteile!B922</f>
        <v>Laine de mouton: matelas, rouleaux; non contrôlé</v>
      </c>
      <c r="BX626" s="2056">
        <f>Bauteile!H922</f>
        <v>0.05</v>
      </c>
    </row>
    <row r="627" spans="68:76" ht="18" customHeight="1">
      <c r="BP627" s="118" t="str">
        <f>Bauteile!B627</f>
        <v>steinodur UKD plus</v>
      </c>
      <c r="BQ627" s="2057">
        <v>571</v>
      </c>
      <c r="BW627" s="2098" t="str">
        <f>Bauteile!B923</f>
        <v>ISOLENA Premium</v>
      </c>
      <c r="BX627" s="2056">
        <f>Bauteile!H923</f>
        <v>0.04</v>
      </c>
    </row>
    <row r="628" spans="68:76" ht="18" customHeight="1">
      <c r="BP628" s="118" t="str">
        <f>Bauteile!B628</f>
        <v>steinodur SPL</v>
      </c>
      <c r="BQ628" s="2057">
        <v>572</v>
      </c>
      <c r="BW628" s="2098">
        <f>Bauteile!B924</f>
        <v>0</v>
      </c>
      <c r="BX628" s="2056">
        <f>Bauteile!H924</f>
        <v>0</v>
      </c>
    </row>
    <row r="629" spans="68:76" ht="18" customHeight="1">
      <c r="BP629" s="118" t="str">
        <f>Bauteile!B629</f>
        <v>steinopor EPS-F</v>
      </c>
      <c r="BQ629" s="2057">
        <v>573</v>
      </c>
      <c r="BW629" s="2098">
        <f>Bauteile!B925</f>
        <v>0</v>
      </c>
      <c r="BX629" s="2056">
        <f>Bauteile!H925</f>
        <v>0</v>
      </c>
    </row>
    <row r="630" spans="68:76" ht="18" customHeight="1">
      <c r="BP630" s="118" t="str">
        <f>Bauteile!B630</f>
        <v>steinopor EPS-F 20</v>
      </c>
      <c r="BQ630" s="2057">
        <v>574</v>
      </c>
      <c r="BW630" s="2099" t="str">
        <f>Bauteile!B926</f>
        <v>**** Panneaux composites (multicouches) ****</v>
      </c>
      <c r="BX630" s="2056">
        <f>Bauteile!H926</f>
        <v>0</v>
      </c>
    </row>
    <row r="631" spans="68:76" ht="18" customHeight="1">
      <c r="BP631" s="118" t="str">
        <f>Bauteile!B631</f>
        <v>steinopor EPS-F plus</v>
      </c>
      <c r="BQ631" s="2057">
        <v>575</v>
      </c>
      <c r="BW631" s="2098" t="str">
        <f>Bauteile!B927</f>
        <v>Fibro-DUR 3 040 (noyau)</v>
      </c>
      <c r="BX631" s="2056">
        <f>Bauteile!H927</f>
        <v>3.7999999999999999E-2</v>
      </c>
    </row>
    <row r="632" spans="68:76" ht="18" customHeight="1">
      <c r="BP632" s="118" t="str">
        <f>Bauteile!B632</f>
        <v>swissporEPS 15</v>
      </c>
      <c r="BQ632" s="2057">
        <v>576</v>
      </c>
      <c r="BW632" s="2098" t="str">
        <f>Bauteile!B928</f>
        <v>Fibro-DUR 3 040 (couche)</v>
      </c>
      <c r="BX632" s="2056">
        <f>Bauteile!H928</f>
        <v>7.4999999999999997E-2</v>
      </c>
    </row>
    <row r="633" spans="68:76" ht="18" customHeight="1">
      <c r="BP633" s="118" t="str">
        <f>Bauteile!B633</f>
        <v>swissporEPS 15 100% recyclé</v>
      </c>
      <c r="BQ633" s="2057">
        <v>577</v>
      </c>
      <c r="BW633" s="2098" t="str">
        <f>Bauteile!B929</f>
        <v>Fibro-DUR 3 035 (noyau)</v>
      </c>
      <c r="BX633" s="2056">
        <f>Bauteile!H929</f>
        <v>3.4000000000000002E-2</v>
      </c>
    </row>
    <row r="634" spans="68:76" ht="18" customHeight="1">
      <c r="BP634" s="118" t="str">
        <f>Bauteile!B634</f>
        <v>swissporEPS 20</v>
      </c>
      <c r="BQ634" s="2057">
        <v>578</v>
      </c>
      <c r="BW634" s="2098" t="str">
        <f>Bauteile!B930</f>
        <v>Fibro-DUR 3 035 (couche)</v>
      </c>
      <c r="BX634" s="2056">
        <f>Bauteile!H930</f>
        <v>7.4999999999999997E-2</v>
      </c>
    </row>
    <row r="635" spans="68:76" ht="18" customHeight="1">
      <c r="BP635" s="118" t="str">
        <f>Bauteile!B635</f>
        <v>swissporEPS 30</v>
      </c>
      <c r="BQ635" s="2057">
        <v>579</v>
      </c>
      <c r="BW635" s="2098" t="str">
        <f>Bauteile!B931</f>
        <v>Fibro-DUR 2 032 (noyau)</v>
      </c>
      <c r="BX635" s="2056">
        <f>Bauteile!H931</f>
        <v>3.1E-2</v>
      </c>
    </row>
    <row r="636" spans="68:76" ht="18" customHeight="1">
      <c r="BP636" s="118" t="str">
        <f>Bauteile!B636</f>
        <v>swissporEPS 30 100% recyclé</v>
      </c>
      <c r="BQ636" s="2057">
        <v>580</v>
      </c>
      <c r="BW636" s="2098" t="str">
        <f>Bauteile!B932</f>
        <v>Fibro-DUR 2 032 (couche)</v>
      </c>
      <c r="BX636" s="2056">
        <f>Bauteile!H932</f>
        <v>7.4999999999999997E-2</v>
      </c>
    </row>
    <row r="637" spans="68:76" ht="18" customHeight="1">
      <c r="BP637" s="118" t="str">
        <f>Bauteile!B637</f>
        <v>swissporEPS Socle</v>
      </c>
      <c r="BQ637" s="2057">
        <v>581</v>
      </c>
      <c r="BW637" s="2098" t="str">
        <f>Bauteile!B933</f>
        <v>Fibro-DUR 3 032 (noyau)</v>
      </c>
      <c r="BX637" s="2056">
        <f>Bauteile!H933</f>
        <v>3.1E-2</v>
      </c>
    </row>
    <row r="638" spans="68:76" ht="18" customHeight="1">
      <c r="BP638" s="118" t="str">
        <f>Bauteile!B638</f>
        <v>swissporEPS Panneau périmétrique</v>
      </c>
      <c r="BQ638" s="2057">
        <v>582</v>
      </c>
      <c r="BW638" s="2098" t="str">
        <f>Bauteile!B934</f>
        <v>Fibro-DUR 3 032 (couche)</v>
      </c>
      <c r="BX638" s="2056">
        <f>Bauteile!H934</f>
        <v>7.4999999999999997E-2</v>
      </c>
    </row>
    <row r="639" spans="68:76" ht="18" customHeight="1">
      <c r="BP639" s="118" t="str">
        <f>Bauteile!B639</f>
        <v>swissporEPS Panneau Drain</v>
      </c>
      <c r="BQ639" s="2057">
        <v>583</v>
      </c>
      <c r="BW639" s="2098" t="str">
        <f>Bauteile!B935</f>
        <v>Heratekta C-3-032 (noyau)</v>
      </c>
      <c r="BX639" s="2056">
        <f>Bauteile!H935</f>
        <v>3.1E-2</v>
      </c>
    </row>
    <row r="640" spans="68:76" ht="18" customHeight="1">
      <c r="BP640" s="118" t="str">
        <f>Bauteile!B640</f>
        <v>swissporEPS-T (isolation phonique)</v>
      </c>
      <c r="BQ640" s="2057">
        <v>584</v>
      </c>
      <c r="BW640" s="2098" t="str">
        <f>Bauteile!B936</f>
        <v>Heratekta C-3-032 (couches)</v>
      </c>
      <c r="BX640" s="2056">
        <f>Bauteile!H936</f>
        <v>8.1000000000000003E-2</v>
      </c>
    </row>
    <row r="641" spans="68:76" ht="18" customHeight="1">
      <c r="BP641" s="118" t="str">
        <f>Bauteile!B641</f>
        <v>swissporEPS 150 Sol</v>
      </c>
      <c r="BQ641" s="2057">
        <v>585</v>
      </c>
      <c r="BW641" s="2098" t="str">
        <f>Bauteile!B937</f>
        <v>Heratekta SE 032/2 (noyau)</v>
      </c>
      <c r="BX641" s="2056">
        <f>Bauteile!H937</f>
        <v>3.1E-2</v>
      </c>
    </row>
    <row r="642" spans="68:76" ht="18" customHeight="1">
      <c r="BP642" s="118" t="str">
        <f>Bauteile!B642</f>
        <v>swissporEPS Roof</v>
      </c>
      <c r="BQ642" s="2057">
        <v>586</v>
      </c>
      <c r="BW642" s="2098" t="str">
        <f>Bauteile!B938</f>
        <v>Heratekta SE 032/2 (couche)</v>
      </c>
      <c r="BX642" s="2056">
        <f>Bauteile!H938</f>
        <v>8.1000000000000003E-2</v>
      </c>
    </row>
    <row r="643" spans="68:76" ht="18" customHeight="1">
      <c r="BP643" s="118" t="str">
        <f>Bauteile!B643</f>
        <v>swissporEPS Roof ECO</v>
      </c>
      <c r="BQ643" s="2057">
        <v>587</v>
      </c>
      <c r="BW643" s="2098" t="str">
        <f>Bauteile!B939</f>
        <v>Tektalan A2-E21 (noyau)</v>
      </c>
      <c r="BX643" s="2056">
        <f>Bauteile!H939</f>
        <v>3.9E-2</v>
      </c>
    </row>
    <row r="644" spans="68:76" ht="18" customHeight="1">
      <c r="BP644" s="118" t="str">
        <f>Bauteile!B644</f>
        <v>swissporLAMBDA Socle 030</v>
      </c>
      <c r="BQ644" s="2057">
        <v>588</v>
      </c>
      <c r="BW644" s="2098" t="str">
        <f>Bauteile!B940</f>
        <v>Tektalan A2-E21 (couches)</v>
      </c>
      <c r="BX644" s="2056">
        <f>Bauteile!H940</f>
        <v>8.1000000000000003E-2</v>
      </c>
    </row>
    <row r="645" spans="68:76" ht="18" customHeight="1">
      <c r="BP645" s="118" t="str">
        <f>Bauteile!B645</f>
        <v>swissporLAMBDA Roof</v>
      </c>
      <c r="BQ645" s="2057">
        <v>589</v>
      </c>
      <c r="BW645" s="2098" t="str">
        <f>Bauteile!B941</f>
        <v>Tektalan A2-SD (noyau)</v>
      </c>
      <c r="BX645" s="2056">
        <f>Bauteile!H941</f>
        <v>3.9E-2</v>
      </c>
    </row>
    <row r="646" spans="68:76" ht="18" customHeight="1">
      <c r="BP646" s="118" t="str">
        <f>Bauteile!B646</f>
        <v>swissporLAMBDA Vento Premium</v>
      </c>
      <c r="BQ646" s="2057">
        <v>590</v>
      </c>
      <c r="BW646" s="2098" t="str">
        <f>Bauteile!B942</f>
        <v>Tektalan A2-SD (couches)</v>
      </c>
      <c r="BX646" s="2056">
        <f>Bauteile!H942</f>
        <v>8.1000000000000003E-2</v>
      </c>
    </row>
    <row r="647" spans="68:76" ht="18" customHeight="1">
      <c r="BP647" s="118" t="str">
        <f>Bauteile!B647</f>
        <v>swissporLAMBDA Cassette</v>
      </c>
      <c r="BQ647" s="2057">
        <v>591</v>
      </c>
      <c r="BW647" s="2098" t="str">
        <f>Bauteile!B943</f>
        <v>Tektalan A2-035/2 (1.0) (noyau)</v>
      </c>
      <c r="BX647" s="2056">
        <f>Bauteile!H943</f>
        <v>3.4000000000000002E-2</v>
      </c>
    </row>
    <row r="648" spans="68:76" ht="18" customHeight="1">
      <c r="BP648" s="118" t="str">
        <f>Bauteile!B648</f>
        <v>swissporLAMBDA Universel 029</v>
      </c>
      <c r="BQ648" s="2057">
        <v>592</v>
      </c>
      <c r="BW648" s="2098" t="str">
        <f>Bauteile!B944</f>
        <v>Tektalan A2-035/2 (1.0) (couche)</v>
      </c>
      <c r="BX648" s="2056">
        <f>Bauteile!H944</f>
        <v>8.1000000000000003E-2</v>
      </c>
    </row>
    <row r="649" spans="68:76" ht="18" customHeight="1">
      <c r="BP649" s="118" t="str">
        <f>Bauteile!B649</f>
        <v>swissporLAMBDA-T (isolation phonique)</v>
      </c>
      <c r="BQ649" s="2057">
        <v>593</v>
      </c>
      <c r="BW649" s="2098" t="str">
        <f>Bauteile!B945</f>
        <v>Tektalan A2-E31-035/2 (noyau)</v>
      </c>
      <c r="BX649" s="2056">
        <f>Bauteile!H945</f>
        <v>3.4000000000000002E-2</v>
      </c>
    </row>
    <row r="650" spans="68:76" ht="18" customHeight="1">
      <c r="BP650" s="118" t="str">
        <f>Bauteile!B650</f>
        <v>swissporLAMBDA Vento</v>
      </c>
      <c r="BQ650" s="2057">
        <v>594</v>
      </c>
      <c r="BW650" s="2098" t="str">
        <f>Bauteile!B946</f>
        <v>Tektalan A2-E31-035/2 (couche)</v>
      </c>
      <c r="BX650" s="2056">
        <f>Bauteile!H946</f>
        <v>8.1000000000000003E-2</v>
      </c>
    </row>
    <row r="651" spans="68:76" ht="18" customHeight="1">
      <c r="BP651" s="118" t="str">
        <f>Bauteile!B651</f>
        <v>swissporLAMBDA White 031</v>
      </c>
      <c r="BQ651" s="2057">
        <v>595</v>
      </c>
      <c r="BW651" s="2098" t="str">
        <f>Bauteile!B947</f>
        <v>Tektalan A2-HDX (noyau)</v>
      </c>
      <c r="BX651" s="2056">
        <f>Bauteile!H947</f>
        <v>4.4999999999999998E-2</v>
      </c>
    </row>
    <row r="652" spans="68:76" ht="18" customHeight="1">
      <c r="BP652" s="118" t="str">
        <f>Bauteile!B652</f>
        <v>swissporLAMBDA White Mono 031</v>
      </c>
      <c r="BQ652" s="2057">
        <v>596</v>
      </c>
      <c r="BW652" s="2098" t="str">
        <f>Bauteile!B948</f>
        <v>Tektalan A2-HDX (couches)</v>
      </c>
      <c r="BX652" s="2056">
        <f>Bauteile!H948</f>
        <v>0.09</v>
      </c>
    </row>
    <row r="653" spans="68:76" ht="18" customHeight="1">
      <c r="BP653" s="118" t="str">
        <f>Bauteile!B653</f>
        <v>swissporLAMBDA universell 031</v>
      </c>
      <c r="BQ653" s="2057">
        <v>597</v>
      </c>
      <c r="BW653" s="2098" t="str">
        <f>Bauteile!B949</f>
        <v>Tektalan A2-TK-035/2 (noyau)</v>
      </c>
      <c r="BX653" s="2056">
        <f>Bauteile!H949</f>
        <v>3.4000000000000002E-2</v>
      </c>
    </row>
    <row r="654" spans="68:76" ht="18" customHeight="1">
      <c r="BP654" s="118" t="str">
        <f>Bauteile!B654</f>
        <v>swissporLAMBDA Façade 030</v>
      </c>
      <c r="BQ654" s="2057">
        <v>598</v>
      </c>
      <c r="BW654" s="2098" t="str">
        <f>Bauteile!B950</f>
        <v>Tektalan A2-TK-035/2 (couche)</v>
      </c>
      <c r="BX654" s="2056">
        <f>Bauteile!H950</f>
        <v>8.1000000000000003E-2</v>
      </c>
    </row>
    <row r="655" spans="68:76" ht="18" customHeight="1">
      <c r="BP655" s="118" t="str">
        <f>Bauteile!B655</f>
        <v>swissporLAMBDA White 030</v>
      </c>
      <c r="BQ655" s="2057">
        <v>599</v>
      </c>
      <c r="BW655" s="2098">
        <f>Bauteile!B951</f>
        <v>0</v>
      </c>
      <c r="BX655" s="2056">
        <f>Bauteile!H951</f>
        <v>0</v>
      </c>
    </row>
    <row r="656" spans="68:76" ht="18" customHeight="1">
      <c r="BP656" s="118" t="str">
        <f>Bauteile!B656</f>
        <v>swissporLAMBDA White Mono 030</v>
      </c>
      <c r="BQ656" s="2057">
        <v>600</v>
      </c>
      <c r="BW656" s="2099" t="str">
        <f>Bauteile!B952</f>
        <v>**** Panneaux isolants sous vide (VIP)****</v>
      </c>
      <c r="BX656" s="2056">
        <f>Bauteile!H952</f>
        <v>0</v>
      </c>
    </row>
    <row r="657" spans="68:76" ht="18" customHeight="1">
      <c r="BP657" s="118">
        <f>Bauteile!B657</f>
        <v>0</v>
      </c>
      <c r="BQ657" s="2057">
        <v>601</v>
      </c>
      <c r="BW657" s="2098" t="str">
        <f>Bauteile!B953</f>
        <v>SlimVac</v>
      </c>
      <c r="BX657" s="2056">
        <f>Bauteile!H953</f>
        <v>7.0000000000000001E-3</v>
      </c>
    </row>
    <row r="658" spans="68:76" ht="18" customHeight="1">
      <c r="BP658" s="118" t="str">
        <f>Bauteile!B658</f>
        <v>isofloc H2 Wall, isofloc pearl</v>
      </c>
      <c r="BQ658" s="2057">
        <v>602</v>
      </c>
      <c r="BW658" s="2098" t="str">
        <f>Bauteile!B954</f>
        <v>swissporVIP</v>
      </c>
      <c r="BX658" s="2056">
        <f>Bauteile!H954</f>
        <v>7.0000000000000001E-3</v>
      </c>
    </row>
    <row r="659" spans="68:76" ht="18" customHeight="1">
      <c r="BP659" s="118">
        <f>Bauteile!B659</f>
        <v>0</v>
      </c>
      <c r="BQ659" s="2057">
        <v>603</v>
      </c>
      <c r="BW659" s="2098" t="str">
        <f>Bauteile!B955</f>
        <v>vakuVIP B2</v>
      </c>
      <c r="BX659" s="2056">
        <f>Bauteile!H955</f>
        <v>7.0000000000000001E-3</v>
      </c>
    </row>
    <row r="660" spans="68:76" ht="18" customHeight="1">
      <c r="BP660" s="1268" t="str">
        <f>Bauteile!B660</f>
        <v>**** Polystyrène extrudé (XPS) ****</v>
      </c>
      <c r="BQ660" s="2057">
        <v>604</v>
      </c>
      <c r="BW660" s="2098">
        <f>Bauteile!B956</f>
        <v>0</v>
      </c>
      <c r="BX660" s="2056">
        <f>Bauteile!H956</f>
        <v>0</v>
      </c>
    </row>
    <row r="661" spans="68:76" ht="18" customHeight="1">
      <c r="BP661" s="118" t="str">
        <f>Bauteile!B661</f>
        <v>Styrisol</v>
      </c>
      <c r="BQ661" s="2057">
        <v>605</v>
      </c>
      <c r="BW661" s="2098" t="str">
        <f>Bauteile!B957</f>
        <v>Vacucomp S, Vacucomp P1, Vacucomp P2</v>
      </c>
      <c r="BX661" s="2056">
        <f>Bauteile!H957</f>
        <v>8.0000000000000002E-3</v>
      </c>
    </row>
    <row r="662" spans="68:76" ht="18" customHeight="1">
      <c r="BP662" s="118" t="str">
        <f>Bauteile!B662</f>
        <v>Styrisol 500</v>
      </c>
      <c r="BQ662" s="2057">
        <v>606</v>
      </c>
      <c r="BW662" s="2098">
        <f>Bauteile!B958</f>
        <v>0</v>
      </c>
      <c r="BX662" s="2056">
        <f>Bauteile!H958</f>
        <v>0</v>
      </c>
    </row>
    <row r="663" spans="68:76" ht="18" customHeight="1">
      <c r="BP663" s="118" t="str">
        <f>Bauteile!B663</f>
        <v>Styrisol GR-300</v>
      </c>
      <c r="BQ663" s="2057">
        <v>607</v>
      </c>
      <c r="BW663" s="2098" t="str">
        <f>Bauteile!B959</f>
        <v>Vacuspeed</v>
      </c>
      <c r="BX663" s="2056">
        <f>Bauteile!H959</f>
        <v>8.0000000000000002E-3</v>
      </c>
    </row>
    <row r="664" spans="68:76" ht="18" customHeight="1">
      <c r="BP664" s="118" t="str">
        <f>Bauteile!B664</f>
        <v>Austrotherm XPS TOP P 3-6cm</v>
      </c>
      <c r="BQ664" s="2057">
        <v>608</v>
      </c>
      <c r="BW664" s="2098">
        <f>Bauteile!B960</f>
        <v>0</v>
      </c>
      <c r="BX664" s="2056">
        <f>Bauteile!H960</f>
        <v>0</v>
      </c>
    </row>
    <row r="665" spans="68:76" ht="18" customHeight="1">
      <c r="BP665" s="118" t="str">
        <f>Bauteile!B665</f>
        <v>Austrotherm XPS TOP P 8-12cm</v>
      </c>
      <c r="BQ665" s="2057">
        <v>609</v>
      </c>
      <c r="BW665" s="2098">
        <f>Bauteile!B961</f>
        <v>0</v>
      </c>
      <c r="BX665" s="2056">
        <f>Bauteile!H961</f>
        <v>0</v>
      </c>
    </row>
    <row r="666" spans="68:76" ht="18" customHeight="1">
      <c r="BP666" s="118" t="str">
        <f>Bauteile!B666</f>
        <v>Austrotherm XPS TOP P 14-20cm</v>
      </c>
      <c r="BQ666" s="2057">
        <v>610</v>
      </c>
      <c r="BW666" s="2099" t="str">
        <f>Bauteile!B962</f>
        <v>**** Béton cellulaire ****</v>
      </c>
      <c r="BX666" s="2056">
        <f>Bauteile!H962</f>
        <v>0</v>
      </c>
    </row>
    <row r="667" spans="68:76" ht="18" customHeight="1">
      <c r="BP667" s="118" t="str">
        <f>Bauteile!B667</f>
        <v>Austrotherm XPS TOP 30 3-6cm</v>
      </c>
      <c r="BQ667" s="2057">
        <v>611</v>
      </c>
      <c r="BW667" s="2098" t="str">
        <f>Bauteile!B963</f>
        <v>Multipor Mineraldämmplatte 042</v>
      </c>
      <c r="BX667" s="2056">
        <f>Bauteile!H963</f>
        <v>4.2000000000000003E-2</v>
      </c>
    </row>
    <row r="668" spans="68:76" ht="18" customHeight="1">
      <c r="BP668" s="118" t="str">
        <f>Bauteile!B668</f>
        <v>Austrotherm XPS TOP 30 8-12cm</v>
      </c>
      <c r="BQ668" s="2057">
        <v>612</v>
      </c>
      <c r="BW668" s="2098" t="str">
        <f>Bauteile!B964</f>
        <v>Multipor Mineraldämmplatte 045</v>
      </c>
      <c r="BX668" s="2056">
        <f>Bauteile!H964</f>
        <v>4.4999999999999998E-2</v>
      </c>
    </row>
    <row r="669" spans="68:76" ht="18" customHeight="1">
      <c r="BP669" s="118" t="str">
        <f>Bauteile!B669</f>
        <v>Austrotherm XPS TOP 30 14-20cm</v>
      </c>
      <c r="BQ669" s="2057">
        <v>613</v>
      </c>
      <c r="BW669" s="2099" t="str">
        <f>Bauteile!B965</f>
        <v>**** Panneaux en polystyrène, liées au ciment *****</v>
      </c>
      <c r="BX669" s="2056">
        <f>Bauteile!H965</f>
        <v>0</v>
      </c>
    </row>
    <row r="670" spans="68:76" ht="18" customHeight="1">
      <c r="BP670" s="118" t="str">
        <f>Bauteile!B670</f>
        <v>Austrotherm XPS TOP 50 5-6cm</v>
      </c>
      <c r="BQ670" s="2057">
        <v>614</v>
      </c>
      <c r="BW670" s="2098" t="str">
        <f>Bauteile!B966</f>
        <v>3i-isolet RD 200</v>
      </c>
      <c r="BX670" s="2056">
        <f>Bauteile!H966</f>
        <v>6.0999999999999999E-2</v>
      </c>
    </row>
    <row r="671" spans="68:76" ht="18" customHeight="1">
      <c r="BP671" s="118" t="str">
        <f>Bauteile!B671</f>
        <v>Austrotherm XPS TOP 50 8-12cm</v>
      </c>
      <c r="BQ671" s="2057">
        <v>615</v>
      </c>
      <c r="BW671" s="2098" t="str">
        <f>Bauteile!B967</f>
        <v>Prottelith panneau isolant</v>
      </c>
      <c r="BX671" s="2056">
        <f>Bauteile!H967</f>
        <v>0.06</v>
      </c>
    </row>
    <row r="672" spans="68:76" ht="18" customHeight="1">
      <c r="BP672" s="118" t="str">
        <f>Bauteile!B672</f>
        <v>Austrotherm XPS TOP 50 14-20cm</v>
      </c>
      <c r="BQ672" s="2057">
        <v>616</v>
      </c>
      <c r="BW672" s="2098">
        <f>Bauteile!B968</f>
        <v>0</v>
      </c>
      <c r="BX672" s="2056">
        <f>Bauteile!H968</f>
        <v>0</v>
      </c>
    </row>
    <row r="673" spans="68:76" ht="18" customHeight="1">
      <c r="BP673" s="118" t="str">
        <f>Bauteile!B673</f>
        <v>Styrodur C  2-4cm</v>
      </c>
      <c r="BQ673" s="2057">
        <v>617</v>
      </c>
      <c r="BW673" s="2099" t="str">
        <f>Bauteile!B969</f>
        <v>**** Produits d'isolation réfléchissants ****</v>
      </c>
      <c r="BX673" s="2056">
        <f>Bauteile!H969</f>
        <v>0</v>
      </c>
    </row>
    <row r="674" spans="68:76" ht="18" customHeight="1">
      <c r="BP674" s="118" t="str">
        <f>Bauteile!B674</f>
        <v>Styrodur C  5-6cm</v>
      </c>
      <c r="BQ674" s="2057">
        <v>618</v>
      </c>
      <c r="BW674" s="2098">
        <f>Bauteile!B970</f>
        <v>0</v>
      </c>
      <c r="BX674" s="2056">
        <f>Bauteile!H970</f>
        <v>0</v>
      </c>
    </row>
    <row r="675" spans="68:76" ht="18" customHeight="1">
      <c r="BP675" s="118" t="str">
        <f>Bauteile!B675</f>
        <v>Styrodur C  8-10cm</v>
      </c>
      <c r="BQ675" s="2057">
        <v>619</v>
      </c>
      <c r="BW675" s="2098">
        <f>Bauteile!B971</f>
        <v>0</v>
      </c>
      <c r="BX675" s="2056">
        <f>Bauteile!H971</f>
        <v>0</v>
      </c>
    </row>
    <row r="676" spans="68:76" ht="18" customHeight="1">
      <c r="BP676" s="118" t="str">
        <f>Bauteile!B676</f>
        <v>Styrodur C  12cm</v>
      </c>
      <c r="BQ676" s="2057">
        <v>620</v>
      </c>
      <c r="BW676" s="2098">
        <f>Bauteile!B972</f>
        <v>0</v>
      </c>
      <c r="BX676" s="2056">
        <f>Bauteile!H972</f>
        <v>0</v>
      </c>
    </row>
    <row r="677" spans="68:76" ht="18" customHeight="1">
      <c r="BP677" s="118" t="str">
        <f>Bauteile!B677</f>
        <v>Styrodur C  14-20cm</v>
      </c>
      <c r="BQ677" s="2057">
        <v>621</v>
      </c>
      <c r="BW677" s="2098">
        <f>Bauteile!B973</f>
        <v>0</v>
      </c>
      <c r="BX677" s="2056">
        <f>Bauteile!H973</f>
        <v>0</v>
      </c>
    </row>
    <row r="678" spans="68:76" ht="18" customHeight="1">
      <c r="BP678" s="118" t="str">
        <f>Bauteile!B678</f>
        <v>Styrodur 3000 CS</v>
      </c>
      <c r="BQ678" s="2057">
        <v>622</v>
      </c>
      <c r="BW678" s="2098">
        <f>Bauteile!B974</f>
        <v>0</v>
      </c>
      <c r="BX678" s="2056">
        <f>Bauteile!H974</f>
        <v>0</v>
      </c>
    </row>
    <row r="679" spans="68:76" ht="18" customHeight="1">
      <c r="BP679" s="118" t="str">
        <f>Bauteile!B679</f>
        <v>Styrodur 4000 CS</v>
      </c>
      <c r="BQ679" s="2057">
        <v>623</v>
      </c>
      <c r="BW679" s="2099" t="str">
        <f>Bauteile!B975</f>
        <v>**** Crépis et enduits isolants ****</v>
      </c>
      <c r="BX679" s="2056">
        <f>Bauteile!H975</f>
        <v>0</v>
      </c>
    </row>
    <row r="680" spans="68:76" ht="18" customHeight="1">
      <c r="BP680" s="118" t="str">
        <f>Bauteile!B680</f>
        <v>Styrodur 5000 CS</v>
      </c>
      <c r="BQ680" s="2057">
        <v>624</v>
      </c>
      <c r="BW680" s="2098" t="str">
        <f>Bauteile!B976</f>
        <v>Fixit 222 Aerogel Hochleistungsdämmputz</v>
      </c>
      <c r="BX680" s="2056">
        <f>Bauteile!H976</f>
        <v>2.8000000000000001E-2</v>
      </c>
    </row>
    <row r="681" spans="68:76" ht="18" customHeight="1">
      <c r="BP681" s="118" t="str">
        <f>Bauteile!B681</f>
        <v>Roofmate SL-AP  &lt;=8cm</v>
      </c>
      <c r="BQ681" s="2057">
        <v>625</v>
      </c>
      <c r="BW681" s="2099" t="str">
        <f>Bauteile!B977</f>
        <v>**** Isolants thermiques moussés in situ ****</v>
      </c>
      <c r="BX681" s="2056">
        <f>Bauteile!H977</f>
        <v>0</v>
      </c>
    </row>
    <row r="682" spans="68:76" ht="18" customHeight="1">
      <c r="BP682" s="118" t="str">
        <f>Bauteile!B682</f>
        <v>Roofmate SL-AP  10-12cm</v>
      </c>
      <c r="BQ682" s="2057">
        <v>626</v>
      </c>
      <c r="BW682" s="2098" t="str">
        <f>Bauteile!B978</f>
        <v>Spritzschaum Elastospray 1622/1</v>
      </c>
      <c r="BX682" s="2056">
        <f>Bauteile!H978</f>
        <v>3.7999999999999999E-2</v>
      </c>
    </row>
    <row r="683" spans="68:76" ht="18" customHeight="1">
      <c r="BP683" s="118" t="str">
        <f>Bauteile!B683</f>
        <v>Roofmate SL-AP  14-20cm</v>
      </c>
      <c r="BQ683" s="2057">
        <v>627</v>
      </c>
      <c r="BW683" s="2098" t="str">
        <f>Bauteile!B979</f>
        <v>Spritzschaum Elastospray 1622/1</v>
      </c>
      <c r="BX683" s="2056">
        <f>Bauteile!H979</f>
        <v>3.5999999999999997E-2</v>
      </c>
    </row>
    <row r="684" spans="68:76" ht="18" customHeight="1">
      <c r="BP684" s="118" t="str">
        <f>Bauteile!B684</f>
        <v>Styrofoam TG-AP  &lt;=8cm</v>
      </c>
      <c r="BQ684" s="2057">
        <v>628</v>
      </c>
      <c r="BW684" s="2098" t="str">
        <f>Bauteile!B980</f>
        <v>Spritzschaum Elastospray 1622/1</v>
      </c>
      <c r="BX684" s="2056">
        <f>Bauteile!H980</f>
        <v>3.1E-2</v>
      </c>
    </row>
    <row r="685" spans="68:76" ht="18" customHeight="1">
      <c r="BP685" s="118" t="str">
        <f>Bauteile!B685</f>
        <v>Styrofoam TG-AP  &gt;8cm</v>
      </c>
      <c r="BQ685" s="2057">
        <v>629</v>
      </c>
      <c r="BW685" s="2098">
        <f>Bauteile!B981</f>
        <v>0</v>
      </c>
      <c r="BX685" s="2056">
        <f>Bauteile!H981</f>
        <v>0</v>
      </c>
    </row>
    <row r="686" spans="68:76" ht="18" customHeight="1">
      <c r="BP686" s="118" t="str">
        <f>Bauteile!B686</f>
        <v>Perimate DI-AP  &lt;=8cm</v>
      </c>
      <c r="BQ686" s="2057">
        <v>630</v>
      </c>
      <c r="BW686" s="2098">
        <f>Bauteile!B982</f>
        <v>0</v>
      </c>
      <c r="BX686" s="2056">
        <f>Bauteile!H982</f>
        <v>0</v>
      </c>
    </row>
    <row r="687" spans="68:76" ht="18" customHeight="1">
      <c r="BP687" s="118" t="str">
        <f>Bauteile!B687</f>
        <v>Perimate DI-AP 10-12cm</v>
      </c>
      <c r="BQ687" s="2057">
        <v>631</v>
      </c>
      <c r="BW687" s="2098">
        <f>Bauteile!B983</f>
        <v>0</v>
      </c>
      <c r="BX687" s="2056">
        <f>Bauteile!H983</f>
        <v>0</v>
      </c>
    </row>
    <row r="688" spans="68:76" ht="18" customHeight="1">
      <c r="BP688" s="118" t="str">
        <f>Bauteile!B688</f>
        <v>Perimate DI-AP  &gt;12cm</v>
      </c>
      <c r="BQ688" s="2057">
        <v>632</v>
      </c>
      <c r="BW688" s="2098">
        <f>Bauteile!B984</f>
        <v>0</v>
      </c>
      <c r="BX688" s="2056">
        <f>Bauteile!H984</f>
        <v>0</v>
      </c>
    </row>
    <row r="689" spans="68:76" ht="18" customHeight="1">
      <c r="BP689" s="118" t="str">
        <f>Bauteile!B689</f>
        <v>Floormate 500-AP  &lt;8cm</v>
      </c>
      <c r="BQ689" s="2057">
        <v>633</v>
      </c>
      <c r="BW689" s="2098">
        <f>Bauteile!B985</f>
        <v>0</v>
      </c>
      <c r="BX689" s="2056">
        <f>Bauteile!H985</f>
        <v>0</v>
      </c>
    </row>
    <row r="690" spans="68:76" ht="18" customHeight="1">
      <c r="BP690" s="118" t="str">
        <f>Bauteile!B690</f>
        <v>Floormate 500-AP  8-12cm</v>
      </c>
      <c r="BQ690" s="2057">
        <v>634</v>
      </c>
      <c r="BW690" s="2098">
        <f>Bauteile!B986</f>
        <v>0</v>
      </c>
      <c r="BX690" s="2056">
        <f>Bauteile!H986</f>
        <v>0</v>
      </c>
    </row>
    <row r="691" spans="68:76" ht="18" customHeight="1">
      <c r="BP691" s="118" t="str">
        <f>Bauteile!B691</f>
        <v>Floormate 500-AP  &gt;12cm</v>
      </c>
      <c r="BQ691" s="2057">
        <v>635</v>
      </c>
      <c r="BW691" s="2098">
        <f>Bauteile!B987</f>
        <v>0</v>
      </c>
      <c r="BX691" s="2056">
        <f>Bauteile!H987</f>
        <v>0</v>
      </c>
    </row>
    <row r="692" spans="68:76" ht="18" customHeight="1">
      <c r="BP692" s="118" t="str">
        <f>Bauteile!B692</f>
        <v>Floormate 700-AP  &lt;8cm</v>
      </c>
      <c r="BQ692" s="2057">
        <v>636</v>
      </c>
      <c r="BW692" s="2098">
        <f>Bauteile!B988</f>
        <v>0</v>
      </c>
      <c r="BX692" s="2056">
        <f>Bauteile!H988</f>
        <v>0</v>
      </c>
    </row>
    <row r="693" spans="68:76" ht="18" customHeight="1">
      <c r="BP693" s="118" t="str">
        <f>Bauteile!B693</f>
        <v>Floormate 700-AP  8-12cm</v>
      </c>
      <c r="BQ693" s="2057">
        <v>637</v>
      </c>
      <c r="BW693" s="2098">
        <f>Bauteile!B989</f>
        <v>0</v>
      </c>
      <c r="BX693" s="2056">
        <f>Bauteile!H989</f>
        <v>0</v>
      </c>
    </row>
    <row r="694" spans="68:76" ht="18" customHeight="1">
      <c r="BP694" s="118" t="str">
        <f>Bauteile!B694</f>
        <v>Floormate 700-AP  &gt;12cm</v>
      </c>
      <c r="BQ694" s="2057">
        <v>638</v>
      </c>
      <c r="BW694" s="2098">
        <f>Bauteile!B990</f>
        <v>0</v>
      </c>
      <c r="BX694" s="2056">
        <f>Bauteile!H990</f>
        <v>0</v>
      </c>
    </row>
    <row r="695" spans="68:76" ht="18" customHeight="1">
      <c r="BP695" s="118" t="str">
        <f>Bauteile!B695</f>
        <v>Styrofoam IB-CH-AP  &lt;=8cm</v>
      </c>
      <c r="BQ695" s="2057">
        <v>639</v>
      </c>
      <c r="BW695" s="2098">
        <f>Bauteile!B991</f>
        <v>0</v>
      </c>
      <c r="BX695" s="2056">
        <f>Bauteile!H991</f>
        <v>0</v>
      </c>
    </row>
    <row r="696" spans="68:76" ht="18" customHeight="1">
      <c r="BP696" s="118" t="str">
        <f>Bauteile!B696</f>
        <v>Styrofoam IB-CH-AP  10-12cm</v>
      </c>
      <c r="BQ696" s="2057">
        <v>640</v>
      </c>
      <c r="BW696" s="2098">
        <f>Bauteile!B992</f>
        <v>0</v>
      </c>
      <c r="BX696" s="2056">
        <f>Bauteile!H992</f>
        <v>0</v>
      </c>
    </row>
    <row r="697" spans="68:76" ht="18" customHeight="1">
      <c r="BP697" s="118" t="str">
        <f>Bauteile!B697</f>
        <v>Styrofoam IB-CH-AP  &gt;12cm</v>
      </c>
      <c r="BQ697" s="2057">
        <v>641</v>
      </c>
      <c r="BW697" s="2098">
        <f>Bauteile!B993</f>
        <v>0</v>
      </c>
      <c r="BX697" s="2056">
        <f>Bauteile!H993</f>
        <v>0</v>
      </c>
    </row>
    <row r="698" spans="68:76" ht="18" customHeight="1">
      <c r="BP698" s="118" t="str">
        <f>Bauteile!B698</f>
        <v>XENERGY 500P</v>
      </c>
      <c r="BQ698" s="2057">
        <v>642</v>
      </c>
      <c r="BW698" s="2098">
        <f>Bauteile!B994</f>
        <v>0</v>
      </c>
      <c r="BX698" s="2056">
        <f>Bauteile!H994</f>
        <v>0</v>
      </c>
    </row>
    <row r="699" spans="68:76" ht="18" customHeight="1">
      <c r="BP699" s="118" t="str">
        <f>Bauteile!B699</f>
        <v>XENERGY IBP  5-8cm</v>
      </c>
      <c r="BQ699" s="2057">
        <v>643</v>
      </c>
      <c r="BW699" s="2098">
        <f>Bauteile!B995</f>
        <v>0</v>
      </c>
      <c r="BX699" s="2056">
        <f>Bauteile!H995</f>
        <v>0</v>
      </c>
    </row>
    <row r="700" spans="68:76" ht="18" customHeight="1">
      <c r="BP700" s="118" t="str">
        <f>Bauteile!B700</f>
        <v>XENERGY IBP  9-20cm</v>
      </c>
      <c r="BQ700" s="2057">
        <v>644</v>
      </c>
      <c r="BW700" s="2098">
        <f>Bauteile!B996</f>
        <v>0</v>
      </c>
      <c r="BX700" s="2056">
        <f>Bauteile!H996</f>
        <v>0</v>
      </c>
    </row>
    <row r="701" spans="68:76" ht="18" customHeight="1">
      <c r="BP701" s="118" t="str">
        <f>Bauteile!B701</f>
        <v>XENERGY SLP  5-8cm</v>
      </c>
      <c r="BQ701" s="2057">
        <v>645</v>
      </c>
      <c r="BW701" s="2098">
        <f>Bauteile!B997</f>
        <v>0</v>
      </c>
      <c r="BX701" s="2056">
        <f>Bauteile!H997</f>
        <v>0</v>
      </c>
    </row>
    <row r="702" spans="68:76" ht="18" customHeight="1">
      <c r="BP702" s="118" t="str">
        <f>Bauteile!B702</f>
        <v>XENERGY SLP  9-20cm</v>
      </c>
      <c r="BQ702" s="2057">
        <v>646</v>
      </c>
      <c r="BW702" s="2098">
        <f>Bauteile!B998</f>
        <v>0</v>
      </c>
      <c r="BX702" s="2056">
        <f>Bauteile!H998</f>
        <v>0</v>
      </c>
    </row>
    <row r="703" spans="68:76" ht="18" customHeight="1">
      <c r="BP703" s="118" t="str">
        <f>Bauteile!B703</f>
        <v>X-Foam Wafer  2-4cm</v>
      </c>
      <c r="BQ703" s="2057">
        <v>647</v>
      </c>
      <c r="BW703" s="2098">
        <f>Bauteile!B999</f>
        <v>0</v>
      </c>
      <c r="BX703" s="2056">
        <f>Bauteile!H999</f>
        <v>0</v>
      </c>
    </row>
    <row r="704" spans="68:76" ht="18" customHeight="1">
      <c r="BP704" s="118" t="str">
        <f>Bauteile!B704</f>
        <v>X-Foam Wafer  5-6cm</v>
      </c>
      <c r="BQ704" s="2057">
        <v>648</v>
      </c>
      <c r="BW704" s="2098">
        <f>Bauteile!B1000</f>
        <v>0</v>
      </c>
      <c r="BX704" s="2056">
        <f>Bauteile!H1000</f>
        <v>0</v>
      </c>
    </row>
    <row r="705" spans="68:76" ht="18" customHeight="1">
      <c r="BP705" s="118" t="str">
        <f>Bauteile!B705</f>
        <v>X-Foam Wafer  8-14cm</v>
      </c>
      <c r="BQ705" s="2057">
        <v>649</v>
      </c>
      <c r="BW705" s="2098">
        <f>Bauteile!B1001</f>
        <v>0</v>
      </c>
      <c r="BX705" s="2056">
        <f>Bauteile!H1001</f>
        <v>0</v>
      </c>
    </row>
    <row r="706" spans="68:76" ht="18" customHeight="1">
      <c r="BP706" s="118" t="str">
        <f>Bauteile!B706</f>
        <v>X-Foam Wafer  16-20cm</v>
      </c>
      <c r="BQ706" s="2057">
        <v>650</v>
      </c>
      <c r="BW706" s="2098">
        <f>Bauteile!B1002</f>
        <v>0</v>
      </c>
      <c r="BX706" s="2056">
        <f>Bauteile!H1002</f>
        <v>0</v>
      </c>
    </row>
    <row r="707" spans="68:76" ht="18" customHeight="1">
      <c r="BP707" s="118" t="str">
        <f>Bauteile!B707</f>
        <v>X-Foam HBT 300  3-4cm</v>
      </c>
      <c r="BQ707" s="2057">
        <v>651</v>
      </c>
      <c r="BW707" s="2098">
        <f>Bauteile!B1003</f>
        <v>0</v>
      </c>
      <c r="BX707" s="2056">
        <f>Bauteile!H1003</f>
        <v>0</v>
      </c>
    </row>
    <row r="708" spans="68:76" ht="18" customHeight="1">
      <c r="BP708" s="118" t="str">
        <f>Bauteile!B708</f>
        <v>X-Foam HBT 300  5-6cm</v>
      </c>
      <c r="BQ708" s="2057">
        <v>652</v>
      </c>
      <c r="BW708" s="2098">
        <f>Bauteile!B1004</f>
        <v>0</v>
      </c>
      <c r="BX708" s="2056">
        <f>Bauteile!H1004</f>
        <v>0</v>
      </c>
    </row>
    <row r="709" spans="68:76" ht="18" customHeight="1">
      <c r="BP709" s="118" t="str">
        <f>Bauteile!B709</f>
        <v>X-Foam HBT 300  8-12cm</v>
      </c>
      <c r="BQ709" s="2057">
        <v>653</v>
      </c>
      <c r="BW709" s="2098">
        <f>Bauteile!B1005</f>
        <v>0</v>
      </c>
      <c r="BX709" s="2056">
        <f>Bauteile!H1005</f>
        <v>0</v>
      </c>
    </row>
    <row r="710" spans="68:76" ht="18" customHeight="1">
      <c r="BP710" s="118" t="str">
        <f>Bauteile!B710</f>
        <v>X-Foam HBT 300  16-20cm</v>
      </c>
      <c r="BQ710" s="2057">
        <v>654</v>
      </c>
      <c r="BW710" s="2098">
        <f>Bauteile!B1006</f>
        <v>0</v>
      </c>
      <c r="BX710" s="2056">
        <f>Bauteile!H1006</f>
        <v>0</v>
      </c>
    </row>
    <row r="711" spans="68:76" ht="18" customHeight="1">
      <c r="BP711" s="118" t="str">
        <f>Bauteile!B711</f>
        <v>X-Foam HBT 500  5-6cm</v>
      </c>
      <c r="BQ711" s="2057">
        <v>655</v>
      </c>
      <c r="BW711" s="2098">
        <f>Bauteile!B1007</f>
        <v>0</v>
      </c>
      <c r="BX711" s="2056">
        <f>Bauteile!H1007</f>
        <v>0</v>
      </c>
    </row>
    <row r="712" spans="68:76" ht="18" customHeight="1">
      <c r="BP712" s="118" t="str">
        <f>Bauteile!B712</f>
        <v>X-Foam HBT 500  8-12cm</v>
      </c>
      <c r="BQ712" s="2057">
        <v>656</v>
      </c>
      <c r="BW712" s="2098">
        <f>Bauteile!B1008</f>
        <v>0</v>
      </c>
      <c r="BX712" s="2056">
        <f>Bauteile!H1008</f>
        <v>0</v>
      </c>
    </row>
    <row r="713" spans="68:76" ht="18" customHeight="1">
      <c r="BP713" s="118" t="str">
        <f>Bauteile!B713</f>
        <v>FIBRAN XPS  2-3cm</v>
      </c>
      <c r="BQ713" s="2057">
        <v>657</v>
      </c>
      <c r="BW713" s="2098">
        <f>Bauteile!B1009</f>
        <v>0</v>
      </c>
      <c r="BX713" s="2056">
        <f>Bauteile!H1009</f>
        <v>0</v>
      </c>
    </row>
    <row r="714" spans="68:76" ht="18" customHeight="1">
      <c r="BP714" s="118" t="str">
        <f>Bauteile!B714</f>
        <v>FIBRAN XPS  4-5cm</v>
      </c>
      <c r="BQ714" s="2057">
        <v>658</v>
      </c>
      <c r="BW714" s="2100">
        <f>Bauteile!B1010</f>
        <v>0</v>
      </c>
      <c r="BX714" s="1523">
        <f>Bauteile!H1010</f>
        <v>0</v>
      </c>
    </row>
    <row r="715" spans="68:76" ht="18" customHeight="1">
      <c r="BP715" s="118" t="str">
        <f>Bauteile!B715</f>
        <v>FIBRAN XPS  6-10cm</v>
      </c>
      <c r="BQ715" s="2057">
        <v>659</v>
      </c>
      <c r="BX715" s="1520"/>
    </row>
    <row r="716" spans="68:76" ht="18" customHeight="1">
      <c r="BP716" s="118" t="str">
        <f>Bauteile!B716</f>
        <v>FIBRAN XPS  12cm</v>
      </c>
      <c r="BQ716" s="2057">
        <v>660</v>
      </c>
      <c r="BX716" s="1520"/>
    </row>
    <row r="717" spans="68:76" ht="18" customHeight="1">
      <c r="BP717" s="118" t="str">
        <f>Bauteile!B717</f>
        <v>FIBRAN XPS  14-20cm</v>
      </c>
      <c r="BQ717" s="2057">
        <v>661</v>
      </c>
      <c r="BX717" s="1520"/>
    </row>
    <row r="718" spans="68:76" ht="18" customHeight="1">
      <c r="BP718" s="118" t="str">
        <f>Bauteile!B718</f>
        <v>Jackodur Plus 300</v>
      </c>
      <c r="BQ718" s="2057">
        <v>662</v>
      </c>
      <c r="BX718" s="1520"/>
    </row>
    <row r="719" spans="68:76" ht="18" customHeight="1">
      <c r="BP719" s="118" t="str">
        <f>Bauteile!B719</f>
        <v>Jackodur KF 300  2-6cm</v>
      </c>
      <c r="BQ719" s="2057">
        <v>663</v>
      </c>
      <c r="BX719" s="1520"/>
    </row>
    <row r="720" spans="68:76" ht="18" customHeight="1">
      <c r="BP720" s="118" t="str">
        <f>Bauteile!B720</f>
        <v>Jackodur KF 300  7-18cm</v>
      </c>
      <c r="BQ720" s="2057">
        <v>664</v>
      </c>
      <c r="BX720" s="1520"/>
    </row>
    <row r="721" spans="68:76" ht="18" customHeight="1">
      <c r="BP721" s="118" t="str">
        <f>Bauteile!B721</f>
        <v>Jackodur KF 500  4-6cm</v>
      </c>
      <c r="BQ721" s="2057">
        <v>665</v>
      </c>
      <c r="BX721" s="1520"/>
    </row>
    <row r="722" spans="68:76" ht="18" customHeight="1">
      <c r="BP722" s="118" t="str">
        <f>Bauteile!B722</f>
        <v>Jackodur KF 500  7-16cm</v>
      </c>
      <c r="BQ722" s="2057">
        <v>666</v>
      </c>
      <c r="BX722" s="1520"/>
    </row>
    <row r="723" spans="68:76" ht="18" customHeight="1">
      <c r="BP723" s="118" t="str">
        <f>Bauteile!B723</f>
        <v>Jackodur KF 500  17-32cm</v>
      </c>
      <c r="BQ723" s="2057">
        <v>667</v>
      </c>
      <c r="BX723" s="1520"/>
    </row>
    <row r="724" spans="68:76" ht="18" customHeight="1">
      <c r="BP724" s="118" t="str">
        <f>Bauteile!B724</f>
        <v>Jackodur KF 700  4-6cm</v>
      </c>
      <c r="BQ724" s="2057">
        <v>668</v>
      </c>
      <c r="BX724" s="1520"/>
    </row>
    <row r="725" spans="68:76" ht="18" customHeight="1">
      <c r="BP725" s="118" t="str">
        <f>Bauteile!B725</f>
        <v>Jackodur KF 700  7-16cm</v>
      </c>
      <c r="BQ725" s="2057">
        <v>669</v>
      </c>
      <c r="BX725" s="1520"/>
    </row>
    <row r="726" spans="68:76" ht="18" customHeight="1">
      <c r="BP726" s="118" t="str">
        <f>Bauteile!B726</f>
        <v>Jackodur KF 700  17-32cm</v>
      </c>
      <c r="BQ726" s="2057">
        <v>670</v>
      </c>
      <c r="BX726" s="1520"/>
    </row>
    <row r="727" spans="68:76" ht="18" customHeight="1">
      <c r="BP727" s="118" t="str">
        <f>Bauteile!B727</f>
        <v>Jackodur CFR 300 / 500  2-6cm</v>
      </c>
      <c r="BQ727" s="2057">
        <v>671</v>
      </c>
      <c r="BX727" s="1520"/>
    </row>
    <row r="728" spans="68:76" ht="18" customHeight="1">
      <c r="BP728" s="118" t="str">
        <f>Bauteile!B728</f>
        <v>Jackodur CFR 300 / 500  &gt;6cm</v>
      </c>
      <c r="BQ728" s="2057">
        <v>672</v>
      </c>
      <c r="BX728" s="1520"/>
    </row>
    <row r="729" spans="68:76" ht="18" customHeight="1">
      <c r="BP729" s="118" t="str">
        <f>Bauteile!B729</f>
        <v>Jackodur DS 300  2-6cm</v>
      </c>
      <c r="BQ729" s="2057">
        <v>673</v>
      </c>
      <c r="BX729" s="1520"/>
    </row>
    <row r="730" spans="68:76" ht="18" customHeight="1">
      <c r="BP730" s="118" t="str">
        <f>Bauteile!B730</f>
        <v>Jackodur DS 300  7-8cm</v>
      </c>
      <c r="BQ730" s="2057">
        <v>674</v>
      </c>
      <c r="BX730" s="1520"/>
    </row>
    <row r="731" spans="68:76" ht="18" customHeight="1">
      <c r="BP731" s="118" t="str">
        <f>Bauteile!B731</f>
        <v>Jackodur DS 300  9-16cm</v>
      </c>
      <c r="BQ731" s="2057">
        <v>675</v>
      </c>
      <c r="BX731" s="1520"/>
    </row>
    <row r="732" spans="68:76" ht="18" customHeight="1">
      <c r="BP732" s="118" t="str">
        <f>Bauteile!B732</f>
        <v>Jackodur DS 300  17-22cm</v>
      </c>
      <c r="BQ732" s="2057">
        <v>676</v>
      </c>
      <c r="BX732" s="1520"/>
    </row>
    <row r="733" spans="68:76" ht="18" customHeight="1">
      <c r="BP733" s="118" t="str">
        <f>Bauteile!B733</f>
        <v>Jackodur KF 300 Jackodrain 2-6cm</v>
      </c>
      <c r="BQ733" s="2057">
        <v>677</v>
      </c>
      <c r="BX733" s="1520"/>
    </row>
    <row r="734" spans="68:76" ht="18" customHeight="1">
      <c r="BP734" s="118" t="str">
        <f>Bauteile!B734</f>
        <v>Jackodur KF 300 Jackodrain &gt;6cm</v>
      </c>
      <c r="BQ734" s="2057">
        <v>678</v>
      </c>
      <c r="BX734" s="1520"/>
    </row>
    <row r="735" spans="68:76" ht="18" customHeight="1">
      <c r="BP735" s="118" t="str">
        <f>Bauteile!B735</f>
        <v>Gematherm XC7  5-6cm</v>
      </c>
      <c r="BQ735" s="2057">
        <v>679</v>
      </c>
      <c r="BX735" s="1520"/>
    </row>
    <row r="736" spans="68:76" ht="18" customHeight="1">
      <c r="BP736" s="118" t="str">
        <f>Bauteile!B736</f>
        <v>Gematherm XC7  8-12cm</v>
      </c>
      <c r="BQ736" s="2057">
        <v>680</v>
      </c>
      <c r="BX736" s="1520"/>
    </row>
    <row r="737" spans="68:76" ht="18" customHeight="1">
      <c r="BP737" s="118" t="str">
        <f>Bauteile!B737</f>
        <v>Gematherm XC3 / XCW  3-4cm</v>
      </c>
      <c r="BQ737" s="2057">
        <v>681</v>
      </c>
      <c r="BX737" s="1520"/>
    </row>
    <row r="738" spans="68:76" ht="18" customHeight="1">
      <c r="BP738" s="118" t="str">
        <f>Bauteile!B738</f>
        <v>Gematherm XC3 / XCW  5-6cm</v>
      </c>
      <c r="BQ738" s="2057">
        <v>682</v>
      </c>
      <c r="BX738" s="1520"/>
    </row>
    <row r="739" spans="68:76" ht="18" customHeight="1">
      <c r="BP739" s="118" t="str">
        <f>Bauteile!B739</f>
        <v>Gematherm XC3 / XCW  8-30cm</v>
      </c>
      <c r="BQ739" s="2057">
        <v>683</v>
      </c>
      <c r="BX739" s="1520"/>
    </row>
    <row r="740" spans="68:76" ht="18" customHeight="1">
      <c r="BP740" s="118" t="str">
        <f>Bauteile!B740</f>
        <v>Gematherm XC5  5-6cm</v>
      </c>
      <c r="BQ740" s="2057">
        <v>684</v>
      </c>
      <c r="BX740" s="1520"/>
    </row>
    <row r="741" spans="68:76" ht="18" customHeight="1">
      <c r="BP741" s="118" t="str">
        <f>Bauteile!B741</f>
        <v>Gematherm XC5  8-30cm</v>
      </c>
      <c r="BQ741" s="2057">
        <v>685</v>
      </c>
      <c r="BX741" s="1520"/>
    </row>
    <row r="742" spans="68:76" ht="18" customHeight="1">
      <c r="BP742" s="118" t="str">
        <f>Bauteile!B742</f>
        <v>Gemadrain XPS  5-6cm</v>
      </c>
      <c r="BQ742" s="2057">
        <v>686</v>
      </c>
      <c r="BX742" s="1520"/>
    </row>
    <row r="743" spans="68:76" ht="18" customHeight="1">
      <c r="BP743" s="118" t="str">
        <f>Bauteile!B743</f>
        <v>Gemadrain XPS  8-30cm</v>
      </c>
      <c r="BQ743" s="2057">
        <v>687</v>
      </c>
      <c r="BX743" s="1520"/>
    </row>
    <row r="744" spans="68:76" ht="18" customHeight="1">
      <c r="BP744" s="118" t="str">
        <f>Bauteile!B744</f>
        <v>Sundolitt XPS 300 kPa</v>
      </c>
      <c r="BQ744" s="2057">
        <v>688</v>
      </c>
      <c r="BX744" s="1520"/>
    </row>
    <row r="745" spans="68:76" ht="18" customHeight="1">
      <c r="BP745" s="118" t="str">
        <f>Bauteile!B745</f>
        <v>swissporXPS Premium Plus</v>
      </c>
      <c r="BQ745" s="2057">
        <v>689</v>
      </c>
      <c r="BX745" s="1520"/>
    </row>
    <row r="746" spans="68:76" ht="18" customHeight="1">
      <c r="BP746" s="118" t="str">
        <f>Bauteile!B746</f>
        <v>swissporXPS  1-8cm</v>
      </c>
      <c r="BQ746" s="2057">
        <v>690</v>
      </c>
      <c r="BX746" s="1520"/>
    </row>
    <row r="747" spans="68:76" ht="18" customHeight="1">
      <c r="BP747" s="118" t="str">
        <f>Bauteile!B747</f>
        <v>swissporXPS  9-40cm</v>
      </c>
      <c r="BQ747" s="2057">
        <v>691</v>
      </c>
      <c r="BX747" s="1520"/>
    </row>
    <row r="748" spans="68:76" ht="18" customHeight="1">
      <c r="BP748" s="118" t="str">
        <f>Bauteile!B748</f>
        <v>swissporXPS Premium</v>
      </c>
      <c r="BQ748" s="2057">
        <v>692</v>
      </c>
      <c r="BX748" s="1520"/>
    </row>
    <row r="749" spans="68:76" ht="18" customHeight="1">
      <c r="BP749" s="118" t="str">
        <f>Bauteile!B749</f>
        <v>URSA XPS N-III  2-6cm</v>
      </c>
      <c r="BQ749" s="2057">
        <v>693</v>
      </c>
      <c r="BX749" s="1520"/>
    </row>
    <row r="750" spans="68:76" ht="18" customHeight="1">
      <c r="BP750" s="118" t="str">
        <f>Bauteile!B750</f>
        <v>URSA XPS N-III  7-12cm</v>
      </c>
      <c r="BQ750" s="2057">
        <v>694</v>
      </c>
      <c r="BX750" s="1520"/>
    </row>
    <row r="751" spans="68:76" ht="18" customHeight="1">
      <c r="BP751" s="118" t="str">
        <f>Bauteile!B751</f>
        <v>URSA XPS N-III  14-16cm</v>
      </c>
      <c r="BQ751" s="2057">
        <v>695</v>
      </c>
      <c r="BX751" s="1520"/>
    </row>
    <row r="752" spans="68:76" ht="18" customHeight="1">
      <c r="BP752" s="118" t="str">
        <f>Bauteile!B752</f>
        <v>URSA XPS N-V  2-6cm</v>
      </c>
      <c r="BQ752" s="2057">
        <v>696</v>
      </c>
      <c r="BX752" s="1520"/>
    </row>
    <row r="753" spans="68:76" ht="18" customHeight="1">
      <c r="BP753" s="118" t="str">
        <f>Bauteile!B753</f>
        <v>URSA XPS N-V  7-12cm</v>
      </c>
      <c r="BQ753" s="2057">
        <v>697</v>
      </c>
      <c r="BX753" s="1520"/>
    </row>
    <row r="754" spans="68:76" ht="18" customHeight="1">
      <c r="BP754" s="118" t="str">
        <f>Bauteile!B754</f>
        <v>URSA XPS N-VII  6cm</v>
      </c>
      <c r="BQ754" s="2057">
        <v>698</v>
      </c>
      <c r="BX754" s="1520"/>
    </row>
    <row r="755" spans="68:76" ht="18" customHeight="1">
      <c r="BP755" s="118" t="str">
        <f>Bauteile!B755</f>
        <v>URSA XPS N-VII  7-12cm</v>
      </c>
      <c r="BQ755" s="2057">
        <v>699</v>
      </c>
      <c r="BX755" s="1520"/>
    </row>
    <row r="756" spans="68:76" ht="18" customHeight="1">
      <c r="BP756" s="118" t="str">
        <f>Bauteile!B756</f>
        <v>URSA XPS D N-III PZ</v>
      </c>
      <c r="BQ756" s="2057">
        <v>700</v>
      </c>
      <c r="BX756" s="1520"/>
    </row>
    <row r="757" spans="68:76" ht="18" customHeight="1">
      <c r="BP757" s="118" t="str">
        <f>Bauteile!B757</f>
        <v>URSA XPS N TWINS (N-III,  N-III PZ, N-V, N-VII), 10-12cm</v>
      </c>
      <c r="BQ757" s="2057">
        <v>701</v>
      </c>
      <c r="BX757" s="1520"/>
    </row>
    <row r="758" spans="68:76" ht="18" customHeight="1">
      <c r="BP758" s="118" t="str">
        <f>Bauteile!B758</f>
        <v>URSA XPS N TWINS (N-III,  N-III PZ, N-V, N-VII), 13-40cm</v>
      </c>
      <c r="BQ758" s="2057">
        <v>702</v>
      </c>
      <c r="BX758" s="1520"/>
    </row>
    <row r="759" spans="68:76" ht="18" customHeight="1">
      <c r="BP759" s="118" t="str">
        <f>Bauteile!B759</f>
        <v>URSA XPS N  2-6cm</v>
      </c>
      <c r="BQ759" s="2057">
        <v>703</v>
      </c>
      <c r="BX759" s="1520"/>
    </row>
    <row r="760" spans="68:76" ht="18" customHeight="1">
      <c r="BP760" s="118" t="str">
        <f>Bauteile!B760</f>
        <v>URSA XPS N  7-10cm</v>
      </c>
      <c r="BQ760" s="2057">
        <v>704</v>
      </c>
      <c r="BX760" s="1520"/>
    </row>
    <row r="761" spans="68:76" ht="18" customHeight="1">
      <c r="BP761" s="118">
        <f>Bauteile!B761</f>
        <v>0</v>
      </c>
      <c r="BQ761" s="2057">
        <v>705</v>
      </c>
      <c r="BX761" s="1520"/>
    </row>
    <row r="762" spans="68:76" ht="18" customHeight="1">
      <c r="BP762" s="1268" t="str">
        <f>Bauteile!B762</f>
        <v>**** Polyurethan (PUR), Polyisocyanurat (PIR) ****</v>
      </c>
      <c r="BQ762" s="2057">
        <v>706</v>
      </c>
      <c r="BX762" s="1520"/>
    </row>
    <row r="763" spans="68:76" ht="18" customHeight="1">
      <c r="BP763" s="118" t="str">
        <f>Bauteile!B763</f>
        <v>BACHL PUR ALU</v>
      </c>
      <c r="BQ763" s="2057">
        <v>707</v>
      </c>
      <c r="BX763" s="1520"/>
    </row>
    <row r="764" spans="68:76" ht="18" customHeight="1">
      <c r="BP764" s="118" t="str">
        <f>Bauteile!B764</f>
        <v>BACHL PUR Vlies  2-7cm</v>
      </c>
      <c r="BQ764" s="2057">
        <v>708</v>
      </c>
      <c r="BX764" s="1520"/>
    </row>
    <row r="765" spans="68:76" ht="18" customHeight="1">
      <c r="BP765" s="118" t="str">
        <f>Bauteile!B765</f>
        <v>BACHL PUR Vlies  8-11cm</v>
      </c>
      <c r="BQ765" s="2057">
        <v>709</v>
      </c>
      <c r="BX765" s="1520"/>
    </row>
    <row r="766" spans="68:76" ht="18" customHeight="1">
      <c r="BP766" s="118" t="str">
        <f>Bauteile!B766</f>
        <v>BACHL PUR Vlies  12-24cm</v>
      </c>
      <c r="BQ766" s="2057">
        <v>710</v>
      </c>
      <c r="BX766" s="1520"/>
    </row>
    <row r="767" spans="68:76" ht="18" customHeight="1">
      <c r="BP767" s="118" t="str">
        <f>Bauteile!B767</f>
        <v>Therma TR26 FM</v>
      </c>
      <c r="BQ767" s="2057">
        <v>711</v>
      </c>
      <c r="BX767" s="1520"/>
    </row>
    <row r="768" spans="68:76" ht="18" customHeight="1">
      <c r="BP768" s="118" t="str">
        <f>Bauteile!B768</f>
        <v>Montanatherm panneau sandwich</v>
      </c>
      <c r="BQ768" s="2057">
        <v>712</v>
      </c>
      <c r="BX768" s="1520"/>
    </row>
    <row r="769" spans="68:76" ht="18" customHeight="1">
      <c r="BP769" s="118" t="str">
        <f>Bauteile!B769</f>
        <v>Bauder PIR étanche à la diffusion</v>
      </c>
      <c r="BQ769" s="2057">
        <v>713</v>
      </c>
      <c r="BX769" s="1520"/>
    </row>
    <row r="770" spans="68:76" ht="18" customHeight="1">
      <c r="BP770" s="118" t="str">
        <f>Bauteile!B770</f>
        <v>Bauder PIR perméable à la diffusion  2-7cm</v>
      </c>
      <c r="BQ770" s="2057">
        <v>714</v>
      </c>
      <c r="BX770" s="1520"/>
    </row>
    <row r="771" spans="68:76" ht="18" customHeight="1">
      <c r="BP771" s="118" t="str">
        <f>Bauteile!B771</f>
        <v>Bauder PIR perméable à la diffusion  8-11cm</v>
      </c>
      <c r="BQ771" s="2057">
        <v>715</v>
      </c>
      <c r="BX771" s="1520"/>
    </row>
    <row r="772" spans="68:76" ht="18" customHeight="1">
      <c r="BP772" s="118" t="str">
        <f>Bauteile!B772</f>
        <v>Bauder PIR perméable à la diffusion  12-24cm</v>
      </c>
      <c r="BQ772" s="2057">
        <v>716</v>
      </c>
      <c r="BX772" s="1520"/>
    </row>
    <row r="773" spans="68:76" ht="18" customHeight="1">
      <c r="BP773" s="118" t="str">
        <f>Bauteile!B773</f>
        <v>puren Protect</v>
      </c>
      <c r="BQ773" s="2057">
        <v>717</v>
      </c>
      <c r="BX773" s="1520"/>
    </row>
    <row r="774" spans="68:76" ht="18" customHeight="1">
      <c r="BP774" s="118" t="str">
        <f>Bauteile!B774</f>
        <v>puren Plus  8-11cm</v>
      </c>
      <c r="BQ774" s="2057">
        <v>718</v>
      </c>
      <c r="BX774" s="1520"/>
    </row>
    <row r="775" spans="68:76" ht="18" customHeight="1">
      <c r="BP775" s="118" t="str">
        <f>Bauteile!B775</f>
        <v>puren Plus  12-22cm</v>
      </c>
      <c r="BQ775" s="2057">
        <v>719</v>
      </c>
      <c r="BX775" s="1520"/>
    </row>
    <row r="776" spans="68:76" ht="18" customHeight="1">
      <c r="BP776" s="118" t="str">
        <f>Bauteile!B776</f>
        <v>puren Dämmschalung</v>
      </c>
      <c r="BQ776" s="2057">
        <v>720</v>
      </c>
      <c r="BX776" s="1520"/>
    </row>
    <row r="777" spans="68:76" ht="18" customHeight="1">
      <c r="BP777" s="118" t="str">
        <f>Bauteile!B777</f>
        <v>puren-PIR (étanche à la diffusion)  2-7cm</v>
      </c>
      <c r="BQ777" s="2057">
        <v>721</v>
      </c>
      <c r="BX777" s="1520"/>
    </row>
    <row r="778" spans="68:76" ht="18" customHeight="1">
      <c r="BP778" s="118" t="str">
        <f>Bauteile!B778</f>
        <v>puren-PIR (étanche à la diffusion)  8-20cm</v>
      </c>
      <c r="BQ778" s="2057">
        <v>722</v>
      </c>
      <c r="BX778" s="1520"/>
    </row>
    <row r="779" spans="68:76" ht="18" customHeight="1">
      <c r="BP779" s="118" t="str">
        <f>Bauteile!B779</f>
        <v>puren-PIR (perméable à la diffusion)  2-7cm</v>
      </c>
      <c r="BQ779" s="2057">
        <v>723</v>
      </c>
      <c r="BX779" s="1520"/>
    </row>
    <row r="780" spans="68:76" ht="18" customHeight="1">
      <c r="BP780" s="118" t="str">
        <f>Bauteile!B780</f>
        <v>puren-PIR (perméable à la diffusion)  8-11cm</v>
      </c>
      <c r="BQ780" s="2057">
        <v>724</v>
      </c>
      <c r="BX780" s="1520"/>
    </row>
    <row r="781" spans="68:76" ht="18" customHeight="1">
      <c r="BP781" s="118" t="str">
        <f>Bauteile!B781</f>
        <v>puren-PIR (perméable à la diffusion)  &gt;=12cm</v>
      </c>
      <c r="BQ781" s="2057">
        <v>725</v>
      </c>
      <c r="BX781" s="1520"/>
    </row>
    <row r="782" spans="68:76" ht="18" customHeight="1">
      <c r="BP782" s="118" t="str">
        <f>Bauteile!B782</f>
        <v>puren PIR NE / purenotherm  2-7cm</v>
      </c>
      <c r="BQ782" s="2057">
        <v>726</v>
      </c>
      <c r="BX782" s="1520"/>
    </row>
    <row r="783" spans="68:76" ht="18" customHeight="1">
      <c r="BP783" s="118" t="str">
        <f>Bauteile!B783</f>
        <v>puren PIR NE / purenotherm  8-11cm</v>
      </c>
      <c r="BQ783" s="2057">
        <v>727</v>
      </c>
      <c r="BX783" s="1520"/>
    </row>
    <row r="784" spans="68:76" ht="18" customHeight="1">
      <c r="BP784" s="118" t="str">
        <f>Bauteile!B784</f>
        <v>puren PIR NE / purenotherm &gt;=12cm</v>
      </c>
      <c r="BQ784" s="2057">
        <v>728</v>
      </c>
      <c r="BX784" s="1520"/>
    </row>
    <row r="785" spans="68:76" ht="18" customHeight="1">
      <c r="BP785" s="118" t="str">
        <f>Bauteile!B785</f>
        <v>puren PIR NE / purenotherm S  2-7cm</v>
      </c>
      <c r="BQ785" s="2057">
        <v>729</v>
      </c>
      <c r="BX785" s="1520"/>
    </row>
    <row r="786" spans="68:76" ht="18" customHeight="1">
      <c r="BP786" s="118" t="str">
        <f>Bauteile!B786</f>
        <v>puren PIR NE / purenotherm S  8-11cm</v>
      </c>
      <c r="BQ786" s="2057">
        <v>730</v>
      </c>
      <c r="BX786" s="1520"/>
    </row>
    <row r="787" spans="68:76" ht="18" customHeight="1">
      <c r="BP787" s="118" t="str">
        <f>Bauteile!B787</f>
        <v>puren PIR NE / purenotherm S &gt;=12cm</v>
      </c>
      <c r="BQ787" s="2057">
        <v>731</v>
      </c>
      <c r="BX787" s="1520"/>
    </row>
    <row r="788" spans="68:76" ht="18" customHeight="1">
      <c r="BP788" s="118" t="str">
        <f>Bauteile!B788</f>
        <v>puren PIR, novoPIR</v>
      </c>
      <c r="BQ788" s="2057">
        <v>732</v>
      </c>
      <c r="BX788" s="1520"/>
    </row>
    <row r="789" spans="68:76" ht="18" customHeight="1">
      <c r="BP789" s="118" t="str">
        <f>Bauteile!B789</f>
        <v>Eurothane FB ALV</v>
      </c>
      <c r="BQ789" s="2057">
        <v>733</v>
      </c>
      <c r="BX789" s="1520"/>
    </row>
    <row r="790" spans="68:76" ht="18" customHeight="1">
      <c r="BP790" s="118" t="str">
        <f>Bauteile!B790</f>
        <v>goPIR</v>
      </c>
      <c r="BQ790" s="2057">
        <v>734</v>
      </c>
      <c r="BX790" s="1520"/>
    </row>
    <row r="791" spans="68:76" ht="18" customHeight="1">
      <c r="BP791" s="118" t="str">
        <f>Bauteile!B791</f>
        <v>Powerdeck</v>
      </c>
      <c r="BQ791" s="2057">
        <v>735</v>
      </c>
      <c r="BX791" s="1520"/>
    </row>
    <row r="792" spans="68:76" ht="18" customHeight="1">
      <c r="BP792" s="118" t="str">
        <f>Bauteile!B792</f>
        <v>Sarnapur (PIR) étanche à la diffusion  2-7cm</v>
      </c>
      <c r="BQ792" s="2057">
        <v>736</v>
      </c>
    </row>
    <row r="793" spans="68:76" ht="18" customHeight="1">
      <c r="BP793" s="118" t="str">
        <f>Bauteile!B793</f>
        <v>Sarnapur (PIR) étanche à la diffusion  8-20cm</v>
      </c>
      <c r="BQ793" s="2057">
        <v>737</v>
      </c>
    </row>
    <row r="794" spans="68:76" ht="18" customHeight="1">
      <c r="BP794" s="118" t="str">
        <f>Bauteile!B794</f>
        <v>Sarnapur (PIR) perméable à la diffusion  2-7cm</v>
      </c>
      <c r="BQ794" s="2057">
        <v>738</v>
      </c>
    </row>
    <row r="795" spans="68:76" ht="18" customHeight="1">
      <c r="BP795" s="118" t="str">
        <f>Bauteile!B795</f>
        <v>Sarnapur (PIR) perméable à la diffusion  8-11cm</v>
      </c>
      <c r="BQ795" s="2057">
        <v>739</v>
      </c>
    </row>
    <row r="796" spans="68:76" ht="18" customHeight="1">
      <c r="BP796" s="118" t="str">
        <f>Bauteile!B796</f>
        <v>Sarnapur (PIR) perméable à la diffusion &gt;=12cm</v>
      </c>
      <c r="BQ796" s="2057">
        <v>740</v>
      </c>
    </row>
    <row r="797" spans="68:76" ht="18" customHeight="1">
      <c r="BP797" s="118" t="str">
        <f>Bauteile!B797</f>
        <v>Sarnapur novoPIR</v>
      </c>
      <c r="BQ797" s="2057">
        <v>741</v>
      </c>
    </row>
    <row r="798" spans="68:76" ht="18" customHeight="1">
      <c r="BP798" s="118" t="str">
        <f>Bauteile!B798</f>
        <v>steinothan 120</v>
      </c>
      <c r="BQ798" s="2057">
        <v>742</v>
      </c>
    </row>
    <row r="799" spans="68:76" ht="18" customHeight="1">
      <c r="BP799" s="118" t="str">
        <f>Bauteile!B799</f>
        <v>steinothan Alu 022</v>
      </c>
      <c r="BQ799" s="2057">
        <v>743</v>
      </c>
    </row>
    <row r="800" spans="68:76" ht="18" customHeight="1">
      <c r="BP800" s="118" t="str">
        <f>Bauteile!B800</f>
        <v>steinothan MV 025</v>
      </c>
      <c r="BQ800" s="2057">
        <v>744</v>
      </c>
    </row>
    <row r="801" spans="68:69" ht="18" customHeight="1">
      <c r="BP801" s="118" t="str">
        <f>Bauteile!B801</f>
        <v>steinothan MV 026</v>
      </c>
      <c r="BQ801" s="2057">
        <v>745</v>
      </c>
    </row>
    <row r="802" spans="68:69" ht="18" customHeight="1">
      <c r="BP802" s="118" t="str">
        <f>Bauteile!B802</f>
        <v>steinothan Alu 023</v>
      </c>
      <c r="BQ802" s="2057">
        <v>746</v>
      </c>
    </row>
    <row r="803" spans="68:69" ht="18" customHeight="1">
      <c r="BP803" s="118" t="str">
        <f>Bauteile!B803</f>
        <v>steinothan MV 028</v>
      </c>
      <c r="BQ803" s="2057">
        <v>747</v>
      </c>
    </row>
    <row r="804" spans="68:69" ht="18" customHeight="1">
      <c r="BP804" s="118" t="str">
        <f>Bauteile!B804</f>
        <v>swissporPUR Alu</v>
      </c>
      <c r="BQ804" s="2057">
        <v>748</v>
      </c>
    </row>
    <row r="805" spans="68:69" ht="18" customHeight="1">
      <c r="BP805" s="118" t="str">
        <f>Bauteile!B805</f>
        <v>swissporPUR (PIR) Floor</v>
      </c>
      <c r="BQ805" s="2057">
        <v>749</v>
      </c>
    </row>
    <row r="806" spans="68:69" ht="18" customHeight="1">
      <c r="BP806" s="118" t="str">
        <f>Bauteile!B806</f>
        <v>swissporTETTO Alu  8-14cm</v>
      </c>
      <c r="BQ806" s="2057">
        <v>750</v>
      </c>
    </row>
    <row r="807" spans="68:69" ht="18" customHeight="1">
      <c r="BP807" s="118" t="str">
        <f>Bauteile!B807</f>
        <v>swissporTETTO Alu  16-20cm</v>
      </c>
      <c r="BQ807" s="2057">
        <v>751</v>
      </c>
    </row>
    <row r="808" spans="68:69" ht="18" customHeight="1">
      <c r="BP808" s="118" t="str">
        <f>Bauteile!B808</f>
        <v>swissporTETTO Vlies  8-10cm</v>
      </c>
      <c r="BQ808" s="2057">
        <v>752</v>
      </c>
    </row>
    <row r="809" spans="68:69" ht="18" customHeight="1">
      <c r="BP809" s="118" t="str">
        <f>Bauteile!B809</f>
        <v>swissporTETTO Vlies  12-14cm</v>
      </c>
      <c r="BQ809" s="2057">
        <v>753</v>
      </c>
    </row>
    <row r="810" spans="68:69" ht="18" customHeight="1">
      <c r="BP810" s="118" t="str">
        <f>Bauteile!B810</f>
        <v>swissporTETTO Vlies  16-20cm</v>
      </c>
      <c r="BQ810" s="2057">
        <v>754</v>
      </c>
    </row>
    <row r="811" spans="68:69" ht="18" customHeight="1">
      <c r="BP811" s="118" t="str">
        <f>Bauteile!B811</f>
        <v>swissporPIR Top023  6cm</v>
      </c>
      <c r="BQ811" s="2057">
        <v>755</v>
      </c>
    </row>
    <row r="812" spans="68:69" ht="18" customHeight="1">
      <c r="BP812" s="118" t="str">
        <f>Bauteile!B812</f>
        <v>swissporPIR Top023  8-10cm</v>
      </c>
      <c r="BQ812" s="2057">
        <v>756</v>
      </c>
    </row>
    <row r="813" spans="68:69" ht="18" customHeight="1">
      <c r="BP813" s="118" t="str">
        <f>Bauteile!B813</f>
        <v>swissporPIR Top023  12-24cm</v>
      </c>
      <c r="BQ813" s="2057">
        <v>757</v>
      </c>
    </row>
    <row r="814" spans="68:69" ht="18" customHeight="1">
      <c r="BP814" s="118" t="str">
        <f>Bauteile!B814</f>
        <v>swisspor CH-PIR Élément coupe-feu UB 3.2</v>
      </c>
      <c r="BQ814" s="2057">
        <v>758</v>
      </c>
    </row>
    <row r="815" spans="68:69" ht="18" customHeight="1">
      <c r="BP815" s="118" t="str">
        <f>Bauteile!B815</f>
        <v>swissporPUR voile  2-7cm</v>
      </c>
      <c r="BQ815" s="2057">
        <v>759</v>
      </c>
    </row>
    <row r="816" spans="68:69" ht="18" customHeight="1">
      <c r="BP816" s="118" t="str">
        <f>Bauteile!B816</f>
        <v>swissporPUR voile  8-11cm</v>
      </c>
      <c r="BQ816" s="2057">
        <v>760</v>
      </c>
    </row>
    <row r="817" spans="68:69" ht="18" customHeight="1">
      <c r="BP817" s="118" t="str">
        <f>Bauteile!B817</f>
        <v>swissporPUR voile  12-24cm</v>
      </c>
      <c r="BQ817" s="2057">
        <v>761</v>
      </c>
    </row>
    <row r="818" spans="68:69" ht="18" customHeight="1">
      <c r="BP818" s="118" t="str">
        <f>Bauteile!B818</f>
        <v>swissporPUR Premium</v>
      </c>
      <c r="BQ818" s="2057">
        <v>762</v>
      </c>
    </row>
    <row r="819" spans="68:69" ht="18" customHeight="1">
      <c r="BP819" s="118" t="str">
        <f>Bauteile!B819</f>
        <v>swissporBATISOL panneau isolant sur chevrons</v>
      </c>
      <c r="BQ819" s="2057">
        <v>763</v>
      </c>
    </row>
    <row r="820" spans="68:69" ht="18" customHeight="1">
      <c r="BP820" s="118" t="str">
        <f>Bauteile!B820</f>
        <v>UTHERM FLOOR PIR K</v>
      </c>
      <c r="BQ820" s="2057">
        <v>764</v>
      </c>
    </row>
    <row r="821" spans="68:69" ht="18" customHeight="1">
      <c r="BP821" s="118" t="str">
        <f>Bauteile!B821</f>
        <v>UTHERM ROOF PIR K</v>
      </c>
      <c r="BQ821" s="2057">
        <v>765</v>
      </c>
    </row>
    <row r="822" spans="68:69" ht="18" customHeight="1">
      <c r="BP822" s="118" t="str">
        <f>Bauteile!B822</f>
        <v>UTHERM ROOF PIR L</v>
      </c>
      <c r="BQ822" s="2057">
        <v>766</v>
      </c>
    </row>
    <row r="823" spans="68:69" ht="18" customHeight="1">
      <c r="BP823" s="118">
        <f>Bauteile!B823</f>
        <v>0</v>
      </c>
      <c r="BQ823" s="2057">
        <v>767</v>
      </c>
    </row>
    <row r="824" spans="68:69" ht="18" customHeight="1">
      <c r="BP824" s="1268" t="str">
        <f>Bauteile!B824</f>
        <v>**** Mousse phénolique ****</v>
      </c>
      <c r="BQ824" s="2057">
        <v>768</v>
      </c>
    </row>
    <row r="825" spans="68:69" ht="18" customHeight="1">
      <c r="BP825" s="118" t="str">
        <f>Bauteile!B825</f>
        <v>Austrotherm Resolution</v>
      </c>
      <c r="BQ825" s="2057">
        <v>769</v>
      </c>
    </row>
    <row r="826" spans="68:69" ht="18" customHeight="1">
      <c r="BP826" s="118" t="str">
        <f>Bauteile!B826</f>
        <v>Kooltherm 20-44mm</v>
      </c>
      <c r="BQ826" s="2057">
        <v>770</v>
      </c>
    </row>
    <row r="827" spans="68:69" ht="18" customHeight="1">
      <c r="BP827" s="118">
        <f>Bauteile!B827</f>
        <v>0</v>
      </c>
      <c r="BQ827" s="2057">
        <v>771</v>
      </c>
    </row>
    <row r="828" spans="68:69" ht="18" customHeight="1">
      <c r="BP828" s="118">
        <f>Bauteile!B828</f>
        <v>0</v>
      </c>
      <c r="BQ828" s="2057">
        <v>772</v>
      </c>
    </row>
    <row r="829" spans="68:69" ht="18" customHeight="1">
      <c r="BP829" s="118">
        <f>Bauteile!B829</f>
        <v>0</v>
      </c>
      <c r="BQ829" s="2057">
        <v>773</v>
      </c>
    </row>
    <row r="830" spans="68:69" ht="18" customHeight="1">
      <c r="BP830" s="118">
        <f>Bauteile!B830</f>
        <v>0</v>
      </c>
      <c r="BQ830" s="2057">
        <v>774</v>
      </c>
    </row>
    <row r="831" spans="68:69" ht="18" customHeight="1">
      <c r="BP831" s="118">
        <f>Bauteile!B831</f>
        <v>0</v>
      </c>
      <c r="BQ831" s="2057">
        <v>775</v>
      </c>
    </row>
    <row r="832" spans="68:69" ht="18" customHeight="1">
      <c r="BP832" s="118">
        <f>Bauteile!B832</f>
        <v>0</v>
      </c>
      <c r="BQ832" s="2057">
        <v>776</v>
      </c>
    </row>
    <row r="833" spans="68:69" ht="18" customHeight="1">
      <c r="BP833" s="118">
        <f>Bauteile!B833</f>
        <v>0</v>
      </c>
      <c r="BQ833" s="2057">
        <v>777</v>
      </c>
    </row>
    <row r="834" spans="68:69" ht="18" customHeight="1">
      <c r="BP834" s="1268" t="str">
        <f>Bauteile!B834</f>
        <v>**** Panneaux en laine de bois ****</v>
      </c>
      <c r="BQ834" s="2057">
        <v>778</v>
      </c>
    </row>
    <row r="835" spans="68:69" ht="18" customHeight="1">
      <c r="BP835" s="118" t="str">
        <f>Bauteile!B835</f>
        <v>Fibro-Kustik</v>
      </c>
      <c r="BQ835" s="2057">
        <v>779</v>
      </c>
    </row>
    <row r="836" spans="68:69" ht="18" customHeight="1">
      <c r="BP836" s="118" t="str">
        <f>Bauteile!B836</f>
        <v>Heraklith C</v>
      </c>
      <c r="BQ836" s="2057">
        <v>780</v>
      </c>
    </row>
    <row r="837" spans="68:69" ht="18" customHeight="1">
      <c r="BP837" s="118" t="str">
        <f>Bauteile!B837</f>
        <v>Heraklith BM</v>
      </c>
      <c r="BQ837" s="2057">
        <v>781</v>
      </c>
    </row>
    <row r="838" spans="68:69" ht="18" customHeight="1">
      <c r="BP838" s="118" t="str">
        <f>Bauteile!B838</f>
        <v>Heraklith Agro</v>
      </c>
      <c r="BQ838" s="2057">
        <v>782</v>
      </c>
    </row>
    <row r="839" spans="68:69" ht="18" customHeight="1">
      <c r="BP839" s="118" t="str">
        <f>Bauteile!B839</f>
        <v>Heraklith A2-BM</v>
      </c>
      <c r="BQ839" s="2057">
        <v>783</v>
      </c>
    </row>
    <row r="840" spans="68:69" ht="18" customHeight="1">
      <c r="BP840" s="118">
        <f>Bauteile!B840</f>
        <v>0</v>
      </c>
      <c r="BQ840" s="2057">
        <v>784</v>
      </c>
    </row>
    <row r="841" spans="68:69" ht="18" customHeight="1">
      <c r="BP841" s="1268" t="str">
        <f>Bauteile!B841</f>
        <v>**** Panneaux de fibres de bois ****</v>
      </c>
      <c r="BQ841" s="2057">
        <v>785</v>
      </c>
    </row>
    <row r="842" spans="68:69" ht="18" customHeight="1">
      <c r="BP842" s="118" t="str">
        <f>Bauteile!B842</f>
        <v>GUTEX Multiplex-top</v>
      </c>
      <c r="BQ842" s="2057">
        <v>786</v>
      </c>
    </row>
    <row r="843" spans="68:69" ht="18" customHeight="1">
      <c r="BP843" s="118" t="str">
        <f>Bauteile!B843</f>
        <v>GUTEX Thermoflat</v>
      </c>
      <c r="BQ843" s="2057">
        <v>787</v>
      </c>
    </row>
    <row r="844" spans="68:69" ht="18" customHeight="1">
      <c r="BP844" s="118" t="str">
        <f>Bauteile!B844</f>
        <v>GUTEX Thermoroom</v>
      </c>
      <c r="BQ844" s="2057">
        <v>788</v>
      </c>
    </row>
    <row r="845" spans="68:69" ht="18" customHeight="1">
      <c r="BP845" s="118" t="str">
        <f>Bauteile!B845</f>
        <v>GUTEX Thermosafe-homogen</v>
      </c>
      <c r="BQ845" s="2057">
        <v>789</v>
      </c>
    </row>
    <row r="846" spans="68:69" ht="18" customHeight="1">
      <c r="BP846" s="118" t="str">
        <f>Bauteile!B846</f>
        <v>GUTEX Thermosafe-nf</v>
      </c>
      <c r="BQ846" s="2057">
        <v>790</v>
      </c>
    </row>
    <row r="847" spans="68:69" ht="18" customHeight="1">
      <c r="BP847" s="118" t="str">
        <f>Bauteile!B847</f>
        <v>GUTEX Thermosafe-wd</v>
      </c>
      <c r="BQ847" s="2057">
        <v>791</v>
      </c>
    </row>
    <row r="848" spans="68:69" ht="18" customHeight="1">
      <c r="BP848" s="118" t="str">
        <f>Bauteile!B848</f>
        <v>GUTEX Thermowall</v>
      </c>
      <c r="BQ848" s="2057">
        <v>792</v>
      </c>
    </row>
    <row r="849" spans="68:69" ht="18" customHeight="1">
      <c r="BP849" s="118" t="str">
        <f>Bauteile!B849</f>
        <v>GUTEX Thermowall-gf</v>
      </c>
      <c r="BQ849" s="2057">
        <v>793</v>
      </c>
    </row>
    <row r="850" spans="68:69" ht="18" customHeight="1">
      <c r="BP850" s="118" t="str">
        <f>Bauteile!B850</f>
        <v>GUTEX Ultratherm</v>
      </c>
      <c r="BQ850" s="2057">
        <v>794</v>
      </c>
    </row>
    <row r="851" spans="68:69" ht="18" customHeight="1">
      <c r="BP851" s="118" t="str">
        <f>Bauteile!B851</f>
        <v>GUTEX Thermoinstal</v>
      </c>
      <c r="BQ851" s="2057">
        <v>795</v>
      </c>
    </row>
    <row r="852" spans="68:69" ht="18" customHeight="1">
      <c r="BP852" s="118" t="str">
        <f>Bauteile!B852</f>
        <v>GUTEX Thermofloor</v>
      </c>
      <c r="BQ852" s="2057">
        <v>796</v>
      </c>
    </row>
    <row r="853" spans="68:69" ht="18" customHeight="1">
      <c r="BP853" s="118" t="str">
        <f>Bauteile!B853</f>
        <v>GUTEX Multitherm</v>
      </c>
      <c r="BQ853" s="2057">
        <v>797</v>
      </c>
    </row>
    <row r="854" spans="68:69" ht="18" customHeight="1">
      <c r="BP854" s="118" t="str">
        <f>Bauteile!B854</f>
        <v>GUTEX Dämmplatte DW</v>
      </c>
      <c r="BQ854" s="2057">
        <v>798</v>
      </c>
    </row>
    <row r="855" spans="68:69" ht="18" customHeight="1">
      <c r="BP855" s="118" t="str">
        <f>Bauteile!B855</f>
        <v>Flex 50</v>
      </c>
      <c r="BQ855" s="2057">
        <v>799</v>
      </c>
    </row>
    <row r="856" spans="68:69" ht="18" customHeight="1">
      <c r="BP856" s="118" t="str">
        <f>Bauteile!B856</f>
        <v>Floor 140</v>
      </c>
      <c r="BQ856" s="2057">
        <v>800</v>
      </c>
    </row>
    <row r="857" spans="68:69" ht="18" customHeight="1">
      <c r="BP857" s="118" t="str">
        <f>Bauteile!B857</f>
        <v>Multitherm 110</v>
      </c>
      <c r="BQ857" s="2057">
        <v>801</v>
      </c>
    </row>
    <row r="858" spans="68:69" ht="18" customHeight="1">
      <c r="BP858" s="118" t="str">
        <f>Bauteile!B858</f>
        <v>Multitherm 140</v>
      </c>
      <c r="BQ858" s="2057">
        <v>802</v>
      </c>
    </row>
    <row r="859" spans="68:69" ht="18" customHeight="1">
      <c r="BP859" s="118" t="str">
        <f>Bauteile!B859</f>
        <v>Room 140</v>
      </c>
      <c r="BQ859" s="2057">
        <v>803</v>
      </c>
    </row>
    <row r="860" spans="68:69" ht="18" customHeight="1">
      <c r="BP860" s="118" t="str">
        <f>Bauteile!B860</f>
        <v>Top 140</v>
      </c>
      <c r="BQ860" s="2057">
        <v>804</v>
      </c>
    </row>
    <row r="861" spans="68:69" ht="18" customHeight="1">
      <c r="BP861" s="118" t="str">
        <f>Bauteile!B861</f>
        <v>Top 160</v>
      </c>
      <c r="BQ861" s="2057">
        <v>805</v>
      </c>
    </row>
    <row r="862" spans="68:69" ht="18" customHeight="1">
      <c r="BP862" s="118" t="str">
        <f>Bauteile!B862</f>
        <v>Top 180</v>
      </c>
      <c r="BQ862" s="2057">
        <v>806</v>
      </c>
    </row>
    <row r="863" spans="68:69" ht="18" customHeight="1">
      <c r="BP863" s="118" t="str">
        <f>Bauteile!B863</f>
        <v>Top 220</v>
      </c>
      <c r="BQ863" s="2057">
        <v>807</v>
      </c>
    </row>
    <row r="864" spans="68:69" ht="18" customHeight="1">
      <c r="BP864" s="118" t="str">
        <f>Bauteile!B864</f>
        <v>Wall 140</v>
      </c>
      <c r="BQ864" s="2057">
        <v>808</v>
      </c>
    </row>
    <row r="865" spans="68:69" ht="18" customHeight="1">
      <c r="BP865" s="118" t="str">
        <f>Bauteile!B865</f>
        <v>Wall 180</v>
      </c>
      <c r="BQ865" s="2057">
        <v>809</v>
      </c>
    </row>
    <row r="866" spans="68:69" ht="18" customHeight="1">
      <c r="BP866" s="118" t="str">
        <f>Bauteile!B866</f>
        <v>holzFlex</v>
      </c>
      <c r="BQ866" s="2057">
        <v>810</v>
      </c>
    </row>
    <row r="867" spans="68:69" ht="18" customHeight="1">
      <c r="BP867" s="118" t="str">
        <f>Bauteile!B867</f>
        <v>HDP Q11 standard</v>
      </c>
      <c r="BQ867" s="2057">
        <v>811</v>
      </c>
    </row>
    <row r="868" spans="68:69" ht="18" customHeight="1">
      <c r="BP868" s="118" t="str">
        <f>Bauteile!B868</f>
        <v>HDP Q11 protect</v>
      </c>
      <c r="BQ868" s="2057">
        <v>812</v>
      </c>
    </row>
    <row r="869" spans="68:69" ht="18" customHeight="1">
      <c r="BP869" s="118" t="str">
        <f>Bauteile!B869</f>
        <v>ID Q11 standard</v>
      </c>
      <c r="BQ869" s="2057">
        <v>813</v>
      </c>
    </row>
    <row r="870" spans="68:69" ht="18" customHeight="1">
      <c r="BP870" s="118" t="str">
        <f>Bauteile!B870</f>
        <v>UD Q11 protect</v>
      </c>
      <c r="BQ870" s="2057">
        <v>814</v>
      </c>
    </row>
    <row r="871" spans="68:69" ht="18" customHeight="1">
      <c r="BP871" s="118" t="str">
        <f>Bauteile!B871</f>
        <v>Energie Plus massive</v>
      </c>
      <c r="BQ871" s="2057">
        <v>815</v>
      </c>
    </row>
    <row r="872" spans="68:69" ht="18" customHeight="1">
      <c r="BP872" s="118" t="str">
        <f>Bauteile!B872</f>
        <v>Energie Plus comfort</v>
      </c>
      <c r="BQ872" s="2057">
        <v>816</v>
      </c>
    </row>
    <row r="873" spans="68:69" ht="18" customHeight="1">
      <c r="BP873" s="118" t="str">
        <f>Bauteile!B873</f>
        <v>PAVAPOR</v>
      </c>
      <c r="BQ873" s="2057">
        <v>817</v>
      </c>
    </row>
    <row r="874" spans="68:69" ht="18" customHeight="1">
      <c r="BP874" s="118" t="str">
        <f>Bauteile!B874</f>
        <v>SWISSTHERM</v>
      </c>
      <c r="BQ874" s="2057">
        <v>818</v>
      </c>
    </row>
    <row r="875" spans="68:69" ht="18" customHeight="1">
      <c r="BP875" s="118" t="str">
        <f>Bauteile!B875</f>
        <v>PAVATHERM-PROFIL</v>
      </c>
      <c r="BQ875" s="2057">
        <v>819</v>
      </c>
    </row>
    <row r="876" spans="68:69" ht="18" customHeight="1">
      <c r="BP876" s="118" t="str">
        <f>Bauteile!B876</f>
        <v>PAVADENTRO</v>
      </c>
      <c r="BQ876" s="2057">
        <v>820</v>
      </c>
    </row>
    <row r="877" spans="68:69" ht="18" customHeight="1">
      <c r="BP877" s="118" t="str">
        <f>Bauteile!B877</f>
        <v>PAVATHERM-PLUS</v>
      </c>
      <c r="BQ877" s="2057">
        <v>821</v>
      </c>
    </row>
    <row r="878" spans="68:69" ht="18" customHeight="1">
      <c r="BP878" s="118" t="str">
        <f>Bauteile!B878</f>
        <v>DIFFUTHERM</v>
      </c>
      <c r="BQ878" s="2057">
        <v>822</v>
      </c>
    </row>
    <row r="879" spans="68:69" ht="18" customHeight="1">
      <c r="BP879" s="118" t="str">
        <f>Bauteile!B879</f>
        <v>PAVABOARD</v>
      </c>
      <c r="BQ879" s="2057">
        <v>823</v>
      </c>
    </row>
    <row r="880" spans="68:69" ht="18" customHeight="1">
      <c r="BP880" s="118" t="str">
        <f>Bauteile!B880</f>
        <v>ISOROOF 35-60 mm</v>
      </c>
      <c r="BQ880" s="2057">
        <v>824</v>
      </c>
    </row>
    <row r="881" spans="68:69" ht="18" customHeight="1">
      <c r="BP881" s="118" t="str">
        <f>Bauteile!B881</f>
        <v>SWISSISOLANT</v>
      </c>
      <c r="BQ881" s="2057">
        <v>825</v>
      </c>
    </row>
    <row r="882" spans="68:69" ht="18" customHeight="1">
      <c r="BP882" s="118" t="str">
        <f>Bauteile!B882</f>
        <v>ISOROOF 20-24 mm</v>
      </c>
      <c r="BQ882" s="2057">
        <v>826</v>
      </c>
    </row>
    <row r="883" spans="68:69" ht="18" customHeight="1">
      <c r="BP883" s="118" t="str">
        <f>Bauteile!B883</f>
        <v>PAVAFLEX</v>
      </c>
      <c r="BQ883" s="2057">
        <v>827</v>
      </c>
    </row>
    <row r="884" spans="68:69" ht="18" customHeight="1">
      <c r="BP884" s="118" t="str">
        <f>Bauteile!B884</f>
        <v>ISOLAIR</v>
      </c>
      <c r="BQ884" s="2057">
        <v>828</v>
      </c>
    </row>
    <row r="885" spans="68:69" ht="18" customHeight="1">
      <c r="BP885" s="118" t="str">
        <f>Bauteile!B885</f>
        <v>DIFFUBOARD</v>
      </c>
      <c r="BQ885" s="2057">
        <v>829</v>
      </c>
    </row>
    <row r="886" spans="68:69" ht="18" customHeight="1">
      <c r="BP886" s="118" t="str">
        <f>Bauteile!B886</f>
        <v>PAVAWALL, PAVAWALL-BLOC</v>
      </c>
      <c r="BQ886" s="2057">
        <v>830</v>
      </c>
    </row>
    <row r="887" spans="68:69" ht="18" customHeight="1">
      <c r="BP887" s="118" t="str">
        <f>Bauteile!B887</f>
        <v>PAVATHERM</v>
      </c>
      <c r="BQ887" s="2057">
        <v>831</v>
      </c>
    </row>
    <row r="888" spans="68:69" ht="18" customHeight="1">
      <c r="BP888" s="118" t="str">
        <f>Bauteile!B888</f>
        <v>PAVATHERM-COMBI / ISOLAIR 100-200 mm</v>
      </c>
      <c r="BQ888" s="2057">
        <v>832</v>
      </c>
    </row>
    <row r="889" spans="68:69" ht="18" customHeight="1">
      <c r="BP889" s="118" t="str">
        <f>Bauteile!B889</f>
        <v>ISOVER ISOPROTECT</v>
      </c>
      <c r="BQ889" s="2057">
        <v>833</v>
      </c>
    </row>
    <row r="890" spans="68:69" ht="18" customHeight="1">
      <c r="BP890" s="118" t="str">
        <f>Bauteile!B890</f>
        <v>ISOVER ISOPROTECT</v>
      </c>
      <c r="BQ890" s="2057">
        <v>834</v>
      </c>
    </row>
    <row r="891" spans="68:69" ht="18" customHeight="1">
      <c r="BP891" s="118" t="str">
        <f>Bauteile!B891</f>
        <v>STEICOflex</v>
      </c>
      <c r="BQ891" s="2057">
        <v>835</v>
      </c>
    </row>
    <row r="892" spans="68:69" ht="18" customHeight="1">
      <c r="BP892" s="118" t="str">
        <f>Bauteile!B892</f>
        <v>STEICOtherm, STEICOtherm SD, STEICOfloor, STEICOinternal</v>
      </c>
      <c r="BQ892" s="2057">
        <v>836</v>
      </c>
    </row>
    <row r="893" spans="68:69" ht="18" customHeight="1">
      <c r="BP893" s="118" t="str">
        <f>Bauteile!B893</f>
        <v>STEICOuniversal, STEICOprotect H</v>
      </c>
      <c r="BQ893" s="2057">
        <v>837</v>
      </c>
    </row>
    <row r="894" spans="68:69" ht="18" customHeight="1">
      <c r="BP894" s="118" t="str">
        <f>Bauteile!B894</f>
        <v>STEICOprotect M, STEICOroof</v>
      </c>
      <c r="BQ894" s="2057">
        <v>838</v>
      </c>
    </row>
    <row r="895" spans="68:69" ht="18" customHeight="1">
      <c r="BP895" s="118" t="str">
        <f>Bauteile!B895</f>
        <v>LDF 110, STEICOtherm dry, STEICOprotect L dry</v>
      </c>
      <c r="BQ895" s="2057">
        <v>839</v>
      </c>
    </row>
    <row r="896" spans="68:69" ht="18" customHeight="1">
      <c r="BP896" s="118" t="str">
        <f>Bauteile!B896</f>
        <v>LDF 140, STEICOspecial dry, M dry, top, install, safe</v>
      </c>
      <c r="BQ896" s="2057">
        <v>840</v>
      </c>
    </row>
    <row r="897" spans="68:69" ht="18" customHeight="1">
      <c r="BP897" s="118" t="str">
        <f>Bauteile!B897</f>
        <v>LDF 180, STEICOuniversal dry, STEICOprotect H dry</v>
      </c>
      <c r="BQ897" s="2057">
        <v>841</v>
      </c>
    </row>
    <row r="898" spans="68:69" ht="18" customHeight="1">
      <c r="BP898" s="118" t="str">
        <f>Bauteile!B898</f>
        <v>LDF 180, STEICOuniversal dry, STEICOprotect H dry</v>
      </c>
      <c r="BQ898" s="2057">
        <v>842</v>
      </c>
    </row>
    <row r="899" spans="68:69" ht="18" customHeight="1">
      <c r="BP899" s="118" t="str">
        <f>Bauteile!B899</f>
        <v>flexCL</v>
      </c>
      <c r="BQ899" s="2057">
        <v>843</v>
      </c>
    </row>
    <row r="900" spans="68:69" ht="18" customHeight="1">
      <c r="BP900" s="1268" t="str">
        <f>Bauteile!B900</f>
        <v>**** Fibres de bois en vrac ****</v>
      </c>
      <c r="BQ900" s="2057">
        <v>844</v>
      </c>
    </row>
    <row r="901" spans="68:69" ht="18" customHeight="1">
      <c r="BP901" s="118" t="str">
        <f>Bauteile!B901</f>
        <v>Airflex</v>
      </c>
      <c r="BQ901" s="2057">
        <v>845</v>
      </c>
    </row>
    <row r="902" spans="68:69" ht="18" customHeight="1">
      <c r="BP902" s="118" t="str">
        <f>Bauteile!B902</f>
        <v>isofloc woodfiber</v>
      </c>
      <c r="BQ902" s="2057">
        <v>846</v>
      </c>
    </row>
    <row r="903" spans="68:69" ht="18" customHeight="1">
      <c r="BP903" s="118" t="str">
        <f>Bauteile!B903</f>
        <v>STEICOzell</v>
      </c>
      <c r="BQ903" s="2057">
        <v>847</v>
      </c>
    </row>
    <row r="904" spans="68:69" ht="18" customHeight="1">
      <c r="BP904" s="118">
        <f>Bauteile!B904</f>
        <v>0</v>
      </c>
      <c r="BQ904" s="2057">
        <v>848</v>
      </c>
    </row>
    <row r="905" spans="68:69" ht="18" customHeight="1">
      <c r="BP905" s="118" t="str">
        <f>Bauteile!B905</f>
        <v>HOIZ Hobelspandämmstoff</v>
      </c>
      <c r="BQ905" s="2057">
        <v>849</v>
      </c>
    </row>
    <row r="906" spans="68:69" ht="18" customHeight="1">
      <c r="BP906" s="118">
        <f>Bauteile!B906</f>
        <v>0</v>
      </c>
      <c r="BQ906" s="2057">
        <v>850</v>
      </c>
    </row>
    <row r="907" spans="68:69" ht="18" customHeight="1">
      <c r="BP907" s="118">
        <f>Bauteile!B907</f>
        <v>0</v>
      </c>
      <c r="BQ907" s="2057">
        <v>851</v>
      </c>
    </row>
    <row r="908" spans="68:69" ht="18" customHeight="1">
      <c r="BP908" s="1268" t="str">
        <f>Bauteile!B908</f>
        <v>**** Cellulose (en vrac) ****</v>
      </c>
      <c r="BQ908" s="2057">
        <v>852</v>
      </c>
    </row>
    <row r="909" spans="68:69" ht="18" customHeight="1">
      <c r="BP909" s="118" t="str">
        <f>Bauteile!B909</f>
        <v>climacell</v>
      </c>
      <c r="BQ909" s="2057">
        <v>853</v>
      </c>
    </row>
    <row r="910" spans="68:69" ht="18" customHeight="1">
      <c r="BP910" s="118" t="str">
        <f>Bauteile!B910</f>
        <v>Isocell</v>
      </c>
      <c r="BQ910" s="2057">
        <v>854</v>
      </c>
    </row>
    <row r="911" spans="68:69" ht="18" customHeight="1">
      <c r="BP911" s="118" t="str">
        <f>Bauteile!B911</f>
        <v>trendisol</v>
      </c>
      <c r="BQ911" s="2057">
        <v>855</v>
      </c>
    </row>
    <row r="912" spans="68:69" ht="18" customHeight="1">
      <c r="BP912" s="118" t="str">
        <f>Bauteile!B912</f>
        <v>Dobry-Ekovilla</v>
      </c>
      <c r="BQ912" s="2057">
        <v>856</v>
      </c>
    </row>
    <row r="913" spans="68:69" ht="18" customHeight="1">
      <c r="BP913" s="118" t="str">
        <f>Bauteile!B913</f>
        <v>Pavafloc</v>
      </c>
      <c r="BQ913" s="2057">
        <v>857</v>
      </c>
    </row>
    <row r="914" spans="68:69" ht="18" customHeight="1">
      <c r="BP914" s="118" t="str">
        <f>Bauteile!B914</f>
        <v>isofloc LM, isofloc L, isofloc FIP, Swissfloc</v>
      </c>
      <c r="BQ914" s="2057">
        <v>858</v>
      </c>
    </row>
    <row r="915" spans="68:69" ht="18" customHeight="1">
      <c r="BP915" s="118" t="str">
        <f>Bauteile!B915</f>
        <v>isofloc eco, isofloc neo</v>
      </c>
      <c r="BQ915" s="2057">
        <v>859</v>
      </c>
    </row>
    <row r="916" spans="68:69" ht="18" customHeight="1">
      <c r="BP916" s="118" t="str">
        <f>Bauteile!B916</f>
        <v>**** Matériaux isolants végétale &amp; animale ****</v>
      </c>
      <c r="BQ916" s="2057">
        <v>860</v>
      </c>
    </row>
    <row r="917" spans="68:69" ht="18" customHeight="1">
      <c r="BP917" s="118" t="str">
        <f>Bauteile!B917</f>
        <v>Herbe: matelas, en vrac; non contrôlé</v>
      </c>
      <c r="BQ917" s="2057">
        <v>861</v>
      </c>
    </row>
    <row r="918" spans="68:69" ht="18" customHeight="1">
      <c r="BP918" s="118" t="str">
        <f>Bauteile!B918</f>
        <v>Chanvre: matelas, rouleaux; non contrôlé</v>
      </c>
      <c r="BQ918" s="2057">
        <v>862</v>
      </c>
    </row>
    <row r="919" spans="68:69" ht="18" customHeight="1">
      <c r="BP919" s="118" t="str">
        <f>Bauteile!B919</f>
        <v>Coton: matelas, rouleaux; non contrôlé</v>
      </c>
      <c r="BQ919" s="2057">
        <v>863</v>
      </c>
    </row>
    <row r="920" spans="68:69" ht="18" customHeight="1">
      <c r="BP920" s="118" t="str">
        <f>Bauteile!B920</f>
        <v>autres matériaux isolants d'origine végétale; non contrôlé</v>
      </c>
      <c r="BQ920" s="2057">
        <v>864</v>
      </c>
    </row>
    <row r="921" spans="68:69" ht="18" customHeight="1">
      <c r="BP921" s="118" t="str">
        <f>Bauteile!B921</f>
        <v>AgriCell BW</v>
      </c>
      <c r="BQ921" s="2057">
        <v>865</v>
      </c>
    </row>
    <row r="922" spans="68:69" ht="18" customHeight="1">
      <c r="BP922" s="118" t="str">
        <f>Bauteile!B922</f>
        <v>Laine de mouton: matelas, rouleaux; non contrôlé</v>
      </c>
      <c r="BQ922" s="2057">
        <v>866</v>
      </c>
    </row>
    <row r="923" spans="68:69" ht="18" customHeight="1">
      <c r="BP923" s="118" t="str">
        <f>Bauteile!B923</f>
        <v>ISOLENA Premium</v>
      </c>
      <c r="BQ923" s="2057">
        <v>867</v>
      </c>
    </row>
    <row r="924" spans="68:69" ht="18" customHeight="1">
      <c r="BP924" s="118">
        <f>Bauteile!B924</f>
        <v>0</v>
      </c>
      <c r="BQ924" s="2057">
        <v>868</v>
      </c>
    </row>
    <row r="925" spans="68:69" ht="18" customHeight="1">
      <c r="BP925" s="118">
        <f>Bauteile!B925</f>
        <v>0</v>
      </c>
      <c r="BQ925" s="2057">
        <v>869</v>
      </c>
    </row>
    <row r="926" spans="68:69" ht="18" customHeight="1">
      <c r="BP926" s="1268" t="str">
        <f>Bauteile!B926</f>
        <v>**** Panneaux composites (multicouches) ****</v>
      </c>
      <c r="BQ926" s="2057">
        <v>870</v>
      </c>
    </row>
    <row r="927" spans="68:69" ht="18" customHeight="1">
      <c r="BP927" s="118" t="str">
        <f>Bauteile!B927</f>
        <v>Fibro-DUR 3 040 (noyau)</v>
      </c>
      <c r="BQ927" s="2057">
        <v>871</v>
      </c>
    </row>
    <row r="928" spans="68:69" ht="18" customHeight="1">
      <c r="BP928" s="118" t="str">
        <f>Bauteile!B928</f>
        <v>Fibro-DUR 3 040 (couche)</v>
      </c>
      <c r="BQ928" s="2057">
        <v>872</v>
      </c>
    </row>
    <row r="929" spans="68:69" ht="18" customHeight="1">
      <c r="BP929" s="118" t="str">
        <f>Bauteile!B929</f>
        <v>Fibro-DUR 3 035 (noyau)</v>
      </c>
      <c r="BQ929" s="2057">
        <v>873</v>
      </c>
    </row>
    <row r="930" spans="68:69" ht="18" customHeight="1">
      <c r="BP930" s="118" t="str">
        <f>Bauteile!B930</f>
        <v>Fibro-DUR 3 035 (couche)</v>
      </c>
      <c r="BQ930" s="2057">
        <v>874</v>
      </c>
    </row>
    <row r="931" spans="68:69" ht="18" customHeight="1">
      <c r="BP931" s="118" t="str">
        <f>Bauteile!B931</f>
        <v>Fibro-DUR 2 032 (noyau)</v>
      </c>
      <c r="BQ931" s="2057">
        <v>875</v>
      </c>
    </row>
    <row r="932" spans="68:69" ht="18" customHeight="1">
      <c r="BP932" s="118" t="str">
        <f>Bauteile!B932</f>
        <v>Fibro-DUR 2 032 (couche)</v>
      </c>
      <c r="BQ932" s="2057">
        <v>876</v>
      </c>
    </row>
    <row r="933" spans="68:69" ht="18" customHeight="1">
      <c r="BP933" s="118" t="str">
        <f>Bauteile!B933</f>
        <v>Fibro-DUR 3 032 (noyau)</v>
      </c>
      <c r="BQ933" s="2057">
        <v>877</v>
      </c>
    </row>
    <row r="934" spans="68:69" ht="18" customHeight="1">
      <c r="BP934" s="118" t="str">
        <f>Bauteile!B934</f>
        <v>Fibro-DUR 3 032 (couche)</v>
      </c>
      <c r="BQ934" s="2057">
        <v>878</v>
      </c>
    </row>
    <row r="935" spans="68:69" ht="18" customHeight="1">
      <c r="BP935" s="118" t="str">
        <f>Bauteile!B935</f>
        <v>Heratekta C-3-032 (noyau)</v>
      </c>
      <c r="BQ935" s="2057">
        <v>879</v>
      </c>
    </row>
    <row r="936" spans="68:69" ht="18" customHeight="1">
      <c r="BP936" s="118" t="str">
        <f>Bauteile!B936</f>
        <v>Heratekta C-3-032 (couches)</v>
      </c>
      <c r="BQ936" s="2057">
        <v>880</v>
      </c>
    </row>
    <row r="937" spans="68:69" ht="18" customHeight="1">
      <c r="BP937" s="118" t="str">
        <f>Bauteile!B937</f>
        <v>Heratekta SE 032/2 (noyau)</v>
      </c>
      <c r="BQ937" s="2057">
        <v>881</v>
      </c>
    </row>
    <row r="938" spans="68:69" ht="18" customHeight="1">
      <c r="BP938" s="118" t="str">
        <f>Bauteile!B938</f>
        <v>Heratekta SE 032/2 (couche)</v>
      </c>
      <c r="BQ938" s="2057">
        <v>882</v>
      </c>
    </row>
    <row r="939" spans="68:69" ht="18" customHeight="1">
      <c r="BP939" s="118" t="str">
        <f>Bauteile!B939</f>
        <v>Tektalan A2-E21 (noyau)</v>
      </c>
      <c r="BQ939" s="2057">
        <v>883</v>
      </c>
    </row>
    <row r="940" spans="68:69" ht="18" customHeight="1">
      <c r="BP940" s="118" t="str">
        <f>Bauteile!B940</f>
        <v>Tektalan A2-E21 (couches)</v>
      </c>
      <c r="BQ940" s="2057">
        <v>884</v>
      </c>
    </row>
    <row r="941" spans="68:69" ht="18" customHeight="1">
      <c r="BP941" s="118" t="str">
        <f>Bauteile!B941</f>
        <v>Tektalan A2-SD (noyau)</v>
      </c>
      <c r="BQ941" s="2057">
        <v>885</v>
      </c>
    </row>
    <row r="942" spans="68:69" ht="18" customHeight="1">
      <c r="BP942" s="118" t="str">
        <f>Bauteile!B942</f>
        <v>Tektalan A2-SD (couches)</v>
      </c>
      <c r="BQ942" s="2057">
        <v>886</v>
      </c>
    </row>
    <row r="943" spans="68:69" ht="18" customHeight="1">
      <c r="BP943" s="118" t="str">
        <f>Bauteile!B943</f>
        <v>Tektalan A2-035/2 (1.0) (noyau)</v>
      </c>
      <c r="BQ943" s="2057">
        <v>887</v>
      </c>
    </row>
    <row r="944" spans="68:69" ht="18" customHeight="1">
      <c r="BP944" s="118" t="str">
        <f>Bauteile!B944</f>
        <v>Tektalan A2-035/2 (1.0) (couche)</v>
      </c>
      <c r="BQ944" s="2057">
        <v>888</v>
      </c>
    </row>
    <row r="945" spans="68:69" ht="18" customHeight="1">
      <c r="BP945" s="118" t="str">
        <f>Bauteile!B945</f>
        <v>Tektalan A2-E31-035/2 (noyau)</v>
      </c>
      <c r="BQ945" s="2057">
        <v>889</v>
      </c>
    </row>
    <row r="946" spans="68:69" ht="18" customHeight="1">
      <c r="BP946" s="118" t="str">
        <f>Bauteile!B946</f>
        <v>Tektalan A2-E31-035/2 (couche)</v>
      </c>
      <c r="BQ946" s="2057">
        <v>890</v>
      </c>
    </row>
    <row r="947" spans="68:69" ht="18" customHeight="1">
      <c r="BP947" s="118" t="str">
        <f>Bauteile!B947</f>
        <v>Tektalan A2-HDX (noyau)</v>
      </c>
      <c r="BQ947" s="2057">
        <v>891</v>
      </c>
    </row>
    <row r="948" spans="68:69" ht="18" customHeight="1">
      <c r="BP948" s="118" t="str">
        <f>Bauteile!B948</f>
        <v>Tektalan A2-HDX (couches)</v>
      </c>
      <c r="BQ948" s="2057">
        <v>892</v>
      </c>
    </row>
    <row r="949" spans="68:69" ht="18" customHeight="1">
      <c r="BP949" s="118" t="str">
        <f>Bauteile!B949</f>
        <v>Tektalan A2-TK-035/2 (noyau)</v>
      </c>
      <c r="BQ949" s="2057">
        <v>893</v>
      </c>
    </row>
    <row r="950" spans="68:69" ht="18" customHeight="1">
      <c r="BP950" s="118" t="str">
        <f>Bauteile!B950</f>
        <v>Tektalan A2-TK-035/2 (couche)</v>
      </c>
      <c r="BQ950" s="2057">
        <v>894</v>
      </c>
    </row>
    <row r="951" spans="68:69" ht="18" customHeight="1">
      <c r="BP951" s="118">
        <f>Bauteile!B951</f>
        <v>0</v>
      </c>
      <c r="BQ951" s="2057">
        <v>895</v>
      </c>
    </row>
    <row r="952" spans="68:69" ht="18" customHeight="1">
      <c r="BP952" s="1268" t="str">
        <f>Bauteile!B952</f>
        <v>**** Panneaux isolants sous vide (VIP)****</v>
      </c>
      <c r="BQ952" s="2057">
        <v>896</v>
      </c>
    </row>
    <row r="953" spans="68:69" ht="18" customHeight="1">
      <c r="BP953" s="118" t="str">
        <f>Bauteile!B953</f>
        <v>SlimVac</v>
      </c>
      <c r="BQ953" s="2057">
        <v>897</v>
      </c>
    </row>
    <row r="954" spans="68:69" ht="18" customHeight="1">
      <c r="BP954" s="118" t="str">
        <f>Bauteile!B954</f>
        <v>swissporVIP</v>
      </c>
      <c r="BQ954" s="2057">
        <v>898</v>
      </c>
    </row>
    <row r="955" spans="68:69" ht="18" customHeight="1">
      <c r="BP955" s="118" t="str">
        <f>Bauteile!B955</f>
        <v>vakuVIP B2</v>
      </c>
      <c r="BQ955" s="2057">
        <v>899</v>
      </c>
    </row>
    <row r="956" spans="68:69" ht="18" customHeight="1">
      <c r="BP956" s="118">
        <f>Bauteile!B956</f>
        <v>0</v>
      </c>
      <c r="BQ956" s="2057">
        <v>900</v>
      </c>
    </row>
    <row r="957" spans="68:69" ht="18" customHeight="1">
      <c r="BP957" s="118" t="str">
        <f>Bauteile!B957</f>
        <v>Vacucomp S, Vacucomp P1, Vacucomp P2</v>
      </c>
      <c r="BQ957" s="2057">
        <v>901</v>
      </c>
    </row>
    <row r="958" spans="68:69" ht="18" customHeight="1">
      <c r="BP958" s="118">
        <f>Bauteile!B958</f>
        <v>0</v>
      </c>
      <c r="BQ958" s="2057">
        <v>902</v>
      </c>
    </row>
    <row r="959" spans="68:69" ht="18" customHeight="1">
      <c r="BP959" s="118" t="str">
        <f>Bauteile!B959</f>
        <v>Vacuspeed</v>
      </c>
      <c r="BQ959" s="2057">
        <v>903</v>
      </c>
    </row>
    <row r="960" spans="68:69" ht="18" customHeight="1">
      <c r="BP960" s="118">
        <f>Bauteile!B960</f>
        <v>0</v>
      </c>
      <c r="BQ960" s="2057">
        <v>904</v>
      </c>
    </row>
    <row r="961" spans="68:69" ht="18" customHeight="1">
      <c r="BP961" s="118">
        <f>Bauteile!B961</f>
        <v>0</v>
      </c>
      <c r="BQ961" s="2057">
        <v>905</v>
      </c>
    </row>
    <row r="962" spans="68:69" ht="18" customHeight="1">
      <c r="BP962" s="1268" t="str">
        <f>Bauteile!B962</f>
        <v>**** Béton cellulaire ****</v>
      </c>
      <c r="BQ962" s="2057">
        <v>906</v>
      </c>
    </row>
    <row r="963" spans="68:69" ht="18" customHeight="1">
      <c r="BP963" s="118" t="str">
        <f>Bauteile!B963</f>
        <v>Multipor Mineraldämmplatte 042</v>
      </c>
      <c r="BQ963" s="2057">
        <v>907</v>
      </c>
    </row>
    <row r="964" spans="68:69" ht="18" customHeight="1">
      <c r="BP964" s="118" t="str">
        <f>Bauteile!B964</f>
        <v>Multipor Mineraldämmplatte 045</v>
      </c>
      <c r="BQ964" s="2057">
        <v>908</v>
      </c>
    </row>
    <row r="965" spans="68:69" ht="18" customHeight="1">
      <c r="BP965" s="118" t="str">
        <f>Bauteile!B965</f>
        <v>**** Panneaux en polystyrène, liées au ciment *****</v>
      </c>
      <c r="BQ965" s="2057">
        <v>909</v>
      </c>
    </row>
    <row r="966" spans="68:69" ht="18" customHeight="1">
      <c r="BP966" s="118" t="str">
        <f>Bauteile!B966</f>
        <v>3i-isolet RD 200</v>
      </c>
      <c r="BQ966" s="2057">
        <v>910</v>
      </c>
    </row>
    <row r="967" spans="68:69" ht="18" customHeight="1">
      <c r="BP967" s="118" t="str">
        <f>Bauteile!B967</f>
        <v>Prottelith panneau isolant</v>
      </c>
      <c r="BQ967" s="2057">
        <v>911</v>
      </c>
    </row>
    <row r="968" spans="68:69" ht="18" customHeight="1">
      <c r="BP968" s="118">
        <f>Bauteile!B968</f>
        <v>0</v>
      </c>
      <c r="BQ968" s="2057">
        <v>912</v>
      </c>
    </row>
    <row r="969" spans="68:69" ht="18" customHeight="1">
      <c r="BP969" s="1268" t="str">
        <f>Bauteile!B969</f>
        <v>**** Produits d'isolation réfléchissants ****</v>
      </c>
      <c r="BQ969" s="2057">
        <v>913</v>
      </c>
    </row>
    <row r="970" spans="68:69" ht="18" customHeight="1">
      <c r="BP970" s="118">
        <f>Bauteile!B970</f>
        <v>0</v>
      </c>
      <c r="BQ970" s="2057">
        <v>914</v>
      </c>
    </row>
    <row r="971" spans="68:69" ht="18" customHeight="1">
      <c r="BP971" s="118">
        <f>Bauteile!B971</f>
        <v>0</v>
      </c>
      <c r="BQ971" s="2057">
        <v>915</v>
      </c>
    </row>
    <row r="972" spans="68:69" ht="18" customHeight="1">
      <c r="BP972" s="118">
        <f>Bauteile!B972</f>
        <v>0</v>
      </c>
      <c r="BQ972" s="2057">
        <v>916</v>
      </c>
    </row>
    <row r="973" spans="68:69" ht="18" customHeight="1">
      <c r="BP973" s="118">
        <f>Bauteile!B973</f>
        <v>0</v>
      </c>
      <c r="BQ973" s="2057">
        <v>917</v>
      </c>
    </row>
    <row r="974" spans="68:69" ht="18" customHeight="1">
      <c r="BP974" s="118">
        <f>Bauteile!B974</f>
        <v>0</v>
      </c>
      <c r="BQ974" s="2057">
        <v>918</v>
      </c>
    </row>
    <row r="975" spans="68:69" ht="18" customHeight="1">
      <c r="BP975" s="1268" t="str">
        <f>Bauteile!B975</f>
        <v>**** Crépis et enduits isolants ****</v>
      </c>
      <c r="BQ975" s="2057">
        <v>919</v>
      </c>
    </row>
    <row r="976" spans="68:69" ht="18" customHeight="1">
      <c r="BP976" s="118" t="str">
        <f>Bauteile!B976</f>
        <v>Fixit 222 Aerogel Hochleistungsdämmputz</v>
      </c>
      <c r="BQ976" s="2057">
        <v>920</v>
      </c>
    </row>
    <row r="977" spans="68:69" ht="18" customHeight="1">
      <c r="BP977" s="1268" t="str">
        <f>Bauteile!B977</f>
        <v>**** Isolants thermiques moussés in situ ****</v>
      </c>
      <c r="BQ977" s="2057">
        <v>921</v>
      </c>
    </row>
    <row r="978" spans="68:69" ht="18" customHeight="1">
      <c r="BP978" s="118" t="str">
        <f>Bauteile!B978</f>
        <v>Spritzschaum Elastospray 1622/1</v>
      </c>
      <c r="BQ978" s="2057">
        <v>922</v>
      </c>
    </row>
    <row r="979" spans="68:69" ht="18" customHeight="1">
      <c r="BP979" s="118" t="str">
        <f>Bauteile!B979</f>
        <v>Spritzschaum Elastospray 1622/1</v>
      </c>
      <c r="BQ979" s="2057">
        <v>923</v>
      </c>
    </row>
    <row r="980" spans="68:69" ht="18" customHeight="1">
      <c r="BP980" s="118" t="str">
        <f>Bauteile!B980</f>
        <v>Spritzschaum Elastospray 1622/1</v>
      </c>
      <c r="BQ980" s="2057">
        <v>924</v>
      </c>
    </row>
    <row r="981" spans="68:69" ht="18" customHeight="1">
      <c r="BP981" s="118">
        <f>Bauteile!B981</f>
        <v>0</v>
      </c>
      <c r="BQ981" s="2057">
        <v>925</v>
      </c>
    </row>
    <row r="982" spans="68:69" ht="18" customHeight="1">
      <c r="BP982" s="118">
        <f>Bauteile!B982</f>
        <v>0</v>
      </c>
      <c r="BQ982" s="2057">
        <v>926</v>
      </c>
    </row>
    <row r="983" spans="68:69" ht="18" customHeight="1">
      <c r="BP983" s="118">
        <f>Bauteile!B983</f>
        <v>0</v>
      </c>
      <c r="BQ983" s="2057">
        <v>927</v>
      </c>
    </row>
    <row r="984" spans="68:69" ht="18" customHeight="1">
      <c r="BP984" s="118">
        <f>Bauteile!B984</f>
        <v>0</v>
      </c>
      <c r="BQ984" s="2057">
        <v>928</v>
      </c>
    </row>
    <row r="985" spans="68:69" ht="18" customHeight="1">
      <c r="BP985" s="118">
        <f>Bauteile!B985</f>
        <v>0</v>
      </c>
      <c r="BQ985" s="2057">
        <v>929</v>
      </c>
    </row>
    <row r="986" spans="68:69" ht="18" customHeight="1">
      <c r="BP986" s="118">
        <f>Bauteile!B986</f>
        <v>0</v>
      </c>
      <c r="BQ986" s="2057">
        <v>930</v>
      </c>
    </row>
    <row r="987" spans="68:69" ht="18" customHeight="1">
      <c r="BP987" s="118">
        <f>Bauteile!B987</f>
        <v>0</v>
      </c>
      <c r="BQ987" s="2057">
        <v>931</v>
      </c>
    </row>
    <row r="988" spans="68:69" ht="18" customHeight="1">
      <c r="BP988" s="118">
        <f>Bauteile!B988</f>
        <v>0</v>
      </c>
      <c r="BQ988" s="2057">
        <v>932</v>
      </c>
    </row>
    <row r="989" spans="68:69" ht="18" customHeight="1">
      <c r="BP989" s="118">
        <f>Bauteile!B989</f>
        <v>0</v>
      </c>
      <c r="BQ989" s="2057">
        <v>933</v>
      </c>
    </row>
    <row r="990" spans="68:69" ht="18" customHeight="1">
      <c r="BP990" s="118">
        <f>Bauteile!B990</f>
        <v>0</v>
      </c>
      <c r="BQ990" s="2057">
        <v>934</v>
      </c>
    </row>
    <row r="991" spans="68:69" ht="18" customHeight="1">
      <c r="BP991" s="118">
        <f>Bauteile!B991</f>
        <v>0</v>
      </c>
      <c r="BQ991" s="2057">
        <v>935</v>
      </c>
    </row>
    <row r="992" spans="68:69" ht="18" customHeight="1">
      <c r="BP992" s="118">
        <f>Bauteile!B992</f>
        <v>0</v>
      </c>
      <c r="BQ992" s="2057">
        <v>936</v>
      </c>
    </row>
    <row r="993" spans="68:69" ht="18" customHeight="1">
      <c r="BP993" s="118">
        <f>Bauteile!B993</f>
        <v>0</v>
      </c>
      <c r="BQ993" s="2057">
        <v>937</v>
      </c>
    </row>
    <row r="994" spans="68:69" ht="18" customHeight="1">
      <c r="BP994" s="118">
        <f>Bauteile!B994</f>
        <v>0</v>
      </c>
      <c r="BQ994" s="2057">
        <v>938</v>
      </c>
    </row>
    <row r="995" spans="68:69" ht="18" customHeight="1">
      <c r="BP995" s="118">
        <f>Bauteile!B995</f>
        <v>0</v>
      </c>
      <c r="BQ995" s="2057">
        <v>939</v>
      </c>
    </row>
    <row r="996" spans="68:69" ht="18" customHeight="1">
      <c r="BP996" s="118">
        <f>Bauteile!B996</f>
        <v>0</v>
      </c>
      <c r="BQ996" s="2057">
        <v>940</v>
      </c>
    </row>
    <row r="997" spans="68:69" ht="18" customHeight="1">
      <c r="BP997" s="118">
        <f>Bauteile!B997</f>
        <v>0</v>
      </c>
      <c r="BQ997" s="2057">
        <v>941</v>
      </c>
    </row>
    <row r="998" spans="68:69" ht="18" customHeight="1">
      <c r="BP998" s="118">
        <f>Bauteile!B998</f>
        <v>0</v>
      </c>
      <c r="BQ998" s="2057">
        <v>942</v>
      </c>
    </row>
    <row r="999" spans="68:69" ht="18" customHeight="1">
      <c r="BP999" s="118">
        <f>Bauteile!B999</f>
        <v>0</v>
      </c>
      <c r="BQ999" s="2057">
        <v>943</v>
      </c>
    </row>
    <row r="1000" spans="68:69" ht="18" customHeight="1">
      <c r="BP1000" s="118">
        <f>Bauteile!B1000</f>
        <v>0</v>
      </c>
      <c r="BQ1000" s="2057">
        <v>944</v>
      </c>
    </row>
    <row r="1001" spans="68:69" ht="18" customHeight="1">
      <c r="BP1001" s="118">
        <f>Bauteile!B1001</f>
        <v>0</v>
      </c>
      <c r="BQ1001" s="2057">
        <v>945</v>
      </c>
    </row>
    <row r="1002" spans="68:69" ht="18" customHeight="1">
      <c r="BP1002" s="118">
        <f>Bauteile!B1002</f>
        <v>0</v>
      </c>
      <c r="BQ1002" s="2057">
        <v>946</v>
      </c>
    </row>
    <row r="1003" spans="68:69" ht="18" customHeight="1">
      <c r="BP1003" s="118">
        <f>Bauteile!B1003</f>
        <v>0</v>
      </c>
      <c r="BQ1003" s="2057">
        <v>947</v>
      </c>
    </row>
    <row r="1004" spans="68:69" ht="18" customHeight="1">
      <c r="BP1004" s="118">
        <f>Bauteile!B1004</f>
        <v>0</v>
      </c>
      <c r="BQ1004" s="2057">
        <v>948</v>
      </c>
    </row>
    <row r="1005" spans="68:69" ht="18" customHeight="1">
      <c r="BP1005" s="118">
        <f>Bauteile!B1005</f>
        <v>0</v>
      </c>
      <c r="BQ1005" s="2057">
        <v>949</v>
      </c>
    </row>
    <row r="1006" spans="68:69" ht="18" customHeight="1">
      <c r="BP1006" s="118">
        <f>Bauteile!B1006</f>
        <v>0</v>
      </c>
      <c r="BQ1006" s="2057">
        <v>950</v>
      </c>
    </row>
    <row r="1007" spans="68:69" ht="18" customHeight="1">
      <c r="BP1007" s="118">
        <f>Bauteile!B1007</f>
        <v>0</v>
      </c>
      <c r="BQ1007" s="2057">
        <v>951</v>
      </c>
    </row>
    <row r="1008" spans="68:69" ht="18" customHeight="1">
      <c r="BP1008" s="118">
        <f>Bauteile!B1008</f>
        <v>0</v>
      </c>
      <c r="BQ1008" s="2057">
        <v>952</v>
      </c>
    </row>
    <row r="1009" spans="68:69" ht="18" customHeight="1">
      <c r="BP1009" s="118">
        <f>Bauteile!B1009</f>
        <v>0</v>
      </c>
      <c r="BQ1009" s="2057">
        <v>953</v>
      </c>
    </row>
    <row r="1010" spans="68:69" ht="18" customHeight="1">
      <c r="BP1010" s="119">
        <f>Bauteile!B1010</f>
        <v>0</v>
      </c>
      <c r="BQ1010" s="10">
        <v>954</v>
      </c>
    </row>
  </sheetData>
  <sheetProtection password="C9AE" sheet="1" objects="1" scenarios="1"/>
  <mergeCells count="278">
    <mergeCell ref="L8:M8"/>
    <mergeCell ref="L22:M22"/>
    <mergeCell ref="L36:M36"/>
    <mergeCell ref="L50:M50"/>
    <mergeCell ref="K43:M43"/>
    <mergeCell ref="K44:M44"/>
    <mergeCell ref="K45:M45"/>
    <mergeCell ref="K46:M46"/>
    <mergeCell ref="K39:M39"/>
    <mergeCell ref="K40:M40"/>
    <mergeCell ref="J8:K8"/>
    <mergeCell ref="K31:M31"/>
    <mergeCell ref="K32:M32"/>
    <mergeCell ref="K37:M37"/>
    <mergeCell ref="K38:M38"/>
    <mergeCell ref="K35:M35"/>
    <mergeCell ref="J22:K22"/>
    <mergeCell ref="K21:M21"/>
    <mergeCell ref="K9:M9"/>
    <mergeCell ref="K10:M10"/>
    <mergeCell ref="K11:M11"/>
    <mergeCell ref="K12:M12"/>
    <mergeCell ref="K13:M13"/>
    <mergeCell ref="K14:M14"/>
    <mergeCell ref="K5:M5"/>
    <mergeCell ref="K176:M176"/>
    <mergeCell ref="K177:M177"/>
    <mergeCell ref="K178:M178"/>
    <mergeCell ref="K161:M161"/>
    <mergeCell ref="K171:M171"/>
    <mergeCell ref="K157:M157"/>
    <mergeCell ref="K158:M158"/>
    <mergeCell ref="D8:E8"/>
    <mergeCell ref="J50:K50"/>
    <mergeCell ref="J36:K36"/>
    <mergeCell ref="K59:M59"/>
    <mergeCell ref="K60:M60"/>
    <mergeCell ref="K144:M144"/>
    <mergeCell ref="K145:M145"/>
    <mergeCell ref="C10:E10"/>
    <mergeCell ref="C11:E11"/>
    <mergeCell ref="C12:E12"/>
    <mergeCell ref="C13:E13"/>
    <mergeCell ref="K162:M162"/>
    <mergeCell ref="K170:M170"/>
    <mergeCell ref="K159:M159"/>
    <mergeCell ref="K160:M160"/>
    <mergeCell ref="K153:M153"/>
    <mergeCell ref="K139:M139"/>
    <mergeCell ref="K140:M140"/>
    <mergeCell ref="K141:M141"/>
    <mergeCell ref="K142:M142"/>
    <mergeCell ref="K143:M143"/>
    <mergeCell ref="K179:M179"/>
    <mergeCell ref="K172:M172"/>
    <mergeCell ref="K173:M173"/>
    <mergeCell ref="K174:M174"/>
    <mergeCell ref="K175:M175"/>
    <mergeCell ref="K154:M154"/>
    <mergeCell ref="K155:M155"/>
    <mergeCell ref="K156:M156"/>
    <mergeCell ref="J152:M152"/>
    <mergeCell ref="J169:M169"/>
    <mergeCell ref="K136:M136"/>
    <mergeCell ref="K137:M137"/>
    <mergeCell ref="K116:O116"/>
    <mergeCell ref="K118:O118"/>
    <mergeCell ref="K123:M123"/>
    <mergeCell ref="K124:O124"/>
    <mergeCell ref="K114:M114"/>
    <mergeCell ref="J135:M135"/>
    <mergeCell ref="K138:M138"/>
    <mergeCell ref="K101:M101"/>
    <mergeCell ref="K102:M102"/>
    <mergeCell ref="K103:M103"/>
    <mergeCell ref="K104:M104"/>
    <mergeCell ref="K105:M105"/>
    <mergeCell ref="K106:M106"/>
    <mergeCell ref="K107:M107"/>
    <mergeCell ref="K108:M108"/>
    <mergeCell ref="K109:M109"/>
    <mergeCell ref="K89:M89"/>
    <mergeCell ref="K90:M90"/>
    <mergeCell ref="K91:M91"/>
    <mergeCell ref="K92:M92"/>
    <mergeCell ref="K93:M93"/>
    <mergeCell ref="K94:M94"/>
    <mergeCell ref="K95:M95"/>
    <mergeCell ref="K100:M100"/>
    <mergeCell ref="L99:M99"/>
    <mergeCell ref="J99:K99"/>
    <mergeCell ref="K71:M71"/>
    <mergeCell ref="K72:M72"/>
    <mergeCell ref="K73:M73"/>
    <mergeCell ref="K74:M74"/>
    <mergeCell ref="K86:M86"/>
    <mergeCell ref="K87:M87"/>
    <mergeCell ref="K84:M84"/>
    <mergeCell ref="K88:M88"/>
    <mergeCell ref="L85:M85"/>
    <mergeCell ref="J85:K85"/>
    <mergeCell ref="K41:M41"/>
    <mergeCell ref="K42:M42"/>
    <mergeCell ref="K51:M51"/>
    <mergeCell ref="K24:M24"/>
    <mergeCell ref="K25:M25"/>
    <mergeCell ref="K26:M26"/>
    <mergeCell ref="K27:M27"/>
    <mergeCell ref="K28:M28"/>
    <mergeCell ref="K29:M29"/>
    <mergeCell ref="K30:M30"/>
    <mergeCell ref="C109:E109"/>
    <mergeCell ref="C105:E105"/>
    <mergeCell ref="C106:E106"/>
    <mergeCell ref="C107:E107"/>
    <mergeCell ref="C108:E108"/>
    <mergeCell ref="B99:C99"/>
    <mergeCell ref="C88:E88"/>
    <mergeCell ref="D85:E85"/>
    <mergeCell ref="K52:M52"/>
    <mergeCell ref="K53:M53"/>
    <mergeCell ref="K54:M54"/>
    <mergeCell ref="K65:M65"/>
    <mergeCell ref="K66:M66"/>
    <mergeCell ref="K63:M63"/>
    <mergeCell ref="K55:M55"/>
    <mergeCell ref="K56:M56"/>
    <mergeCell ref="K57:M57"/>
    <mergeCell ref="K58:M58"/>
    <mergeCell ref="L64:M64"/>
    <mergeCell ref="J64:K64"/>
    <mergeCell ref="K67:M67"/>
    <mergeCell ref="K68:M68"/>
    <mergeCell ref="K69:M69"/>
    <mergeCell ref="K70:M70"/>
    <mergeCell ref="C138:E138"/>
    <mergeCell ref="C139:E139"/>
    <mergeCell ref="C142:E142"/>
    <mergeCell ref="C143:E143"/>
    <mergeCell ref="C144:E144"/>
    <mergeCell ref="C145:E145"/>
    <mergeCell ref="B135:E135"/>
    <mergeCell ref="B152:E152"/>
    <mergeCell ref="K15:M15"/>
    <mergeCell ref="K16:M16"/>
    <mergeCell ref="K23:M23"/>
    <mergeCell ref="C136:E136"/>
    <mergeCell ref="C137:E137"/>
    <mergeCell ref="C118:G118"/>
    <mergeCell ref="C116:G116"/>
    <mergeCell ref="C123:E123"/>
    <mergeCell ref="C128:E128"/>
    <mergeCell ref="C124:G124"/>
    <mergeCell ref="C100:E100"/>
    <mergeCell ref="D99:E99"/>
    <mergeCell ref="C101:E101"/>
    <mergeCell ref="C102:E102"/>
    <mergeCell ref="C103:E103"/>
    <mergeCell ref="C104:E104"/>
    <mergeCell ref="C89:E89"/>
    <mergeCell ref="C90:E90"/>
    <mergeCell ref="C91:E91"/>
    <mergeCell ref="C92:E92"/>
    <mergeCell ref="C93:E93"/>
    <mergeCell ref="C94:E94"/>
    <mergeCell ref="C95:E95"/>
    <mergeCell ref="B85:C85"/>
    <mergeCell ref="C70:E70"/>
    <mergeCell ref="C71:E71"/>
    <mergeCell ref="C72:E72"/>
    <mergeCell ref="C73:E73"/>
    <mergeCell ref="C74:E74"/>
    <mergeCell ref="C86:E86"/>
    <mergeCell ref="C87:E87"/>
    <mergeCell ref="D79:F79"/>
    <mergeCell ref="C84:E84"/>
    <mergeCell ref="C59:E59"/>
    <mergeCell ref="C60:E60"/>
    <mergeCell ref="C65:E65"/>
    <mergeCell ref="C63:E63"/>
    <mergeCell ref="C68:E68"/>
    <mergeCell ref="C69:E69"/>
    <mergeCell ref="C66:E66"/>
    <mergeCell ref="C67:E67"/>
    <mergeCell ref="B64:C64"/>
    <mergeCell ref="D64:E64"/>
    <mergeCell ref="C52:E52"/>
    <mergeCell ref="C53:E53"/>
    <mergeCell ref="C54:E54"/>
    <mergeCell ref="C55:E55"/>
    <mergeCell ref="B50:C50"/>
    <mergeCell ref="D50:E50"/>
    <mergeCell ref="C56:E56"/>
    <mergeCell ref="C57:E57"/>
    <mergeCell ref="C58:E58"/>
    <mergeCell ref="C40:E40"/>
    <mergeCell ref="C35:E35"/>
    <mergeCell ref="C31:E31"/>
    <mergeCell ref="B36:C36"/>
    <mergeCell ref="C43:E43"/>
    <mergeCell ref="C44:E44"/>
    <mergeCell ref="C45:E45"/>
    <mergeCell ref="C46:E46"/>
    <mergeCell ref="C51:E51"/>
    <mergeCell ref="D2:F2"/>
    <mergeCell ref="C7:E7"/>
    <mergeCell ref="C21:E21"/>
    <mergeCell ref="C25:E25"/>
    <mergeCell ref="C23:E23"/>
    <mergeCell ref="C24:E24"/>
    <mergeCell ref="C17:E17"/>
    <mergeCell ref="C26:E26"/>
    <mergeCell ref="C27:E27"/>
    <mergeCell ref="C28:E28"/>
    <mergeCell ref="B8:C8"/>
    <mergeCell ref="B22:C22"/>
    <mergeCell ref="D22:E22"/>
    <mergeCell ref="C15:E15"/>
    <mergeCell ref="C16:E16"/>
    <mergeCell ref="BF6:BG6"/>
    <mergeCell ref="C98:E98"/>
    <mergeCell ref="K98:M98"/>
    <mergeCell ref="K7:M7"/>
    <mergeCell ref="C9:E9"/>
    <mergeCell ref="C18:E18"/>
    <mergeCell ref="K17:M17"/>
    <mergeCell ref="K18:M18"/>
    <mergeCell ref="C14:E14"/>
    <mergeCell ref="C32:E32"/>
    <mergeCell ref="C37:E37"/>
    <mergeCell ref="D36:E36"/>
    <mergeCell ref="C42:E42"/>
    <mergeCell ref="C41:E41"/>
    <mergeCell ref="C38:E38"/>
    <mergeCell ref="C29:E29"/>
    <mergeCell ref="C30:E30"/>
    <mergeCell ref="C39:E39"/>
    <mergeCell ref="C114:E114"/>
    <mergeCell ref="K49:M49"/>
    <mergeCell ref="C49:E49"/>
    <mergeCell ref="C189:E189"/>
    <mergeCell ref="K185:M185"/>
    <mergeCell ref="K186:M186"/>
    <mergeCell ref="K187:M187"/>
    <mergeCell ref="K188:M188"/>
    <mergeCell ref="K189:M189"/>
    <mergeCell ref="C187:E187"/>
    <mergeCell ref="C188:E188"/>
    <mergeCell ref="K184:M184"/>
    <mergeCell ref="C148:E148"/>
    <mergeCell ref="C186:E186"/>
    <mergeCell ref="C185:E185"/>
    <mergeCell ref="C153:E153"/>
    <mergeCell ref="C154:E154"/>
    <mergeCell ref="C155:E155"/>
    <mergeCell ref="C156:E156"/>
    <mergeCell ref="C157:E157"/>
    <mergeCell ref="C184:E184"/>
    <mergeCell ref="C165:E165"/>
    <mergeCell ref="C140:E140"/>
    <mergeCell ref="C141:E141"/>
    <mergeCell ref="C175:E175"/>
    <mergeCell ref="C176:E176"/>
    <mergeCell ref="C177:E177"/>
    <mergeCell ref="C178:E178"/>
    <mergeCell ref="C179:E179"/>
    <mergeCell ref="C158:E158"/>
    <mergeCell ref="C172:E172"/>
    <mergeCell ref="C173:E173"/>
    <mergeCell ref="C174:E174"/>
    <mergeCell ref="C170:E170"/>
    <mergeCell ref="C171:E171"/>
    <mergeCell ref="B169:C169"/>
    <mergeCell ref="D169:E169"/>
    <mergeCell ref="C159:E159"/>
    <mergeCell ref="C160:E160"/>
    <mergeCell ref="C161:E161"/>
    <mergeCell ref="C162:E162"/>
  </mergeCells>
  <phoneticPr fontId="0" type="noConversion"/>
  <conditionalFormatting sqref="F10:F16 K98:M98 C7:F7 K7:N7 C21:F21 K21:N21 N24:N30 F24:F30 C35:F35 K35:N35 F38:F44 K37 C49:F49 F52:F58 K49:N49 N52:N58 C63:F63 K63:N63 F66:F72 N66:N72 C84:F84 K84:N84 F87:F93 N87:N93 C98:F98 F101:F107 N101:N107 C114:F114 H114 K114:N114 P114 C123:F123 K123:N123 C128:F128 D134 F137:F143 C194 K194 F195:F206 H195:H206 N195:N206 P195:P206 C208 K208 F209:F220 H209:H220 N209:N220 P209:P220 N10:N16 C165:F165 D168 F171:F177 C148:F148 D151 F154:F160 C189:F189 K184:N189 C184:C188 F184:F188 D184:E184 D188:E188 C9:C18 C23 C37 C51 C65 C86 C100 C136:C138 C153 C170 K9:K18 K23 K5 K51 K65 K86 K100:K109 K136 K153 K170 N38:N44 K31:K32 K45:K46 C30:C32 C45:C46 C59:C60 K59:K60 K73:K74 C73:C74 C94:C95 K94:K95 C108:C109 C144:C145 K144:K145 C161:C162 K161:K162 K178:K179 C178:C179">
    <cfRule type="cellIs" dxfId="89" priority="25" stopIfTrue="1" operator="notEqual">
      <formula>""</formula>
    </cfRule>
  </conditionalFormatting>
  <conditionalFormatting sqref="C116:G116 C118:G118 K116:O116 K118:O118 C124 K124">
    <cfRule type="cellIs" dxfId="88" priority="27" stopIfTrue="1" operator="notEqual">
      <formula>""</formula>
    </cfRule>
  </conditionalFormatting>
  <conditionalFormatting sqref="B8 B22 B36 B50 B64 B85 B99 J99 J85 J64 J50 J36 J22 J8 B135 B152 B169">
    <cfRule type="expression" dxfId="87" priority="28" stopIfTrue="1">
      <formula>$S$4</formula>
    </cfRule>
  </conditionalFormatting>
  <conditionalFormatting sqref="D8:E8 D36:E36 D22:E22 D50:E50 D64:E64 D85:E85 D99:E99 L99:M99 L85:M85 L64:M64 L50:M50 L36:M36 L22:M22 L8:M8 D169:E169">
    <cfRule type="expression" dxfId="86" priority="29" stopIfTrue="1">
      <formula>AND($S$4,D8&gt;0)</formula>
    </cfRule>
    <cfRule type="expression" dxfId="85" priority="30" stopIfTrue="1">
      <formula>AND($S$4)</formula>
    </cfRule>
  </conditionalFormatting>
  <conditionalFormatting sqref="H118 P118 H124 P124">
    <cfRule type="expression" dxfId="84" priority="31" stopIfTrue="1">
      <formula>AND($S$4,H118&gt;0)</formula>
    </cfRule>
    <cfRule type="expression" dxfId="83" priority="32" stopIfTrue="1">
      <formula>AND($S$4)</formula>
    </cfRule>
  </conditionalFormatting>
  <conditionalFormatting sqref="G185:G189 O185:O189">
    <cfRule type="expression" dxfId="82" priority="33" stopIfTrue="1">
      <formula>AND($S$4,G185&gt;0)</formula>
    </cfRule>
    <cfRule type="expression" dxfId="81" priority="34" stopIfTrue="1">
      <formula>AND($S$4)</formula>
    </cfRule>
  </conditionalFormatting>
  <conditionalFormatting sqref="K24">
    <cfRule type="cellIs" dxfId="80" priority="24" stopIfTrue="1" operator="notEqual">
      <formula>""</formula>
    </cfRule>
  </conditionalFormatting>
  <conditionalFormatting sqref="K25:K30">
    <cfRule type="cellIs" dxfId="79" priority="23" stopIfTrue="1" operator="notEqual">
      <formula>""</formula>
    </cfRule>
  </conditionalFormatting>
  <conditionalFormatting sqref="K38:K44">
    <cfRule type="cellIs" dxfId="78" priority="22" stopIfTrue="1" operator="notEqual">
      <formula>""</formula>
    </cfRule>
  </conditionalFormatting>
  <conditionalFormatting sqref="C24">
    <cfRule type="cellIs" dxfId="77" priority="21" stopIfTrue="1" operator="notEqual">
      <formula>""</formula>
    </cfRule>
  </conditionalFormatting>
  <conditionalFormatting sqref="C25:C29">
    <cfRule type="cellIs" dxfId="76" priority="20" stopIfTrue="1" operator="notEqual">
      <formula>""</formula>
    </cfRule>
  </conditionalFormatting>
  <conditionalFormatting sqref="C38:C44">
    <cfRule type="cellIs" dxfId="75" priority="19" stopIfTrue="1" operator="notEqual">
      <formula>""</formula>
    </cfRule>
  </conditionalFormatting>
  <conditionalFormatting sqref="C52:C58">
    <cfRule type="cellIs" dxfId="74" priority="18" stopIfTrue="1" operator="notEqual">
      <formula>""</formula>
    </cfRule>
  </conditionalFormatting>
  <conditionalFormatting sqref="K52:K58">
    <cfRule type="cellIs" dxfId="73" priority="17" stopIfTrue="1" operator="notEqual">
      <formula>""</formula>
    </cfRule>
  </conditionalFormatting>
  <conditionalFormatting sqref="K66:K72">
    <cfRule type="cellIs" dxfId="72" priority="16" stopIfTrue="1" operator="notEqual">
      <formula>""</formula>
    </cfRule>
  </conditionalFormatting>
  <conditionalFormatting sqref="C66:C72">
    <cfRule type="cellIs" dxfId="71" priority="15" stopIfTrue="1" operator="notEqual">
      <formula>""</formula>
    </cfRule>
  </conditionalFormatting>
  <conditionalFormatting sqref="C87:C93">
    <cfRule type="cellIs" dxfId="70" priority="14" stopIfTrue="1" operator="notEqual">
      <formula>""</formula>
    </cfRule>
  </conditionalFormatting>
  <conditionalFormatting sqref="K87:K93">
    <cfRule type="cellIs" dxfId="69" priority="13" stopIfTrue="1" operator="notEqual">
      <formula>""</formula>
    </cfRule>
  </conditionalFormatting>
  <conditionalFormatting sqref="C101:C107">
    <cfRule type="cellIs" dxfId="68" priority="12" stopIfTrue="1" operator="notEqual">
      <formula>""</formula>
    </cfRule>
  </conditionalFormatting>
  <conditionalFormatting sqref="C139:C143">
    <cfRule type="cellIs" dxfId="67" priority="11" stopIfTrue="1" operator="notEqual">
      <formula>""</formula>
    </cfRule>
  </conditionalFormatting>
  <conditionalFormatting sqref="K137:K138">
    <cfRule type="cellIs" dxfId="66" priority="10" stopIfTrue="1" operator="notEqual">
      <formula>""</formula>
    </cfRule>
  </conditionalFormatting>
  <conditionalFormatting sqref="K139:K143">
    <cfRule type="cellIs" dxfId="65" priority="9" stopIfTrue="1" operator="notEqual">
      <formula>""</formula>
    </cfRule>
  </conditionalFormatting>
  <conditionalFormatting sqref="C154:C155">
    <cfRule type="cellIs" dxfId="64" priority="8" stopIfTrue="1" operator="notEqual">
      <formula>""</formula>
    </cfRule>
  </conditionalFormatting>
  <conditionalFormatting sqref="C156:C160">
    <cfRule type="cellIs" dxfId="63" priority="7" stopIfTrue="1" operator="notEqual">
      <formula>""</formula>
    </cfRule>
  </conditionalFormatting>
  <conditionalFormatting sqref="K154:K155">
    <cfRule type="cellIs" dxfId="62" priority="6" stopIfTrue="1" operator="notEqual">
      <formula>""</formula>
    </cfRule>
  </conditionalFormatting>
  <conditionalFormatting sqref="K156:K160">
    <cfRule type="cellIs" dxfId="61" priority="5" stopIfTrue="1" operator="notEqual">
      <formula>""</formula>
    </cfRule>
  </conditionalFormatting>
  <conditionalFormatting sqref="K171:K172">
    <cfRule type="cellIs" dxfId="60" priority="4" stopIfTrue="1" operator="notEqual">
      <formula>""</formula>
    </cfRule>
  </conditionalFormatting>
  <conditionalFormatting sqref="K173:K177">
    <cfRule type="cellIs" dxfId="59" priority="3" stopIfTrue="1" operator="notEqual">
      <formula>""</formula>
    </cfRule>
  </conditionalFormatting>
  <conditionalFormatting sqref="C171:C172">
    <cfRule type="cellIs" dxfId="58" priority="2" stopIfTrue="1" operator="notEqual">
      <formula>""</formula>
    </cfRule>
  </conditionalFormatting>
  <conditionalFormatting sqref="C173:C177">
    <cfRule type="cellIs" dxfId="57" priority="1" stopIfTrue="1" operator="notEqual">
      <formula>""</formula>
    </cfRule>
  </conditionalFormatting>
  <dataValidations count="10">
    <dataValidation type="list" errorStyle="information" allowBlank="1" showInputMessage="1" showErrorMessage="1" errorTitle="Programm ENTECH 380/1" error="Nicht in Auswahlliste enthalten" sqref="L116:M116 D116:E116">
      <formula1>$BP$57:$BP$761</formula1>
    </dataValidation>
    <dataValidation type="list" errorStyle="information" allowBlank="1" showInputMessage="1" showErrorMessage="1" errorTitle="Programm ENTECH 380/1" error="Nicht in Auswahlliste enthalten" sqref="C116 K116">
      <formula1>$BP$7:$BP$33</formula1>
    </dataValidation>
    <dataValidation type="list" errorStyle="information" allowBlank="1" showInputMessage="1" showErrorMessage="1" errorTitle="Programm ENTECH 380/1" error="Nicht in Auswahlliste enthalten" sqref="C118 K118">
      <formula1>$BR$7:$BR$12</formula1>
    </dataValidation>
    <dataValidation type="list" errorStyle="information" allowBlank="1" showInputMessage="1" showErrorMessage="1" errorTitle="Programm ENTECH 380/1" error="Nicht in Auswahlliste enthalten" sqref="C124 K124">
      <formula1>$BP$36:$BP$50</formula1>
    </dataValidation>
    <dataValidation type="list" errorStyle="information" allowBlank="1" showInputMessage="1" showErrorMessage="1" errorTitle="Programm ENTECH 380/1" error="Nicht in Auswahlliste enthalten" sqref="C17 C31 C45 C59 C73 C94 C108 C144 C161 C178 K17 K31 K178 K59 K73 K94 K108 K144 K161 K45">
      <formula1>$BR$40:$BR$52</formula1>
    </dataValidation>
    <dataValidation type="list" errorStyle="information" allowBlank="1" showInputMessage="1" showErrorMessage="1" errorTitle="Programm ENTECH 380/1" error="Nicht in Auswahlliste enthalten" sqref="C9 C18 C23 C32 C37 C46 C51 C60 C65 C74 C86 C95 C100 K179 C136 C145 C153 C162 C170 C179 K9 K18 K23 K32 K162 K170 K51 K60 K65 K74 K86 K95 K100 K109 K136 K145 K153 K37 K46">
      <formula1>$BR$36:$BR$38</formula1>
    </dataValidation>
    <dataValidation type="list" allowBlank="1" showInputMessage="1" showErrorMessage="1" sqref="K5">
      <formula1>$BN$54:$BN$137</formula1>
    </dataValidation>
    <dataValidation type="list" errorStyle="information" allowBlank="1" showInputMessage="1" showErrorMessage="1" errorTitle="Programm ENTECH 380/1" error="Nicht in Auswahlliste enthalten" sqref="C109">
      <formula1>$BR$36:$BR$39</formula1>
    </dataValidation>
    <dataValidation type="list" allowBlank="1" showInputMessage="1" showErrorMessage="1" sqref="M2">
      <formula1>$S$2:$S$3</formula1>
    </dataValidation>
    <dataValidation type="list" errorStyle="information" allowBlank="1" showInputMessage="1" showErrorMessage="1" errorTitle="Programm ENTECH 380/1" error="Nicht in Auswahlliste enthalten" sqref="C10:E16 K10:M16 K38:M44 K24:M30 C24:E30 C38:E44 C52:E58 K52:M58 K66:M72 C66:E72 C87:E93 K87:M93 C101:E107 K101:M107 C137:E143 K137:M143 C154:E160 K154:M160 K171:M177 C171:E177">
      <formula1>$BP$57:$BP$1010</formula1>
    </dataValidation>
  </dataValidations>
  <pageMargins left="0.9055118110236221" right="0.59055118110236227" top="0.47244094488188981" bottom="0.31496062992125984" header="0.19685039370078741" footer="0.23622047244094491"/>
  <pageSetup paperSize="9" scale="59" fitToHeight="2" orientation="portrait" horizontalDpi="4294967292" r:id="rId1"/>
  <headerFooter alignWithMargins="0">
    <oddFooter>&amp;L&amp;"Times New Roman,Kursiv"&amp;6Huber Energietechnik, AG Zürich  &amp;C&amp;6&amp;F  &amp;R&amp;"Times New Roman,Kursiv"&amp;6ENTECH 380/1, Ver. 6</oddFooter>
  </headerFooter>
  <rowBreaks count="1" manualBreakCount="1">
    <brk id="95"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AD182"/>
  <sheetViews>
    <sheetView showZeros="0" zoomScaleNormal="100" workbookViewId="0"/>
  </sheetViews>
  <sheetFormatPr baseColWidth="10" defaultColWidth="11.5703125" defaultRowHeight="12"/>
  <cols>
    <col min="1" max="1" width="3" style="669" customWidth="1"/>
    <col min="2" max="2" width="18.7109375" style="669" customWidth="1"/>
    <col min="3" max="6" width="4.7109375" style="669" customWidth="1"/>
    <col min="7" max="7" width="2.7109375" style="669" customWidth="1"/>
    <col min="8" max="8" width="6.7109375" style="669" customWidth="1"/>
    <col min="9" max="18" width="4.7109375" style="669" customWidth="1"/>
    <col min="19" max="19" width="2" style="669" customWidth="1"/>
    <col min="20" max="20" width="5.7109375" style="669" hidden="1" customWidth="1"/>
    <col min="21" max="24" width="7.42578125" style="669" hidden="1" customWidth="1"/>
    <col min="25" max="30" width="5.7109375" style="669" hidden="1" customWidth="1"/>
    <col min="31" max="68" width="5.7109375" style="669" customWidth="1"/>
    <col min="69" max="16384" width="11.5703125" style="669"/>
  </cols>
  <sheetData>
    <row r="1" spans="1:18" ht="15" customHeight="1"/>
    <row r="2" spans="1:18" ht="15" customHeight="1">
      <c r="A2" s="664"/>
      <c r="B2" s="807" t="str">
        <f>Projekt!B1</f>
        <v>Programme Entech 380/1, Ver. 6.1, BFE/EnFK-Zert.-Nr. 1639, SIA 380/1 (Edition 2016)</v>
      </c>
      <c r="C2" s="666"/>
      <c r="D2" s="666"/>
      <c r="E2" s="666"/>
      <c r="F2" s="666"/>
      <c r="G2" s="666"/>
      <c r="H2" s="666"/>
      <c r="I2" s="666"/>
      <c r="J2" s="666"/>
      <c r="K2" s="666"/>
      <c r="L2" s="666"/>
      <c r="M2" s="666"/>
      <c r="N2" s="666"/>
      <c r="O2" s="666"/>
      <c r="P2" s="666"/>
      <c r="Q2" s="667"/>
      <c r="R2" s="668"/>
    </row>
    <row r="3" spans="1:18" ht="15" customHeight="1">
      <c r="A3" s="664"/>
      <c r="B3" s="1388" t="s">
        <v>2564</v>
      </c>
      <c r="C3" s="671"/>
      <c r="D3" s="671"/>
      <c r="E3" s="671"/>
      <c r="F3" s="671"/>
      <c r="G3" s="671"/>
      <c r="H3" s="671"/>
      <c r="I3" s="671"/>
      <c r="J3" s="671"/>
      <c r="K3" s="671"/>
      <c r="L3" s="671"/>
      <c r="M3" s="671"/>
      <c r="N3" s="671"/>
      <c r="O3" s="671"/>
      <c r="P3" s="671"/>
      <c r="Q3" s="672"/>
      <c r="R3" s="673"/>
    </row>
    <row r="4" spans="1:18" ht="15" customHeight="1">
      <c r="A4" s="671"/>
      <c r="B4" s="674" t="str">
        <f>Uebersetzung!D45</f>
        <v>imprimé le:</v>
      </c>
      <c r="C4" s="2379">
        <f ca="1">NOW()</f>
        <v>43566.628989236109</v>
      </c>
      <c r="D4" s="2379"/>
      <c r="E4" s="2379"/>
      <c r="F4" s="675" t="str">
        <f>IF(Wettbewerb,Uebersetzung!D46&amp;Uebersetzung!D47,Uebersetzung!D46&amp;" "&amp;Firma)</f>
        <v xml:space="preserve">pour </v>
      </c>
      <c r="G4" s="675"/>
      <c r="H4" s="675"/>
      <c r="I4" s="675"/>
      <c r="J4" s="676"/>
      <c r="K4" s="676"/>
      <c r="L4" s="676"/>
      <c r="M4" s="675"/>
      <c r="N4" s="676"/>
      <c r="O4" s="676"/>
      <c r="P4" s="676"/>
      <c r="Q4" s="676"/>
      <c r="R4" s="677" t="str">
        <f>Uebersetzung!D48</f>
        <v>page 1 de 10</v>
      </c>
    </row>
    <row r="5" spans="1:18" ht="6" customHeight="1">
      <c r="A5" s="664"/>
      <c r="B5" s="664" t="s">
        <v>350</v>
      </c>
      <c r="C5" s="664"/>
      <c r="D5" s="671"/>
      <c r="E5" s="664"/>
      <c r="F5" s="664"/>
      <c r="G5" s="664"/>
      <c r="H5" s="664"/>
      <c r="I5" s="664"/>
      <c r="J5" s="664"/>
      <c r="K5" s="664"/>
      <c r="L5" s="664"/>
      <c r="M5" s="664"/>
      <c r="N5" s="664"/>
      <c r="O5" s="664"/>
      <c r="P5" s="664"/>
    </row>
    <row r="6" spans="1:18" ht="6" customHeight="1">
      <c r="A6" s="664"/>
      <c r="B6" s="665"/>
      <c r="C6" s="666"/>
      <c r="D6" s="666"/>
      <c r="E6" s="666"/>
      <c r="F6" s="666"/>
      <c r="G6" s="666"/>
      <c r="H6" s="666"/>
      <c r="I6" s="666"/>
      <c r="J6" s="666"/>
      <c r="K6" s="666"/>
      <c r="L6" s="666"/>
      <c r="M6" s="667"/>
      <c r="N6" s="667"/>
      <c r="O6" s="667"/>
      <c r="P6" s="667"/>
      <c r="Q6" s="667"/>
      <c r="R6" s="668"/>
    </row>
    <row r="7" spans="1:18" ht="12" customHeight="1">
      <c r="A7" s="664"/>
      <c r="B7" s="1794" t="str">
        <f>Projekt!C5</f>
        <v>Projet:</v>
      </c>
      <c r="C7" s="679">
        <f>Projekt!E5</f>
        <v>0</v>
      </c>
      <c r="E7" s="680"/>
      <c r="F7" s="680"/>
      <c r="G7" s="680"/>
      <c r="H7" s="680"/>
      <c r="I7" s="671"/>
      <c r="L7" s="680"/>
      <c r="M7" s="681" t="str">
        <f>Projekt!O5</f>
        <v>Dossier:</v>
      </c>
      <c r="N7" s="2258">
        <f>Projekt!P5</f>
        <v>0</v>
      </c>
      <c r="O7" s="2258"/>
      <c r="P7" s="2258"/>
      <c r="Q7" s="2258"/>
      <c r="R7" s="2259"/>
    </row>
    <row r="8" spans="1:18" ht="6" customHeight="1">
      <c r="A8" s="664"/>
      <c r="B8" s="670"/>
      <c r="C8" s="671"/>
      <c r="D8" s="671"/>
      <c r="E8" s="671"/>
      <c r="F8" s="671"/>
      <c r="G8" s="671"/>
      <c r="H8" s="671"/>
      <c r="I8" s="671"/>
      <c r="J8" s="671"/>
      <c r="K8" s="671"/>
      <c r="L8" s="671"/>
      <c r="M8" s="672"/>
      <c r="N8" s="672"/>
      <c r="O8" s="672"/>
      <c r="P8" s="672"/>
      <c r="Q8" s="672"/>
      <c r="R8" s="673"/>
    </row>
    <row r="9" spans="1:18" ht="12" customHeight="1">
      <c r="A9" s="664"/>
      <c r="B9" s="670" t="str">
        <f>Projekt!C7</f>
        <v>Adresse:</v>
      </c>
      <c r="C9" s="680" t="str">
        <f>Projekt!E7&amp;" "&amp;Projekt!J7&amp;", "&amp;Projekt!L7&amp;" "&amp;Projekt!N7</f>
        <v xml:space="preserve"> ,  </v>
      </c>
      <c r="E9" s="680"/>
      <c r="F9" s="680"/>
      <c r="G9" s="680"/>
      <c r="H9" s="680"/>
      <c r="I9" s="671"/>
      <c r="J9" s="671"/>
      <c r="K9" s="671"/>
      <c r="L9" s="671"/>
      <c r="M9" s="672"/>
      <c r="N9" s="672"/>
      <c r="O9" s="672"/>
      <c r="P9" s="672"/>
      <c r="Q9" s="672"/>
      <c r="R9" s="673"/>
    </row>
    <row r="10" spans="1:18" ht="6" customHeight="1">
      <c r="A10" s="664"/>
      <c r="B10" s="674"/>
      <c r="C10" s="675"/>
      <c r="D10" s="675"/>
      <c r="E10" s="675"/>
      <c r="F10" s="675"/>
      <c r="G10" s="675"/>
      <c r="H10" s="675"/>
      <c r="I10" s="675"/>
      <c r="J10" s="675"/>
      <c r="K10" s="675"/>
      <c r="L10" s="675"/>
      <c r="M10" s="676"/>
      <c r="N10" s="676"/>
      <c r="O10" s="676"/>
      <c r="P10" s="676"/>
      <c r="Q10" s="676"/>
      <c r="R10" s="682"/>
    </row>
    <row r="11" spans="1:18" ht="6" customHeight="1">
      <c r="A11" s="664"/>
      <c r="B11" s="664"/>
      <c r="C11" s="664"/>
      <c r="D11" s="671"/>
      <c r="E11" s="664"/>
      <c r="F11" s="664"/>
      <c r="G11" s="664"/>
      <c r="H11" s="664"/>
      <c r="I11" s="671"/>
      <c r="J11" s="664"/>
      <c r="K11" s="664"/>
      <c r="L11" s="664"/>
    </row>
    <row r="12" spans="1:18" ht="6" customHeight="1">
      <c r="A12" s="664"/>
      <c r="B12" s="665"/>
      <c r="C12" s="666"/>
      <c r="D12" s="666"/>
      <c r="E12" s="666"/>
      <c r="F12" s="666"/>
      <c r="G12" s="666"/>
      <c r="H12" s="666"/>
      <c r="I12" s="666"/>
      <c r="J12" s="666"/>
      <c r="K12" s="666"/>
      <c r="L12" s="666"/>
      <c r="M12" s="667"/>
      <c r="N12" s="667"/>
      <c r="O12" s="667"/>
      <c r="P12" s="667"/>
      <c r="Q12" s="667"/>
      <c r="R12" s="668"/>
    </row>
    <row r="13" spans="1:18" ht="12.95" customHeight="1">
      <c r="A13" s="664"/>
      <c r="B13" s="678" t="str">
        <f>Projekt!C10</f>
        <v>Maître de l'ouvrage:</v>
      </c>
      <c r="C13" s="680">
        <f>Projekt!E11</f>
        <v>0</v>
      </c>
      <c r="E13" s="680"/>
      <c r="F13" s="680"/>
      <c r="G13" s="680"/>
      <c r="H13" s="680"/>
      <c r="I13" s="671"/>
      <c r="J13" s="671"/>
      <c r="K13" s="671"/>
      <c r="L13" s="671"/>
      <c r="M13" s="672"/>
      <c r="N13" s="672"/>
      <c r="O13" s="672"/>
      <c r="P13" s="672"/>
      <c r="Q13" s="672"/>
      <c r="R13" s="673"/>
    </row>
    <row r="14" spans="1:18" ht="6" customHeight="1">
      <c r="A14" s="664"/>
      <c r="B14" s="670"/>
      <c r="C14" s="671"/>
      <c r="E14" s="671"/>
      <c r="F14" s="671"/>
      <c r="G14" s="671"/>
      <c r="H14" s="671"/>
      <c r="I14" s="671"/>
      <c r="J14" s="671"/>
      <c r="K14" s="671"/>
      <c r="L14" s="671"/>
      <c r="M14" s="672"/>
      <c r="N14" s="672"/>
      <c r="O14" s="672"/>
      <c r="P14" s="672"/>
      <c r="Q14" s="672"/>
      <c r="R14" s="673"/>
    </row>
    <row r="15" spans="1:18" ht="12.95" customHeight="1">
      <c r="A15" s="664"/>
      <c r="B15" s="670" t="str">
        <f>Projekt!C13</f>
        <v>Représentant:</v>
      </c>
      <c r="C15" s="680">
        <f>Projekt!E13</f>
        <v>0</v>
      </c>
      <c r="E15" s="680"/>
      <c r="F15" s="680"/>
      <c r="G15" s="680"/>
      <c r="H15" s="680"/>
      <c r="I15" s="671"/>
      <c r="J15" s="671"/>
      <c r="K15" s="671"/>
      <c r="L15" s="671"/>
      <c r="M15" s="672"/>
      <c r="N15" s="672"/>
      <c r="O15" s="672"/>
      <c r="P15" s="672"/>
      <c r="Q15" s="672"/>
      <c r="R15" s="673"/>
    </row>
    <row r="16" spans="1:18" ht="6" customHeight="1">
      <c r="A16" s="664"/>
      <c r="B16" s="670"/>
      <c r="C16" s="671"/>
      <c r="E16" s="671"/>
      <c r="F16" s="671"/>
      <c r="G16" s="671"/>
      <c r="H16" s="671"/>
      <c r="I16" s="671"/>
      <c r="J16" s="671"/>
      <c r="K16" s="671"/>
      <c r="L16" s="671"/>
      <c r="M16" s="672"/>
      <c r="N16" s="672"/>
      <c r="O16" s="672"/>
      <c r="P16" s="672"/>
      <c r="Q16" s="672"/>
      <c r="R16" s="673"/>
    </row>
    <row r="17" spans="1:18" ht="12.95" customHeight="1">
      <c r="A17" s="664"/>
      <c r="B17" s="670" t="str">
        <f>Projekt!C15</f>
        <v>Adresse:</v>
      </c>
      <c r="C17" s="680" t="str">
        <f>Projekt!E15&amp;" "&amp;Projekt!J15&amp;", "&amp;Projekt!L15&amp;" "&amp;Projekt!N15</f>
        <v xml:space="preserve"> ,  </v>
      </c>
      <c r="E17" s="680"/>
      <c r="F17" s="680"/>
      <c r="G17" s="680"/>
      <c r="H17" s="680"/>
      <c r="I17" s="683"/>
      <c r="J17" s="671"/>
      <c r="K17" s="671"/>
      <c r="L17" s="671"/>
      <c r="M17" s="672"/>
      <c r="N17" s="672"/>
      <c r="O17" s="672"/>
      <c r="P17" s="672"/>
      <c r="Q17" s="672"/>
      <c r="R17" s="673"/>
    </row>
    <row r="18" spans="1:18" ht="6" customHeight="1">
      <c r="A18" s="664"/>
      <c r="B18" s="670"/>
      <c r="C18" s="671"/>
      <c r="D18" s="671"/>
      <c r="E18" s="671"/>
      <c r="F18" s="671"/>
      <c r="G18" s="671"/>
      <c r="H18" s="671"/>
      <c r="I18" s="671"/>
      <c r="J18" s="671"/>
      <c r="K18" s="671"/>
      <c r="L18" s="671"/>
      <c r="M18" s="672"/>
      <c r="N18" s="672"/>
      <c r="O18" s="672"/>
      <c r="P18" s="672"/>
      <c r="Q18" s="672"/>
      <c r="R18" s="673"/>
    </row>
    <row r="19" spans="1:18" ht="12.95" customHeight="1">
      <c r="A19" s="664"/>
      <c r="B19" s="670" t="str">
        <f>Projekt!M11</f>
        <v>Tél.:</v>
      </c>
      <c r="C19" s="2357">
        <f>Projekt!N11</f>
        <v>0</v>
      </c>
      <c r="D19" s="2357"/>
      <c r="E19" s="2357"/>
      <c r="F19" s="671"/>
      <c r="H19" s="680"/>
      <c r="K19" s="672"/>
      <c r="L19" s="671" t="str">
        <f>Projekt!M13</f>
        <v>Email:</v>
      </c>
      <c r="N19" s="680">
        <f>Projekt!N13</f>
        <v>0</v>
      </c>
      <c r="O19" s="672"/>
      <c r="P19" s="672"/>
      <c r="Q19" s="672"/>
      <c r="R19" s="673"/>
    </row>
    <row r="20" spans="1:18" ht="6" customHeight="1">
      <c r="A20" s="664"/>
      <c r="B20" s="670"/>
      <c r="C20" s="671"/>
      <c r="D20" s="671"/>
      <c r="E20" s="671"/>
      <c r="F20" s="671"/>
      <c r="G20" s="671"/>
      <c r="H20" s="671"/>
      <c r="I20" s="671"/>
      <c r="J20" s="671"/>
      <c r="K20" s="671"/>
      <c r="L20" s="671"/>
      <c r="M20" s="672"/>
      <c r="N20" s="672"/>
      <c r="O20" s="672"/>
      <c r="P20" s="672"/>
      <c r="Q20" s="672"/>
      <c r="R20" s="673"/>
    </row>
    <row r="21" spans="1:18" ht="12.95" customHeight="1">
      <c r="A21" s="664"/>
      <c r="B21" s="678" t="str">
        <f>Projekt!C17</f>
        <v>Auteur du projet:</v>
      </c>
      <c r="C21" s="671"/>
      <c r="D21" s="671"/>
      <c r="E21" s="671"/>
      <c r="F21" s="671"/>
      <c r="G21" s="671"/>
      <c r="H21" s="671"/>
      <c r="I21" s="671"/>
      <c r="J21" s="671"/>
      <c r="K21" s="671"/>
      <c r="L21" s="671"/>
      <c r="M21" s="672"/>
      <c r="N21" s="672"/>
      <c r="O21" s="672"/>
      <c r="P21" s="672"/>
      <c r="Q21" s="672"/>
      <c r="R21" s="673"/>
    </row>
    <row r="22" spans="1:18" ht="6" customHeight="1">
      <c r="A22" s="664"/>
      <c r="B22" s="678"/>
      <c r="C22" s="671"/>
      <c r="D22" s="671"/>
      <c r="E22" s="671"/>
      <c r="F22" s="671"/>
      <c r="G22" s="671"/>
      <c r="H22" s="671"/>
      <c r="I22" s="671"/>
      <c r="J22" s="671"/>
      <c r="K22" s="671"/>
      <c r="L22" s="671"/>
      <c r="M22" s="672"/>
      <c r="N22" s="672"/>
      <c r="O22" s="672"/>
      <c r="P22" s="672"/>
      <c r="Q22" s="672"/>
      <c r="R22" s="673"/>
    </row>
    <row r="23" spans="1:18" ht="12.95" customHeight="1">
      <c r="A23" s="664"/>
      <c r="B23" s="670" t="str">
        <f>Projekt!C18</f>
        <v>Entreprise:</v>
      </c>
      <c r="C23" s="680">
        <f>Projekt!E18</f>
        <v>0</v>
      </c>
      <c r="E23" s="680"/>
      <c r="F23" s="680"/>
      <c r="G23" s="680"/>
      <c r="H23" s="680"/>
      <c r="I23" s="671"/>
      <c r="J23" s="671"/>
      <c r="K23" s="671"/>
      <c r="L23" s="671"/>
      <c r="M23" s="672"/>
      <c r="N23" s="672"/>
      <c r="O23" s="672"/>
      <c r="P23" s="672"/>
      <c r="Q23" s="672"/>
      <c r="R23" s="673"/>
    </row>
    <row r="24" spans="1:18" ht="6" customHeight="1">
      <c r="A24" s="664"/>
      <c r="B24" s="670"/>
      <c r="C24" s="671"/>
      <c r="E24" s="671"/>
      <c r="F24" s="671"/>
      <c r="G24" s="671"/>
      <c r="H24" s="671"/>
      <c r="I24" s="671"/>
      <c r="J24" s="671"/>
      <c r="K24" s="671"/>
      <c r="L24" s="671"/>
      <c r="M24" s="672"/>
      <c r="N24" s="672"/>
      <c r="O24" s="672"/>
      <c r="P24" s="672"/>
      <c r="Q24" s="672"/>
      <c r="R24" s="673"/>
    </row>
    <row r="25" spans="1:18" ht="12.95" customHeight="1">
      <c r="A25" s="664"/>
      <c r="B25" s="670" t="str">
        <f>Projekt!C20</f>
        <v>Collaborateur:</v>
      </c>
      <c r="C25" s="680">
        <f>Projekt!E20</f>
        <v>0</v>
      </c>
      <c r="E25" s="680"/>
      <c r="F25" s="680"/>
      <c r="G25" s="680"/>
      <c r="H25" s="680"/>
      <c r="I25" s="671"/>
      <c r="J25" s="671"/>
      <c r="K25" s="671"/>
      <c r="L25" s="671"/>
      <c r="M25" s="672"/>
      <c r="N25" s="672"/>
      <c r="O25" s="672"/>
      <c r="P25" s="672"/>
      <c r="Q25" s="672"/>
      <c r="R25" s="673"/>
    </row>
    <row r="26" spans="1:18" ht="6" customHeight="1">
      <c r="A26" s="664"/>
      <c r="B26" s="670"/>
      <c r="C26" s="671"/>
      <c r="E26" s="671"/>
      <c r="F26" s="671"/>
      <c r="G26" s="671"/>
      <c r="H26" s="671"/>
      <c r="I26" s="671"/>
      <c r="J26" s="671"/>
      <c r="K26" s="671"/>
      <c r="L26" s="671"/>
      <c r="M26" s="672"/>
      <c r="N26" s="672"/>
      <c r="O26" s="672"/>
      <c r="P26" s="672"/>
      <c r="Q26" s="672"/>
      <c r="R26" s="673"/>
    </row>
    <row r="27" spans="1:18" ht="12.95" customHeight="1">
      <c r="A27" s="664"/>
      <c r="B27" s="670" t="str">
        <f>Projekt!C22</f>
        <v>Adresse:</v>
      </c>
      <c r="C27" s="680" t="str">
        <f>Projekt!E22&amp;" "&amp;Projekt!J22&amp;", "&amp;Projekt!L22&amp;" "&amp;Projekt!N22</f>
        <v xml:space="preserve"> ,  </v>
      </c>
      <c r="E27" s="680"/>
      <c r="F27" s="680"/>
      <c r="G27" s="680"/>
      <c r="H27" s="680"/>
      <c r="I27" s="671"/>
      <c r="J27" s="671"/>
      <c r="K27" s="671"/>
      <c r="L27" s="671"/>
      <c r="M27" s="672"/>
      <c r="N27" s="672"/>
      <c r="O27" s="672"/>
      <c r="P27" s="672"/>
      <c r="Q27" s="672"/>
      <c r="R27" s="673"/>
    </row>
    <row r="28" spans="1:18" ht="6" customHeight="1">
      <c r="A28" s="664"/>
      <c r="B28" s="670"/>
      <c r="C28" s="671"/>
      <c r="D28" s="680"/>
      <c r="E28" s="680"/>
      <c r="F28" s="680"/>
      <c r="G28" s="680"/>
      <c r="H28" s="680"/>
      <c r="I28" s="671"/>
      <c r="J28" s="671"/>
      <c r="K28" s="671"/>
      <c r="L28" s="671"/>
      <c r="M28" s="672"/>
      <c r="N28" s="672"/>
      <c r="O28" s="672"/>
      <c r="P28" s="672"/>
      <c r="Q28" s="672"/>
      <c r="R28" s="673"/>
    </row>
    <row r="29" spans="1:18" ht="12.95" customHeight="1">
      <c r="A29" s="664"/>
      <c r="B29" s="670" t="str">
        <f>Projekt!M18</f>
        <v>Tél.:</v>
      </c>
      <c r="C29" s="680">
        <f>Projekt!N18</f>
        <v>0</v>
      </c>
      <c r="E29" s="672"/>
      <c r="F29" s="671"/>
      <c r="H29" s="680"/>
      <c r="K29" s="672"/>
      <c r="L29" s="671" t="str">
        <f>Projekt!M20</f>
        <v>Email:</v>
      </c>
      <c r="N29" s="680">
        <f>Projekt!N20</f>
        <v>0</v>
      </c>
      <c r="O29" s="672"/>
      <c r="P29" s="672"/>
      <c r="Q29" s="672"/>
      <c r="R29" s="673"/>
    </row>
    <row r="30" spans="1:18" ht="6" customHeight="1">
      <c r="A30" s="664"/>
      <c r="B30" s="670"/>
      <c r="C30" s="671"/>
      <c r="D30" s="671"/>
      <c r="E30" s="671"/>
      <c r="F30" s="671"/>
      <c r="G30" s="671"/>
      <c r="H30" s="671"/>
      <c r="I30" s="671"/>
      <c r="J30" s="671"/>
      <c r="K30" s="671"/>
      <c r="L30" s="671"/>
      <c r="M30" s="672"/>
      <c r="N30" s="672"/>
      <c r="O30" s="672"/>
      <c r="P30" s="672"/>
      <c r="Q30" s="672"/>
      <c r="R30" s="673"/>
    </row>
    <row r="31" spans="1:18" ht="12.95" customHeight="1">
      <c r="A31" s="664"/>
      <c r="B31" s="678" t="str">
        <f>Projekt!C24</f>
        <v>Justification:</v>
      </c>
      <c r="C31" s="671"/>
      <c r="D31" s="671"/>
      <c r="E31" s="671"/>
      <c r="F31" s="671"/>
      <c r="G31" s="671"/>
      <c r="H31" s="671"/>
      <c r="I31" s="671"/>
      <c r="J31" s="671"/>
      <c r="K31" s="671"/>
      <c r="L31" s="671"/>
      <c r="M31" s="672"/>
      <c r="N31" s="672"/>
      <c r="O31" s="672"/>
      <c r="P31" s="672"/>
      <c r="Q31" s="672"/>
      <c r="R31" s="673"/>
    </row>
    <row r="32" spans="1:18" ht="6" customHeight="1">
      <c r="A32" s="664"/>
      <c r="B32" s="670"/>
      <c r="C32" s="671"/>
      <c r="D32" s="671"/>
      <c r="E32" s="671"/>
      <c r="F32" s="671"/>
      <c r="G32" s="671"/>
      <c r="H32" s="671"/>
      <c r="I32" s="671"/>
      <c r="J32" s="671"/>
      <c r="K32" s="671"/>
      <c r="L32" s="671"/>
      <c r="M32" s="672"/>
      <c r="N32" s="672"/>
      <c r="O32" s="672"/>
      <c r="P32" s="672"/>
      <c r="Q32" s="672"/>
      <c r="R32" s="673"/>
    </row>
    <row r="33" spans="1:21" ht="12.95" customHeight="1">
      <c r="A33" s="664"/>
      <c r="B33" s="670" t="str">
        <f>Projekt!C25</f>
        <v>Entreprise:</v>
      </c>
      <c r="C33" s="680">
        <f>Projekt!E25</f>
        <v>0</v>
      </c>
      <c r="E33" s="680"/>
      <c r="F33" s="680"/>
      <c r="G33" s="680"/>
      <c r="H33" s="680"/>
      <c r="I33" s="671"/>
      <c r="J33" s="671"/>
      <c r="K33" s="671"/>
      <c r="L33" s="671"/>
      <c r="M33" s="672"/>
      <c r="N33" s="672"/>
      <c r="O33" s="672"/>
      <c r="P33" s="672"/>
      <c r="Q33" s="672"/>
      <c r="R33" s="673"/>
    </row>
    <row r="34" spans="1:21" ht="6" customHeight="1">
      <c r="A34" s="664"/>
      <c r="B34" s="670"/>
      <c r="C34" s="671"/>
      <c r="E34" s="671"/>
      <c r="F34" s="671"/>
      <c r="G34" s="671"/>
      <c r="H34" s="671"/>
      <c r="I34" s="671"/>
      <c r="J34" s="671"/>
      <c r="K34" s="671"/>
      <c r="L34" s="671"/>
      <c r="M34" s="672"/>
      <c r="N34" s="672"/>
      <c r="O34" s="672"/>
      <c r="P34" s="672"/>
      <c r="Q34" s="672"/>
      <c r="R34" s="673"/>
    </row>
    <row r="35" spans="1:21" ht="12.95" customHeight="1">
      <c r="A35" s="664"/>
      <c r="B35" s="670" t="str">
        <f>Projekt!C27</f>
        <v>Collaborateur:</v>
      </c>
      <c r="C35" s="680">
        <f>Projekt!E27</f>
        <v>0</v>
      </c>
      <c r="E35" s="680"/>
      <c r="F35" s="680"/>
      <c r="G35" s="680"/>
      <c r="H35" s="680"/>
      <c r="I35" s="671"/>
      <c r="J35" s="671"/>
      <c r="K35" s="671"/>
      <c r="L35" s="671" t="str">
        <f>Projekt!M27</f>
        <v>Email:</v>
      </c>
      <c r="M35" s="672"/>
      <c r="N35" s="1784">
        <f>Projekt!N27</f>
        <v>0</v>
      </c>
      <c r="O35" s="672"/>
      <c r="P35" s="672"/>
      <c r="Q35" s="672"/>
      <c r="R35" s="673"/>
    </row>
    <row r="36" spans="1:21" ht="6" customHeight="1">
      <c r="A36" s="664"/>
      <c r="B36" s="670"/>
      <c r="C36" s="671"/>
      <c r="E36" s="671"/>
      <c r="F36" s="671"/>
      <c r="G36" s="671"/>
      <c r="H36" s="671"/>
      <c r="I36" s="671"/>
      <c r="J36" s="671"/>
      <c r="K36" s="671"/>
      <c r="L36" s="671"/>
      <c r="M36" s="672"/>
      <c r="N36" s="672"/>
      <c r="O36" s="672"/>
      <c r="P36" s="672"/>
      <c r="Q36" s="672"/>
      <c r="R36" s="673"/>
    </row>
    <row r="37" spans="1:21" ht="12.95" customHeight="1">
      <c r="A37" s="664"/>
      <c r="B37" s="670" t="str">
        <f>Projekt!C29</f>
        <v>Adresse:</v>
      </c>
      <c r="C37" s="680" t="str">
        <f>Projekt!E29</f>
        <v xml:space="preserve"> ,  </v>
      </c>
      <c r="E37" s="680"/>
      <c r="F37" s="680"/>
      <c r="G37" s="680"/>
      <c r="H37" s="680"/>
      <c r="I37" s="671"/>
      <c r="J37" s="671"/>
      <c r="K37" s="671"/>
      <c r="L37" s="671"/>
      <c r="M37" s="672"/>
      <c r="N37" s="672"/>
      <c r="O37" s="672"/>
      <c r="P37" s="672"/>
      <c r="Q37" s="672"/>
      <c r="R37" s="673"/>
    </row>
    <row r="38" spans="1:21" ht="6" customHeight="1">
      <c r="A38" s="664"/>
      <c r="B38" s="670"/>
      <c r="C38" s="671"/>
      <c r="D38" s="680"/>
      <c r="E38" s="680"/>
      <c r="F38" s="680"/>
      <c r="G38" s="680"/>
      <c r="H38" s="680"/>
      <c r="I38" s="671"/>
      <c r="J38" s="671"/>
      <c r="K38" s="671"/>
      <c r="L38" s="671"/>
      <c r="M38" s="672"/>
      <c r="N38" s="672"/>
      <c r="O38" s="672"/>
      <c r="P38" s="672"/>
      <c r="Q38" s="672"/>
      <c r="R38" s="673"/>
    </row>
    <row r="39" spans="1:21" ht="12.95" customHeight="1">
      <c r="A39" s="664"/>
      <c r="B39" s="670" t="str">
        <f>Projekt!M25</f>
        <v>Tél.:</v>
      </c>
      <c r="C39" s="2357">
        <f>Projekt!N25</f>
        <v>0</v>
      </c>
      <c r="D39" s="2357"/>
      <c r="E39" s="2357"/>
      <c r="F39" s="671"/>
      <c r="H39" s="684"/>
      <c r="K39" s="672"/>
      <c r="L39" s="671" t="str">
        <f>Projekt!M29</f>
        <v>Email:</v>
      </c>
      <c r="N39" s="684">
        <f>Projekt!N29</f>
        <v>0</v>
      </c>
      <c r="O39" s="672"/>
      <c r="P39" s="672"/>
      <c r="Q39" s="672"/>
      <c r="R39" s="673"/>
    </row>
    <row r="40" spans="1:21" ht="6" customHeight="1">
      <c r="A40" s="671"/>
      <c r="B40" s="674"/>
      <c r="C40" s="675"/>
      <c r="D40" s="675"/>
      <c r="E40" s="675"/>
      <c r="F40" s="675"/>
      <c r="G40" s="675"/>
      <c r="H40" s="675"/>
      <c r="I40" s="675"/>
      <c r="J40" s="675"/>
      <c r="K40" s="675"/>
      <c r="L40" s="675"/>
      <c r="M40" s="676"/>
      <c r="N40" s="676"/>
      <c r="O40" s="676"/>
      <c r="P40" s="676"/>
      <c r="Q40" s="676"/>
      <c r="R40" s="682"/>
    </row>
    <row r="41" spans="1:21" ht="6" hidden="1" customHeight="1"/>
    <row r="42" spans="1:21" ht="18" customHeight="1">
      <c r="B42" s="669" t="str">
        <f>Uebersetzung!D41</f>
        <v>Nature des travaux:</v>
      </c>
      <c r="D42" s="1796">
        <f>Projekt!F33</f>
        <v>0</v>
      </c>
      <c r="U42" s="669" t="s">
        <v>442</v>
      </c>
    </row>
    <row r="43" spans="1:21" ht="15" customHeight="1">
      <c r="U43" s="685" t="b">
        <f>IF(Projekt!$AV$31=2,TRUE,FALSE)</f>
        <v>0</v>
      </c>
    </row>
    <row r="44" spans="1:21" ht="4.1500000000000004" customHeight="1">
      <c r="U44" s="686" t="b">
        <f>IF(Projekt!$AV$31=3,TRUE,FALSE)</f>
        <v>0</v>
      </c>
    </row>
    <row r="45" spans="1:21" ht="18" customHeight="1">
      <c r="B45" s="1350" t="str">
        <f>Uebersetzung!D43</f>
        <v>Justification globale</v>
      </c>
      <c r="O45" s="2260" t="str">
        <f>IF(AND(Zonen!X15,Zonen!Y15),Uebersetzung!D699,IF(Zonen!X15,Uebersetzung!D54,Uebersetzung!D56))</f>
        <v>Transformation</v>
      </c>
      <c r="P45" s="2260"/>
      <c r="Q45" s="2260"/>
      <c r="R45" s="2260"/>
      <c r="U45" s="686" t="b">
        <f>IF(Projekt!$AV$31=4,TRUE,FALSE)</f>
        <v>0</v>
      </c>
    </row>
    <row r="46" spans="1:21" ht="18" customHeight="1">
      <c r="B46" s="669" t="str">
        <f>Uebersetzung!D44</f>
        <v>Exigences d'après:</v>
      </c>
      <c r="J46" s="1354" t="str">
        <f>IF(muken14,"MUKEN 2014, Ver1",IF(Projekt!AV34=Projekt!AY37,Projekt!AV35,IF(_Ver09,Uebersetzung!D50,Uebersetzung!D49)))</f>
        <v>SIA 380/1 (Edition 2016)</v>
      </c>
      <c r="K46" s="1355"/>
      <c r="L46" s="1355"/>
      <c r="M46" s="1355"/>
      <c r="N46" s="1355"/>
      <c r="O46" s="2260"/>
      <c r="P46" s="2260"/>
      <c r="Q46" s="2260"/>
      <c r="R46" s="2260"/>
      <c r="U46" s="688" t="b">
        <f>IF(Projekt!$AV$31=5,TRUE,FALSE)</f>
        <v>0</v>
      </c>
    </row>
    <row r="47" spans="1:21" ht="18" customHeight="1">
      <c r="B47" s="669" t="str">
        <f>Projekt!K35</f>
        <v>Station météorologique:</v>
      </c>
      <c r="J47" s="1354">
        <f>Projekt!BC35</f>
        <v>0</v>
      </c>
      <c r="K47" s="1355"/>
      <c r="L47" s="1355"/>
      <c r="M47" s="1355"/>
      <c r="N47" s="1355"/>
      <c r="P47" s="1355"/>
      <c r="Q47" s="1355"/>
    </row>
    <row r="48" spans="1:21" ht="18" customHeight="1">
      <c r="B48" s="669" t="str">
        <f>Uebersetzung!D229</f>
        <v>Surface de référence énergétique:</v>
      </c>
      <c r="E48" s="2266">
        <f>Zonen!M17</f>
        <v>0</v>
      </c>
      <c r="F48" s="2266"/>
      <c r="G48" s="769" t="s">
        <v>243</v>
      </c>
      <c r="J48" s="669" t="str">
        <f>Uebersetzung!D234</f>
        <v>Facteur d'envelope Ath/SRE</v>
      </c>
      <c r="M48" s="664" t="s">
        <v>375</v>
      </c>
      <c r="O48" s="2021">
        <f>Zonen!M18</f>
        <v>0</v>
      </c>
      <c r="P48" s="1357"/>
      <c r="U48" s="683" t="s">
        <v>443</v>
      </c>
    </row>
    <row r="49" spans="2:28" ht="18" customHeight="1">
      <c r="B49" s="1783" t="str">
        <f>Uebersetzung!D230</f>
        <v>Facteur d'ombrage de la façade ayant la plus grande surface vitrée:</v>
      </c>
      <c r="L49" s="1351"/>
      <c r="M49" s="1352" t="s">
        <v>2314</v>
      </c>
      <c r="O49" s="2021">
        <f>Zonen!Y48</f>
        <v>0</v>
      </c>
      <c r="U49" s="669" t="s">
        <v>3977</v>
      </c>
      <c r="V49" s="689" t="s">
        <v>3979</v>
      </c>
      <c r="W49" s="689" t="s">
        <v>3978</v>
      </c>
      <c r="X49" s="669" t="s">
        <v>4053</v>
      </c>
      <c r="AA49" s="2359"/>
      <c r="AB49" s="2359"/>
    </row>
    <row r="50" spans="2:28" ht="18" customHeight="1">
      <c r="B50" s="1783" t="str">
        <f>Uebersetzung!D231</f>
        <v>Longueur totale des ponts thermiques linéaires:</v>
      </c>
      <c r="M50" s="664" t="s">
        <v>1005</v>
      </c>
      <c r="N50" s="2266">
        <f>Zonen!M39</f>
        <v>0</v>
      </c>
      <c r="O50" s="2266"/>
      <c r="P50" s="672" t="s">
        <v>808</v>
      </c>
      <c r="Q50" s="672"/>
      <c r="U50" s="685" t="b">
        <f>Zonen!Y20</f>
        <v>0</v>
      </c>
      <c r="V50" s="1944" t="b">
        <f>IF(_Ver09,FALSE,IF(Zonen!M22&gt;0,TRUE,FALSE))</f>
        <v>0</v>
      </c>
      <c r="W50" s="692" t="b">
        <f>Zonen!Y22</f>
        <v>1</v>
      </c>
      <c r="X50" s="685" t="b">
        <f>AND(Zonen!Y20,Zonen!Y22)</f>
        <v>0</v>
      </c>
    </row>
    <row r="51" spans="2:28" ht="18" customHeight="1">
      <c r="B51" s="1783" t="str">
        <f>Uebersetzung!D232</f>
        <v>Bâtiment avec chauffage par sol</v>
      </c>
      <c r="G51" s="1356" t="str">
        <f>IF(Projekt!$AV$49=1,Uebersetzung!D127,Uebersetzung!D129)</f>
        <v>oui</v>
      </c>
      <c r="L51" s="1372" t="str">
        <f>Uebersetzung!D235</f>
        <v xml:space="preserve">Temp. de dimensionnement </v>
      </c>
      <c r="M51" s="1353" t="s">
        <v>379</v>
      </c>
      <c r="O51" s="2024">
        <f>Zonen!M37</f>
        <v>50</v>
      </c>
      <c r="P51" s="672" t="s">
        <v>2324</v>
      </c>
      <c r="Q51" s="672"/>
      <c r="U51" s="688" t="b">
        <f>IF(U50,FALSE,TRUE)</f>
        <v>1</v>
      </c>
      <c r="V51" s="1945"/>
      <c r="W51" s="1949"/>
      <c r="X51" s="688" t="b">
        <f>IF(X50,FALSE,TRUE)</f>
        <v>1</v>
      </c>
    </row>
    <row r="52" spans="2:28" s="808" customFormat="1" ht="22.15" customHeight="1">
      <c r="B52" s="808" t="str">
        <f>Uebersetzung!D233</f>
        <v>Supplément pour régulation non performante</v>
      </c>
      <c r="E52" s="1802" t="s">
        <v>383</v>
      </c>
      <c r="F52" s="2273">
        <f>Zonen!M36</f>
        <v>0</v>
      </c>
      <c r="G52" s="2273"/>
      <c r="H52" s="808" t="s">
        <v>2324</v>
      </c>
      <c r="J52" s="808" t="str">
        <f>Uebersetzung!D236</f>
        <v>Système:</v>
      </c>
      <c r="L52" s="2026" t="str">
        <f>IF(Zonen!X40=5,Uebersetzung!D701,Nachweis!Z66)</f>
        <v>régulation à partir d' une pièce de référence</v>
      </c>
      <c r="N52" s="1803"/>
      <c r="O52" s="1803"/>
      <c r="P52" s="1803"/>
      <c r="Q52" s="1803"/>
      <c r="R52" s="1803"/>
      <c r="S52" s="1803"/>
      <c r="U52" s="817"/>
      <c r="V52" s="817"/>
    </row>
    <row r="53" spans="2:28" ht="18" customHeight="1">
      <c r="B53" s="697" t="str">
        <f>Uebersetzung!D237</f>
        <v>Besoins de chaleur pour le chauffage</v>
      </c>
      <c r="C53" s="667"/>
      <c r="D53" s="1358"/>
      <c r="E53" s="667"/>
      <c r="F53" s="1805" t="s">
        <v>2952</v>
      </c>
      <c r="G53" s="2274">
        <f>Zonen!M19</f>
        <v>0</v>
      </c>
      <c r="H53" s="2274"/>
      <c r="I53" s="1358" t="str">
        <f>IF(_Ver09,"MJ/m2","kWh/m2")</f>
        <v>kWh/m2</v>
      </c>
      <c r="J53" s="667"/>
      <c r="K53" s="1358"/>
      <c r="L53" s="667"/>
      <c r="M53" s="1806" t="str">
        <f>IF(Projekt!AV34="Minergie-P",Uebersetzung!D238,Uebersetzung!D239)</f>
        <v>Valeur-limite</v>
      </c>
      <c r="N53" s="1358" t="s">
        <v>2956</v>
      </c>
      <c r="O53" s="2274">
        <f>Zonen!M20</f>
        <v>0</v>
      </c>
      <c r="P53" s="2274"/>
      <c r="Q53" s="1358" t="str">
        <f>IF(_Ver09,"MJ/m2","kWh/m2")</f>
        <v>kWh/m2</v>
      </c>
      <c r="R53" s="668"/>
      <c r="U53" s="672"/>
      <c r="V53" s="672"/>
    </row>
    <row r="54" spans="2:28" ht="12" customHeight="1">
      <c r="B54" s="1359" t="str">
        <f>IF(AND(OR(Projekt!BC33=7,Projekt!BC33=8),Funktion&lt;&gt;6),IF(Projekt!AU33=2,Uebersetzung!D242,Uebersetzung!D243),IF(AND(Liechtenstein,Projekt!AU33=2,Funktion&lt;&gt;5),IF(AND(Projekt!AV31&lt;&gt;4,Grossprojekt),Uebersetzung!D244,Uebersetzung!D245),""))</f>
        <v/>
      </c>
      <c r="C54" s="672"/>
      <c r="D54" s="672"/>
      <c r="E54" s="672"/>
      <c r="F54" s="672"/>
      <c r="G54" s="672"/>
      <c r="H54" s="672"/>
      <c r="I54" s="672"/>
      <c r="J54" s="672"/>
      <c r="K54" s="672"/>
      <c r="L54" s="672"/>
      <c r="M54" s="691"/>
      <c r="N54" s="672"/>
      <c r="O54" s="672"/>
      <c r="P54" s="672" t="s">
        <v>350</v>
      </c>
      <c r="Q54" s="672"/>
      <c r="R54" s="2019"/>
      <c r="U54" s="683" t="s">
        <v>914</v>
      </c>
      <c r="V54" s="691"/>
    </row>
    <row r="55" spans="2:28" ht="16.149999999999999" customHeight="1">
      <c r="B55" s="1359" t="str">
        <f>Uebersetzung!D253</f>
        <v>Puissance de chauffage spécifique</v>
      </c>
      <c r="C55" s="672"/>
      <c r="D55" s="672"/>
      <c r="E55" s="672"/>
      <c r="F55" s="1804" t="s">
        <v>2953</v>
      </c>
      <c r="H55" s="2022">
        <f>IF(Zonen&gt;1,Zonen!O21,M161)</f>
        <v>0</v>
      </c>
      <c r="I55" s="1804" t="s">
        <v>2951</v>
      </c>
      <c r="J55" s="672"/>
      <c r="K55" s="672"/>
      <c r="L55" s="672"/>
      <c r="M55" s="1807" t="str">
        <f>Uebersetzung!D239</f>
        <v>Valeur-limite</v>
      </c>
      <c r="N55" s="1804" t="s">
        <v>2958</v>
      </c>
      <c r="O55" s="2283">
        <f>Zonen!M22</f>
        <v>0</v>
      </c>
      <c r="P55" s="2283"/>
      <c r="Q55" s="1804" t="s">
        <v>2951</v>
      </c>
      <c r="R55" s="2019"/>
      <c r="U55" s="691"/>
      <c r="V55" s="691"/>
      <c r="Y55" s="665" t="s">
        <v>4055</v>
      </c>
      <c r="Z55" s="667"/>
      <c r="AA55" s="668"/>
    </row>
    <row r="56" spans="2:28" ht="16.149999999999999" customHeight="1">
      <c r="B56" s="1360" t="str">
        <f>Uebersetzung!D240</f>
        <v>Exigence globale</v>
      </c>
      <c r="C56" s="1809" t="s">
        <v>2956</v>
      </c>
      <c r="D56" s="1808" t="str">
        <f>Uebersetzung!D254</f>
        <v>et</v>
      </c>
      <c r="E56" s="1361" t="s">
        <v>2958</v>
      </c>
      <c r="F56" s="676"/>
      <c r="G56" s="676"/>
      <c r="H56" s="676"/>
      <c r="I56" s="676"/>
      <c r="J56" s="676"/>
      <c r="K56" s="1361">
        <f>IF(AND(EBF&gt;0,Qh&gt;0),IF(X50,"x   erfüllt",),)</f>
        <v>0</v>
      </c>
      <c r="L56" s="676"/>
      <c r="M56" s="676"/>
      <c r="N56" s="676"/>
      <c r="O56" s="676"/>
      <c r="P56" s="676"/>
      <c r="Q56" s="1554" t="str">
        <f>IF(AND(EBF&gt;0,Qh&gt;0),IF(X51,Uebersetzung!D241,),Uebersetzung!D241)</f>
        <v>x   non respectée</v>
      </c>
      <c r="R56" s="682"/>
      <c r="U56" s="692"/>
      <c r="V56" s="667" t="s">
        <v>419</v>
      </c>
      <c r="W56" s="693" t="s">
        <v>1504</v>
      </c>
      <c r="X56" s="2025" t="s">
        <v>444</v>
      </c>
      <c r="Y56" s="697" t="s">
        <v>4089</v>
      </c>
      <c r="Z56" s="2279">
        <f>lRW+lWF+lB+lW+lF+lR</f>
        <v>0</v>
      </c>
      <c r="AA56" s="2280"/>
      <c r="AB56" s="1790"/>
    </row>
    <row r="57" spans="2:28" ht="9.9499999999999993" customHeight="1">
      <c r="U57" s="694" t="s">
        <v>1412</v>
      </c>
      <c r="V57" s="691">
        <f>IF(Projekt!AV29&gt;1,INDEX(Tab!H18:S18,,Projekt!AV29-1),)</f>
        <v>0</v>
      </c>
      <c r="W57" s="691">
        <f>IF(Projekt!$AV$29&gt;1,Tab!E22,)</f>
        <v>0</v>
      </c>
      <c r="X57" s="691">
        <f>IF(Projekt!$AV$29&gt;1,Tab!E23,)</f>
        <v>0</v>
      </c>
      <c r="Y57" s="1359" t="s">
        <v>1189</v>
      </c>
      <c r="Z57" s="2277">
        <f>EBF</f>
        <v>0</v>
      </c>
      <c r="AA57" s="2278"/>
    </row>
    <row r="58" spans="2:28" ht="15" customHeight="1">
      <c r="B58" s="669" t="str">
        <f>Uebersetzung!D246</f>
        <v>Les soussignés confirment par leur signature que les indications figurant ci-dessus et celles utilisées pour</v>
      </c>
      <c r="U58" s="694"/>
      <c r="V58" s="691"/>
      <c r="W58" s="691"/>
      <c r="X58" s="691"/>
      <c r="Y58" s="1359" t="s">
        <v>970</v>
      </c>
      <c r="Z58" s="2267">
        <f>K79</f>
        <v>0</v>
      </c>
      <c r="AA58" s="2268"/>
    </row>
    <row r="59" spans="2:28" ht="15" customHeight="1">
      <c r="B59" s="1790" t="str">
        <f>Uebersetzung!D247</f>
        <v>établir la justification d'une isolation thermique suffisante sont exactes et complètes.</v>
      </c>
      <c r="U59" s="694" t="s">
        <v>2322</v>
      </c>
      <c r="V59" s="691">
        <f>AWu*buWW+AWG*bGWW+AwH+AwS+AwE+AwW+AwN+AW.e+ARe+ARu*buRR+AFe+AFu*buFF+AFG*bGFF+A_TWD</f>
        <v>0</v>
      </c>
      <c r="W59" s="671" t="s">
        <v>1841</v>
      </c>
      <c r="X59" s="691"/>
      <c r="Y59" s="2020" t="s">
        <v>2952</v>
      </c>
      <c r="Z59" s="2275">
        <f>IF(EBF&gt;0,IF(_Ver09,Qh,Qh/3.6),)</f>
        <v>0</v>
      </c>
      <c r="AA59" s="2276"/>
    </row>
    <row r="60" spans="2:28" ht="15" customHeight="1">
      <c r="U60" s="694"/>
      <c r="V60" s="691"/>
      <c r="W60" s="671"/>
      <c r="X60" s="691"/>
      <c r="Y60" s="2020" t="s">
        <v>2956</v>
      </c>
      <c r="Z60" s="2281">
        <f>IF(_Ver09,GrenzwertHg,GrenzwertHg/3.6)</f>
        <v>0</v>
      </c>
      <c r="AA60" s="2282"/>
    </row>
    <row r="61" spans="2:28" ht="15" customHeight="1">
      <c r="U61" s="694"/>
      <c r="V61" s="691"/>
      <c r="W61" s="691"/>
      <c r="X61" s="691"/>
      <c r="Y61" s="2020" t="s">
        <v>2953</v>
      </c>
      <c r="Z61" s="2275">
        <f>M161</f>
        <v>0</v>
      </c>
      <c r="AA61" s="2276"/>
    </row>
    <row r="62" spans="2:28" ht="15" customHeight="1">
      <c r="U62" s="695" t="s">
        <v>445</v>
      </c>
      <c r="V62" s="696">
        <f>IF(AND(OR(Projekt!BC33=7,Projekt!BC33=8,Liechtenstein),Funktion&lt;&gt;6),IF(EBF&gt;0,IF(Projekt!AV31=4,Altbau,1)*(W57+X57*IF(_Ver09,A/EBF,Ath))*(1+X62*Klimakorr),0)*V65,IF(EBF&gt;0,IF(Projekt!AV31=4,Altbau,1)*(W57+X57*IF(_Ver09,A/EBF,Ath))*(1+X62*Klimakorr),0))</f>
        <v>0</v>
      </c>
      <c r="W62" s="675" t="s">
        <v>298</v>
      </c>
      <c r="X62" s="676">
        <f>IF(EBF&gt;0,IF(_Ver09,8.5-Thetaea,9.4-Thetaea),0)</f>
        <v>0</v>
      </c>
      <c r="Y62" s="694" t="s">
        <v>4090</v>
      </c>
      <c r="Z62" s="2269">
        <f>Projekt!M52</f>
        <v>50</v>
      </c>
      <c r="AA62" s="2270"/>
    </row>
    <row r="63" spans="2:28" ht="15" customHeight="1">
      <c r="B63" s="669" t="str">
        <f>Uebersetzung!D248</f>
        <v>L'auteur du projet:</v>
      </c>
      <c r="M63" s="669" t="str">
        <f>Uebersetzung!D250</f>
        <v>Date:</v>
      </c>
      <c r="U63" s="669" t="s">
        <v>97</v>
      </c>
      <c r="V63" s="689">
        <f>IF(muken14,1.5,IF(_Ver09,1.25,1.5))</f>
        <v>1.5</v>
      </c>
      <c r="Y63" s="705" t="s">
        <v>4091</v>
      </c>
      <c r="Z63" s="2271">
        <f>Projekt!Q49</f>
        <v>1</v>
      </c>
      <c r="AA63" s="2272"/>
    </row>
    <row r="64" spans="2:28" ht="15" customHeight="1">
      <c r="N64" s="672"/>
      <c r="O64" s="672"/>
      <c r="P64" s="672"/>
      <c r="U64" s="669" t="s">
        <v>96</v>
      </c>
      <c r="V64" s="689">
        <f>IF(_Ver09,0.08,0.06)</f>
        <v>0.06</v>
      </c>
      <c r="Y64" s="705" t="s">
        <v>4092</v>
      </c>
      <c r="Z64" s="2269">
        <f>INDEX(Projekt!$AX$33:$AX$36,Projekt!AV31,1)</f>
        <v>0</v>
      </c>
      <c r="AA64" s="2270"/>
    </row>
    <row r="65" spans="2:30" ht="15" customHeight="1">
      <c r="N65" s="691"/>
      <c r="U65" s="1372" t="s">
        <v>309</v>
      </c>
      <c r="V65" s="689">
        <f>IF(Liechtenstein,IF(AND(OR(Projekt!AU33=2,Projekt!AU33=5),Funktion&lt;&gt;6),IF(AND(Grossprojekt,Projekt!AV31&lt;&gt;4),0.9,0.8),1),0.9)</f>
        <v>0.9</v>
      </c>
      <c r="Y65" s="1949" t="s">
        <v>4102</v>
      </c>
      <c r="Z65" s="2264">
        <f>IF(MAX(G86:N86)=G86,G96,IF(MAX(G86:N86)=I86,I96,IF(MAX(G86:N86)=K86,K96,M96)))</f>
        <v>0</v>
      </c>
      <c r="AA65" s="2265"/>
      <c r="AB65" s="1994"/>
      <c r="AC65" s="1994"/>
      <c r="AD65" s="1994"/>
    </row>
    <row r="66" spans="2:30" ht="15" customHeight="1">
      <c r="N66" s="691"/>
      <c r="Y66" s="1949" t="s">
        <v>4091</v>
      </c>
      <c r="Z66" s="2261" t="str">
        <f>INDEX(Tab!$B$67:$B$70,Projekt!AV38,1)</f>
        <v>régulation à partir d' une pièce de référence</v>
      </c>
      <c r="AA66" s="2261"/>
      <c r="AB66" s="2262"/>
      <c r="AC66" s="2262"/>
      <c r="AD66" s="2263"/>
    </row>
    <row r="67" spans="2:30" ht="15" customHeight="1">
      <c r="B67" s="669" t="str">
        <f>Uebersetzung!D249</f>
        <v>L'auteur du justificatif:</v>
      </c>
      <c r="M67" s="669" t="str">
        <f>M63</f>
        <v>Date:</v>
      </c>
      <c r="N67" s="691"/>
    </row>
    <row r="68" spans="2:30" ht="12" customHeight="1">
      <c r="N68" s="691"/>
      <c r="U68" s="669" t="s">
        <v>3980</v>
      </c>
    </row>
    <row r="69" spans="2:30" ht="12" customHeight="1">
      <c r="N69" s="691"/>
    </row>
    <row r="70" spans="2:30" ht="12" customHeight="1">
      <c r="U70" s="1946" t="s">
        <v>3981</v>
      </c>
      <c r="V70" s="1947">
        <f>IF(Projekt&gt;3,0,IF(AND(Kategorie&gt;1,Kategorie&lt;6),INDEX(Tab!H28:S28,1,Kategorie-1),0))</f>
        <v>0</v>
      </c>
      <c r="W70" s="667" t="s">
        <v>3925</v>
      </c>
      <c r="X70" s="668"/>
    </row>
    <row r="71" spans="2:30" ht="12" customHeight="1">
      <c r="U71" s="705" t="s">
        <v>3982</v>
      </c>
      <c r="V71" s="672">
        <f ca="1">TaMinPA-Takorr</f>
        <v>-8</v>
      </c>
      <c r="W71" s="672" t="s">
        <v>2324</v>
      </c>
      <c r="X71" s="2019"/>
    </row>
    <row r="72" spans="2:30" ht="12.6" customHeight="1">
      <c r="U72" s="1948" t="s">
        <v>3983</v>
      </c>
      <c r="V72" s="1950">
        <f ca="1">IF(V71&lt;-8,V70*(Theta-V71)/(Theta+8),V70)</f>
        <v>0</v>
      </c>
      <c r="W72" s="672" t="s">
        <v>3925</v>
      </c>
      <c r="X72" s="2019"/>
    </row>
    <row r="73" spans="2:30" ht="12.6" customHeight="1">
      <c r="B73" s="697" t="str">
        <f>Uebersetzung!D251</f>
        <v>Justification:</v>
      </c>
      <c r="C73" s="698">
        <f>Projekt!E5</f>
        <v>0</v>
      </c>
      <c r="D73" s="667"/>
      <c r="E73" s="667"/>
      <c r="F73" s="667"/>
      <c r="G73" s="667"/>
      <c r="H73" s="667"/>
      <c r="I73" s="667"/>
      <c r="J73" s="667"/>
      <c r="K73" s="667"/>
      <c r="L73" s="667"/>
      <c r="M73" s="667"/>
      <c r="N73" s="667"/>
      <c r="O73" s="667"/>
      <c r="P73" s="667"/>
      <c r="Q73" s="667"/>
      <c r="R73" s="699" t="str">
        <f>"Qh = "&amp;ROUND(Qhtot,1)&amp;IF(_Ver09," MJ/m2","kWh/m2")</f>
        <v>Qh = 0kWh/m2</v>
      </c>
      <c r="U73" s="705"/>
      <c r="V73" s="2041" t="str">
        <f>IF(Projekt&gt;3,"",IF(AND(Kategorie&gt;1,Kategorie&lt;6),V72,""))</f>
        <v/>
      </c>
      <c r="W73" s="672" t="s">
        <v>3925</v>
      </c>
      <c r="X73" s="2019"/>
    </row>
    <row r="74" spans="2:30" ht="18" customHeight="1">
      <c r="B74" s="700">
        <f ca="1">NOW()</f>
        <v>43566.628989236109</v>
      </c>
      <c r="C74" s="701" t="str">
        <f>Zonen!E8</f>
        <v xml:space="preserve">     </v>
      </c>
      <c r="D74" s="676"/>
      <c r="E74" s="676"/>
      <c r="F74" s="676"/>
      <c r="G74" s="676"/>
      <c r="H74" s="676"/>
      <c r="I74" s="676"/>
      <c r="J74" s="676"/>
      <c r="K74" s="676"/>
      <c r="L74" s="676"/>
      <c r="M74" s="676"/>
      <c r="N74" s="676"/>
      <c r="O74" s="676"/>
      <c r="P74" s="676"/>
      <c r="Q74" s="676"/>
      <c r="R74" s="677" t="str">
        <f>Uebersetzung!D252</f>
        <v>Page 2 de 10</v>
      </c>
      <c r="U74" s="1949" t="s">
        <v>4106</v>
      </c>
      <c r="V74" s="2042">
        <f>Zonen!O21</f>
        <v>0</v>
      </c>
      <c r="W74" s="676" t="s">
        <v>3925</v>
      </c>
      <c r="X74" s="682"/>
    </row>
    <row r="75" spans="2:30" ht="18" customHeight="1">
      <c r="B75" s="702"/>
      <c r="C75" s="703"/>
      <c r="D75" s="672"/>
      <c r="E75" s="672"/>
      <c r="F75" s="672"/>
      <c r="G75" s="672"/>
      <c r="H75" s="672"/>
      <c r="I75" s="672"/>
      <c r="J75" s="672"/>
      <c r="K75" s="672"/>
      <c r="L75" s="672"/>
      <c r="M75" s="672"/>
      <c r="N75" s="672"/>
      <c r="O75" s="672"/>
    </row>
    <row r="76" spans="2:30" ht="10.15" customHeight="1"/>
    <row r="77" spans="2:30" s="808" customFormat="1" ht="18" customHeight="1">
      <c r="B77" s="1931" t="str">
        <f>Uebersetzung!D255</f>
        <v>1. Surface de référence énergétique SRE (AE) et valeur-limite (Qh,li)</v>
      </c>
    </row>
    <row r="78" spans="2:30" ht="18" customHeight="1">
      <c r="B78" s="2315" t="str">
        <f>Uebersetzung!D256</f>
        <v>zone thermique</v>
      </c>
      <c r="C78" s="2316"/>
      <c r="D78" s="2316"/>
      <c r="E78" s="2316"/>
      <c r="F78" s="2317"/>
      <c r="G78" s="2303" t="s">
        <v>138</v>
      </c>
      <c r="H78" s="2380"/>
      <c r="I78" s="2380"/>
      <c r="J78" s="2304"/>
      <c r="K78" s="2303" t="s">
        <v>139</v>
      </c>
      <c r="L78" s="2380"/>
      <c r="M78" s="2380"/>
      <c r="N78" s="2380"/>
      <c r="O78" s="2405" t="s">
        <v>360</v>
      </c>
      <c r="P78" s="2406"/>
      <c r="Q78" s="2380" t="str">
        <f>IF(_Ver09,"[MJ/m2]","[kWh/m2]")</f>
        <v>[kWh/m2]</v>
      </c>
      <c r="R78" s="2304"/>
    </row>
    <row r="79" spans="2:30" ht="18" customHeight="1">
      <c r="B79" s="2381">
        <f>INDEX(Tab!C30:C42,Projekt!AV29,)</f>
        <v>0</v>
      </c>
      <c r="C79" s="2382"/>
      <c r="D79" s="2382"/>
      <c r="E79" s="2382"/>
      <c r="F79" s="2383"/>
      <c r="G79" s="2384">
        <f>EBF</f>
        <v>0</v>
      </c>
      <c r="H79" s="2385"/>
      <c r="I79" s="2385"/>
      <c r="J79" s="2386"/>
      <c r="K79" s="2387">
        <f>IF(_Ver09,IF(EBF&gt;0,A/EBF,0),IF(EBF&gt;0,Ath,0))</f>
        <v>0</v>
      </c>
      <c r="L79" s="2403"/>
      <c r="M79" s="2403"/>
      <c r="N79" s="2404"/>
      <c r="O79" s="2400">
        <f>IF(_Ver09,GrenzwertHg,GrenzwertHg/3.6)</f>
        <v>0</v>
      </c>
      <c r="P79" s="2401"/>
      <c r="Q79" s="2401"/>
      <c r="R79" s="2402"/>
    </row>
    <row r="80" spans="2:30" ht="18" customHeight="1">
      <c r="B80" s="669" t="str">
        <f>Uebersetzung!D257</f>
        <v>Correction de Qh,li en fonction de la température extérieure moyenne annuelle</v>
      </c>
      <c r="C80" s="672"/>
      <c r="D80" s="672"/>
      <c r="E80" s="672"/>
      <c r="F80" s="672"/>
      <c r="G80" s="672"/>
      <c r="H80" s="672"/>
      <c r="I80" s="672"/>
      <c r="J80" s="672"/>
      <c r="K80" s="672"/>
      <c r="L80" s="672"/>
      <c r="M80" s="672"/>
      <c r="N80" s="672"/>
      <c r="O80" s="672"/>
      <c r="P80" s="1811" t="s">
        <v>2969</v>
      </c>
      <c r="Q80" s="681" t="str">
        <f>IF(((X62*Klimakorr+1)*100-100)=0,"0",(X62*Klimakorr+1)*100-100)</f>
        <v>0</v>
      </c>
      <c r="R80" s="669" t="s">
        <v>1760</v>
      </c>
    </row>
    <row r="81" spans="2:21" ht="18" customHeight="1">
      <c r="F81" s="704"/>
    </row>
    <row r="82" spans="2:21" s="808" customFormat="1" ht="18" customHeight="1">
      <c r="B82" s="1931" t="str">
        <f>Uebersetzung!D258&amp;" "</f>
        <v xml:space="preserve">2. Distribution des éléments d'enveloppe et facteur de réduction dû à l'effet des ombres permanentes </v>
      </c>
    </row>
    <row r="83" spans="2:21" ht="18" customHeight="1">
      <c r="B83" s="2365" t="str">
        <f>Uebersetzung!D271</f>
        <v>surface des éléments en m2</v>
      </c>
      <c r="C83" s="2366"/>
      <c r="D83" s="2367"/>
      <c r="E83" s="2396" t="str">
        <f>Uebersetzung!D268</f>
        <v>toit, plafond</v>
      </c>
      <c r="F83" s="2397"/>
      <c r="G83" s="2303" t="str">
        <f>Uebersetzung!D267</f>
        <v>façades</v>
      </c>
      <c r="H83" s="2380"/>
      <c r="I83" s="2380"/>
      <c r="J83" s="2380"/>
      <c r="K83" s="2380"/>
      <c r="L83" s="2380"/>
      <c r="M83" s="2380"/>
      <c r="N83" s="2304"/>
      <c r="O83" s="2396" t="str">
        <f>Uebersetzung!D269</f>
        <v>plancher</v>
      </c>
      <c r="P83" s="2397"/>
      <c r="Q83" s="2396" t="str">
        <f>Uebersetzung!D270</f>
        <v>total</v>
      </c>
      <c r="R83" s="2397"/>
    </row>
    <row r="84" spans="2:21" ht="18" customHeight="1">
      <c r="B84" s="2368"/>
      <c r="C84" s="2369"/>
      <c r="D84" s="2370"/>
      <c r="E84" s="2398"/>
      <c r="F84" s="2399"/>
      <c r="G84" s="2303" t="str">
        <f>IF(Drehung&gt;1,Bau!I10,IF(Drehung,Uebersetzung!D260,Uebersetzung!D259))</f>
        <v>N</v>
      </c>
      <c r="H84" s="2380"/>
      <c r="I84" s="2303" t="str">
        <f>IF(Drehung&gt;1,Bau!V10,IF(Drehung,Uebersetzung!D262,Uebersetzung!D261))</f>
        <v>Est</v>
      </c>
      <c r="J84" s="2304"/>
      <c r="K84" s="2303" t="str">
        <f>IF(Drehung&gt;1,Bau!V29,IF(Drehung,Uebersetzung!D264,Uebersetzung!D263))</f>
        <v>Sud</v>
      </c>
      <c r="L84" s="2304"/>
      <c r="M84" s="2303" t="str">
        <f>IF(Drehung&gt;1,Bau!I29,IF(Drehung,Uebersetzung!D266,Uebersetzung!D265))</f>
        <v>Ouest</v>
      </c>
      <c r="N84" s="2304"/>
      <c r="O84" s="2398"/>
      <c r="P84" s="2399"/>
      <c r="Q84" s="2398"/>
      <c r="R84" s="2399"/>
    </row>
    <row r="85" spans="2:21" ht="21.95" customHeight="1">
      <c r="B85" s="686" t="str">
        <f>Uebersetzung!D272</f>
        <v>opaques contre l’extérieur</v>
      </c>
      <c r="C85" s="705"/>
      <c r="D85" s="673"/>
      <c r="E85" s="2355">
        <f>ARe</f>
        <v>0</v>
      </c>
      <c r="F85" s="2356"/>
      <c r="G85" s="2371">
        <f>Bau!I19</f>
        <v>0</v>
      </c>
      <c r="H85" s="2356"/>
      <c r="I85" s="2355">
        <f>Bau!V19</f>
        <v>0</v>
      </c>
      <c r="J85" s="2356"/>
      <c r="K85" s="2371">
        <f>Bau!V38</f>
        <v>0</v>
      </c>
      <c r="L85" s="2356"/>
      <c r="M85" s="2355">
        <f>Bau!I38</f>
        <v>0</v>
      </c>
      <c r="N85" s="2356"/>
      <c r="O85" s="2355">
        <f>Bau!I64+Bau!I65</f>
        <v>0</v>
      </c>
      <c r="P85" s="2356"/>
      <c r="Q85" s="2372">
        <f>SUM(E85:P85)</f>
        <v>0</v>
      </c>
      <c r="R85" s="2373"/>
    </row>
    <row r="86" spans="2:21" ht="21.95" customHeight="1">
      <c r="B86" s="2329" t="str">
        <f>Uebersetzung!D273</f>
        <v>translucides et portes contre l’extérieur</v>
      </c>
      <c r="C86" s="2354"/>
      <c r="D86" s="2330"/>
      <c r="E86" s="2355">
        <f>AwH</f>
        <v>0</v>
      </c>
      <c r="F86" s="2356"/>
      <c r="G86" s="2355">
        <f>AwN+Bau!I20+Bau!Y98</f>
        <v>0</v>
      </c>
      <c r="H86" s="2356"/>
      <c r="I86" s="2355">
        <f>AwE+Bau!V20+Bau!M98</f>
        <v>0</v>
      </c>
      <c r="J86" s="2356"/>
      <c r="K86" s="2355">
        <f>AwS+Bau!V39+Bau!G98</f>
        <v>0</v>
      </c>
      <c r="L86" s="2356"/>
      <c r="M86" s="2355">
        <f>AwW+Bau!I39+Bau!T98</f>
        <v>0</v>
      </c>
      <c r="N86" s="2356"/>
      <c r="O86" s="2355"/>
      <c r="P86" s="2356"/>
      <c r="Q86" s="2372">
        <f t="shared" ref="Q86:Q89" si="0">SUM(E86:P86)</f>
        <v>0</v>
      </c>
      <c r="R86" s="2373"/>
    </row>
    <row r="87" spans="2:21" ht="21.95" customHeight="1">
      <c r="B87" s="2329" t="str">
        <f>Uebersetzung!D274</f>
        <v>élements contre local non chauffé</v>
      </c>
      <c r="C87" s="2354"/>
      <c r="D87" s="2330"/>
      <c r="E87" s="2355">
        <f>ARu</f>
        <v>0</v>
      </c>
      <c r="F87" s="2356"/>
      <c r="G87" s="2355">
        <f>Bau!I22+Bau!I25+Bau!I26</f>
        <v>0</v>
      </c>
      <c r="H87" s="2356"/>
      <c r="I87" s="2355">
        <f>Bau!V22+Bau!V25+Bau!V26</f>
        <v>0</v>
      </c>
      <c r="J87" s="2356"/>
      <c r="K87" s="2355">
        <f>Bau!V41+Bau!V44+Bau!V45</f>
        <v>0</v>
      </c>
      <c r="L87" s="2356"/>
      <c r="M87" s="2355">
        <f>Bau!I41+Bau!I44+Bau!I45</f>
        <v>0</v>
      </c>
      <c r="N87" s="2356"/>
      <c r="O87" s="2355">
        <f>Bau!I73+Bau!I70+Bau!I71</f>
        <v>0</v>
      </c>
      <c r="P87" s="2356"/>
      <c r="Q87" s="2372">
        <f t="shared" si="0"/>
        <v>0</v>
      </c>
      <c r="R87" s="2373"/>
    </row>
    <row r="88" spans="2:21" ht="21.95" customHeight="1">
      <c r="B88" s="2329" t="str">
        <f>Uebersetzung!D275</f>
        <v>élements contre le terrain</v>
      </c>
      <c r="C88" s="2354"/>
      <c r="D88" s="2330"/>
      <c r="E88" s="2355">
        <f>Bau!I94</f>
        <v>0</v>
      </c>
      <c r="F88" s="2356"/>
      <c r="G88" s="2355">
        <f>Bau!I23+Bau!I24</f>
        <v>0</v>
      </c>
      <c r="H88" s="2356"/>
      <c r="I88" s="2355">
        <f>Bau!V23+Bau!V24</f>
        <v>0</v>
      </c>
      <c r="J88" s="2356"/>
      <c r="K88" s="2355">
        <f>Bau!V42+Bau!V43</f>
        <v>0</v>
      </c>
      <c r="L88" s="2356"/>
      <c r="M88" s="2355">
        <f>Bau!I42+Bau!I43</f>
        <v>0</v>
      </c>
      <c r="N88" s="2356"/>
      <c r="O88" s="2355">
        <f>Bau!I67+Bau!I68</f>
        <v>0</v>
      </c>
      <c r="P88" s="2356"/>
      <c r="Q88" s="2372">
        <f t="shared" si="0"/>
        <v>0</v>
      </c>
      <c r="R88" s="2373"/>
    </row>
    <row r="89" spans="2:21" ht="21.95" customHeight="1">
      <c r="B89" s="2329" t="str">
        <f>Uebersetzung!D276</f>
        <v>élements contre mitoyens</v>
      </c>
      <c r="C89" s="2354"/>
      <c r="D89" s="2330"/>
      <c r="E89" s="2355">
        <f>ARn</f>
        <v>0</v>
      </c>
      <c r="F89" s="2356"/>
      <c r="G89" s="2355">
        <f>Bau!AG43</f>
        <v>0</v>
      </c>
      <c r="H89" s="2356"/>
      <c r="I89" s="2355">
        <f>Bau!AG44</f>
        <v>0</v>
      </c>
      <c r="J89" s="2371"/>
      <c r="K89" s="2355">
        <f>Bau!AG46</f>
        <v>0</v>
      </c>
      <c r="L89" s="2356"/>
      <c r="M89" s="2355">
        <f>Bau!AG45</f>
        <v>0</v>
      </c>
      <c r="N89" s="2356"/>
      <c r="O89" s="2355">
        <f>AFn</f>
        <v>0</v>
      </c>
      <c r="P89" s="2356"/>
      <c r="Q89" s="2372">
        <f t="shared" si="0"/>
        <v>0</v>
      </c>
      <c r="R89" s="2373"/>
    </row>
    <row r="90" spans="2:21" ht="21.95" customHeight="1">
      <c r="B90" s="2329" t="str">
        <f>Uebersetzung!D270</f>
        <v>total</v>
      </c>
      <c r="C90" s="2354"/>
      <c r="D90" s="2330"/>
      <c r="E90" s="2355">
        <f>SUM(E85:E89)</f>
        <v>0</v>
      </c>
      <c r="F90" s="2356"/>
      <c r="G90" s="2355">
        <f>SUM(G85:H89)</f>
        <v>0</v>
      </c>
      <c r="H90" s="2356"/>
      <c r="I90" s="2355">
        <f>SUM(I85:J89)</f>
        <v>0</v>
      </c>
      <c r="J90" s="2356"/>
      <c r="K90" s="2355">
        <f>SUM(K85:L89)</f>
        <v>0</v>
      </c>
      <c r="L90" s="2356"/>
      <c r="M90" s="2355">
        <f>SUM(M85:N89)</f>
        <v>0</v>
      </c>
      <c r="N90" s="2356"/>
      <c r="O90" s="2355">
        <f>SUM(O85:O89)</f>
        <v>0</v>
      </c>
      <c r="P90" s="2356"/>
      <c r="Q90" s="2395">
        <f>SUM(Q85:Q89)</f>
        <v>0</v>
      </c>
      <c r="R90" s="2373"/>
      <c r="U90" s="1834"/>
    </row>
    <row r="91" spans="2:21" ht="30" customHeight="1">
      <c r="B91" s="2360" t="str">
        <f>Uebersetzung!D277</f>
        <v>rapport él. trans-lucides + portes/ surface enveloppe contre l’extérieur</v>
      </c>
      <c r="C91" s="2361"/>
      <c r="D91" s="2362"/>
      <c r="E91" s="2363">
        <f>IF((E86+E85)&gt;0,E86/(E86+E85),0)</f>
        <v>0</v>
      </c>
      <c r="F91" s="2363"/>
      <c r="G91" s="2363">
        <f>IF((G86+G85)&gt;0,G86/(G86+G85),0)</f>
        <v>0</v>
      </c>
      <c r="H91" s="2363"/>
      <c r="I91" s="2363">
        <f>IF((I86+I85)&gt;0,I86/(I86+I85),0)</f>
        <v>0</v>
      </c>
      <c r="J91" s="2363"/>
      <c r="K91" s="2363">
        <f>IF((K86+K85)&gt;0,K86/(K86+K85),0)</f>
        <v>0</v>
      </c>
      <c r="L91" s="2363"/>
      <c r="M91" s="2363">
        <f>IF((M86+M85)&gt;0,M86/(M86+M85),0)</f>
        <v>0</v>
      </c>
      <c r="N91" s="2363"/>
      <c r="O91" s="2363">
        <f>IF((O86+O85)&gt;0,O86/(O86+O85),0)</f>
        <v>0</v>
      </c>
      <c r="P91" s="2363"/>
      <c r="Q91" s="2364">
        <f>IF((Q86+Q85)&gt;0,Q86/(Q86+Q85),0)</f>
        <v>0</v>
      </c>
      <c r="R91" s="2364"/>
    </row>
    <row r="92" spans="2:21" ht="21.95" customHeight="1">
      <c r="B92" s="705" t="str">
        <f>Uebersetzung!D278</f>
        <v>facteur de réduction Fs dû à l'effet des ombres permanentes (contre l’extérieur)</v>
      </c>
      <c r="C92" s="672"/>
      <c r="D92" s="672"/>
      <c r="E92" s="1362"/>
      <c r="F92" s="1362"/>
      <c r="G92" s="1362"/>
      <c r="H92" s="1362"/>
      <c r="I92" s="1362"/>
      <c r="J92" s="1362"/>
      <c r="K92" s="1362"/>
      <c r="L92" s="1362"/>
      <c r="M92" s="1362"/>
      <c r="N92" s="1362"/>
      <c r="O92" s="1362"/>
      <c r="P92" s="1362"/>
      <c r="Q92" s="1362"/>
      <c r="R92" s="706"/>
    </row>
    <row r="93" spans="2:21" ht="21.95" customHeight="1">
      <c r="B93" s="665" t="s">
        <v>3019</v>
      </c>
      <c r="C93" s="2377" t="str">
        <f>Uebersetzung!D279</f>
        <v>(horizon)</v>
      </c>
      <c r="D93" s="2378"/>
      <c r="E93" s="2374">
        <f>IF(Fenstertool,"",Fenster!BC27)</f>
        <v>0</v>
      </c>
      <c r="F93" s="2375"/>
      <c r="G93" s="2374">
        <f>IF(Fenstertool,"",Fenster!BC119)</f>
        <v>0</v>
      </c>
      <c r="H93" s="2375"/>
      <c r="I93" s="2374">
        <f>IF(Fenstertool,"",Fenster!BC73)</f>
        <v>0</v>
      </c>
      <c r="J93" s="2375"/>
      <c r="K93" s="2374">
        <f>IF(Fenstertool,"",Fenster!BC50)</f>
        <v>0</v>
      </c>
      <c r="L93" s="2375"/>
      <c r="M93" s="2374">
        <f>IF(Fenstertool,"",Fenster!BC96)</f>
        <v>0</v>
      </c>
      <c r="N93" s="2375"/>
      <c r="O93" s="2374"/>
      <c r="P93" s="2375"/>
      <c r="Q93" s="2374"/>
      <c r="R93" s="2375"/>
    </row>
    <row r="94" spans="2:21" ht="21.95" customHeight="1">
      <c r="B94" s="665" t="s">
        <v>3020</v>
      </c>
      <c r="C94" s="2377" t="str">
        <f>Uebersetzung!D280</f>
        <v>(surplomb)</v>
      </c>
      <c r="D94" s="2378"/>
      <c r="E94" s="2374">
        <f>IF(Fenstertool,"",Fenster!BK27)</f>
        <v>0</v>
      </c>
      <c r="F94" s="2375"/>
      <c r="G94" s="2374">
        <f>IF(Fenstertool,"",Fenster!BL119)</f>
        <v>0</v>
      </c>
      <c r="H94" s="2375"/>
      <c r="I94" s="2374">
        <f>IF(Fenstertool,"",Fenster!BL73)</f>
        <v>0</v>
      </c>
      <c r="J94" s="2375"/>
      <c r="K94" s="2374">
        <f>IF(Fenstertool,"",Fenster!BL50)</f>
        <v>0</v>
      </c>
      <c r="L94" s="2375"/>
      <c r="M94" s="2374">
        <f>IF(Fenstertool,"",Fenster!BL96)</f>
        <v>0</v>
      </c>
      <c r="N94" s="2375"/>
      <c r="O94" s="2374"/>
      <c r="P94" s="2375"/>
      <c r="Q94" s="2374"/>
      <c r="R94" s="2375"/>
    </row>
    <row r="95" spans="2:21" ht="21.95" customHeight="1">
      <c r="B95" s="665" t="s">
        <v>3021</v>
      </c>
      <c r="C95" s="2377" t="str">
        <f>Uebersetzung!D281</f>
        <v>(écran latéral)</v>
      </c>
      <c r="D95" s="2378"/>
      <c r="E95" s="2374">
        <f>IF(Fenstertool,"",Fenster!BT27)</f>
        <v>0</v>
      </c>
      <c r="F95" s="2375"/>
      <c r="G95" s="2374">
        <f>IF(Fenstertool,"",Fenster!BU119)</f>
        <v>0</v>
      </c>
      <c r="H95" s="2375"/>
      <c r="I95" s="2374">
        <f>IF(Fenstertool,"",Fenster!BU73)</f>
        <v>0</v>
      </c>
      <c r="J95" s="2375"/>
      <c r="K95" s="2374">
        <f>IF(Fenstertool,"",Fenster!BU50)</f>
        <v>0</v>
      </c>
      <c r="L95" s="2375"/>
      <c r="M95" s="2374">
        <f>IF(Fenstertool,"",Fenster!BU96)</f>
        <v>0</v>
      </c>
      <c r="N95" s="2375"/>
      <c r="O95" s="2374"/>
      <c r="P95" s="2375"/>
      <c r="Q95" s="2374"/>
      <c r="R95" s="2375"/>
    </row>
    <row r="96" spans="2:21" ht="21.95" customHeight="1">
      <c r="B96" s="1789" t="s">
        <v>1146</v>
      </c>
      <c r="C96" s="2376"/>
      <c r="D96" s="2375"/>
      <c r="E96" s="2389">
        <f>IF(Fenstertool,FSh,E93*E94*E95)</f>
        <v>0</v>
      </c>
      <c r="F96" s="2389"/>
      <c r="G96" s="2389">
        <f>IF(Fenstertool,FSN,G93*G94*G95)</f>
        <v>0</v>
      </c>
      <c r="H96" s="2389"/>
      <c r="I96" s="2374">
        <f>IF(Fenstertool,FSE,I93*I94*I95)</f>
        <v>0</v>
      </c>
      <c r="J96" s="2375"/>
      <c r="K96" s="2374">
        <f>IF(Fenstertool,FSS,K93*K94*K95)</f>
        <v>0</v>
      </c>
      <c r="L96" s="2375"/>
      <c r="M96" s="2374">
        <f>IF(Fenstertool,FSW,M93*M94*M95)</f>
        <v>0</v>
      </c>
      <c r="N96" s="2375"/>
      <c r="O96" s="2374"/>
      <c r="P96" s="2375"/>
      <c r="Q96" s="2374"/>
      <c r="R96" s="2375"/>
    </row>
    <row r="97" spans="2:18" ht="21.95" customHeight="1">
      <c r="B97" s="2390" t="str">
        <f>Uebersetzung!D282</f>
        <v>Des déperditions vers le terrain et des déperditions vers des locaux non chauffés (valeur moyenne)</v>
      </c>
      <c r="C97" s="2391"/>
      <c r="D97" s="2391"/>
      <c r="E97" s="2392"/>
      <c r="F97" s="2392"/>
      <c r="G97" s="2392"/>
      <c r="H97" s="2392"/>
      <c r="I97" s="2392"/>
      <c r="J97" s="2392"/>
      <c r="K97" s="2392"/>
      <c r="L97" s="2392"/>
      <c r="M97" s="2392"/>
      <c r="N97" s="2392"/>
      <c r="O97" s="2392"/>
      <c r="P97" s="2392"/>
      <c r="Q97" s="2392"/>
      <c r="R97" s="2393"/>
    </row>
    <row r="98" spans="2:18" ht="21.95" customHeight="1">
      <c r="B98" s="2394" t="str">
        <f>Uebersetzung!D283</f>
        <v>facteur de réduction b</v>
      </c>
      <c r="C98" s="2392"/>
      <c r="D98" s="2393"/>
      <c r="E98" s="2387">
        <f>Bau!AH34</f>
        <v>0</v>
      </c>
      <c r="F98" s="2388"/>
      <c r="G98" s="2387">
        <f>IF(SUM(Bau!I22:I26)&gt;0,(Bau!I22*Bau!N22+Bau!I23*Bau!N23+Bau!I24*Bau!N24+Bau!I25*Bau!N25+Bau!I26*Bau!N26)/SUM(Bau!I22:I26),0)</f>
        <v>0</v>
      </c>
      <c r="H98" s="2388"/>
      <c r="I98" s="2387">
        <f>IF(SUM(Bau!V22:V26)&gt;0,(Bau!V22*Bau!AA22+Bau!V23*Bau!AA23+Bau!V24*Bau!AA24+Bau!V25*Bau!AA25+Bau!V26*Bau!AA26)/SUM(Bau!V22:V26),0)</f>
        <v>0</v>
      </c>
      <c r="J98" s="2388"/>
      <c r="K98" s="2387">
        <f>IF(SUM(Bau!V41:V45)&gt;0,(Bau!V41*Bau!AA41+Bau!V42*Bau!AA42+Bau!V43*Bau!AA43+Bau!V44*Bau!AA44+Bau!V45*Bau!AA45)/SUM(Bau!V41:V45),0)</f>
        <v>0</v>
      </c>
      <c r="L98" s="2388"/>
      <c r="M98" s="2387">
        <f>IF(SUM(Bau!I41:I45)&gt;0,(Bau!I41*Bau!N41+Bau!I42*Bau!N42+Bau!I43*Bau!N43+Bau!I44*Bau!N44+Bau!I45*Bau!N45)/SUM(Bau!I41:I45),0)</f>
        <v>0</v>
      </c>
      <c r="N98" s="2388"/>
      <c r="O98" s="2387">
        <f>Bau!AH27</f>
        <v>0</v>
      </c>
      <c r="P98" s="2388"/>
      <c r="Q98" s="2387">
        <f>IF(Q97&gt;0,#REF!/Q97,0)</f>
        <v>0</v>
      </c>
      <c r="R98" s="2388"/>
    </row>
    <row r="99" spans="2:18" ht="18" customHeight="1">
      <c r="B99" s="669" t="str">
        <f>Uebersetzung!D284</f>
        <v>Rapport des éléments translucides et des portes / SRE:</v>
      </c>
      <c r="E99" s="672"/>
      <c r="F99" s="1810"/>
      <c r="G99" s="1810"/>
      <c r="H99" s="1810"/>
      <c r="I99" s="2417" t="str">
        <f>IF(EBF&gt;0,Q86/EBF,"")</f>
        <v/>
      </c>
      <c r="J99" s="2417"/>
      <c r="K99" s="672"/>
      <c r="M99" s="1790"/>
      <c r="N99" s="1790"/>
      <c r="O99" s="1790"/>
      <c r="P99" s="1790"/>
      <c r="Q99" s="1790"/>
      <c r="R99" s="1790"/>
    </row>
    <row r="100" spans="2:18" ht="18" customHeight="1">
      <c r="B100" s="669" t="str">
        <f>Uebersetzung!D285</f>
        <v>Facteur d’enveloppe</v>
      </c>
      <c r="E100" s="672"/>
      <c r="F100" s="672"/>
      <c r="G100" s="672" t="s">
        <v>3032</v>
      </c>
      <c r="H100" s="672"/>
      <c r="I100" s="2418">
        <f>IF(_Ver09,IF(EBF&gt;0,A/EBF,0),IF(EBF&gt;0,SUM(Q85:R88)/EBF,0))</f>
        <v>0</v>
      </c>
      <c r="J100" s="2418"/>
      <c r="K100" s="672"/>
    </row>
    <row r="101" spans="2:18" ht="10.15" customHeight="1">
      <c r="E101" s="672"/>
      <c r="F101" s="672"/>
      <c r="G101" s="672"/>
      <c r="H101" s="672"/>
      <c r="I101" s="672"/>
      <c r="J101" s="672"/>
      <c r="K101" s="672"/>
    </row>
    <row r="102" spans="2:18" ht="18" customHeight="1">
      <c r="B102" s="690" t="str">
        <f>Uebersetzung!D657</f>
        <v>3. Eléments d'enveloppe</v>
      </c>
    </row>
    <row r="103" spans="2:18" ht="18" customHeight="1">
      <c r="B103" s="669" t="str">
        <f>Uebersetzung!D658</f>
        <v>voir pages 'Projekt', 'Bau', 'UWert'</v>
      </c>
    </row>
    <row r="104" spans="2:18" s="1994" customFormat="1" ht="18" customHeight="1"/>
    <row r="105" spans="2:18" s="1994" customFormat="1" ht="18" customHeight="1"/>
    <row r="106" spans="2:18" s="1994" customFormat="1" ht="18" customHeight="1"/>
    <row r="107" spans="2:18" s="1994" customFormat="1" ht="18" customHeight="1"/>
    <row r="108" spans="2:18" s="1994" customFormat="1" ht="18" customHeight="1"/>
    <row r="109" spans="2:18" s="1994" customFormat="1" ht="18" customHeight="1"/>
    <row r="110" spans="2:18" s="1994" customFormat="1" ht="18" customHeight="1"/>
    <row r="111" spans="2:18" s="1994" customFormat="1" ht="18" customHeight="1"/>
    <row r="112" spans="2:18" s="1994" customFormat="1" ht="18" customHeight="1"/>
    <row r="113" spans="2:25" s="1994" customFormat="1" ht="18" customHeight="1"/>
    <row r="114" spans="2:25" s="1994" customFormat="1" ht="18" customHeight="1"/>
    <row r="115" spans="2:25" s="1994" customFormat="1" ht="18" customHeight="1"/>
    <row r="116" spans="2:25" s="1994" customFormat="1" ht="18" customHeight="1"/>
    <row r="117" spans="2:25" s="1994" customFormat="1" ht="12.6" customHeight="1">
      <c r="B117" s="697" t="str">
        <f>B73</f>
        <v>Justification:</v>
      </c>
      <c r="C117" s="698">
        <f>C73</f>
        <v>0</v>
      </c>
      <c r="D117" s="667"/>
      <c r="E117" s="667"/>
      <c r="F117" s="667"/>
      <c r="G117" s="667"/>
      <c r="H117" s="667"/>
      <c r="I117" s="667"/>
      <c r="J117" s="667"/>
      <c r="K117" s="667"/>
      <c r="L117" s="667"/>
      <c r="M117" s="667"/>
      <c r="N117" s="667"/>
      <c r="O117" s="667"/>
      <c r="P117" s="667"/>
      <c r="Q117" s="667"/>
      <c r="R117" s="699" t="str">
        <f>"Qh = "&amp;ROUND(Qhtot,1)&amp;IF(_Ver09," MJ/m2","kWh/m2")</f>
        <v>Qh = 0kWh/m2</v>
      </c>
    </row>
    <row r="118" spans="2:25" s="1994" customFormat="1" ht="18" customHeight="1">
      <c r="B118" s="700">
        <f ca="1">NOW()</f>
        <v>43566.628989236109</v>
      </c>
      <c r="C118" s="701" t="str">
        <f>Zonen!E8</f>
        <v xml:space="preserve">     </v>
      </c>
      <c r="D118" s="676"/>
      <c r="E118" s="676"/>
      <c r="F118" s="676"/>
      <c r="G118" s="676"/>
      <c r="H118" s="676"/>
      <c r="I118" s="676"/>
      <c r="J118" s="676"/>
      <c r="K118" s="676"/>
      <c r="L118" s="676"/>
      <c r="M118" s="676"/>
      <c r="N118" s="676"/>
      <c r="O118" s="676"/>
      <c r="P118" s="676"/>
      <c r="Q118" s="676"/>
      <c r="R118" s="677" t="str">
        <f>Uebersetzung!D23</f>
        <v>page 3 de 10</v>
      </c>
    </row>
    <row r="119" spans="2:25" s="1994" customFormat="1" ht="24.95" customHeight="1"/>
    <row r="120" spans="2:25" s="1994" customFormat="1" ht="18" hidden="1" customHeight="1"/>
    <row r="121" spans="2:25" ht="24" customHeight="1">
      <c r="B121" s="1931" t="str">
        <f>Uebersetzung!D659</f>
        <v>4. Données d'entrée spéciales</v>
      </c>
    </row>
    <row r="122" spans="2:25" s="1994" customFormat="1" ht="18" hidden="1" customHeight="1">
      <c r="B122" s="1931"/>
      <c r="C122" s="808"/>
      <c r="D122" s="808"/>
      <c r="E122" s="808"/>
      <c r="F122" s="808"/>
      <c r="G122" s="808"/>
      <c r="H122" s="808"/>
      <c r="I122" s="808"/>
      <c r="J122" s="808"/>
      <c r="K122" s="808"/>
      <c r="L122" s="808"/>
      <c r="M122" s="808"/>
      <c r="N122" s="808"/>
      <c r="O122" s="808"/>
      <c r="P122" s="808"/>
      <c r="Q122" s="808"/>
      <c r="R122" s="808"/>
    </row>
    <row r="123" spans="2:25" s="1994" customFormat="1" ht="18" customHeight="1">
      <c r="B123" s="2013" t="str">
        <f>B132</f>
        <v>zone thermique</v>
      </c>
      <c r="C123" s="2014"/>
      <c r="D123" s="2315" t="str">
        <f>Projekt!K33</f>
        <v>Catégorie d'ouvrage:</v>
      </c>
      <c r="E123" s="2316"/>
      <c r="F123" s="2316"/>
      <c r="G123" s="2316"/>
      <c r="H123" s="2317"/>
      <c r="I123" s="2289" t="s">
        <v>138</v>
      </c>
      <c r="J123" s="2457"/>
      <c r="K123" s="2290"/>
      <c r="L123" s="2289" t="s">
        <v>139</v>
      </c>
      <c r="M123" s="2457"/>
      <c r="N123" s="2290"/>
      <c r="O123" s="2455" t="s">
        <v>360</v>
      </c>
      <c r="P123" s="2456"/>
      <c r="Q123" s="2457" t="str">
        <f>IF(_Ver09,"[MJ/m2]","[kWh/m2]")</f>
        <v>[kWh/m2]</v>
      </c>
      <c r="R123" s="2290"/>
    </row>
    <row r="124" spans="2:25" s="2012" customFormat="1" ht="12" customHeight="1">
      <c r="B124" s="2318">
        <f>B134</f>
        <v>0</v>
      </c>
      <c r="C124" s="2358"/>
      <c r="D124" s="2318">
        <f>B79</f>
        <v>0</v>
      </c>
      <c r="E124" s="2319"/>
      <c r="F124" s="2319"/>
      <c r="G124" s="2319"/>
      <c r="H124" s="2319"/>
      <c r="I124" s="2313">
        <f>EBF</f>
        <v>0</v>
      </c>
      <c r="J124" s="2314"/>
      <c r="K124" s="2314"/>
      <c r="L124" s="2286">
        <f>IF(_Ver09,IF(EBF&gt;0,A/EBF,0),IF(EBF&gt;0,Ath,0))</f>
        <v>0</v>
      </c>
      <c r="M124" s="2287"/>
      <c r="N124" s="2287"/>
      <c r="O124" s="2427">
        <f>Zonen!E20</f>
        <v>0</v>
      </c>
      <c r="P124" s="2458"/>
      <c r="Q124" s="2458"/>
      <c r="R124" s="2428"/>
    </row>
    <row r="125" spans="2:25" s="2012" customFormat="1" ht="12" customHeight="1">
      <c r="B125" s="2015" t="str">
        <f>B135</f>
        <v/>
      </c>
      <c r="C125" s="2016"/>
      <c r="D125" s="2337">
        <f>Zonen!G16</f>
        <v>0</v>
      </c>
      <c r="E125" s="2338"/>
      <c r="F125" s="2338"/>
      <c r="G125" s="2338"/>
      <c r="H125" s="2339"/>
      <c r="I125" s="2334">
        <f>Zonen!G17</f>
        <v>0</v>
      </c>
      <c r="J125" s="2335"/>
      <c r="K125" s="2336"/>
      <c r="L125" s="2296">
        <f>Zonen!G18</f>
        <v>0</v>
      </c>
      <c r="M125" s="2340"/>
      <c r="N125" s="2328"/>
      <c r="O125" s="2306">
        <f>Zonen!G20</f>
        <v>0</v>
      </c>
      <c r="P125" s="2305"/>
      <c r="Q125" s="2305"/>
      <c r="R125" s="2307"/>
    </row>
    <row r="126" spans="2:25" s="2012" customFormat="1" ht="12" customHeight="1">
      <c r="B126" s="2015" t="str">
        <f>B136</f>
        <v/>
      </c>
      <c r="C126" s="2016"/>
      <c r="D126" s="2337">
        <f>Zonen!I16</f>
        <v>0</v>
      </c>
      <c r="E126" s="2349"/>
      <c r="F126" s="2349"/>
      <c r="G126" s="2349"/>
      <c r="H126" s="2350"/>
      <c r="I126" s="2334">
        <f>Zonen!I17</f>
        <v>0</v>
      </c>
      <c r="J126" s="2335"/>
      <c r="K126" s="2336"/>
      <c r="L126" s="2296">
        <f>Zonen!I18</f>
        <v>0</v>
      </c>
      <c r="M126" s="2340"/>
      <c r="N126" s="2328"/>
      <c r="O126" s="2306">
        <f>Zonen!I20</f>
        <v>0</v>
      </c>
      <c r="P126" s="2305"/>
      <c r="Q126" s="2305"/>
      <c r="R126" s="2307"/>
      <c r="U126" s="1994"/>
      <c r="V126" s="1994"/>
      <c r="X126" s="1994"/>
      <c r="Y126" s="1994"/>
    </row>
    <row r="127" spans="2:25" s="2012" customFormat="1" ht="12" customHeight="1">
      <c r="B127" s="2017" t="str">
        <f>B137</f>
        <v/>
      </c>
      <c r="C127" s="2018"/>
      <c r="D127" s="2351">
        <f>Zonen!K16</f>
        <v>0</v>
      </c>
      <c r="E127" s="2352"/>
      <c r="F127" s="2352"/>
      <c r="G127" s="2352"/>
      <c r="H127" s="2353"/>
      <c r="I127" s="2341">
        <f>Zonen!K17</f>
        <v>0</v>
      </c>
      <c r="J127" s="2342"/>
      <c r="K127" s="2343"/>
      <c r="L127" s="2326">
        <f>Zonen!K18</f>
        <v>0</v>
      </c>
      <c r="M127" s="2344"/>
      <c r="N127" s="2327"/>
      <c r="O127" s="2308">
        <f>Zonen!K20</f>
        <v>0</v>
      </c>
      <c r="P127" s="2309"/>
      <c r="Q127" s="2309"/>
      <c r="R127" s="2459"/>
      <c r="U127" s="1994"/>
      <c r="V127" s="1994"/>
      <c r="W127" s="1994"/>
      <c r="X127" s="1994"/>
      <c r="Y127" s="1994"/>
    </row>
    <row r="128" spans="2:25" s="1994" customFormat="1" ht="18" customHeight="1">
      <c r="B128" s="2329"/>
      <c r="C128" s="2330"/>
      <c r="D128" s="2331">
        <f>B155</f>
        <v>0</v>
      </c>
      <c r="E128" s="2332"/>
      <c r="F128" s="2332"/>
      <c r="G128" s="2332"/>
      <c r="H128" s="2333"/>
      <c r="I128" s="2345">
        <f>SUM(I124:K127)</f>
        <v>0</v>
      </c>
      <c r="J128" s="2346"/>
      <c r="K128" s="2347"/>
      <c r="L128" s="2301">
        <f>Zonen!M18</f>
        <v>0</v>
      </c>
      <c r="M128" s="2348"/>
      <c r="N128" s="2295"/>
      <c r="O128" s="2453">
        <f>Zonen!M20</f>
        <v>0</v>
      </c>
      <c r="P128" s="2460"/>
      <c r="Q128" s="2460"/>
      <c r="R128" s="2454"/>
    </row>
    <row r="129" spans="2:25" s="1994" customFormat="1" ht="18" customHeight="1">
      <c r="B129" s="1994" t="str">
        <f>B80</f>
        <v>Correction de Qh,li en fonction de la température extérieure moyenne annuelle</v>
      </c>
      <c r="C129" s="672"/>
      <c r="D129" s="672"/>
      <c r="E129" s="672"/>
      <c r="F129" s="672"/>
      <c r="G129" s="672"/>
      <c r="H129" s="672"/>
      <c r="I129" s="672"/>
      <c r="J129" s="672"/>
      <c r="K129" s="672"/>
      <c r="L129" s="672"/>
      <c r="M129" s="672"/>
      <c r="N129" s="672"/>
      <c r="O129" s="672"/>
      <c r="P129" s="1811" t="s">
        <v>2969</v>
      </c>
      <c r="Q129" s="681" t="str">
        <f>IF(((X62*Klimakorr+1)*100-100)=0,"0",(X62*Klimakorr+1)*100-100)</f>
        <v>0</v>
      </c>
      <c r="R129" s="1994" t="s">
        <v>1760</v>
      </c>
    </row>
    <row r="130" spans="2:25" ht="18" customHeight="1">
      <c r="U130" s="1994"/>
      <c r="V130" s="1994"/>
      <c r="W130" s="1994"/>
      <c r="X130" s="1994"/>
      <c r="Y130" s="1994"/>
    </row>
    <row r="131" spans="2:25">
      <c r="U131" s="1994"/>
      <c r="V131" s="1994"/>
      <c r="W131" s="1994"/>
      <c r="X131" s="1994"/>
      <c r="Y131" s="1994"/>
    </row>
    <row r="132" spans="2:25" ht="36" customHeight="1">
      <c r="B132" s="2419" t="str">
        <f>Uebersetzung!D660</f>
        <v>zone thermique</v>
      </c>
      <c r="C132" s="2420"/>
      <c r="D132" s="2412" t="str">
        <f>Uebersetzung!D661</f>
        <v>capacité ther-
mique rapportée à la SRE</v>
      </c>
      <c r="E132" s="2413"/>
      <c r="F132" s="2414"/>
      <c r="G132" s="2412" t="str">
        <f>Uebersetzung!D662</f>
        <v xml:space="preserve">supplément pour régulation </v>
      </c>
      <c r="H132" s="2413"/>
      <c r="I132" s="2414"/>
      <c r="J132" s="2412" t="str">
        <f>Uebersetzung!D663</f>
        <v>température de départ max pour le chauffage intégré</v>
      </c>
      <c r="K132" s="2413"/>
      <c r="L132" s="2414"/>
      <c r="M132" s="2412" t="str">
        <f>Uebersetzung!D664</f>
        <v>temp. max pour corps de chauffe devant fenêtres</v>
      </c>
      <c r="N132" s="2413"/>
      <c r="O132" s="2414"/>
      <c r="P132" s="2412" t="str">
        <f>Uebersetzung!D665</f>
        <v>débit d’air neuf thermiquement actif</v>
      </c>
      <c r="Q132" s="2413"/>
      <c r="R132" s="2414"/>
    </row>
    <row r="133" spans="2:25" ht="18" customHeight="1">
      <c r="B133" s="2421"/>
      <c r="C133" s="2422"/>
      <c r="D133" s="2409" t="str">
        <f>IF(_Ver09,"[MJ/m2K]","[kWh/m2K]")</f>
        <v>[kWh/m2K]</v>
      </c>
      <c r="E133" s="2410"/>
      <c r="F133" s="2411"/>
      <c r="G133" s="2409" t="s">
        <v>3954</v>
      </c>
      <c r="H133" s="2410"/>
      <c r="I133" s="2411"/>
      <c r="J133" s="2409" t="s">
        <v>3959</v>
      </c>
      <c r="K133" s="2410"/>
      <c r="L133" s="2411"/>
      <c r="M133" s="2409" t="s">
        <v>3959</v>
      </c>
      <c r="N133" s="2410"/>
      <c r="O133" s="2411"/>
      <c r="P133" s="2409" t="s">
        <v>3940</v>
      </c>
      <c r="Q133" s="2410"/>
      <c r="R133" s="2411"/>
    </row>
    <row r="134" spans="2:25" ht="12" customHeight="1">
      <c r="B134" s="2423">
        <f>B141</f>
        <v>0</v>
      </c>
      <c r="C134" s="2424"/>
      <c r="D134" s="2320">
        <f>IF(_Ver09,CEBF0,CEBF0/3.6)</f>
        <v>0.15</v>
      </c>
      <c r="E134" s="2321"/>
      <c r="F134" s="2321"/>
      <c r="G134" s="2320">
        <f>Z63</f>
        <v>1</v>
      </c>
      <c r="H134" s="2321"/>
      <c r="I134" s="2321"/>
      <c r="J134" s="2320">
        <f>Projekt!K52</f>
        <v>50</v>
      </c>
      <c r="K134" s="2321"/>
      <c r="L134" s="2321"/>
      <c r="M134" s="2320">
        <f>Projekt!K56</f>
        <v>50</v>
      </c>
      <c r="N134" s="2321"/>
      <c r="O134" s="2321"/>
      <c r="P134" s="2286">
        <f>VStandard</f>
        <v>0</v>
      </c>
      <c r="Q134" s="2287"/>
      <c r="R134" s="2288"/>
    </row>
    <row r="135" spans="2:25" s="1982" customFormat="1" ht="12" customHeight="1">
      <c r="B135" s="2415" t="str">
        <f>B142</f>
        <v/>
      </c>
      <c r="C135" s="2416"/>
      <c r="D135" s="2296">
        <f>Zonen!G35</f>
        <v>0</v>
      </c>
      <c r="E135" s="2297"/>
      <c r="F135" s="2297"/>
      <c r="G135" s="2298">
        <f>Zonen!G36</f>
        <v>0</v>
      </c>
      <c r="H135" s="2297"/>
      <c r="I135" s="2297"/>
      <c r="J135" s="2298">
        <f>Zonen!G37</f>
        <v>0</v>
      </c>
      <c r="K135" s="2297"/>
      <c r="L135" s="2297"/>
      <c r="M135" s="2298">
        <f>Zonen!G38</f>
        <v>0</v>
      </c>
      <c r="N135" s="2297"/>
      <c r="O135" s="2297"/>
      <c r="P135" s="2296">
        <f>Zonen!G24</f>
        <v>0</v>
      </c>
      <c r="Q135" s="2340"/>
      <c r="R135" s="2328"/>
    </row>
    <row r="136" spans="2:25" s="1982" customFormat="1" ht="12" customHeight="1">
      <c r="B136" s="2010" t="str">
        <f>B143</f>
        <v/>
      </c>
      <c r="C136" s="2009"/>
      <c r="D136" s="2296">
        <f>Zonen!I35</f>
        <v>0</v>
      </c>
      <c r="E136" s="2297"/>
      <c r="F136" s="2292"/>
      <c r="G136" s="2298">
        <f>Zonen!I36</f>
        <v>0</v>
      </c>
      <c r="H136" s="2297"/>
      <c r="I136" s="2292"/>
      <c r="J136" s="2298">
        <f>Zonen!I37</f>
        <v>0</v>
      </c>
      <c r="K136" s="2297"/>
      <c r="L136" s="2292"/>
      <c r="M136" s="2298">
        <f>Zonen!I38</f>
        <v>0</v>
      </c>
      <c r="N136" s="2297"/>
      <c r="O136" s="2292"/>
      <c r="P136" s="2296">
        <f>Zonen!I24</f>
        <v>0</v>
      </c>
      <c r="Q136" s="2340"/>
      <c r="R136" s="2328"/>
    </row>
    <row r="137" spans="2:25" s="1982" customFormat="1" ht="12" customHeight="1">
      <c r="B137" s="2430" t="str">
        <f>B144</f>
        <v/>
      </c>
      <c r="C137" s="2431"/>
      <c r="D137" s="2326">
        <f>Zonen!K35</f>
        <v>0</v>
      </c>
      <c r="E137" s="2432"/>
      <c r="F137" s="2432"/>
      <c r="G137" s="2433">
        <f>Zonen!K36</f>
        <v>0</v>
      </c>
      <c r="H137" s="2432"/>
      <c r="I137" s="2432"/>
      <c r="J137" s="2433">
        <f>Zonen!K37</f>
        <v>0</v>
      </c>
      <c r="K137" s="2432"/>
      <c r="L137" s="2432"/>
      <c r="M137" s="2433">
        <f>Zonen!K38</f>
        <v>0</v>
      </c>
      <c r="N137" s="2432"/>
      <c r="O137" s="2432"/>
      <c r="P137" s="2326">
        <f>Zonen!K24</f>
        <v>0</v>
      </c>
      <c r="Q137" s="2344"/>
      <c r="R137" s="2327"/>
    </row>
    <row r="138" spans="2:25" ht="18" customHeight="1">
      <c r="I138" s="1859"/>
      <c r="J138" s="1859"/>
      <c r="K138" s="1859"/>
      <c r="L138" s="1859"/>
      <c r="M138" s="1859"/>
      <c r="N138" s="1859"/>
    </row>
    <row r="139" spans="2:25" ht="24" customHeight="1">
      <c r="B139" s="1931" t="str">
        <f>Uebersetzung!D666</f>
        <v>5. Bilan thermique</v>
      </c>
      <c r="J139" s="1859"/>
    </row>
    <row r="140" spans="2:25" ht="18" customHeight="1">
      <c r="B140" s="1951" t="str">
        <f>B132</f>
        <v>zone thermique</v>
      </c>
      <c r="C140" s="2406" t="str">
        <f>IF(_Ver09,"MJ/m2","kWh/m2")</f>
        <v>kWh/m2</v>
      </c>
      <c r="D140" s="2429"/>
      <c r="E140" s="2303" t="s">
        <v>299</v>
      </c>
      <c r="F140" s="2304"/>
      <c r="G140" s="2303" t="s">
        <v>300</v>
      </c>
      <c r="H140" s="2304"/>
      <c r="I140" s="2303" t="s">
        <v>301</v>
      </c>
      <c r="J140" s="2304"/>
      <c r="K140" s="2303" t="s">
        <v>302</v>
      </c>
      <c r="L140" s="2304"/>
      <c r="M140" s="2407" t="s">
        <v>303</v>
      </c>
      <c r="N140" s="2408"/>
      <c r="O140" s="2303" t="s">
        <v>3934</v>
      </c>
      <c r="P140" s="2304"/>
      <c r="Q140" s="2303" t="s">
        <v>360</v>
      </c>
      <c r="R140" s="2304"/>
      <c r="S140" s="1859"/>
    </row>
    <row r="141" spans="2:25" s="672" customFormat="1" ht="12" customHeight="1">
      <c r="B141" s="2434">
        <f>B151</f>
        <v>0</v>
      </c>
      <c r="C141" s="2435"/>
      <c r="D141" s="667"/>
      <c r="E141" s="2425">
        <f>IF(_Ver09,QT,QT/3.6)</f>
        <v>0</v>
      </c>
      <c r="F141" s="2426"/>
      <c r="G141" s="2425">
        <f>IF(_Ver09,QV,QV/3.6)</f>
        <v>0</v>
      </c>
      <c r="H141" s="2426"/>
      <c r="I141" s="2425">
        <f>IF(_Ver09,Qi,Qi/3.6)</f>
        <v>0</v>
      </c>
      <c r="J141" s="2426"/>
      <c r="K141" s="2425">
        <f>IF(_Ver09,Qs,Qs/3.6)</f>
        <v>0</v>
      </c>
      <c r="L141" s="2426"/>
      <c r="M141" s="2286">
        <f>hg</f>
        <v>0</v>
      </c>
      <c r="N141" s="2288"/>
      <c r="O141" s="2427">
        <f>IF(_Ver09,Qh,Qh/3.6)</f>
        <v>0</v>
      </c>
      <c r="P141" s="2428"/>
      <c r="Q141" s="2427">
        <f>IF(_Ver09,GrenzwertHg,GrenzwertHg/3.6)</f>
        <v>0</v>
      </c>
      <c r="R141" s="2428"/>
    </row>
    <row r="142" spans="2:25" s="672" customFormat="1" ht="12" customHeight="1">
      <c r="B142" s="2444" t="str">
        <f>B152</f>
        <v/>
      </c>
      <c r="C142" s="2445"/>
      <c r="E142" s="2291">
        <f>Zonen!G23</f>
        <v>0</v>
      </c>
      <c r="F142" s="2466"/>
      <c r="G142" s="2293">
        <f>Zonen!G25</f>
        <v>0</v>
      </c>
      <c r="H142" s="2293"/>
      <c r="I142" s="2291">
        <f>Zonen!G26</f>
        <v>0</v>
      </c>
      <c r="J142" s="2466"/>
      <c r="K142" s="2293">
        <f>Zonen!G27</f>
        <v>0</v>
      </c>
      <c r="L142" s="2293"/>
      <c r="M142" s="2296">
        <f>Zonen!G28</f>
        <v>0</v>
      </c>
      <c r="N142" s="2292"/>
      <c r="O142" s="2305">
        <f>Zonen!G19</f>
        <v>0</v>
      </c>
      <c r="P142" s="2305"/>
      <c r="Q142" s="2306">
        <f>Zonen!G20</f>
        <v>0</v>
      </c>
      <c r="R142" s="2307"/>
    </row>
    <row r="143" spans="2:25" s="672" customFormat="1" ht="12" customHeight="1">
      <c r="B143" s="2444" t="str">
        <f>B153</f>
        <v/>
      </c>
      <c r="C143" s="2445"/>
      <c r="E143" s="2291">
        <f>Zonen!I23</f>
        <v>0</v>
      </c>
      <c r="F143" s="2466"/>
      <c r="G143" s="2293">
        <f>Zonen!I25</f>
        <v>0</v>
      </c>
      <c r="H143" s="2293"/>
      <c r="I143" s="2291">
        <f>Zonen!I26</f>
        <v>0</v>
      </c>
      <c r="J143" s="2466"/>
      <c r="K143" s="2293">
        <f>Zonen!I27</f>
        <v>0</v>
      </c>
      <c r="L143" s="2293"/>
      <c r="M143" s="2296">
        <f>Zonen!I28</f>
        <v>0</v>
      </c>
      <c r="N143" s="2292"/>
      <c r="O143" s="2305">
        <f>Zonen!I19</f>
        <v>0</v>
      </c>
      <c r="P143" s="2305"/>
      <c r="Q143" s="2306">
        <f>Zonen!I20</f>
        <v>0</v>
      </c>
      <c r="R143" s="2307"/>
    </row>
    <row r="144" spans="2:25" s="672" customFormat="1" ht="12" customHeight="1">
      <c r="B144" s="2446" t="str">
        <f>B154</f>
        <v/>
      </c>
      <c r="C144" s="2447"/>
      <c r="D144" s="676"/>
      <c r="E144" s="2462">
        <f>Zonen!K23</f>
        <v>0</v>
      </c>
      <c r="F144" s="2465"/>
      <c r="G144" s="2461">
        <f>Zonen!K25</f>
        <v>0</v>
      </c>
      <c r="H144" s="2461"/>
      <c r="I144" s="2462">
        <f>Zonen!K26</f>
        <v>0</v>
      </c>
      <c r="J144" s="2465"/>
      <c r="K144" s="2461">
        <f>Zonen!K27</f>
        <v>0</v>
      </c>
      <c r="L144" s="2461"/>
      <c r="M144" s="2326">
        <f>Zonen!K28</f>
        <v>0</v>
      </c>
      <c r="N144" s="2312"/>
      <c r="O144" s="2309">
        <f>Zonen!K19</f>
        <v>0</v>
      </c>
      <c r="P144" s="2309"/>
      <c r="Q144" s="2308">
        <f>Zonen!K20</f>
        <v>0</v>
      </c>
      <c r="R144" s="2459"/>
    </row>
    <row r="145" spans="2:18" ht="18" customHeight="1">
      <c r="B145" s="2436">
        <f>B155</f>
        <v>0</v>
      </c>
      <c r="C145" s="2437"/>
      <c r="D145" s="2036"/>
      <c r="E145" s="2299">
        <f>Zonen!M23</f>
        <v>0</v>
      </c>
      <c r="F145" s="2300"/>
      <c r="G145" s="2299">
        <f>Zonen!M25</f>
        <v>0</v>
      </c>
      <c r="H145" s="2300"/>
      <c r="I145" s="2299">
        <f>Zonen!M26</f>
        <v>0</v>
      </c>
      <c r="J145" s="2300"/>
      <c r="K145" s="2299">
        <f>Zonen!M27</f>
        <v>0</v>
      </c>
      <c r="L145" s="2300"/>
      <c r="M145" s="2301">
        <f>Zonen!M28</f>
        <v>0</v>
      </c>
      <c r="N145" s="2302"/>
      <c r="O145" s="2453">
        <f>Zonen!M19</f>
        <v>0</v>
      </c>
      <c r="P145" s="2454"/>
      <c r="Q145" s="2453">
        <f>Zonen!M20</f>
        <v>0</v>
      </c>
      <c r="R145" s="2454"/>
    </row>
    <row r="146" spans="2:18" s="1932" customFormat="1" ht="18" hidden="1" customHeight="1">
      <c r="B146" s="1939"/>
      <c r="C146" s="1939"/>
      <c r="D146" s="672"/>
      <c r="E146" s="1940"/>
      <c r="F146" s="1940"/>
      <c r="G146" s="1940"/>
      <c r="H146" s="1940"/>
      <c r="I146" s="1940"/>
      <c r="J146" s="1940"/>
      <c r="K146" s="1940"/>
      <c r="L146" s="1940"/>
      <c r="M146" s="1941"/>
      <c r="N146" s="1941"/>
      <c r="O146" s="1942"/>
      <c r="P146" s="1942"/>
      <c r="Q146" s="1942"/>
      <c r="R146" s="1942"/>
    </row>
    <row r="147" spans="2:18" ht="18" hidden="1" customHeight="1"/>
    <row r="148" spans="2:18" ht="18" customHeight="1"/>
    <row r="149" spans="2:18" s="1932" customFormat="1" ht="24" customHeight="1">
      <c r="B149" s="1931" t="str">
        <f>Uebersetzung!D667</f>
        <v>6. Bilan thermique avec débit d’air neuf thermiquement actif</v>
      </c>
    </row>
    <row r="150" spans="2:18" s="1932" customFormat="1" ht="18" customHeight="1">
      <c r="B150" s="1951" t="str">
        <f>B140</f>
        <v>zone thermique</v>
      </c>
      <c r="C150" s="2406" t="str">
        <f>IF(_Ver09,"MJ/m2","kWh/m2")</f>
        <v>kWh/m2</v>
      </c>
      <c r="D150" s="2429"/>
      <c r="E150" s="2303" t="s">
        <v>299</v>
      </c>
      <c r="F150" s="2304"/>
      <c r="G150" s="2303" t="s">
        <v>3933</v>
      </c>
      <c r="H150" s="2304"/>
      <c r="I150" s="2303" t="s">
        <v>301</v>
      </c>
      <c r="J150" s="2304"/>
      <c r="K150" s="2303" t="s">
        <v>302</v>
      </c>
      <c r="L150" s="2304"/>
      <c r="M150" s="2407" t="s">
        <v>4054</v>
      </c>
      <c r="N150" s="2408"/>
      <c r="O150" s="2303" t="s">
        <v>3935</v>
      </c>
      <c r="P150" s="2304"/>
      <c r="Q150" s="2303" t="s">
        <v>3941</v>
      </c>
      <c r="R150" s="2304"/>
    </row>
    <row r="151" spans="2:18" s="672" customFormat="1" ht="12" customHeight="1">
      <c r="B151" s="2434">
        <f>B161</f>
        <v>0</v>
      </c>
      <c r="C151" s="2435"/>
      <c r="D151" s="667"/>
      <c r="E151" s="2442">
        <f>IF(_Ver09,QT,QT/3.6)</f>
        <v>0</v>
      </c>
      <c r="F151" s="2464"/>
      <c r="G151" s="2442">
        <f>IF(_Ver09,'M3'!O44,'M3'!O44/3.6)</f>
        <v>0</v>
      </c>
      <c r="H151" s="2464"/>
      <c r="I151" s="2442">
        <f>IF(_Ver09,Qi,Qi/3.6)</f>
        <v>0</v>
      </c>
      <c r="J151" s="2464"/>
      <c r="K151" s="2442">
        <f>IF(_Ver09,Qs,Qs/3.6)</f>
        <v>0</v>
      </c>
      <c r="L151" s="2464"/>
      <c r="M151" s="2324">
        <f>'M3'!O63</f>
        <v>0</v>
      </c>
      <c r="N151" s="2325"/>
      <c r="O151" s="2322">
        <f>IF(_Ver09,'M3'!O68,'M3'!O68/3.6)</f>
        <v>0</v>
      </c>
      <c r="P151" s="2463"/>
      <c r="Q151" s="2324">
        <f>IF(Projekt!L45&gt;0,Projekt!L45,Projekt!O45)</f>
        <v>0</v>
      </c>
      <c r="R151" s="2325"/>
    </row>
    <row r="152" spans="2:18" s="672" customFormat="1" ht="12" customHeight="1">
      <c r="B152" s="2444" t="str">
        <f>B162</f>
        <v/>
      </c>
      <c r="C152" s="2445"/>
      <c r="E152" s="2291">
        <f>E142</f>
        <v>0</v>
      </c>
      <c r="F152" s="2292"/>
      <c r="G152" s="2293">
        <f>Zonen!G30</f>
        <v>0</v>
      </c>
      <c r="H152" s="2293"/>
      <c r="I152" s="2291">
        <f>I142</f>
        <v>0</v>
      </c>
      <c r="J152" s="2292"/>
      <c r="K152" s="2293">
        <f>K142</f>
        <v>0</v>
      </c>
      <c r="L152" s="2297"/>
      <c r="M152" s="2296">
        <f>Zonen!G31</f>
        <v>0</v>
      </c>
      <c r="N152" s="2328"/>
      <c r="O152" s="2305">
        <f>Zonen!G32</f>
        <v>0</v>
      </c>
      <c r="P152" s="2305"/>
      <c r="Q152" s="2296">
        <f>Zonen!G29</f>
        <v>0</v>
      </c>
      <c r="R152" s="2292"/>
    </row>
    <row r="153" spans="2:18" s="672" customFormat="1" ht="12" customHeight="1">
      <c r="B153" s="2444" t="str">
        <f>B163</f>
        <v/>
      </c>
      <c r="C153" s="2445"/>
      <c r="E153" s="2291">
        <f>E143</f>
        <v>0</v>
      </c>
      <c r="F153" s="2292"/>
      <c r="G153" s="2293">
        <f>Zonen!I30</f>
        <v>0</v>
      </c>
      <c r="H153" s="2293"/>
      <c r="I153" s="2291">
        <f>I143</f>
        <v>0</v>
      </c>
      <c r="J153" s="2292"/>
      <c r="K153" s="2293">
        <f>K143</f>
        <v>0</v>
      </c>
      <c r="L153" s="2297"/>
      <c r="M153" s="2296">
        <f>Zonen!I31</f>
        <v>0</v>
      </c>
      <c r="N153" s="2328"/>
      <c r="O153" s="2305">
        <f>Zonen!I32</f>
        <v>0</v>
      </c>
      <c r="P153" s="2305"/>
      <c r="Q153" s="2296">
        <f>Zonen!I29</f>
        <v>0</v>
      </c>
      <c r="R153" s="2292"/>
    </row>
    <row r="154" spans="2:18" s="672" customFormat="1" ht="12" customHeight="1">
      <c r="B154" s="2446" t="str">
        <f>B164</f>
        <v/>
      </c>
      <c r="C154" s="2447"/>
      <c r="D154" s="676"/>
      <c r="E154" s="2291">
        <f>E144</f>
        <v>0</v>
      </c>
      <c r="F154" s="2292"/>
      <c r="G154" s="2461">
        <f>Zonen!K30</f>
        <v>0</v>
      </c>
      <c r="H154" s="2461"/>
      <c r="I154" s="2462">
        <f>I144</f>
        <v>0</v>
      </c>
      <c r="J154" s="2312"/>
      <c r="K154" s="2461">
        <f>K144</f>
        <v>0</v>
      </c>
      <c r="L154" s="2432"/>
      <c r="M154" s="2326">
        <f>Zonen!K31</f>
        <v>0</v>
      </c>
      <c r="N154" s="2327"/>
      <c r="O154" s="2309">
        <f>Zonen!K32</f>
        <v>0</v>
      </c>
      <c r="P154" s="2309"/>
      <c r="Q154" s="2326">
        <f>Zonen!K29</f>
        <v>0</v>
      </c>
      <c r="R154" s="2312"/>
    </row>
    <row r="155" spans="2:18" s="1932" customFormat="1" ht="18" customHeight="1">
      <c r="B155" s="2436">
        <f>B165</f>
        <v>0</v>
      </c>
      <c r="C155" s="2437"/>
      <c r="D155" s="2037"/>
      <c r="E155" s="2299">
        <f>E145</f>
        <v>0</v>
      </c>
      <c r="F155" s="2295"/>
      <c r="G155" s="2299">
        <f>Zonen!M30</f>
        <v>0</v>
      </c>
      <c r="H155" s="2300"/>
      <c r="I155" s="2299">
        <f>I145</f>
        <v>0</v>
      </c>
      <c r="J155" s="2295"/>
      <c r="K155" s="2299">
        <f>K154</f>
        <v>0</v>
      </c>
      <c r="L155" s="2295"/>
      <c r="M155" s="2301">
        <f>Zonen!M31</f>
        <v>0</v>
      </c>
      <c r="N155" s="2302"/>
      <c r="O155" s="2453">
        <f>Zonen!M32</f>
        <v>0</v>
      </c>
      <c r="P155" s="2454"/>
      <c r="Q155" s="2301">
        <f>Zonen!M29</f>
        <v>0</v>
      </c>
      <c r="R155" s="2295"/>
    </row>
    <row r="156" spans="2:18" ht="18" hidden="1" customHeight="1"/>
    <row r="157" spans="2:18" ht="18" hidden="1" customHeight="1"/>
    <row r="158" spans="2:18" ht="18" customHeight="1"/>
    <row r="159" spans="2:18" s="1932" customFormat="1" ht="24" customHeight="1">
      <c r="B159" s="1931" t="str">
        <f>Uebersetzung!D668</f>
        <v>7. Puissance de chauffage spécifique</v>
      </c>
    </row>
    <row r="160" spans="2:18" s="1932" customFormat="1" ht="18" customHeight="1">
      <c r="B160" s="1951" t="str">
        <f>B140</f>
        <v>zone thermique</v>
      </c>
      <c r="C160" s="2406"/>
      <c r="D160" s="2429"/>
      <c r="E160" s="2289" t="s">
        <v>3972</v>
      </c>
      <c r="F160" s="2290"/>
      <c r="G160" s="2289" t="s">
        <v>3941</v>
      </c>
      <c r="H160" s="2290"/>
      <c r="I160" s="2289" t="s">
        <v>3971</v>
      </c>
      <c r="J160" s="2290"/>
      <c r="K160" s="2289" t="s">
        <v>3973</v>
      </c>
      <c r="L160" s="2290"/>
      <c r="M160" s="2289" t="s">
        <v>3974</v>
      </c>
      <c r="N160" s="2290"/>
      <c r="O160" s="2289" t="s">
        <v>3943</v>
      </c>
      <c r="P160" s="2290"/>
      <c r="Q160" s="2289"/>
      <c r="R160" s="2290"/>
    </row>
    <row r="161" spans="2:25" s="672" customFormat="1" ht="12" customHeight="1">
      <c r="B161" s="2434">
        <f>IF(Zonen=1,B165,Zonen!E12)</f>
        <v>0</v>
      </c>
      <c r="C161" s="2435"/>
      <c r="D161" s="667"/>
      <c r="E161" s="2438">
        <f ca="1">('M1'!Q42+'M1'!Q44)/(Theta-I161)*1000</f>
        <v>0</v>
      </c>
      <c r="F161" s="2439"/>
      <c r="G161" s="2440">
        <f>Q151</f>
        <v>0</v>
      </c>
      <c r="H161" s="2441"/>
      <c r="I161" s="2442">
        <f ca="1">'M1'!Q15</f>
        <v>-8</v>
      </c>
      <c r="J161" s="2443"/>
      <c r="K161" s="2442">
        <f>IF(Kategorie=1,0,INDEX(Tab!H16:S16,1,Kategorie-1))</f>
        <v>0</v>
      </c>
      <c r="L161" s="2443"/>
      <c r="M161" s="2322">
        <f>IF(EBF&gt;0,E161*(Theta-'M1'!Q15)/EBF-K161,0)</f>
        <v>0</v>
      </c>
      <c r="N161" s="2323"/>
      <c r="O161" s="2322" t="str">
        <f>V73</f>
        <v/>
      </c>
      <c r="P161" s="2323"/>
      <c r="Q161" s="2322"/>
      <c r="R161" s="2463"/>
    </row>
    <row r="162" spans="2:25" s="672" customFormat="1" ht="12" customHeight="1">
      <c r="B162" s="2444" t="str">
        <f>IF(Zonen&gt;1,Zonen!G12,"")</f>
        <v/>
      </c>
      <c r="C162" s="2445"/>
      <c r="E162" s="2334">
        <f>Zonen!G33</f>
        <v>0</v>
      </c>
      <c r="F162" s="2297"/>
      <c r="G162" s="2296">
        <f>Q152</f>
        <v>0</v>
      </c>
      <c r="H162" s="2297"/>
      <c r="I162" s="2291">
        <f>IF(Zonen!G17&gt;0,I161,0)</f>
        <v>0</v>
      </c>
      <c r="J162" s="2297"/>
      <c r="K162" s="2291">
        <f>Zonen!G34</f>
        <v>0</v>
      </c>
      <c r="L162" s="2293"/>
      <c r="M162" s="2306">
        <f>Zonen!G21</f>
        <v>0</v>
      </c>
      <c r="N162" s="2305"/>
      <c r="O162" s="2306">
        <f>IF(Zonen!R17&gt;0,Zonen!G22,0)</f>
        <v>0</v>
      </c>
      <c r="P162" s="2305"/>
      <c r="Q162" s="2310"/>
      <c r="R162" s="2292"/>
    </row>
    <row r="163" spans="2:25" s="672" customFormat="1" ht="12" customHeight="1">
      <c r="B163" s="2444" t="str">
        <f>IF(Zonen&gt;2,Zonen!I12,"")</f>
        <v/>
      </c>
      <c r="C163" s="2445"/>
      <c r="E163" s="2334">
        <f>Zonen!I33</f>
        <v>0</v>
      </c>
      <c r="F163" s="2297"/>
      <c r="G163" s="2296">
        <f>Q153</f>
        <v>0</v>
      </c>
      <c r="H163" s="2297"/>
      <c r="I163" s="2291">
        <f>IF(Zonen!I17&gt;0,I161,0)</f>
        <v>0</v>
      </c>
      <c r="J163" s="2297"/>
      <c r="K163" s="2291">
        <f>Zonen!I34</f>
        <v>0</v>
      </c>
      <c r="L163" s="2293"/>
      <c r="M163" s="2306">
        <f>Zonen!I21</f>
        <v>0</v>
      </c>
      <c r="N163" s="2305"/>
      <c r="O163" s="2306">
        <f>IF(Zonen!T17&gt;0,Zonen!I22,0)</f>
        <v>0</v>
      </c>
      <c r="P163" s="2305"/>
      <c r="Q163" s="2310"/>
      <c r="R163" s="2292"/>
    </row>
    <row r="164" spans="2:25" s="672" customFormat="1" ht="12" customHeight="1">
      <c r="B164" s="2446" t="str">
        <f>IF(Zonen&gt;3,Zonen!K12,"")</f>
        <v/>
      </c>
      <c r="C164" s="2447"/>
      <c r="D164" s="676"/>
      <c r="E164" s="2341">
        <f>Zonen!K33</f>
        <v>0</v>
      </c>
      <c r="F164" s="2432"/>
      <c r="G164" s="2326">
        <f>Q154</f>
        <v>0</v>
      </c>
      <c r="H164" s="2432"/>
      <c r="I164" s="2462">
        <f>IF(Zonen!K17&gt;0,I163,0)</f>
        <v>0</v>
      </c>
      <c r="J164" s="2432"/>
      <c r="K164" s="2462">
        <f>Zonen!K34</f>
        <v>0</v>
      </c>
      <c r="L164" s="2461"/>
      <c r="M164" s="2308">
        <f>Zonen!K21</f>
        <v>0</v>
      </c>
      <c r="N164" s="2309"/>
      <c r="O164" s="2308">
        <f>IF(Zonen!V17&gt;0,Zonen!K22,0)</f>
        <v>0</v>
      </c>
      <c r="P164" s="2309"/>
      <c r="Q164" s="2311"/>
      <c r="R164" s="2312"/>
    </row>
    <row r="165" spans="2:25" ht="18" customHeight="1">
      <c r="B165" s="2436">
        <f>IF(Zonen&gt;1,Uebersetzung!D683,INDEX(Tab!C30:C42,Projekt!AV29,))</f>
        <v>0</v>
      </c>
      <c r="C165" s="2437"/>
      <c r="D165" s="2038"/>
      <c r="E165" s="2448">
        <f ca="1">SUM(E161:F164)</f>
        <v>0</v>
      </c>
      <c r="F165" s="2449"/>
      <c r="G165" s="2450">
        <f>Q155</f>
        <v>0</v>
      </c>
      <c r="H165" s="2449"/>
      <c r="I165" s="2299">
        <f ca="1">I161</f>
        <v>-8</v>
      </c>
      <c r="J165" s="2295"/>
      <c r="K165" s="2451">
        <f>Zonen!M34</f>
        <v>0</v>
      </c>
      <c r="L165" s="2452"/>
      <c r="M165" s="2453">
        <f>Zonen!Y21</f>
        <v>0</v>
      </c>
      <c r="N165" s="2454"/>
      <c r="O165" s="2284">
        <f>Zonen!M22</f>
        <v>0</v>
      </c>
      <c r="P165" s="2285"/>
      <c r="Q165" s="2294"/>
      <c r="R165" s="2295"/>
    </row>
    <row r="166" spans="2:25" ht="12.6" customHeight="1"/>
    <row r="167" spans="2:25" ht="12.6" customHeight="1"/>
    <row r="168" spans="2:25" ht="12.6" customHeight="1">
      <c r="Y168" s="672"/>
    </row>
    <row r="169" spans="2:25" ht="12.6" customHeight="1"/>
    <row r="170" spans="2:25" ht="12.6" customHeight="1"/>
    <row r="171" spans="2:25" ht="12.6" customHeight="1"/>
    <row r="172" spans="2:25" ht="12.6" customHeight="1"/>
    <row r="173" spans="2:25" ht="12.6" customHeight="1"/>
    <row r="174" spans="2:25" ht="12.6" customHeight="1"/>
    <row r="175" spans="2:25" ht="12.6" customHeight="1"/>
    <row r="176" spans="2:25" ht="12.6" customHeight="1"/>
    <row r="177" ht="12.6" customHeight="1"/>
    <row r="178" ht="12.6" customHeight="1"/>
    <row r="179" ht="12.6" customHeight="1"/>
    <row r="180" ht="12.6" customHeight="1"/>
    <row r="181" ht="12.6" customHeight="1"/>
    <row r="182" ht="12.6" customHeight="1"/>
  </sheetData>
  <sheetProtection password="C9AE" sheet="1" objects="1" scenarios="1"/>
  <mergeCells count="344">
    <mergeCell ref="B142:C142"/>
    <mergeCell ref="E142:F142"/>
    <mergeCell ref="G142:H142"/>
    <mergeCell ref="I142:J142"/>
    <mergeCell ref="K142:L142"/>
    <mergeCell ref="B143:C143"/>
    <mergeCell ref="E143:F143"/>
    <mergeCell ref="G143:H143"/>
    <mergeCell ref="I143:J143"/>
    <mergeCell ref="K143:L143"/>
    <mergeCell ref="Q153:R153"/>
    <mergeCell ref="O151:P151"/>
    <mergeCell ref="Q151:R151"/>
    <mergeCell ref="Q154:R154"/>
    <mergeCell ref="O145:P145"/>
    <mergeCell ref="Q145:R145"/>
    <mergeCell ref="B144:C144"/>
    <mergeCell ref="E144:F144"/>
    <mergeCell ref="G144:H144"/>
    <mergeCell ref="I144:J144"/>
    <mergeCell ref="K144:L144"/>
    <mergeCell ref="M144:N144"/>
    <mergeCell ref="O144:P144"/>
    <mergeCell ref="Q144:R144"/>
    <mergeCell ref="O152:P152"/>
    <mergeCell ref="Q152:R152"/>
    <mergeCell ref="B145:C145"/>
    <mergeCell ref="M152:N152"/>
    <mergeCell ref="B151:C151"/>
    <mergeCell ref="B154:C154"/>
    <mergeCell ref="B152:C152"/>
    <mergeCell ref="E151:F151"/>
    <mergeCell ref="G151:H151"/>
    <mergeCell ref="I151:J151"/>
    <mergeCell ref="B155:C155"/>
    <mergeCell ref="E155:F155"/>
    <mergeCell ref="G155:H155"/>
    <mergeCell ref="I155:J155"/>
    <mergeCell ref="K155:L155"/>
    <mergeCell ref="M143:N143"/>
    <mergeCell ref="K150:L150"/>
    <mergeCell ref="M150:N150"/>
    <mergeCell ref="C150:D150"/>
    <mergeCell ref="K151:L151"/>
    <mergeCell ref="B153:C153"/>
    <mergeCell ref="I153:J153"/>
    <mergeCell ref="K153:L153"/>
    <mergeCell ref="M162:N162"/>
    <mergeCell ref="M163:N163"/>
    <mergeCell ref="M164:N164"/>
    <mergeCell ref="E154:F154"/>
    <mergeCell ref="G154:H154"/>
    <mergeCell ref="I154:J154"/>
    <mergeCell ref="K154:L154"/>
    <mergeCell ref="Q155:R155"/>
    <mergeCell ref="O155:P155"/>
    <mergeCell ref="Q161:R161"/>
    <mergeCell ref="E160:F160"/>
    <mergeCell ref="G160:H160"/>
    <mergeCell ref="I160:J160"/>
    <mergeCell ref="K160:L160"/>
    <mergeCell ref="M160:N160"/>
    <mergeCell ref="O160:P160"/>
    <mergeCell ref="I164:J164"/>
    <mergeCell ref="K163:L163"/>
    <mergeCell ref="K164:L164"/>
    <mergeCell ref="O154:P154"/>
    <mergeCell ref="I93:J93"/>
    <mergeCell ref="I94:J94"/>
    <mergeCell ref="I95:J95"/>
    <mergeCell ref="K93:L93"/>
    <mergeCell ref="K94:L94"/>
    <mergeCell ref="K95:L95"/>
    <mergeCell ref="M93:N93"/>
    <mergeCell ref="Q142:R142"/>
    <mergeCell ref="O123:P123"/>
    <mergeCell ref="Q123:R123"/>
    <mergeCell ref="O124:R124"/>
    <mergeCell ref="O125:R125"/>
    <mergeCell ref="O126:R126"/>
    <mergeCell ref="O127:R127"/>
    <mergeCell ref="O128:R128"/>
    <mergeCell ref="P135:R135"/>
    <mergeCell ref="M137:O137"/>
    <mergeCell ref="P137:R137"/>
    <mergeCell ref="M142:N142"/>
    <mergeCell ref="L123:N123"/>
    <mergeCell ref="L124:N124"/>
    <mergeCell ref="M96:N96"/>
    <mergeCell ref="O95:P95"/>
    <mergeCell ref="I123:K123"/>
    <mergeCell ref="B165:C165"/>
    <mergeCell ref="E161:F161"/>
    <mergeCell ref="G161:H161"/>
    <mergeCell ref="I161:J161"/>
    <mergeCell ref="K161:L161"/>
    <mergeCell ref="M161:N161"/>
    <mergeCell ref="C160:D160"/>
    <mergeCell ref="B161:C161"/>
    <mergeCell ref="B162:C162"/>
    <mergeCell ref="B163:C163"/>
    <mergeCell ref="B164:C164"/>
    <mergeCell ref="E162:F162"/>
    <mergeCell ref="E163:F163"/>
    <mergeCell ref="E164:F164"/>
    <mergeCell ref="G162:H162"/>
    <mergeCell ref="G163:H163"/>
    <mergeCell ref="G164:H164"/>
    <mergeCell ref="I162:J162"/>
    <mergeCell ref="K162:L162"/>
    <mergeCell ref="E165:F165"/>
    <mergeCell ref="G165:H165"/>
    <mergeCell ref="I165:J165"/>
    <mergeCell ref="K165:L165"/>
    <mergeCell ref="M165:N165"/>
    <mergeCell ref="B132:C133"/>
    <mergeCell ref="B134:C134"/>
    <mergeCell ref="E141:F141"/>
    <mergeCell ref="G141:H141"/>
    <mergeCell ref="I141:J141"/>
    <mergeCell ref="K141:L141"/>
    <mergeCell ref="M141:N141"/>
    <mergeCell ref="O141:P141"/>
    <mergeCell ref="C140:D140"/>
    <mergeCell ref="D132:F132"/>
    <mergeCell ref="P136:R136"/>
    <mergeCell ref="P132:R132"/>
    <mergeCell ref="P133:R133"/>
    <mergeCell ref="Q141:R141"/>
    <mergeCell ref="Q140:R140"/>
    <mergeCell ref="B137:C137"/>
    <mergeCell ref="D137:F137"/>
    <mergeCell ref="G137:I137"/>
    <mergeCell ref="J137:L137"/>
    <mergeCell ref="B141:C141"/>
    <mergeCell ref="G135:I135"/>
    <mergeCell ref="J135:L135"/>
    <mergeCell ref="M135:O135"/>
    <mergeCell ref="C93:D93"/>
    <mergeCell ref="C94:D94"/>
    <mergeCell ref="E140:F140"/>
    <mergeCell ref="M140:N140"/>
    <mergeCell ref="G93:H93"/>
    <mergeCell ref="G94:H94"/>
    <mergeCell ref="G95:H95"/>
    <mergeCell ref="I140:J140"/>
    <mergeCell ref="I98:J98"/>
    <mergeCell ref="G98:H98"/>
    <mergeCell ref="I96:J96"/>
    <mergeCell ref="D133:F133"/>
    <mergeCell ref="G132:I132"/>
    <mergeCell ref="G133:I133"/>
    <mergeCell ref="J132:L132"/>
    <mergeCell ref="M132:O132"/>
    <mergeCell ref="M133:O133"/>
    <mergeCell ref="J133:L133"/>
    <mergeCell ref="B135:C135"/>
    <mergeCell ref="D135:F135"/>
    <mergeCell ref="K140:L140"/>
    <mergeCell ref="G140:H140"/>
    <mergeCell ref="I99:J99"/>
    <mergeCell ref="I100:J100"/>
    <mergeCell ref="O79:R79"/>
    <mergeCell ref="K78:N78"/>
    <mergeCell ref="K79:N79"/>
    <mergeCell ref="K96:L96"/>
    <mergeCell ref="K98:L98"/>
    <mergeCell ref="Q83:R84"/>
    <mergeCell ref="O83:P84"/>
    <mergeCell ref="M90:N90"/>
    <mergeCell ref="Q89:R89"/>
    <mergeCell ref="K89:L89"/>
    <mergeCell ref="M89:N89"/>
    <mergeCell ref="O78:P78"/>
    <mergeCell ref="Q78:R78"/>
    <mergeCell ref="M94:N94"/>
    <mergeCell ref="M95:N95"/>
    <mergeCell ref="Q93:R93"/>
    <mergeCell ref="Q94:R94"/>
    <mergeCell ref="Q98:R98"/>
    <mergeCell ref="O96:P96"/>
    <mergeCell ref="E83:F84"/>
    <mergeCell ref="M87:N87"/>
    <mergeCell ref="M88:N88"/>
    <mergeCell ref="I87:J87"/>
    <mergeCell ref="I88:J88"/>
    <mergeCell ref="I86:J86"/>
    <mergeCell ref="Q86:R86"/>
    <mergeCell ref="O88:P88"/>
    <mergeCell ref="O87:P87"/>
    <mergeCell ref="G83:N83"/>
    <mergeCell ref="M84:N84"/>
    <mergeCell ref="G89:H89"/>
    <mergeCell ref="I89:J89"/>
    <mergeCell ref="E94:F94"/>
    <mergeCell ref="E98:F98"/>
    <mergeCell ref="G96:H96"/>
    <mergeCell ref="Q95:R95"/>
    <mergeCell ref="Q96:R96"/>
    <mergeCell ref="K90:L90"/>
    <mergeCell ref="K86:L86"/>
    <mergeCell ref="K87:L87"/>
    <mergeCell ref="K88:L88"/>
    <mergeCell ref="O94:P94"/>
    <mergeCell ref="O93:P93"/>
    <mergeCell ref="M98:N98"/>
    <mergeCell ref="O98:P98"/>
    <mergeCell ref="B97:R97"/>
    <mergeCell ref="B98:D98"/>
    <mergeCell ref="O86:P86"/>
    <mergeCell ref="Q88:R88"/>
    <mergeCell ref="Q87:R87"/>
    <mergeCell ref="Q90:R90"/>
    <mergeCell ref="O90:P90"/>
    <mergeCell ref="E95:F95"/>
    <mergeCell ref="E96:F96"/>
    <mergeCell ref="E90:F90"/>
    <mergeCell ref="E93:F93"/>
    <mergeCell ref="E86:F86"/>
    <mergeCell ref="E87:F87"/>
    <mergeCell ref="E88:F88"/>
    <mergeCell ref="C96:D96"/>
    <mergeCell ref="C95:D95"/>
    <mergeCell ref="C4:E4"/>
    <mergeCell ref="K84:L84"/>
    <mergeCell ref="G90:H90"/>
    <mergeCell ref="I90:J90"/>
    <mergeCell ref="G86:H86"/>
    <mergeCell ref="G87:H87"/>
    <mergeCell ref="G88:H88"/>
    <mergeCell ref="C39:E39"/>
    <mergeCell ref="I84:J84"/>
    <mergeCell ref="G84:H84"/>
    <mergeCell ref="B78:F78"/>
    <mergeCell ref="B79:F79"/>
    <mergeCell ref="G78:J78"/>
    <mergeCell ref="G79:J79"/>
    <mergeCell ref="B90:D90"/>
    <mergeCell ref="E89:F89"/>
    <mergeCell ref="B86:D86"/>
    <mergeCell ref="B87:D87"/>
    <mergeCell ref="B88:D88"/>
    <mergeCell ref="B89:D89"/>
    <mergeCell ref="M86:N86"/>
    <mergeCell ref="C19:E19"/>
    <mergeCell ref="B124:C124"/>
    <mergeCell ref="AA49:AB49"/>
    <mergeCell ref="B91:D91"/>
    <mergeCell ref="E91:F91"/>
    <mergeCell ref="G91:H91"/>
    <mergeCell ref="I91:J91"/>
    <mergeCell ref="K91:L91"/>
    <mergeCell ref="M91:N91"/>
    <mergeCell ref="O91:P91"/>
    <mergeCell ref="Q91:R91"/>
    <mergeCell ref="B83:D84"/>
    <mergeCell ref="E85:F85"/>
    <mergeCell ref="G85:H85"/>
    <mergeCell ref="I85:J85"/>
    <mergeCell ref="K85:L85"/>
    <mergeCell ref="M85:N85"/>
    <mergeCell ref="O85:P85"/>
    <mergeCell ref="Q85:R85"/>
    <mergeCell ref="O89:P89"/>
    <mergeCell ref="B128:C128"/>
    <mergeCell ref="D128:H128"/>
    <mergeCell ref="I125:K125"/>
    <mergeCell ref="D125:H125"/>
    <mergeCell ref="L125:N125"/>
    <mergeCell ref="I126:K126"/>
    <mergeCell ref="L126:N126"/>
    <mergeCell ref="I127:K127"/>
    <mergeCell ref="L127:N127"/>
    <mergeCell ref="I128:K128"/>
    <mergeCell ref="L128:N128"/>
    <mergeCell ref="D126:H126"/>
    <mergeCell ref="D127:H127"/>
    <mergeCell ref="I124:K124"/>
    <mergeCell ref="D123:H123"/>
    <mergeCell ref="D124:H124"/>
    <mergeCell ref="D134:F134"/>
    <mergeCell ref="G134:I134"/>
    <mergeCell ref="J134:L134"/>
    <mergeCell ref="M134:O134"/>
    <mergeCell ref="O161:P161"/>
    <mergeCell ref="I163:J163"/>
    <mergeCell ref="E150:F150"/>
    <mergeCell ref="G150:H150"/>
    <mergeCell ref="I150:J150"/>
    <mergeCell ref="M151:N151"/>
    <mergeCell ref="E152:F152"/>
    <mergeCell ref="G152:H152"/>
    <mergeCell ref="I152:J152"/>
    <mergeCell ref="K152:L152"/>
    <mergeCell ref="M154:N154"/>
    <mergeCell ref="M153:N153"/>
    <mergeCell ref="O153:P153"/>
    <mergeCell ref="O142:P142"/>
    <mergeCell ref="M155:N155"/>
    <mergeCell ref="O162:P162"/>
    <mergeCell ref="O163:P163"/>
    <mergeCell ref="O165:P165"/>
    <mergeCell ref="P134:R134"/>
    <mergeCell ref="Q160:R160"/>
    <mergeCell ref="E153:F153"/>
    <mergeCell ref="G153:H153"/>
    <mergeCell ref="Q165:R165"/>
    <mergeCell ref="D136:F136"/>
    <mergeCell ref="G136:I136"/>
    <mergeCell ref="J136:L136"/>
    <mergeCell ref="M136:O136"/>
    <mergeCell ref="E145:F145"/>
    <mergeCell ref="G145:H145"/>
    <mergeCell ref="I145:J145"/>
    <mergeCell ref="K145:L145"/>
    <mergeCell ref="M145:N145"/>
    <mergeCell ref="O140:P140"/>
    <mergeCell ref="O150:P150"/>
    <mergeCell ref="Q150:R150"/>
    <mergeCell ref="O143:P143"/>
    <mergeCell ref="Q143:R143"/>
    <mergeCell ref="O164:P164"/>
    <mergeCell ref="Q162:R162"/>
    <mergeCell ref="Q163:R163"/>
    <mergeCell ref="Q164:R164"/>
    <mergeCell ref="N7:R7"/>
    <mergeCell ref="O45:R46"/>
    <mergeCell ref="Z66:AD66"/>
    <mergeCell ref="Z65:AA65"/>
    <mergeCell ref="E48:F48"/>
    <mergeCell ref="Z58:AA58"/>
    <mergeCell ref="N50:O50"/>
    <mergeCell ref="Z62:AA62"/>
    <mergeCell ref="Z63:AA63"/>
    <mergeCell ref="F52:G52"/>
    <mergeCell ref="Z64:AA64"/>
    <mergeCell ref="G53:H53"/>
    <mergeCell ref="O53:P53"/>
    <mergeCell ref="Z61:AA61"/>
    <mergeCell ref="Z59:AA59"/>
    <mergeCell ref="Z57:AA57"/>
    <mergeCell ref="Z56:AA56"/>
    <mergeCell ref="Z60:AA60"/>
    <mergeCell ref="O55:P55"/>
  </mergeCells>
  <phoneticPr fontId="0" type="noConversion"/>
  <conditionalFormatting sqref="D56:E56 L55:N55 Q55 V73">
    <cfRule type="expression" dxfId="56" priority="1">
      <formula>$V$50=FALSE</formula>
    </cfRule>
  </conditionalFormatting>
  <pageMargins left="0.70866141732283472" right="0.39370078740157483" top="0.39370078740157483" bottom="0.39370078740157483" header="0.19685039370078741" footer="0.19685039370078741"/>
  <pageSetup paperSize="9" scale="97" fitToHeight="3" orientation="portrait" r:id="rId1"/>
  <headerFooter alignWithMargins="0">
    <oddFooter>&amp;L&amp;"Times New Roman,Kursiv"&amp;6Huber Energietechnik, AG Zürich  &amp;C&amp;6&amp;F  &amp;R&amp;"Times New Roman,Kursiv"&amp;6ENTECH 380/1, Ver. 6</oddFooter>
  </headerFooter>
  <rowBreaks count="1" manualBreakCount="1">
    <brk id="7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16"/>
  <sheetViews>
    <sheetView showZeros="0" workbookViewId="0">
      <selection activeCell="B2" sqref="B2"/>
    </sheetView>
  </sheetViews>
  <sheetFormatPr baseColWidth="10" defaultColWidth="11.5703125" defaultRowHeight="12.75"/>
  <cols>
    <col min="1" max="1" width="2.5703125" style="456" customWidth="1"/>
    <col min="2" max="16384" width="11.5703125" style="456"/>
  </cols>
  <sheetData>
    <row r="1" spans="2:3" ht="6" customHeight="1"/>
    <row r="2" spans="2:3">
      <c r="B2" s="1492">
        <f>Projekt!E5</f>
        <v>0</v>
      </c>
    </row>
    <row r="3" spans="2:3">
      <c r="B3" s="1492">
        <f>Projekt!E7</f>
        <v>0</v>
      </c>
    </row>
    <row r="5" spans="2:3">
      <c r="B5" s="456" t="str">
        <f>'M3'!B24</f>
        <v>Toit exposé à l'air extérieur:</v>
      </c>
      <c r="C5" s="1493">
        <f>'M3'!O24</f>
        <v>0</v>
      </c>
    </row>
    <row r="6" spans="2:3">
      <c r="B6" s="456" t="str">
        <f>'M3'!B25</f>
        <v>Plafond contre des loc. non chauffés:</v>
      </c>
      <c r="C6" s="1493">
        <f>'M3'!O25</f>
        <v>0</v>
      </c>
    </row>
    <row r="7" spans="2:3">
      <c r="B7" s="456" t="str">
        <f>'M3'!B27</f>
        <v>Mur exposé à l'air extérieur:</v>
      </c>
      <c r="C7" s="1493">
        <f>'M3'!O27</f>
        <v>0</v>
      </c>
    </row>
    <row r="8" spans="2:3">
      <c r="B8" s="456" t="str">
        <f>'M3'!B28</f>
        <v>Mur contre des locaux non chauffés:</v>
      </c>
      <c r="C8" s="1493">
        <f>'M3'!O28</f>
        <v>0</v>
      </c>
    </row>
    <row r="9" spans="2:3">
      <c r="B9" s="456" t="str">
        <f>'M3'!B29</f>
        <v>Mur contre le terrain:</v>
      </c>
      <c r="C9" s="1493">
        <f>'M3'!O29</f>
        <v>0</v>
      </c>
    </row>
    <row r="10" spans="2:3">
      <c r="C10" s="1493">
        <f>'M3'!O31</f>
        <v>0</v>
      </c>
    </row>
    <row r="11" spans="2:3">
      <c r="B11" s="456" t="str">
        <f>'M3'!B32</f>
        <v>Plancher contre des loc. non chauffés:</v>
      </c>
      <c r="C11" s="1493">
        <f>'M3'!O32</f>
        <v>0</v>
      </c>
    </row>
    <row r="12" spans="2:3">
      <c r="B12" s="456" t="str">
        <f>'M3'!B33</f>
        <v>Plancher contre le terrain:</v>
      </c>
      <c r="C12" s="1493">
        <f>'M3'!O33</f>
        <v>0</v>
      </c>
    </row>
    <row r="13" spans="2:3">
      <c r="B13" s="456" t="str">
        <f>Fenster!D4</f>
        <v>Fenêtre:</v>
      </c>
      <c r="C13" s="1493">
        <f>SUM('M3'!O35:'M3'!O39)</f>
        <v>0</v>
      </c>
    </row>
    <row r="14" spans="2:3">
      <c r="B14" s="456" t="str">
        <f>'M3'!B40</f>
        <v>Ponts thermiques:</v>
      </c>
      <c r="C14" s="1493">
        <f>'M3'!O40</f>
        <v>0</v>
      </c>
    </row>
    <row r="15" spans="2:3">
      <c r="B15" s="456" t="str">
        <f>'M3'!B44</f>
        <v>Dép. par renouvellement de l'air QV:</v>
      </c>
      <c r="C15" s="1493">
        <f>'M3'!O44</f>
        <v>0</v>
      </c>
    </row>
    <row r="16" spans="2:3">
      <c r="C16" s="1493">
        <f>'M3'!O30+'M3'!O34+'M3'!O26</f>
        <v>0</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B1:Y60"/>
  <sheetViews>
    <sheetView showZeros="0" workbookViewId="0">
      <selection activeCell="E12" sqref="E12:F12"/>
    </sheetView>
  </sheetViews>
  <sheetFormatPr baseColWidth="10" defaultColWidth="11.5703125" defaultRowHeight="12.75"/>
  <cols>
    <col min="1" max="1" width="3" style="769" customWidth="1"/>
    <col min="2" max="2" width="30.7109375" style="769" customWidth="1"/>
    <col min="3" max="3" width="1.7109375" style="769" customWidth="1"/>
    <col min="4" max="4" width="7.140625" style="1992" customWidth="1"/>
    <col min="5" max="14" width="7.7109375" style="769" customWidth="1"/>
    <col min="15" max="15" width="11.5703125" style="769" hidden="1" customWidth="1"/>
    <col min="16" max="23" width="4.7109375" style="1992" hidden="1" customWidth="1"/>
    <col min="24" max="24" width="11.5703125" style="1992" hidden="1" customWidth="1"/>
    <col min="25" max="25" width="11.5703125" style="769" hidden="1" customWidth="1"/>
    <col min="26" max="26" width="11.5703125" style="769" customWidth="1"/>
    <col min="27" max="16384" width="11.5703125" style="769"/>
  </cols>
  <sheetData>
    <row r="1" spans="2:25" ht="18" customHeight="1">
      <c r="B1" s="769" t="str">
        <f>Projekt!B1&amp;" "&amp;Bau!J2</f>
        <v xml:space="preserve">Programme Entech 380/1, Ver. 6.1, BFE/EnFK-Zert.-Nr. 1639, SIA 380/1 (Edition 2016) pour </v>
      </c>
      <c r="J1" s="1983"/>
      <c r="N1" s="1984" t="str">
        <f>"Qh="&amp;ROUND(Qhtot,1)&amp;IF(_Ver09," MJ/m2","kWh/m2")</f>
        <v>Qh=0kWh/m2</v>
      </c>
      <c r="O1" s="1985"/>
      <c r="P1" s="1999"/>
      <c r="Q1" s="1999"/>
    </row>
    <row r="2" spans="2:25" ht="18" customHeight="1">
      <c r="B2" s="1983" t="str">
        <f>Fenster!D2</f>
        <v>imprimé le:</v>
      </c>
      <c r="C2" s="2502">
        <f ca="1">NOW()</f>
        <v>43566.628989236109</v>
      </c>
      <c r="D2" s="2502"/>
      <c r="E2" s="2502"/>
      <c r="F2" s="1986" t="str">
        <f>IF(Projekt!E5&gt;0,Projekt!E5,"")</f>
        <v/>
      </c>
      <c r="G2" s="713"/>
      <c r="H2" s="1983"/>
      <c r="I2" s="1983"/>
      <c r="J2" s="1983"/>
      <c r="K2" s="1983"/>
      <c r="N2" s="1987" t="str">
        <f>Uebersetzung!D686</f>
        <v>page 9 de 10</v>
      </c>
      <c r="O2" s="1985"/>
      <c r="P2" s="1999"/>
      <c r="Q2" s="1999"/>
    </row>
    <row r="3" spans="2:25" ht="39.950000000000003" customHeight="1" thickBot="1">
      <c r="B3" s="719" t="str">
        <f>M!B3</f>
        <v>ENTECH 380/1:</v>
      </c>
      <c r="C3" s="720"/>
      <c r="D3" s="720"/>
      <c r="E3" s="721"/>
      <c r="F3" s="1988"/>
      <c r="G3" s="1989"/>
      <c r="H3" s="1988"/>
      <c r="I3" s="1990"/>
      <c r="J3" s="1989"/>
      <c r="K3" s="1988"/>
      <c r="L3" s="1988"/>
      <c r="M3" s="1988"/>
      <c r="N3" s="727" t="str">
        <f>Uebersetzung!D702</f>
        <v>Entrée pour les différantes zones</v>
      </c>
      <c r="O3" s="1985"/>
      <c r="P3" s="1999"/>
      <c r="Q3" s="1999"/>
    </row>
    <row r="4" spans="2:25" ht="18" customHeight="1">
      <c r="N4" s="1985"/>
      <c r="O4" s="1985"/>
      <c r="P4" s="1999"/>
      <c r="Q4" s="1999"/>
    </row>
    <row r="5" spans="2:25" ht="18" customHeight="1">
      <c r="B5" s="1350" t="str">
        <f>IF(opti,"",IF(eff,Uebersetzung!D421,Uebersetzung!D339))</f>
        <v>Pour les justifications globales selon la norme SIA 380/1</v>
      </c>
      <c r="C5" s="1991"/>
      <c r="D5" s="1991"/>
      <c r="E5" s="1991"/>
      <c r="F5" s="1991"/>
      <c r="G5" s="1991"/>
      <c r="H5" s="1991"/>
      <c r="I5" s="1991"/>
      <c r="J5" s="1991"/>
      <c r="K5" s="1991"/>
      <c r="L5" s="1991"/>
      <c r="M5" s="1991"/>
      <c r="N5" s="1985"/>
      <c r="O5" s="1985"/>
      <c r="P5" s="1999"/>
      <c r="Q5" s="1999"/>
    </row>
    <row r="6" spans="2:25" ht="18" customHeight="1">
      <c r="C6" s="1981"/>
      <c r="D6" s="1998"/>
      <c r="E6" s="1981"/>
      <c r="F6" s="1981"/>
      <c r="G6" s="1981"/>
      <c r="H6" s="1981"/>
      <c r="I6" s="1981"/>
      <c r="J6" s="1981"/>
      <c r="K6" s="1981"/>
      <c r="L6" s="1981"/>
      <c r="M6" s="1991"/>
      <c r="N6" s="1985"/>
      <c r="O6" s="1985"/>
      <c r="P6" s="1999"/>
      <c r="Q6" s="1999"/>
    </row>
    <row r="7" spans="2:25" ht="18" customHeight="1">
      <c r="B7" s="769" t="str">
        <f>Projekt!C5</f>
        <v>Projet:</v>
      </c>
      <c r="E7" s="2028">
        <f>Projekt!E5</f>
        <v>0</v>
      </c>
      <c r="F7" s="2029"/>
      <c r="G7" s="2029"/>
      <c r="H7" s="2029"/>
      <c r="I7" s="2029"/>
      <c r="J7" s="2029"/>
      <c r="K7" s="2029"/>
      <c r="L7" s="2029"/>
      <c r="M7" s="2030"/>
      <c r="N7" s="2031"/>
      <c r="O7" s="1985"/>
      <c r="P7" s="2000"/>
      <c r="Q7" s="2000"/>
    </row>
    <row r="8" spans="2:25" ht="18" customHeight="1">
      <c r="E8" s="2032" t="str">
        <f>Projekt!E7&amp;" "&amp;Projekt!J7&amp;"   "&amp;Projekt!L7&amp;" "&amp;Projekt!N7</f>
        <v xml:space="preserve">     </v>
      </c>
      <c r="F8" s="2033"/>
      <c r="G8" s="2033"/>
      <c r="H8" s="2033"/>
      <c r="I8" s="2033"/>
      <c r="J8" s="2033"/>
      <c r="K8" s="2033"/>
      <c r="L8" s="2033"/>
      <c r="M8" s="2034"/>
      <c r="N8" s="2035"/>
      <c r="O8" s="1985"/>
      <c r="P8" s="1999"/>
      <c r="Q8" s="1999"/>
    </row>
    <row r="9" spans="2:25" ht="18" customHeight="1">
      <c r="M9" s="1991"/>
      <c r="N9" s="1985"/>
      <c r="O9" s="1985"/>
      <c r="P9" s="1999"/>
      <c r="Q9" s="1999"/>
    </row>
    <row r="10" spans="2:25" ht="18" customHeight="1"/>
    <row r="11" spans="2:25" ht="18" customHeight="1">
      <c r="C11" s="2503"/>
      <c r="D11" s="2503"/>
      <c r="E11" s="2504" t="str">
        <f>Uebersetzung!D694</f>
        <v>Zone 1</v>
      </c>
      <c r="F11" s="2505"/>
      <c r="G11" s="2504" t="str">
        <f>Uebersetzung!D695</f>
        <v>Zone 2</v>
      </c>
      <c r="H11" s="2505"/>
      <c r="I11" s="2504" t="str">
        <f>Uebersetzung!D696</f>
        <v>Zone 3</v>
      </c>
      <c r="J11" s="2505"/>
      <c r="K11" s="2504" t="str">
        <f>Uebersetzung!D697</f>
        <v>Zone 4</v>
      </c>
      <c r="L11" s="2505"/>
      <c r="M11" s="2504" t="str">
        <f>Uebersetzung!D693</f>
        <v>Total</v>
      </c>
      <c r="N11" s="2505"/>
      <c r="P11" s="2504" t="s">
        <v>4037</v>
      </c>
      <c r="Q11" s="2505"/>
      <c r="R11" s="2504" t="s">
        <v>4038</v>
      </c>
      <c r="S11" s="2505"/>
      <c r="T11" s="2504" t="s">
        <v>4039</v>
      </c>
      <c r="U11" s="2505"/>
      <c r="V11" s="2504" t="s">
        <v>4040</v>
      </c>
      <c r="W11" s="2505"/>
      <c r="X11" s="2001" t="s">
        <v>4042</v>
      </c>
      <c r="Y11" s="2002" t="s">
        <v>4043</v>
      </c>
    </row>
    <row r="12" spans="2:25" ht="18" customHeight="1">
      <c r="B12" s="769" t="str">
        <f>Uebersetzung!D698</f>
        <v>Description:</v>
      </c>
      <c r="C12" s="1992"/>
      <c r="E12" s="2506"/>
      <c r="F12" s="2507"/>
      <c r="G12" s="2506"/>
      <c r="H12" s="2507"/>
      <c r="I12" s="2506"/>
      <c r="J12" s="2507"/>
      <c r="K12" s="2506"/>
      <c r="L12" s="2507"/>
      <c r="M12" s="2520">
        <f>IF(K17&gt;0,4,IF(I17&gt;0,3,IF(G17&gt;0,2,1)))</f>
        <v>1</v>
      </c>
      <c r="N12" s="2521"/>
      <c r="P12" s="2514"/>
      <c r="Q12" s="2515"/>
      <c r="R12" s="2514"/>
      <c r="S12" s="2515"/>
      <c r="T12" s="2514"/>
      <c r="U12" s="2515"/>
      <c r="V12" s="2516"/>
      <c r="W12" s="2517"/>
      <c r="X12" s="2005"/>
      <c r="Y12" s="2004"/>
    </row>
    <row r="13" spans="2:25" ht="18" customHeight="1">
      <c r="B13" s="769" t="str">
        <f>Projekt!C35</f>
        <v>Canton (justification):</v>
      </c>
      <c r="E13" s="2512">
        <f>Projekt!F35</f>
        <v>0</v>
      </c>
      <c r="F13" s="2513"/>
      <c r="G13" s="2498"/>
      <c r="H13" s="2499"/>
      <c r="I13" s="2498"/>
      <c r="J13" s="2499"/>
      <c r="K13" s="2498"/>
      <c r="L13" s="2499"/>
      <c r="M13" s="2522">
        <f>IF(AND(Zonen=4,K13&lt;&gt;E13),Uebersetzung!D94,IF(AND(Zonen&gt;2,I13&lt;&gt;E13),Uebersetzung!D94,IF(AND(Zonen&gt;1,G13&lt;&gt;E13),Uebersetzung!D94,)))</f>
        <v>0</v>
      </c>
      <c r="N13" s="2523"/>
      <c r="P13" s="2471"/>
      <c r="Q13" s="2472"/>
      <c r="R13" s="2471"/>
      <c r="S13" s="2472"/>
      <c r="T13" s="2471"/>
      <c r="U13" s="2472"/>
      <c r="V13" s="2471"/>
      <c r="W13" s="2472"/>
      <c r="X13" s="2003"/>
      <c r="Y13" s="2004"/>
    </row>
    <row r="14" spans="2:25" ht="18" customHeight="1">
      <c r="B14" s="769" t="str">
        <f>Projekt!K35</f>
        <v>Station météorologique:</v>
      </c>
      <c r="E14" s="2510">
        <f>Projekt!N35</f>
        <v>0</v>
      </c>
      <c r="F14" s="2511"/>
      <c r="G14" s="2498"/>
      <c r="H14" s="2499"/>
      <c r="I14" s="2498"/>
      <c r="J14" s="2499"/>
      <c r="K14" s="2498"/>
      <c r="L14" s="2499"/>
      <c r="M14" s="2522">
        <f>IF(AND(Zonen=4,K14&lt;&gt;E14),Uebersetzung!D94,IF(AND(Zonen&gt;2,I14&lt;&gt;E14),Uebersetzung!D94,IF(AND(Zonen&gt;1,G14&lt;&gt;E14),Uebersetzung!D94,)))</f>
        <v>0</v>
      </c>
      <c r="N14" s="2523"/>
      <c r="P14" s="2471"/>
      <c r="Q14" s="2472"/>
      <c r="R14" s="2471"/>
      <c r="S14" s="2472"/>
      <c r="T14" s="2471"/>
      <c r="U14" s="2472"/>
      <c r="V14" s="2471"/>
      <c r="W14" s="2472"/>
      <c r="X14" s="2003" t="s">
        <v>4094</v>
      </c>
      <c r="Y14" s="2003" t="s">
        <v>4095</v>
      </c>
    </row>
    <row r="15" spans="2:25" ht="18" customHeight="1">
      <c r="B15" s="769" t="str">
        <f>Uebersetzung!D692</f>
        <v>Nouvelle construction / Transformation</v>
      </c>
      <c r="E15" s="2508">
        <f>Projekt!F33</f>
        <v>0</v>
      </c>
      <c r="F15" s="2509"/>
      <c r="G15" s="2498"/>
      <c r="H15" s="2499"/>
      <c r="I15" s="2498"/>
      <c r="J15" s="2499"/>
      <c r="K15" s="2498"/>
      <c r="L15" s="2499"/>
      <c r="M15" s="2518"/>
      <c r="N15" s="2519"/>
      <c r="P15" s="2471">
        <f>IF(OR(E15="",E15=0),1,VLOOKUP(E15,Projekt!$U$25:$V$29,2,FALSE))</f>
        <v>1</v>
      </c>
      <c r="Q15" s="2472"/>
      <c r="R15" s="2471">
        <f>IF(G15="",1,VLOOKUP(G15,Projekt!$U$25:$V$29,2,FALSE))</f>
        <v>1</v>
      </c>
      <c r="S15" s="2472"/>
      <c r="T15" s="2471">
        <f>IF(I15="",1,VLOOKUP(I15,Projekt!$U$25:$V$29,2,FALSE))</f>
        <v>1</v>
      </c>
      <c r="U15" s="2472"/>
      <c r="V15" s="2471">
        <f>IF(K15="",1,VLOOKUP(K15,Projekt!$U$25:$V$29,2,FALSE))</f>
        <v>1</v>
      </c>
      <c r="W15" s="2472"/>
      <c r="X15" s="2003" t="b">
        <f>IF(OR(AND(P15&lt;4,P15&gt;1),AND(R15&lt;4,R15&gt;1),AND(T15&lt;4,T15&gt;1)*AND(V15&lt;4,V15&gt;1)),TRUE,FALSE)</f>
        <v>0</v>
      </c>
      <c r="Y15" s="2004" t="b">
        <f>IF(OR(P15&gt;3,R15&gt;3,T15&gt;3,V15&gt;3),TRUE,FALSE)</f>
        <v>0</v>
      </c>
    </row>
    <row r="16" spans="2:25" ht="18" customHeight="1">
      <c r="B16" s="769" t="str">
        <f>Projekt!K33</f>
        <v>Catégorie d'ouvrage:</v>
      </c>
      <c r="E16" s="2500">
        <f>Projekt!N33</f>
        <v>0</v>
      </c>
      <c r="F16" s="2501"/>
      <c r="G16" s="2498"/>
      <c r="H16" s="2499"/>
      <c r="I16" s="2498"/>
      <c r="J16" s="2499"/>
      <c r="K16" s="2498"/>
      <c r="L16" s="2499"/>
      <c r="M16" s="2518"/>
      <c r="N16" s="2519"/>
      <c r="P16" s="2471">
        <f>IF(E16="",1,VLOOKUP(E16,Projekt!$U$11:$V$23,2,FALSE))</f>
        <v>1</v>
      </c>
      <c r="Q16" s="2472"/>
      <c r="R16" s="2471">
        <f>IF(G16="",1,VLOOKUP(G16,Projekt!$U$11:$V$23,2,FALSE))</f>
        <v>1</v>
      </c>
      <c r="S16" s="2472"/>
      <c r="T16" s="2471">
        <f>IF(I16="",1,VLOOKUP(I16,Projekt!$U$11:$V$23,2,FALSE))</f>
        <v>1</v>
      </c>
      <c r="U16" s="2472"/>
      <c r="V16" s="2471">
        <f>IF(K16="",1,VLOOKUP(K16,Projekt!$U$11:$V$23,2,FALSE))</f>
        <v>1</v>
      </c>
      <c r="W16" s="2472"/>
      <c r="X16" s="2003"/>
      <c r="Y16" s="2004"/>
    </row>
    <row r="17" spans="2:25" ht="18" customHeight="1">
      <c r="B17" s="769" t="str">
        <f>Nachweis!B48</f>
        <v>Surface de référence énergétique:</v>
      </c>
      <c r="D17" s="1992" t="s">
        <v>243</v>
      </c>
      <c r="E17" s="2489">
        <f>Projekt!F63</f>
        <v>0</v>
      </c>
      <c r="F17" s="2472"/>
      <c r="G17" s="2496"/>
      <c r="H17" s="2497"/>
      <c r="I17" s="2496"/>
      <c r="J17" s="2497"/>
      <c r="K17" s="2496"/>
      <c r="L17" s="2497"/>
      <c r="M17" s="2489">
        <f>SUM(E17:L17)</f>
        <v>0</v>
      </c>
      <c r="N17" s="2472"/>
      <c r="O17" s="770" t="s">
        <v>4041</v>
      </c>
      <c r="P17" s="2489">
        <f>IF(_Ver09,0,IF(AND(P15&gt;1,P15&lt;4),IF(P16&lt;6,E17,0),0))</f>
        <v>0</v>
      </c>
      <c r="Q17" s="2524"/>
      <c r="R17" s="2489">
        <f>IF(_Ver09,0,IF(AND(R15&gt;1,R15&lt;4),IF(R16&lt;6,G17,0),0))</f>
        <v>0</v>
      </c>
      <c r="S17" s="2524"/>
      <c r="T17" s="2489">
        <f>IF(_Ver09,0,IF(AND(T15&gt;1,T15&lt;4),IF(T16&lt;6,I17,0),0))</f>
        <v>0</v>
      </c>
      <c r="U17" s="2524"/>
      <c r="V17" s="2489">
        <f>IF(_Ver09,0,IF(AND(V15&gt;1,V15&lt;4),IF(V16&lt;6,K17,0),0))</f>
        <v>0</v>
      </c>
      <c r="W17" s="2524"/>
      <c r="X17" s="2006">
        <f>SUM(P17:V17)</f>
        <v>0</v>
      </c>
      <c r="Y17" s="2004"/>
    </row>
    <row r="18" spans="2:25" ht="18" customHeight="1">
      <c r="B18" s="769" t="str">
        <f>Nachweis!J48</f>
        <v>Facteur d'envelope Ath/SRE</v>
      </c>
      <c r="E18" s="2473">
        <f>Nachweis!K79</f>
        <v>0</v>
      </c>
      <c r="F18" s="2474"/>
      <c r="G18" s="2475"/>
      <c r="H18" s="2476"/>
      <c r="I18" s="2475"/>
      <c r="J18" s="2476"/>
      <c r="K18" s="2475"/>
      <c r="L18" s="2476"/>
      <c r="M18" s="2473">
        <f>IF($M$17&gt;0,SUMPRODUCT($E$17:$L$17,E18:L18)/$M$17,0)</f>
        <v>0</v>
      </c>
      <c r="N18" s="2474"/>
      <c r="P18" s="2471"/>
      <c r="Q18" s="2472"/>
      <c r="R18" s="2471"/>
      <c r="S18" s="2472"/>
      <c r="T18" s="2471"/>
      <c r="U18" s="2472"/>
      <c r="V18" s="2471"/>
      <c r="W18" s="2472"/>
      <c r="X18" s="2003"/>
      <c r="Y18" s="2004"/>
    </row>
    <row r="19" spans="2:25" ht="18" customHeight="1">
      <c r="B19" s="769" t="str">
        <f>Nachweis!B53</f>
        <v>Besoins de chaleur pour le chauffage</v>
      </c>
      <c r="D19" s="689" t="str">
        <f>IF(_Ver09,"MJ/m2","kWh/m2")</f>
        <v>kWh/m2</v>
      </c>
      <c r="E19" s="2477">
        <f>Nachweis!Z59</f>
        <v>0</v>
      </c>
      <c r="F19" s="2478"/>
      <c r="G19" s="2494"/>
      <c r="H19" s="2495"/>
      <c r="I19" s="2494"/>
      <c r="J19" s="2495"/>
      <c r="K19" s="2494"/>
      <c r="L19" s="2495"/>
      <c r="M19" s="2477">
        <f>IF(M17&gt;0,SUMPRODUCT(E17:L17,E19:L19)/M17,0)</f>
        <v>0</v>
      </c>
      <c r="N19" s="2478"/>
      <c r="P19" s="2471"/>
      <c r="Q19" s="2472"/>
      <c r="R19" s="2471"/>
      <c r="S19" s="2472"/>
      <c r="T19" s="2471"/>
      <c r="U19" s="2472"/>
      <c r="V19" s="2471"/>
      <c r="W19" s="2472"/>
      <c r="X19" s="2003"/>
      <c r="Y19" s="2004"/>
    </row>
    <row r="20" spans="2:25" ht="18" customHeight="1">
      <c r="B20" s="769" t="str">
        <f>Nachweis!M53&amp;"  "&amp;Nachweis!N53</f>
        <v>Valeur-limite  QH,li</v>
      </c>
      <c r="D20" s="689" t="str">
        <f>D19</f>
        <v>kWh/m2</v>
      </c>
      <c r="E20" s="2477">
        <f>Nachweis!Z60</f>
        <v>0</v>
      </c>
      <c r="F20" s="2478"/>
      <c r="G20" s="2494"/>
      <c r="H20" s="2495"/>
      <c r="I20" s="2494"/>
      <c r="J20" s="2495"/>
      <c r="K20" s="2494"/>
      <c r="L20" s="2495"/>
      <c r="M20" s="2477">
        <f>IF(M17&gt;0,SUMPRODUCT(E17:L17,E20:L20)/M17,0)</f>
        <v>0</v>
      </c>
      <c r="N20" s="2478"/>
      <c r="P20" s="2471"/>
      <c r="Q20" s="2472"/>
      <c r="R20" s="2471"/>
      <c r="S20" s="2472"/>
      <c r="T20" s="2471"/>
      <c r="U20" s="2472"/>
      <c r="V20" s="2471"/>
      <c r="W20" s="2472"/>
      <c r="X20" s="2003"/>
      <c r="Y20" s="2008" t="b">
        <f>IF(M19&gt;0,IF(ROUND(M19,1)&lt;=ROUND(M20,1),TRUE,FALSE),FALSE)</f>
        <v>0</v>
      </c>
    </row>
    <row r="21" spans="2:25" ht="18" customHeight="1">
      <c r="B21" s="769" t="str">
        <f>Nachweis!B55&amp;" "&amp;Nachweis!F55</f>
        <v>Puissance de chauffage spécifique ph</v>
      </c>
      <c r="D21" s="1992" t="s">
        <v>4036</v>
      </c>
      <c r="E21" s="2477">
        <f>IF(EBF&gt;0,Nachweis!Z61,0)</f>
        <v>0</v>
      </c>
      <c r="F21" s="2478"/>
      <c r="G21" s="2494"/>
      <c r="H21" s="2495"/>
      <c r="I21" s="2494"/>
      <c r="J21" s="2495"/>
      <c r="K21" s="2494"/>
      <c r="L21" s="2495"/>
      <c r="M21" s="2477">
        <f>Y21</f>
        <v>0</v>
      </c>
      <c r="N21" s="2472"/>
      <c r="O21" s="2043">
        <f>X21</f>
        <v>0</v>
      </c>
      <c r="P21" s="2471"/>
      <c r="Q21" s="2472"/>
      <c r="R21" s="2471"/>
      <c r="S21" s="2472"/>
      <c r="T21" s="2471"/>
      <c r="U21" s="2472"/>
      <c r="V21" s="2471"/>
      <c r="W21" s="2472"/>
      <c r="X21" s="2007">
        <f>IF(X17&gt;0,SUMPRODUCT(P17:W17,E21:L21)/X17,0)</f>
        <v>0</v>
      </c>
      <c r="Y21" s="2007">
        <f>IF($M$17&gt;0,SUMPRODUCT($E$21:$L$21,E17:L17)/$M$17,0)</f>
        <v>0</v>
      </c>
    </row>
    <row r="22" spans="2:25" ht="18" customHeight="1">
      <c r="B22" s="769" t="str">
        <f>Nachweis!M55&amp;" "&amp;Nachweis!N55</f>
        <v>Valeur-limite ph,li</v>
      </c>
      <c r="D22" s="1992" t="s">
        <v>4036</v>
      </c>
      <c r="E22" s="2477" t="str">
        <f>Nachweis!V73</f>
        <v/>
      </c>
      <c r="F22" s="2478"/>
      <c r="G22" s="2494"/>
      <c r="H22" s="2495"/>
      <c r="I22" s="2494"/>
      <c r="J22" s="2495"/>
      <c r="K22" s="2494"/>
      <c r="L22" s="2495"/>
      <c r="M22" s="2477">
        <f>X22</f>
        <v>0</v>
      </c>
      <c r="N22" s="2478"/>
      <c r="P22" s="2471"/>
      <c r="Q22" s="2472"/>
      <c r="R22" s="2471"/>
      <c r="S22" s="2472"/>
      <c r="T22" s="2471"/>
      <c r="U22" s="2472"/>
      <c r="V22" s="2471"/>
      <c r="W22" s="2472"/>
      <c r="X22" s="2007">
        <f>IF(X17&gt;0,SUMPRODUCT(P17:W17,E22:L22)/X17,0)</f>
        <v>0</v>
      </c>
      <c r="Y22" s="2008" t="b">
        <f>IF(X17&gt;0,IF(O21&gt;0,IF(ROUND(O21,1)&lt;=ROUND(M22,1),TRUE,FALSE),FALSE),TRUE)</f>
        <v>1</v>
      </c>
    </row>
    <row r="23" spans="2:25" ht="18" customHeight="1">
      <c r="B23" s="769" t="s">
        <v>4044</v>
      </c>
      <c r="D23" s="689" t="str">
        <f>D19</f>
        <v>kWh/m2</v>
      </c>
      <c r="E23" s="2477">
        <f>Nachweis!E141</f>
        <v>0</v>
      </c>
      <c r="F23" s="2478"/>
      <c r="G23" s="2494"/>
      <c r="H23" s="2495"/>
      <c r="I23" s="2494"/>
      <c r="J23" s="2495"/>
      <c r="K23" s="2494"/>
      <c r="L23" s="2495"/>
      <c r="M23" s="2477">
        <f t="shared" ref="M23:M32" si="0">IF($M$17&gt;0,SUMPRODUCT($E$17:$L$17,E23:L23)/$M$17,0)</f>
        <v>0</v>
      </c>
      <c r="N23" s="2478"/>
      <c r="P23" s="2471"/>
      <c r="Q23" s="2472"/>
      <c r="R23" s="2471"/>
      <c r="S23" s="2472"/>
      <c r="T23" s="2471"/>
      <c r="U23" s="2472"/>
      <c r="V23" s="2471"/>
      <c r="W23" s="2472"/>
      <c r="X23" s="2003"/>
      <c r="Y23" s="2004"/>
    </row>
    <row r="24" spans="2:25" ht="18" customHeight="1">
      <c r="B24" s="769" t="s">
        <v>4078</v>
      </c>
      <c r="D24" s="1997"/>
      <c r="E24" s="2473">
        <f>Nachweis!P134</f>
        <v>0</v>
      </c>
      <c r="F24" s="2472"/>
      <c r="G24" s="2475"/>
      <c r="H24" s="2476"/>
      <c r="I24" s="2475"/>
      <c r="J24" s="2476"/>
      <c r="K24" s="2475"/>
      <c r="L24" s="2476"/>
      <c r="M24" s="2473">
        <f t="shared" si="0"/>
        <v>0</v>
      </c>
      <c r="N24" s="2474"/>
      <c r="P24" s="1995"/>
      <c r="Q24" s="1996"/>
      <c r="R24" s="1995"/>
      <c r="S24" s="1996"/>
      <c r="T24" s="1995"/>
      <c r="U24" s="1996"/>
      <c r="V24" s="1995"/>
      <c r="W24" s="1996"/>
      <c r="X24" s="2003"/>
      <c r="Y24" s="2004"/>
    </row>
    <row r="25" spans="2:25" ht="18" customHeight="1">
      <c r="B25" s="769" t="s">
        <v>4045</v>
      </c>
      <c r="D25" s="689" t="str">
        <f>D19</f>
        <v>kWh/m2</v>
      </c>
      <c r="E25" s="2477">
        <f>Nachweis!G141</f>
        <v>0</v>
      </c>
      <c r="F25" s="2478"/>
      <c r="G25" s="2494"/>
      <c r="H25" s="2495"/>
      <c r="I25" s="2494"/>
      <c r="J25" s="2495"/>
      <c r="K25" s="2494"/>
      <c r="L25" s="2495"/>
      <c r="M25" s="2477">
        <f t="shared" si="0"/>
        <v>0</v>
      </c>
      <c r="N25" s="2478"/>
      <c r="P25" s="2471"/>
      <c r="Q25" s="2472"/>
      <c r="R25" s="2471"/>
      <c r="S25" s="2472"/>
      <c r="T25" s="2471"/>
      <c r="U25" s="2472"/>
      <c r="V25" s="2471"/>
      <c r="W25" s="2472"/>
      <c r="X25" s="2003"/>
      <c r="Y25" s="2004"/>
    </row>
    <row r="26" spans="2:25" ht="18" customHeight="1">
      <c r="B26" s="769" t="s">
        <v>4046</v>
      </c>
      <c r="D26" s="689" t="str">
        <f>D19</f>
        <v>kWh/m2</v>
      </c>
      <c r="E26" s="2477">
        <f>Nachweis!I141</f>
        <v>0</v>
      </c>
      <c r="F26" s="2478"/>
      <c r="G26" s="2494"/>
      <c r="H26" s="2495"/>
      <c r="I26" s="2494"/>
      <c r="J26" s="2495"/>
      <c r="K26" s="2494"/>
      <c r="L26" s="2495"/>
      <c r="M26" s="2477">
        <f t="shared" si="0"/>
        <v>0</v>
      </c>
      <c r="N26" s="2478"/>
      <c r="P26" s="2471"/>
      <c r="Q26" s="2472"/>
      <c r="R26" s="2471"/>
      <c r="S26" s="2472"/>
      <c r="T26" s="2471"/>
      <c r="U26" s="2472"/>
      <c r="V26" s="2471"/>
      <c r="W26" s="2472"/>
      <c r="X26" s="2003"/>
      <c r="Y26" s="2004"/>
    </row>
    <row r="27" spans="2:25" ht="18" customHeight="1">
      <c r="B27" s="769" t="s">
        <v>4047</v>
      </c>
      <c r="D27" s="689" t="str">
        <f>D19</f>
        <v>kWh/m2</v>
      </c>
      <c r="E27" s="2477">
        <f>Nachweis!K141</f>
        <v>0</v>
      </c>
      <c r="F27" s="2478"/>
      <c r="G27" s="2494"/>
      <c r="H27" s="2495"/>
      <c r="I27" s="2494"/>
      <c r="J27" s="2495"/>
      <c r="K27" s="2494"/>
      <c r="L27" s="2495"/>
      <c r="M27" s="2477">
        <f t="shared" si="0"/>
        <v>0</v>
      </c>
      <c r="N27" s="2478"/>
      <c r="P27" s="2471"/>
      <c r="Q27" s="2472"/>
      <c r="R27" s="2471"/>
      <c r="S27" s="2472"/>
      <c r="T27" s="2471"/>
      <c r="U27" s="2472"/>
      <c r="V27" s="2471"/>
      <c r="W27" s="2472"/>
      <c r="X27" s="2003"/>
      <c r="Y27" s="2004"/>
    </row>
    <row r="28" spans="2:25" ht="18" customHeight="1">
      <c r="B28" s="769" t="s">
        <v>4048</v>
      </c>
      <c r="E28" s="2473">
        <f>Nachweis!M141</f>
        <v>0</v>
      </c>
      <c r="F28" s="2472"/>
      <c r="G28" s="2475"/>
      <c r="H28" s="2476"/>
      <c r="I28" s="2475"/>
      <c r="J28" s="2476"/>
      <c r="K28" s="2475"/>
      <c r="L28" s="2476"/>
      <c r="M28" s="2473">
        <f t="shared" si="0"/>
        <v>0</v>
      </c>
      <c r="N28" s="2474"/>
      <c r="P28" s="2471"/>
      <c r="Q28" s="2472"/>
      <c r="R28" s="2471"/>
      <c r="S28" s="2472"/>
      <c r="T28" s="2471"/>
      <c r="U28" s="2472"/>
      <c r="V28" s="2471"/>
      <c r="W28" s="2472"/>
      <c r="X28" s="2003"/>
      <c r="Y28" s="2004"/>
    </row>
    <row r="29" spans="2:25" ht="18" customHeight="1">
      <c r="B29" s="769" t="s">
        <v>4052</v>
      </c>
      <c r="D29" s="1992" t="s">
        <v>1159</v>
      </c>
      <c r="E29" s="2473">
        <f>Nachweis!Q151</f>
        <v>0</v>
      </c>
      <c r="F29" s="2472"/>
      <c r="G29" s="2475"/>
      <c r="H29" s="2476"/>
      <c r="I29" s="2475"/>
      <c r="J29" s="2476"/>
      <c r="K29" s="2475"/>
      <c r="L29" s="2476"/>
      <c r="M29" s="2473">
        <f t="shared" si="0"/>
        <v>0</v>
      </c>
      <c r="N29" s="2474"/>
      <c r="P29" s="1995"/>
      <c r="Q29" s="1996"/>
      <c r="R29" s="1995"/>
      <c r="S29" s="1996"/>
      <c r="T29" s="1995"/>
      <c r="U29" s="1996"/>
      <c r="V29" s="1995"/>
      <c r="W29" s="1996"/>
      <c r="X29" s="2003"/>
      <c r="Y29" s="2004"/>
    </row>
    <row r="30" spans="2:25" ht="18" customHeight="1">
      <c r="B30" s="769" t="s">
        <v>4049</v>
      </c>
      <c r="D30" s="1992" t="str">
        <f>D19</f>
        <v>kWh/m2</v>
      </c>
      <c r="E30" s="2477">
        <f>Nachweis!G151</f>
        <v>0</v>
      </c>
      <c r="F30" s="2478"/>
      <c r="G30" s="2494"/>
      <c r="H30" s="2495"/>
      <c r="I30" s="2494"/>
      <c r="J30" s="2495"/>
      <c r="K30" s="2494"/>
      <c r="L30" s="2495"/>
      <c r="M30" s="2477">
        <f t="shared" si="0"/>
        <v>0</v>
      </c>
      <c r="N30" s="2478"/>
      <c r="P30" s="2471"/>
      <c r="Q30" s="2472"/>
      <c r="R30" s="2471"/>
      <c r="S30" s="2472"/>
      <c r="T30" s="2471"/>
      <c r="U30" s="2472"/>
      <c r="V30" s="2471"/>
      <c r="W30" s="2472"/>
      <c r="X30" s="2003"/>
      <c r="Y30" s="2004"/>
    </row>
    <row r="31" spans="2:25" ht="18" customHeight="1">
      <c r="B31" s="769" t="s">
        <v>4050</v>
      </c>
      <c r="E31" s="2473">
        <f>Nachweis!M151</f>
        <v>0</v>
      </c>
      <c r="F31" s="2472"/>
      <c r="G31" s="2475"/>
      <c r="H31" s="2476"/>
      <c r="I31" s="2475"/>
      <c r="J31" s="2476"/>
      <c r="K31" s="2475"/>
      <c r="L31" s="2476"/>
      <c r="M31" s="2473">
        <f t="shared" si="0"/>
        <v>0</v>
      </c>
      <c r="N31" s="2474"/>
      <c r="P31" s="2471"/>
      <c r="Q31" s="2472"/>
      <c r="R31" s="2471"/>
      <c r="S31" s="2472"/>
      <c r="T31" s="2471"/>
      <c r="U31" s="2472"/>
      <c r="V31" s="2471"/>
      <c r="W31" s="2472"/>
      <c r="X31" s="2003"/>
      <c r="Y31" s="2004"/>
    </row>
    <row r="32" spans="2:25" ht="18" customHeight="1">
      <c r="B32" s="769" t="s">
        <v>4051</v>
      </c>
      <c r="D32" s="1992" t="str">
        <f>D19</f>
        <v>kWh/m2</v>
      </c>
      <c r="E32" s="2477">
        <f>Nachweis!O151</f>
        <v>0</v>
      </c>
      <c r="F32" s="2478"/>
      <c r="G32" s="2494"/>
      <c r="H32" s="2495"/>
      <c r="I32" s="2494"/>
      <c r="J32" s="2495"/>
      <c r="K32" s="2494"/>
      <c r="L32" s="2495"/>
      <c r="M32" s="2477">
        <f t="shared" si="0"/>
        <v>0</v>
      </c>
      <c r="N32" s="2478"/>
      <c r="P32" s="2471"/>
      <c r="Q32" s="2472"/>
      <c r="R32" s="2471"/>
      <c r="S32" s="2472"/>
      <c r="T32" s="2471"/>
      <c r="U32" s="2472"/>
      <c r="V32" s="2471"/>
      <c r="W32" s="2472"/>
      <c r="X32" s="2003"/>
      <c r="Y32" s="2004"/>
    </row>
    <row r="33" spans="2:25" ht="18" customHeight="1">
      <c r="B33" s="769" t="s">
        <v>4079</v>
      </c>
      <c r="D33" s="1997" t="s">
        <v>46</v>
      </c>
      <c r="E33" s="2489">
        <f ca="1">Nachweis!E161</f>
        <v>0</v>
      </c>
      <c r="F33" s="2472"/>
      <c r="G33" s="2496"/>
      <c r="H33" s="2497"/>
      <c r="I33" s="2496"/>
      <c r="J33" s="2497"/>
      <c r="K33" s="2496"/>
      <c r="L33" s="2497"/>
      <c r="M33" s="2489">
        <f ca="1">SUM(E33:L33)</f>
        <v>0</v>
      </c>
      <c r="N33" s="2472"/>
      <c r="P33" s="2471"/>
      <c r="Q33" s="2472"/>
      <c r="R33" s="2471"/>
      <c r="S33" s="2472"/>
      <c r="T33" s="2471"/>
      <c r="U33" s="2472"/>
      <c r="V33" s="2471"/>
      <c r="W33" s="2472"/>
      <c r="X33" s="2003"/>
      <c r="Y33" s="2004"/>
    </row>
    <row r="34" spans="2:25" ht="18" customHeight="1">
      <c r="B34" s="769" t="s">
        <v>4080</v>
      </c>
      <c r="D34" s="1997" t="s">
        <v>4036</v>
      </c>
      <c r="E34" s="2477">
        <f>Nachweis!K161</f>
        <v>0</v>
      </c>
      <c r="F34" s="2478"/>
      <c r="G34" s="2494"/>
      <c r="H34" s="2495"/>
      <c r="I34" s="2494"/>
      <c r="J34" s="2495"/>
      <c r="K34" s="2494"/>
      <c r="L34" s="2495"/>
      <c r="M34" s="2477">
        <f>IF($M$17&gt;0,SUMPRODUCT($E$17:$L$17,E34:L34)/$M$17,0)</f>
        <v>0</v>
      </c>
      <c r="N34" s="2478"/>
      <c r="P34" s="2471"/>
      <c r="Q34" s="2472"/>
      <c r="R34" s="2471"/>
      <c r="S34" s="2472"/>
      <c r="T34" s="2471"/>
      <c r="U34" s="2472"/>
      <c r="V34" s="2471"/>
      <c r="W34" s="2472"/>
      <c r="X34" s="2003"/>
      <c r="Y34" s="2004"/>
    </row>
    <row r="35" spans="2:25" ht="18" customHeight="1">
      <c r="B35" s="769" t="str">
        <f>Uebersetzung!D688</f>
        <v>Capacité thermique</v>
      </c>
      <c r="D35" s="2023" t="str">
        <f>Projekt!J48</f>
        <v>kWh/m2K</v>
      </c>
      <c r="E35" s="2473">
        <f>Nachweis!D134</f>
        <v>0.15</v>
      </c>
      <c r="F35" s="2474"/>
      <c r="G35" s="2475"/>
      <c r="H35" s="2476"/>
      <c r="I35" s="2475"/>
      <c r="J35" s="2476"/>
      <c r="K35" s="2475"/>
      <c r="L35" s="2476"/>
      <c r="M35" s="2473">
        <f>IF($M$17&gt;0,SUMPRODUCT($E$17:$L$17,E35:L35)/$M$17,0)</f>
        <v>0</v>
      </c>
      <c r="N35" s="2474"/>
      <c r="P35" s="2471"/>
      <c r="Q35" s="2472"/>
      <c r="R35" s="2471"/>
      <c r="S35" s="2472"/>
      <c r="T35" s="2471"/>
      <c r="U35" s="2472"/>
      <c r="V35" s="2471"/>
      <c r="W35" s="2472"/>
      <c r="X35" s="2003"/>
      <c r="Y35" s="2004"/>
    </row>
    <row r="36" spans="2:25" ht="18" customHeight="1">
      <c r="B36" s="769" t="str">
        <f>Uebersetzung!D689</f>
        <v xml:space="preserve">supplément pour régulation </v>
      </c>
      <c r="D36" s="1997" t="s">
        <v>4082</v>
      </c>
      <c r="E36" s="2490">
        <f>Nachweis!G134</f>
        <v>1</v>
      </c>
      <c r="F36" s="2491"/>
      <c r="G36" s="2492"/>
      <c r="H36" s="2493"/>
      <c r="I36" s="2492"/>
      <c r="J36" s="2493"/>
      <c r="K36" s="2492"/>
      <c r="L36" s="2493"/>
      <c r="M36" s="2477">
        <f>IF($M$17&gt;0,SUMPRODUCT($E$17:$L$17,E36:L36)/$M$17,0)</f>
        <v>0</v>
      </c>
      <c r="N36" s="2478"/>
      <c r="P36" s="2471"/>
      <c r="Q36" s="2472"/>
      <c r="R36" s="2471"/>
      <c r="S36" s="2472"/>
      <c r="T36" s="2471"/>
      <c r="U36" s="2472"/>
      <c r="V36" s="2471"/>
      <c r="W36" s="2472"/>
      <c r="X36" s="2003"/>
      <c r="Y36" s="2004"/>
    </row>
    <row r="37" spans="2:25" ht="18" customHeight="1">
      <c r="B37" s="769" t="str">
        <f>Uebersetzung!D690</f>
        <v>Chauffage intégré, max.</v>
      </c>
      <c r="D37" s="1997" t="s">
        <v>2324</v>
      </c>
      <c r="E37" s="2490">
        <f>Nachweis!J134</f>
        <v>50</v>
      </c>
      <c r="F37" s="2491"/>
      <c r="G37" s="2492"/>
      <c r="H37" s="2493"/>
      <c r="I37" s="2492"/>
      <c r="J37" s="2493"/>
      <c r="K37" s="2492"/>
      <c r="L37" s="2493"/>
      <c r="M37" s="2490">
        <f>MAX(E37:L37)</f>
        <v>50</v>
      </c>
      <c r="N37" s="2491"/>
      <c r="P37" s="2471"/>
      <c r="Q37" s="2472"/>
      <c r="R37" s="2471"/>
      <c r="S37" s="2472"/>
      <c r="T37" s="2471"/>
      <c r="U37" s="2472"/>
      <c r="V37" s="2471"/>
      <c r="W37" s="2472"/>
      <c r="X37" s="2003"/>
      <c r="Y37" s="2004"/>
    </row>
    <row r="38" spans="2:25" ht="18" customHeight="1">
      <c r="B38" s="769" t="str">
        <f>Uebersetzung!D691</f>
        <v>corps de chauffe devant fenêtres</v>
      </c>
      <c r="D38" s="1997" t="s">
        <v>2324</v>
      </c>
      <c r="E38" s="2490">
        <f>Nachweis!M134</f>
        <v>50</v>
      </c>
      <c r="F38" s="2491"/>
      <c r="G38" s="2492"/>
      <c r="H38" s="2493"/>
      <c r="I38" s="2492"/>
      <c r="J38" s="2493"/>
      <c r="K38" s="2492"/>
      <c r="L38" s="2493"/>
      <c r="M38" s="2477">
        <f>IF($M$17&gt;0,SUMPRODUCT($E$17:$L$17,E38:L38)/$M$17,0)</f>
        <v>0</v>
      </c>
      <c r="N38" s="2478"/>
      <c r="P38" s="2471"/>
      <c r="Q38" s="2472"/>
      <c r="R38" s="2471"/>
      <c r="S38" s="2472"/>
      <c r="T38" s="2471"/>
      <c r="U38" s="2472"/>
      <c r="V38" s="2471"/>
      <c r="W38" s="2472"/>
      <c r="X38" s="2003"/>
      <c r="Y38" s="2004"/>
    </row>
    <row r="39" spans="2:25" ht="18" customHeight="1">
      <c r="B39" s="769" t="str">
        <f>Uebersetzung!D91</f>
        <v>Ponts thermiques:</v>
      </c>
      <c r="D39" s="1997" t="s">
        <v>808</v>
      </c>
      <c r="E39" s="2481">
        <f>Nachweis!Z56</f>
        <v>0</v>
      </c>
      <c r="F39" s="2482"/>
      <c r="G39" s="2479"/>
      <c r="H39" s="2480"/>
      <c r="I39" s="2479"/>
      <c r="J39" s="2480"/>
      <c r="K39" s="2479"/>
      <c r="L39" s="2480"/>
      <c r="M39" s="2489">
        <f>SUM(E39:L39)</f>
        <v>0</v>
      </c>
      <c r="N39" s="2472"/>
      <c r="P39" s="2471"/>
      <c r="Q39" s="2472"/>
      <c r="R39" s="2471"/>
      <c r="S39" s="2472"/>
      <c r="T39" s="2471"/>
      <c r="U39" s="2472"/>
      <c r="V39" s="2471"/>
      <c r="W39" s="2472"/>
      <c r="X39" s="2003"/>
      <c r="Y39" s="2004"/>
    </row>
    <row r="40" spans="2:25" ht="39.950000000000003" customHeight="1">
      <c r="B40" s="769" t="str">
        <f>Uebersetzung!D700</f>
        <v>Régulation</v>
      </c>
      <c r="D40" s="1997"/>
      <c r="E40" s="2487" t="str">
        <f>Nachweis!Z66</f>
        <v>régulation à partir d' une pièce de référence</v>
      </c>
      <c r="F40" s="2488"/>
      <c r="G40" s="2483"/>
      <c r="H40" s="2484"/>
      <c r="I40" s="2483"/>
      <c r="J40" s="2484"/>
      <c r="K40" s="2483"/>
      <c r="L40" s="2484"/>
      <c r="M40" s="2485" t="str">
        <f>IF(X40&lt;5,E40,Uebersetzung!D701)</f>
        <v>régulation à partir d' une pièce de référence</v>
      </c>
      <c r="N40" s="2486"/>
      <c r="P40" s="2471">
        <f>IF(E40="",1,VLOOKUP(E40,Projekt!$W$41:$X$44,2,FALSE))</f>
        <v>3</v>
      </c>
      <c r="Q40" s="2472"/>
      <c r="R40" s="2471">
        <f>IF(G40="",1,VLOOKUP(G40,Projekt!$W$41:$X$44,2,FALSE))</f>
        <v>1</v>
      </c>
      <c r="S40" s="2472"/>
      <c r="T40" s="2471">
        <f>IF(I40="",1,VLOOKUP(I40,Projekt!$W$41:$X$44,2,FALSE))</f>
        <v>1</v>
      </c>
      <c r="U40" s="2472"/>
      <c r="V40" s="2471">
        <f>IF(K40="",1,VLOOKUP(K40,Projekt!$W$41:$X$44,2,FALSE))</f>
        <v>1</v>
      </c>
      <c r="W40" s="2472"/>
      <c r="X40" s="2003">
        <f>IF(Zonen=1,P40,IF(AND(Zonen=2,P40=R40),P40,IF(AND(Zonen=3,P40=R40,P40=T40),P40,IF(AND(Zonen=4,P40=R40,P40=T40,P40=V40),P40,5))))</f>
        <v>3</v>
      </c>
      <c r="Y40" s="2004"/>
    </row>
    <row r="41" spans="2:25" ht="18" customHeight="1">
      <c r="B41" s="769" t="str">
        <f>M!B36</f>
        <v>Fenêtre orientée au sud:</v>
      </c>
      <c r="D41" s="1997" t="s">
        <v>243</v>
      </c>
      <c r="E41" s="2477">
        <f>Nachweis!K86</f>
        <v>0</v>
      </c>
      <c r="F41" s="2478"/>
      <c r="G41" s="2479"/>
      <c r="H41" s="2480"/>
      <c r="I41" s="2479"/>
      <c r="J41" s="2480"/>
      <c r="K41" s="2479"/>
      <c r="L41" s="2480"/>
      <c r="M41" s="2481">
        <f>SUM(E41:L41)</f>
        <v>0</v>
      </c>
      <c r="N41" s="2482"/>
      <c r="P41" s="2471"/>
      <c r="Q41" s="2472"/>
      <c r="R41" s="2471"/>
      <c r="S41" s="2472"/>
      <c r="T41" s="2471"/>
      <c r="U41" s="2472"/>
      <c r="V41" s="2471"/>
      <c r="W41" s="2472"/>
      <c r="X41" s="2003" t="b">
        <f>IF(M41=MAX($M$41:$N$44),TRUE,FALSE)</f>
        <v>1</v>
      </c>
      <c r="Y41" s="2003">
        <f>IF(X41,1,)</f>
        <v>1</v>
      </c>
    </row>
    <row r="42" spans="2:25" ht="18" customHeight="1">
      <c r="B42" s="769" t="str">
        <f>M!B37</f>
        <v>Fenêtre orientée à l'est:</v>
      </c>
      <c r="D42" s="1997" t="s">
        <v>243</v>
      </c>
      <c r="E42" s="2477">
        <f>Nachweis!I86</f>
        <v>0</v>
      </c>
      <c r="F42" s="2478"/>
      <c r="G42" s="2479"/>
      <c r="H42" s="2480"/>
      <c r="I42" s="2479"/>
      <c r="J42" s="2480"/>
      <c r="K42" s="2479"/>
      <c r="L42" s="2480"/>
      <c r="M42" s="2481">
        <f t="shared" ref="M42:M44" si="1">SUM(E42:L42)</f>
        <v>0</v>
      </c>
      <c r="N42" s="2482"/>
      <c r="P42" s="2471"/>
      <c r="Q42" s="2472"/>
      <c r="R42" s="2471"/>
      <c r="S42" s="2472"/>
      <c r="T42" s="2471"/>
      <c r="U42" s="2472"/>
      <c r="V42" s="2471"/>
      <c r="W42" s="2472"/>
      <c r="X42" s="2003" t="b">
        <f t="shared" ref="X42:X44" si="2">IF(M42=MAX($M$41:$N$44),TRUE,FALSE)</f>
        <v>1</v>
      </c>
      <c r="Y42" s="2003">
        <f>IF(X42,2,)</f>
        <v>2</v>
      </c>
    </row>
    <row r="43" spans="2:25" ht="18" customHeight="1">
      <c r="B43" s="769" t="str">
        <f>M!B38</f>
        <v>Fenêtre orientée à l'ouest:</v>
      </c>
      <c r="D43" s="1997" t="s">
        <v>243</v>
      </c>
      <c r="E43" s="2477">
        <f>Nachweis!M86</f>
        <v>0</v>
      </c>
      <c r="F43" s="2478"/>
      <c r="G43" s="2479"/>
      <c r="H43" s="2480"/>
      <c r="I43" s="2479"/>
      <c r="J43" s="2480"/>
      <c r="K43" s="2479"/>
      <c r="L43" s="2480"/>
      <c r="M43" s="2481">
        <f t="shared" si="1"/>
        <v>0</v>
      </c>
      <c r="N43" s="2482"/>
      <c r="P43" s="2471"/>
      <c r="Q43" s="2472"/>
      <c r="R43" s="2471"/>
      <c r="S43" s="2472"/>
      <c r="T43" s="2471"/>
      <c r="U43" s="2472"/>
      <c r="V43" s="2471"/>
      <c r="W43" s="2472"/>
      <c r="X43" s="2003" t="b">
        <f t="shared" si="2"/>
        <v>1</v>
      </c>
      <c r="Y43" s="2003">
        <f>IF(X43,3,)</f>
        <v>3</v>
      </c>
    </row>
    <row r="44" spans="2:25" ht="18" customHeight="1">
      <c r="B44" s="769" t="str">
        <f>M!B39</f>
        <v>Fenêtre orientée au nord:</v>
      </c>
      <c r="D44" s="1997" t="s">
        <v>243</v>
      </c>
      <c r="E44" s="2477">
        <f>Nachweis!G86</f>
        <v>0</v>
      </c>
      <c r="F44" s="2478"/>
      <c r="G44" s="2479"/>
      <c r="H44" s="2480"/>
      <c r="I44" s="2479"/>
      <c r="J44" s="2480"/>
      <c r="K44" s="2479"/>
      <c r="L44" s="2480"/>
      <c r="M44" s="2481">
        <f t="shared" si="1"/>
        <v>0</v>
      </c>
      <c r="N44" s="2482"/>
      <c r="P44" s="2471"/>
      <c r="Q44" s="2472"/>
      <c r="R44" s="2471"/>
      <c r="S44" s="2472"/>
      <c r="T44" s="2471"/>
      <c r="U44" s="2472"/>
      <c r="V44" s="2471"/>
      <c r="W44" s="2472"/>
      <c r="X44" s="2003" t="b">
        <f t="shared" si="2"/>
        <v>1</v>
      </c>
      <c r="Y44" s="2003">
        <f>IF(X44,4,)</f>
        <v>4</v>
      </c>
    </row>
    <row r="45" spans="2:25" ht="18" customHeight="1">
      <c r="B45" s="769" t="str">
        <f>"FS  "&amp;Bau!V29</f>
        <v>FS  Sud</v>
      </c>
      <c r="D45" s="1997"/>
      <c r="E45" s="2473">
        <f>Nachweis!K96</f>
        <v>0</v>
      </c>
      <c r="F45" s="2474"/>
      <c r="G45" s="2475"/>
      <c r="H45" s="2476"/>
      <c r="I45" s="2475"/>
      <c r="J45" s="2476"/>
      <c r="K45" s="2475"/>
      <c r="L45" s="2476"/>
      <c r="M45" s="2473">
        <f t="shared" ref="M45:M48" si="3">IF($M$17&gt;0,SUMPRODUCT($E$17:$L$17,E45:L45)/$M$17,0)</f>
        <v>0</v>
      </c>
      <c r="N45" s="2474"/>
      <c r="P45" s="2471"/>
      <c r="Q45" s="2472"/>
      <c r="R45" s="2471"/>
      <c r="S45" s="2472"/>
      <c r="T45" s="2471"/>
      <c r="U45" s="2472"/>
      <c r="V45" s="2471"/>
      <c r="W45" s="2472"/>
      <c r="X45" s="2027">
        <f>IF(X41,M45,0)</f>
        <v>0</v>
      </c>
      <c r="Y45" s="2004"/>
    </row>
    <row r="46" spans="2:25" ht="18" customHeight="1">
      <c r="B46" s="769" t="str">
        <f>"FS  "&amp;Bau!V10</f>
        <v>FS  Est</v>
      </c>
      <c r="D46" s="1997"/>
      <c r="E46" s="2473">
        <f>Nachweis!I96</f>
        <v>0</v>
      </c>
      <c r="F46" s="2474"/>
      <c r="G46" s="2475"/>
      <c r="H46" s="2476"/>
      <c r="I46" s="2475"/>
      <c r="J46" s="2476"/>
      <c r="K46" s="2475"/>
      <c r="L46" s="2476"/>
      <c r="M46" s="2473">
        <f t="shared" si="3"/>
        <v>0</v>
      </c>
      <c r="N46" s="2474"/>
      <c r="P46" s="2471"/>
      <c r="Q46" s="2472"/>
      <c r="R46" s="2471"/>
      <c r="S46" s="2472"/>
      <c r="T46" s="2471"/>
      <c r="U46" s="2472"/>
      <c r="V46" s="2471"/>
      <c r="W46" s="2472"/>
      <c r="X46" s="2027">
        <f t="shared" ref="X46:X48" si="4">IF(X42,M46,0)</f>
        <v>0</v>
      </c>
      <c r="Y46" s="2004"/>
    </row>
    <row r="47" spans="2:25" ht="18" customHeight="1">
      <c r="B47" s="769" t="str">
        <f>"FS  "&amp;Bau!I29</f>
        <v>FS  Ouest</v>
      </c>
      <c r="D47" s="1997"/>
      <c r="E47" s="2473">
        <f>Nachweis!M96</f>
        <v>0</v>
      </c>
      <c r="F47" s="2474"/>
      <c r="G47" s="2475"/>
      <c r="H47" s="2476"/>
      <c r="I47" s="2475"/>
      <c r="J47" s="2476"/>
      <c r="K47" s="2475"/>
      <c r="L47" s="2476"/>
      <c r="M47" s="2473">
        <f t="shared" si="3"/>
        <v>0</v>
      </c>
      <c r="N47" s="2474"/>
      <c r="P47" s="2471"/>
      <c r="Q47" s="2472"/>
      <c r="R47" s="2471"/>
      <c r="S47" s="2472"/>
      <c r="T47" s="2471"/>
      <c r="U47" s="2472"/>
      <c r="V47" s="2471"/>
      <c r="W47" s="2472"/>
      <c r="X47" s="2027">
        <f t="shared" si="4"/>
        <v>0</v>
      </c>
      <c r="Y47" s="2004"/>
    </row>
    <row r="48" spans="2:25" ht="18" customHeight="1">
      <c r="B48" s="769" t="str">
        <f>"FS  "&amp;Bau!I10</f>
        <v>FS  Nord</v>
      </c>
      <c r="D48" s="1997"/>
      <c r="E48" s="2467">
        <f>Nachweis!E96</f>
        <v>0</v>
      </c>
      <c r="F48" s="2468"/>
      <c r="G48" s="2469"/>
      <c r="H48" s="2470"/>
      <c r="I48" s="2469"/>
      <c r="J48" s="2470"/>
      <c r="K48" s="2469"/>
      <c r="L48" s="2470"/>
      <c r="M48" s="2467">
        <f t="shared" si="3"/>
        <v>0</v>
      </c>
      <c r="N48" s="2468"/>
      <c r="P48" s="2471"/>
      <c r="Q48" s="2472"/>
      <c r="R48" s="2471"/>
      <c r="S48" s="2472"/>
      <c r="T48" s="2471"/>
      <c r="U48" s="2472"/>
      <c r="V48" s="2471"/>
      <c r="W48" s="2472"/>
      <c r="X48" s="2027">
        <f t="shared" si="4"/>
        <v>0</v>
      </c>
      <c r="Y48" s="2027">
        <f>MAX(X45:X48)</f>
        <v>0</v>
      </c>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sheetData>
  <sheetProtection password="C9AE" sheet="1" objects="1" scenarios="1"/>
  <mergeCells count="336">
    <mergeCell ref="T33:U33"/>
    <mergeCell ref="V33:W33"/>
    <mergeCell ref="P34:Q34"/>
    <mergeCell ref="R34:S34"/>
    <mergeCell ref="T34:U34"/>
    <mergeCell ref="V34:W34"/>
    <mergeCell ref="T31:U31"/>
    <mergeCell ref="V31:W31"/>
    <mergeCell ref="P32:Q32"/>
    <mergeCell ref="R32:S32"/>
    <mergeCell ref="T32:U32"/>
    <mergeCell ref="V32:W32"/>
    <mergeCell ref="R30:S30"/>
    <mergeCell ref="T30:U30"/>
    <mergeCell ref="V30:W30"/>
    <mergeCell ref="T28:U28"/>
    <mergeCell ref="V28:W28"/>
    <mergeCell ref="P26:Q26"/>
    <mergeCell ref="R26:S26"/>
    <mergeCell ref="T26:U26"/>
    <mergeCell ref="V26:W26"/>
    <mergeCell ref="P27:Q27"/>
    <mergeCell ref="R27:S27"/>
    <mergeCell ref="T27:U27"/>
    <mergeCell ref="V27:W27"/>
    <mergeCell ref="T23:U23"/>
    <mergeCell ref="V23:W23"/>
    <mergeCell ref="P25:Q25"/>
    <mergeCell ref="R25:S25"/>
    <mergeCell ref="T25:U25"/>
    <mergeCell ref="V25:W25"/>
    <mergeCell ref="P21:Q21"/>
    <mergeCell ref="R21:S21"/>
    <mergeCell ref="T21:U21"/>
    <mergeCell ref="V21:W21"/>
    <mergeCell ref="P22:Q22"/>
    <mergeCell ref="R22:S22"/>
    <mergeCell ref="T22:U22"/>
    <mergeCell ref="V22:W22"/>
    <mergeCell ref="T19:U19"/>
    <mergeCell ref="V19:W19"/>
    <mergeCell ref="P20:Q20"/>
    <mergeCell ref="R20:S20"/>
    <mergeCell ref="T20:U20"/>
    <mergeCell ref="V20:W20"/>
    <mergeCell ref="P17:Q17"/>
    <mergeCell ref="R17:S17"/>
    <mergeCell ref="T17:U17"/>
    <mergeCell ref="V17:W17"/>
    <mergeCell ref="P18:Q18"/>
    <mergeCell ref="R18:S18"/>
    <mergeCell ref="T18:U18"/>
    <mergeCell ref="V18:W18"/>
    <mergeCell ref="T15:U15"/>
    <mergeCell ref="V15:W15"/>
    <mergeCell ref="P16:Q16"/>
    <mergeCell ref="R16:S16"/>
    <mergeCell ref="T16:U16"/>
    <mergeCell ref="V16:W16"/>
    <mergeCell ref="P13:Q13"/>
    <mergeCell ref="R13:S13"/>
    <mergeCell ref="T13:U13"/>
    <mergeCell ref="V13:W13"/>
    <mergeCell ref="P14:Q14"/>
    <mergeCell ref="R14:S14"/>
    <mergeCell ref="T14:U14"/>
    <mergeCell ref="V14:W14"/>
    <mergeCell ref="T11:U11"/>
    <mergeCell ref="V11:W11"/>
    <mergeCell ref="P12:Q12"/>
    <mergeCell ref="R12:S12"/>
    <mergeCell ref="T12:U12"/>
    <mergeCell ref="V12:W12"/>
    <mergeCell ref="M31:N31"/>
    <mergeCell ref="M21:N21"/>
    <mergeCell ref="M22:N22"/>
    <mergeCell ref="M23:N23"/>
    <mergeCell ref="M25:N25"/>
    <mergeCell ref="M26:N26"/>
    <mergeCell ref="M16:N16"/>
    <mergeCell ref="M17:N17"/>
    <mergeCell ref="M18:N18"/>
    <mergeCell ref="M19:N19"/>
    <mergeCell ref="M20:N20"/>
    <mergeCell ref="M11:N11"/>
    <mergeCell ref="M12:N12"/>
    <mergeCell ref="M13:N13"/>
    <mergeCell ref="M14:N14"/>
    <mergeCell ref="M15:N15"/>
    <mergeCell ref="P15:Q15"/>
    <mergeCell ref="R15:S15"/>
    <mergeCell ref="M32:N32"/>
    <mergeCell ref="M29:N29"/>
    <mergeCell ref="M34:N34"/>
    <mergeCell ref="M35:N35"/>
    <mergeCell ref="M27:N27"/>
    <mergeCell ref="M28:N28"/>
    <mergeCell ref="M30:N30"/>
    <mergeCell ref="P11:Q11"/>
    <mergeCell ref="R11:S11"/>
    <mergeCell ref="P19:Q19"/>
    <mergeCell ref="R19:S19"/>
    <mergeCell ref="P23:Q23"/>
    <mergeCell ref="R23:S23"/>
    <mergeCell ref="P28:Q28"/>
    <mergeCell ref="R28:S28"/>
    <mergeCell ref="P31:Q31"/>
    <mergeCell ref="R31:S31"/>
    <mergeCell ref="P35:Q35"/>
    <mergeCell ref="R35:S35"/>
    <mergeCell ref="M24:N24"/>
    <mergeCell ref="M33:N33"/>
    <mergeCell ref="P33:Q33"/>
    <mergeCell ref="R33:S33"/>
    <mergeCell ref="P30:Q30"/>
    <mergeCell ref="C2:E2"/>
    <mergeCell ref="C11:D11"/>
    <mergeCell ref="E11:F11"/>
    <mergeCell ref="E12:F12"/>
    <mergeCell ref="G12:H12"/>
    <mergeCell ref="G11:H11"/>
    <mergeCell ref="I11:J11"/>
    <mergeCell ref="K11:L11"/>
    <mergeCell ref="E15:F15"/>
    <mergeCell ref="E14:F14"/>
    <mergeCell ref="E13:F13"/>
    <mergeCell ref="I12:J12"/>
    <mergeCell ref="K12:L12"/>
    <mergeCell ref="G15:H15"/>
    <mergeCell ref="K13:L13"/>
    <mergeCell ref="K14:L14"/>
    <mergeCell ref="K15:L15"/>
    <mergeCell ref="I13:J13"/>
    <mergeCell ref="I14:J14"/>
    <mergeCell ref="I15:J15"/>
    <mergeCell ref="G13:H13"/>
    <mergeCell ref="G14:H14"/>
    <mergeCell ref="E16:F16"/>
    <mergeCell ref="E17:F17"/>
    <mergeCell ref="E18:F18"/>
    <mergeCell ref="E19:F19"/>
    <mergeCell ref="E20:F20"/>
    <mergeCell ref="E21:F21"/>
    <mergeCell ref="E22:F22"/>
    <mergeCell ref="E23:F23"/>
    <mergeCell ref="E25:F25"/>
    <mergeCell ref="E32:F32"/>
    <mergeCell ref="E29:F29"/>
    <mergeCell ref="G32:H32"/>
    <mergeCell ref="G21:H21"/>
    <mergeCell ref="G22:H22"/>
    <mergeCell ref="G23:H23"/>
    <mergeCell ref="G25:H25"/>
    <mergeCell ref="G26:H26"/>
    <mergeCell ref="G27:H27"/>
    <mergeCell ref="E28:F28"/>
    <mergeCell ref="E26:F26"/>
    <mergeCell ref="E27:F27"/>
    <mergeCell ref="K31:L31"/>
    <mergeCell ref="I16:J16"/>
    <mergeCell ref="I17:J17"/>
    <mergeCell ref="I18:J18"/>
    <mergeCell ref="I19:J19"/>
    <mergeCell ref="G28:H28"/>
    <mergeCell ref="G30:H30"/>
    <mergeCell ref="I20:J20"/>
    <mergeCell ref="I21:J21"/>
    <mergeCell ref="I22:J22"/>
    <mergeCell ref="I23:J23"/>
    <mergeCell ref="I25:J25"/>
    <mergeCell ref="I29:J29"/>
    <mergeCell ref="G16:H16"/>
    <mergeCell ref="G17:H17"/>
    <mergeCell ref="G18:H18"/>
    <mergeCell ref="G19:H19"/>
    <mergeCell ref="G20:H20"/>
    <mergeCell ref="K16:L16"/>
    <mergeCell ref="K17:L17"/>
    <mergeCell ref="K18:L18"/>
    <mergeCell ref="I27:J27"/>
    <mergeCell ref="I28:J28"/>
    <mergeCell ref="I30:J30"/>
    <mergeCell ref="K30:L30"/>
    <mergeCell ref="K19:L19"/>
    <mergeCell ref="K20:L20"/>
    <mergeCell ref="K21:L21"/>
    <mergeCell ref="K22:L22"/>
    <mergeCell ref="K23:L23"/>
    <mergeCell ref="K25:L25"/>
    <mergeCell ref="K26:L26"/>
    <mergeCell ref="K27:L27"/>
    <mergeCell ref="K28:L28"/>
    <mergeCell ref="I26:J26"/>
    <mergeCell ref="K32:L32"/>
    <mergeCell ref="K29:L29"/>
    <mergeCell ref="K34:L34"/>
    <mergeCell ref="K35:L35"/>
    <mergeCell ref="E24:F24"/>
    <mergeCell ref="G24:H24"/>
    <mergeCell ref="I24:J24"/>
    <mergeCell ref="K24:L24"/>
    <mergeCell ref="I35:J35"/>
    <mergeCell ref="I31:J31"/>
    <mergeCell ref="G29:H29"/>
    <mergeCell ref="G34:H34"/>
    <mergeCell ref="E33:F33"/>
    <mergeCell ref="G33:H33"/>
    <mergeCell ref="I33:J33"/>
    <mergeCell ref="K33:L33"/>
    <mergeCell ref="G31:H31"/>
    <mergeCell ref="I32:J32"/>
    <mergeCell ref="I34:J34"/>
    <mergeCell ref="E34:F34"/>
    <mergeCell ref="E35:F35"/>
    <mergeCell ref="E30:F30"/>
    <mergeCell ref="E31:F31"/>
    <mergeCell ref="G35:H35"/>
    <mergeCell ref="P36:Q36"/>
    <mergeCell ref="R36:S36"/>
    <mergeCell ref="T36:U36"/>
    <mergeCell ref="V36:W36"/>
    <mergeCell ref="E37:F37"/>
    <mergeCell ref="G37:H37"/>
    <mergeCell ref="I37:J37"/>
    <mergeCell ref="K37:L37"/>
    <mergeCell ref="M37:N37"/>
    <mergeCell ref="P37:Q37"/>
    <mergeCell ref="R37:S37"/>
    <mergeCell ref="T37:U37"/>
    <mergeCell ref="V37:W37"/>
    <mergeCell ref="E36:F36"/>
    <mergeCell ref="G36:H36"/>
    <mergeCell ref="I36:J36"/>
    <mergeCell ref="K36:L36"/>
    <mergeCell ref="M36:N36"/>
    <mergeCell ref="T35:U35"/>
    <mergeCell ref="V35:W35"/>
    <mergeCell ref="E38:F38"/>
    <mergeCell ref="G38:H38"/>
    <mergeCell ref="I38:J38"/>
    <mergeCell ref="K38:L38"/>
    <mergeCell ref="M38:N38"/>
    <mergeCell ref="P38:Q38"/>
    <mergeCell ref="R38:S38"/>
    <mergeCell ref="T38:U38"/>
    <mergeCell ref="V38:W38"/>
    <mergeCell ref="E39:F39"/>
    <mergeCell ref="G39:H39"/>
    <mergeCell ref="I39:J39"/>
    <mergeCell ref="K39:L39"/>
    <mergeCell ref="M39:N39"/>
    <mergeCell ref="P39:Q39"/>
    <mergeCell ref="R39:S39"/>
    <mergeCell ref="T39:U39"/>
    <mergeCell ref="V39:W39"/>
    <mergeCell ref="G40:H40"/>
    <mergeCell ref="I40:J40"/>
    <mergeCell ref="K40:L40"/>
    <mergeCell ref="M40:N40"/>
    <mergeCell ref="P40:Q40"/>
    <mergeCell ref="R40:S40"/>
    <mergeCell ref="T40:U40"/>
    <mergeCell ref="V40:W40"/>
    <mergeCell ref="E40:F40"/>
    <mergeCell ref="E41:F41"/>
    <mergeCell ref="G41:H41"/>
    <mergeCell ref="I41:J41"/>
    <mergeCell ref="K41:L41"/>
    <mergeCell ref="M41:N41"/>
    <mergeCell ref="P41:Q41"/>
    <mergeCell ref="R41:S41"/>
    <mergeCell ref="T41:U41"/>
    <mergeCell ref="V41:W41"/>
    <mergeCell ref="E42:F42"/>
    <mergeCell ref="G42:H42"/>
    <mergeCell ref="I42:J42"/>
    <mergeCell ref="K42:L42"/>
    <mergeCell ref="M42:N42"/>
    <mergeCell ref="P42:Q42"/>
    <mergeCell ref="R42:S42"/>
    <mergeCell ref="T42:U42"/>
    <mergeCell ref="V42:W42"/>
    <mergeCell ref="E43:F43"/>
    <mergeCell ref="G43:H43"/>
    <mergeCell ref="I43:J43"/>
    <mergeCell ref="K43:L43"/>
    <mergeCell ref="M43:N43"/>
    <mergeCell ref="P43:Q43"/>
    <mergeCell ref="R43:S43"/>
    <mergeCell ref="T43:U43"/>
    <mergeCell ref="V43:W43"/>
    <mergeCell ref="E44:F44"/>
    <mergeCell ref="G44:H44"/>
    <mergeCell ref="I44:J44"/>
    <mergeCell ref="K44:L44"/>
    <mergeCell ref="M44:N44"/>
    <mergeCell ref="P44:Q44"/>
    <mergeCell ref="R44:S44"/>
    <mergeCell ref="T44:U44"/>
    <mergeCell ref="V44:W44"/>
    <mergeCell ref="E45:F45"/>
    <mergeCell ref="G45:H45"/>
    <mergeCell ref="I45:J45"/>
    <mergeCell ref="K45:L45"/>
    <mergeCell ref="M45:N45"/>
    <mergeCell ref="P45:Q45"/>
    <mergeCell ref="R45:S45"/>
    <mergeCell ref="T45:U45"/>
    <mergeCell ref="V45:W45"/>
    <mergeCell ref="E46:F46"/>
    <mergeCell ref="G46:H46"/>
    <mergeCell ref="I46:J46"/>
    <mergeCell ref="K46:L46"/>
    <mergeCell ref="M46:N46"/>
    <mergeCell ref="P46:Q46"/>
    <mergeCell ref="R46:S46"/>
    <mergeCell ref="T46:U46"/>
    <mergeCell ref="V46:W46"/>
    <mergeCell ref="E47:F47"/>
    <mergeCell ref="G47:H47"/>
    <mergeCell ref="I47:J47"/>
    <mergeCell ref="K47:L47"/>
    <mergeCell ref="M47:N47"/>
    <mergeCell ref="P47:Q47"/>
    <mergeCell ref="R47:S47"/>
    <mergeCell ref="T47:U47"/>
    <mergeCell ref="V47:W47"/>
    <mergeCell ref="E48:F48"/>
    <mergeCell ref="G48:H48"/>
    <mergeCell ref="I48:J48"/>
    <mergeCell ref="K48:L48"/>
    <mergeCell ref="M48:N48"/>
    <mergeCell ref="P48:Q48"/>
    <mergeCell ref="R48:S48"/>
    <mergeCell ref="T48:U48"/>
    <mergeCell ref="V48:W48"/>
  </mergeCells>
  <conditionalFormatting sqref="G12:L48">
    <cfRule type="cellIs" dxfId="55" priority="28" stopIfTrue="1" operator="notEqual">
      <formula>""</formula>
    </cfRule>
  </conditionalFormatting>
  <conditionalFormatting sqref="E12">
    <cfRule type="cellIs" dxfId="54" priority="26" stopIfTrue="1" operator="notEqual">
      <formula>""</formula>
    </cfRule>
  </conditionalFormatting>
  <conditionalFormatting sqref="M22:N22 O21">
    <cfRule type="expression" dxfId="53" priority="20">
      <formula>$Y$22=FALSE</formula>
    </cfRule>
  </conditionalFormatting>
  <conditionalFormatting sqref="M19:N20">
    <cfRule type="expression" dxfId="52" priority="19">
      <formula>$Y$20=FALSE</formula>
    </cfRule>
  </conditionalFormatting>
  <conditionalFormatting sqref="M41:N44">
    <cfRule type="cellIs" dxfId="51" priority="10" stopIfTrue="1" operator="notEqual">
      <formula>""</formula>
    </cfRule>
  </conditionalFormatting>
  <conditionalFormatting sqref="M45:N48">
    <cfRule type="cellIs" dxfId="50" priority="1" stopIfTrue="1" operator="notEqual">
      <formula>""</formula>
    </cfRule>
  </conditionalFormatting>
  <pageMargins left="0.47244094488188981" right="0.47244094488188981" top="0.78740157480314965" bottom="0.78740157480314965" header="0.31496062992125984" footer="0.31496062992125984"/>
  <pageSetup paperSize="9" scale="80" orientation="portrait" r:id="rId1"/>
  <headerFooter>
    <oddFooter>&amp;L&amp;"Arial,Kursiv"&amp;8Huber Energietechnik AG, Zürich&amp;C&amp;8Seite &amp;P&amp;R&amp;8ENTECH 380/1, Version 6.0</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Projekt!$U$11:$U$23</xm:f>
          </x14:formula1>
          <xm:sqref>G16:L16</xm:sqref>
        </x14:dataValidation>
        <x14:dataValidation type="list" allowBlank="1" showInputMessage="1" showErrorMessage="1">
          <x14:formula1>
            <xm:f>Projekt!$U$25:$U$28</xm:f>
          </x14:formula1>
          <xm:sqref>G15:L15</xm:sqref>
        </x14:dataValidation>
        <x14:dataValidation type="list" allowBlank="1" showInputMessage="1" showErrorMessage="1">
          <x14:formula1>
            <xm:f>Projekt!$W$41:$W$44</xm:f>
          </x14:formula1>
          <xm:sqref>G40:L40</xm:sqref>
        </x14:dataValidation>
        <x14:dataValidation type="list" allowBlank="1" showInputMessage="1" showErrorMessage="1">
          <x14:formula1>
            <xm:f>Projekt!$W$11:$W$39</xm:f>
          </x14:formula1>
          <xm:sqref>G13:L13</xm:sqref>
        </x14:dataValidation>
        <x14:dataValidation type="list" allowBlank="1" showInputMessage="1" showErrorMessage="1">
          <x14:formula1>
            <xm:f>Projekt!$BA$32:$BA$140</xm:f>
          </x14:formula1>
          <xm:sqref>G14:L14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BF99"/>
  <sheetViews>
    <sheetView zoomScale="80" zoomScaleNormal="80" workbookViewId="0"/>
  </sheetViews>
  <sheetFormatPr baseColWidth="10" defaultColWidth="11.5703125" defaultRowHeight="12.75"/>
  <cols>
    <col min="1" max="1" width="3" style="707" customWidth="1"/>
    <col min="2" max="2" width="30.7109375"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Projekt!B1&amp;" "&amp;Bau!J2</f>
        <v xml:space="preserve">Programme Entech 380/1, Ver. 6.1, BFE/EnFK-Zert.-Nr. 1639, SIA 380/1 (Edition 2016) pour </v>
      </c>
      <c r="J1" s="712"/>
      <c r="O1" s="707"/>
      <c r="P1" s="710" t="str">
        <f>"Qh="&amp;ROUND(Qhtot,1)&amp;IF(_Ver09," MJ/m2"," kWh/m2")</f>
        <v>Qh=0 kWh/m2</v>
      </c>
      <c r="S1" s="1715"/>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08"/>
      <c r="AW1" s="1708"/>
      <c r="AX1" s="1708"/>
      <c r="AY1" s="1708"/>
      <c r="AZ1" s="1708"/>
      <c r="BA1" s="1708"/>
      <c r="BB1" s="1708"/>
      <c r="BC1" s="1708"/>
      <c r="BD1" s="1708"/>
      <c r="BE1" s="1708"/>
      <c r="BF1" s="1708"/>
    </row>
    <row r="2" spans="2:58">
      <c r="B2" s="712" t="str">
        <f>Fenster!D2</f>
        <v>imprimé le:</v>
      </c>
      <c r="C2" s="2502">
        <f ca="1">NOW()</f>
        <v>43566.628989236109</v>
      </c>
      <c r="D2" s="2502"/>
      <c r="E2" s="2502"/>
      <c r="F2" s="1417" t="str">
        <f>IF(Projekt!E5&gt;0,Projekt!E5,"")</f>
        <v/>
      </c>
      <c r="G2" s="713"/>
      <c r="H2" s="712"/>
      <c r="I2" s="712"/>
      <c r="J2" s="712"/>
      <c r="K2" s="712"/>
      <c r="L2" s="712"/>
      <c r="N2" s="715"/>
      <c r="O2" s="716"/>
      <c r="P2" s="717" t="str">
        <f>Uebersetzung!D687</f>
        <v>page 10 de 10</v>
      </c>
      <c r="Q2" s="718"/>
      <c r="R2" s="1917"/>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row>
    <row r="3" spans="2:58" ht="33.6" customHeight="1" thickBot="1">
      <c r="B3" s="719" t="s">
        <v>2319</v>
      </c>
      <c r="C3" s="720"/>
      <c r="D3" s="721"/>
      <c r="E3" s="721"/>
      <c r="F3" s="722"/>
      <c r="G3" s="723"/>
      <c r="H3" s="722"/>
      <c r="I3" s="724"/>
      <c r="J3" s="723"/>
      <c r="K3" s="725"/>
      <c r="L3" s="722"/>
      <c r="M3" s="722"/>
      <c r="N3" s="722"/>
      <c r="O3" s="726"/>
      <c r="P3" s="727" t="str">
        <f>Uebersetzung!D335</f>
        <v>Calcul des besoins de chaleur pour le chauffage dans bâtiments, SIA 380/1</v>
      </c>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row>
    <row r="4" spans="2:58" ht="18" customHeight="1">
      <c r="O4" s="707"/>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8"/>
      <c r="BF4" s="1708"/>
    </row>
    <row r="5" spans="2:58" ht="18" customHeight="1">
      <c r="B5" s="2526" t="s">
        <v>3188</v>
      </c>
      <c r="C5" s="2526"/>
      <c r="D5" s="2526"/>
      <c r="E5" s="2526"/>
      <c r="F5" s="2526"/>
      <c r="G5" s="2526"/>
      <c r="H5" s="2526"/>
      <c r="I5" s="2526"/>
      <c r="J5" s="2526"/>
      <c r="K5" s="2526"/>
      <c r="L5" s="2526"/>
      <c r="M5" s="2526"/>
      <c r="N5" s="2526"/>
      <c r="O5" s="2526"/>
      <c r="P5" s="2526"/>
      <c r="R5" s="1953">
        <f>IF(B5="",1,VLOOKUP(B5,S5:T7,2,FALSE))</f>
        <v>1</v>
      </c>
      <c r="S5" s="1954" t="str">
        <f>Uebersetzung!D337</f>
        <v>Débit d'air neuf V/EBF0 selon la norme SIA 380/1</v>
      </c>
      <c r="T5" s="1955">
        <v>1</v>
      </c>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c r="AT5" s="1708"/>
      <c r="AU5" s="1708"/>
      <c r="AV5" s="1708"/>
      <c r="AW5" s="1708"/>
      <c r="AX5" s="1708"/>
      <c r="AY5" s="1708"/>
      <c r="AZ5" s="1708"/>
      <c r="BA5" s="1708"/>
      <c r="BB5" s="1708"/>
      <c r="BC5" s="1708"/>
      <c r="BD5" s="1708"/>
      <c r="BE5" s="1708"/>
      <c r="BF5" s="1708"/>
    </row>
    <row r="6" spans="2:58" ht="18" customHeight="1">
      <c r="B6" s="1350" t="str">
        <f>IF(opti,"",IF(eff,Uebersetzung!D421,Uebersetzung!D339))</f>
        <v>Pour les justifications globales selon la norme SIA 380/1</v>
      </c>
      <c r="C6" s="1952"/>
      <c r="D6" s="1952"/>
      <c r="E6" s="1952"/>
      <c r="F6" s="1952"/>
      <c r="G6" s="1952"/>
      <c r="H6" s="1952"/>
      <c r="I6" s="1952"/>
      <c r="J6" s="1952"/>
      <c r="K6" s="1952"/>
      <c r="L6" s="1952"/>
      <c r="M6" s="1952"/>
      <c r="N6" s="2527"/>
      <c r="O6" s="2527"/>
      <c r="P6" s="1952"/>
      <c r="R6" s="1953" t="b">
        <f>IF(R5=2,TRUE,FALSE)</f>
        <v>0</v>
      </c>
      <c r="S6" s="1954" t="str">
        <f>Uebersetzung!D419</f>
        <v>Avec facteur de réduction des apports de chaleur des installations électriques selon MINERGIE et avec aération mécanique</v>
      </c>
      <c r="T6" s="1955">
        <v>2</v>
      </c>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row>
    <row r="7" spans="2:58" ht="18" customHeight="1">
      <c r="O7" s="707"/>
      <c r="R7" s="1957" t="b">
        <f>IF(AND(R5=3,OR(Funktion=3,Funktion=4)),TRUE,FALSE)</f>
        <v>0</v>
      </c>
      <c r="S7" s="1954" t="str">
        <f>Uebersetzung!D416&amp;":2016"</f>
        <v>Optimisation selon la norm SIA 380/1:2016</v>
      </c>
      <c r="T7" s="1708">
        <v>3</v>
      </c>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row>
    <row r="8" spans="2:58" ht="16.149999999999999" customHeight="1">
      <c r="B8" s="729" t="str">
        <f>Uebersetzung!D340</f>
        <v>A:  Objet</v>
      </c>
      <c r="C8" s="729" t="str">
        <f>IF(Projekt!E5&lt;&gt;"",Projekt!E5,"")</f>
        <v/>
      </c>
      <c r="O8" s="707"/>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row>
    <row r="9" spans="2:58" ht="3.6" hidden="1" customHeight="1">
      <c r="O9" s="707"/>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8"/>
      <c r="S10" s="1711"/>
      <c r="T10" s="1711"/>
      <c r="U10" s="1711">
        <f>C10</f>
        <v>1</v>
      </c>
      <c r="V10" s="1711"/>
      <c r="W10" s="1711"/>
      <c r="X10" s="1711">
        <f>D10</f>
        <v>2</v>
      </c>
      <c r="Y10" s="1711"/>
      <c r="Z10" s="1711"/>
      <c r="AA10" s="1711">
        <f>E10</f>
        <v>3</v>
      </c>
      <c r="AB10" s="1711"/>
      <c r="AC10" s="1711"/>
      <c r="AD10" s="1711">
        <f>F10</f>
        <v>4</v>
      </c>
      <c r="AE10" s="1711"/>
      <c r="AF10" s="1711"/>
      <c r="AG10" s="1711">
        <f>G10</f>
        <v>5</v>
      </c>
      <c r="AH10" s="1711"/>
      <c r="AI10" s="1711"/>
      <c r="AJ10" s="1711">
        <f>H10</f>
        <v>6</v>
      </c>
      <c r="AK10" s="1711"/>
      <c r="AL10" s="1711"/>
      <c r="AM10" s="1711">
        <f>I10</f>
        <v>7</v>
      </c>
      <c r="AN10" s="1711"/>
      <c r="AO10" s="1711"/>
      <c r="AP10" s="1711">
        <f>J10</f>
        <v>8</v>
      </c>
      <c r="AQ10" s="1711"/>
      <c r="AR10" s="1711"/>
      <c r="AS10" s="1711">
        <f>K10</f>
        <v>9</v>
      </c>
      <c r="AT10" s="1711"/>
      <c r="AU10" s="1711"/>
      <c r="AV10" s="1711">
        <f>L10</f>
        <v>10</v>
      </c>
      <c r="AW10" s="1711"/>
      <c r="AX10" s="1711"/>
      <c r="AY10" s="1711">
        <f>M10</f>
        <v>11</v>
      </c>
      <c r="AZ10" s="1711"/>
      <c r="BA10" s="1711"/>
      <c r="BB10" s="1711">
        <f>N10</f>
        <v>12</v>
      </c>
      <c r="BC10" s="1711"/>
      <c r="BD10" s="1711"/>
      <c r="BE10" s="1711"/>
      <c r="BF10" s="1711"/>
    </row>
    <row r="11" spans="2:58" s="730" customFormat="1" ht="18" customHeight="1">
      <c r="C11" s="732" t="str">
        <f>Uebersetzung!D341</f>
        <v>Jan</v>
      </c>
      <c r="D11" s="732" t="str">
        <f>Uebersetzung!D342</f>
        <v>Fev</v>
      </c>
      <c r="E11" s="732" t="str">
        <f>Uebersetzung!D343</f>
        <v>Mar</v>
      </c>
      <c r="F11" s="732" t="str">
        <f>Uebersetzung!D344</f>
        <v>Avr</v>
      </c>
      <c r="G11" s="732" t="str">
        <f>Uebersetzung!D345</f>
        <v>Mai</v>
      </c>
      <c r="H11" s="732" t="str">
        <f>Uebersetzung!D346</f>
        <v>Juin</v>
      </c>
      <c r="I11" s="732" t="str">
        <f>Uebersetzung!D347</f>
        <v>Juil</v>
      </c>
      <c r="J11" s="732" t="str">
        <f>Uebersetzung!D348</f>
        <v>Août</v>
      </c>
      <c r="K11" s="732" t="str">
        <f>Uebersetzung!D349</f>
        <v>Sep</v>
      </c>
      <c r="L11" s="732" t="str">
        <f>Uebersetzung!D350</f>
        <v>Oct</v>
      </c>
      <c r="M11" s="732" t="str">
        <f>Uebersetzung!D351</f>
        <v>Nov</v>
      </c>
      <c r="N11" s="733" t="str">
        <f>Uebersetzung!D352</f>
        <v>Déc</v>
      </c>
      <c r="O11" s="732" t="str">
        <f>Uebersetzung!D413</f>
        <v>Année</v>
      </c>
      <c r="R11" s="1918"/>
      <c r="S11" s="1712"/>
      <c r="T11" s="1712"/>
      <c r="U11" s="1712"/>
      <c r="V11" s="1712" t="s">
        <v>489</v>
      </c>
      <c r="W11" s="1712"/>
      <c r="X11" s="1712"/>
      <c r="Y11" s="1712" t="s">
        <v>490</v>
      </c>
      <c r="Z11" s="1712"/>
      <c r="AA11" s="1712"/>
      <c r="AB11" s="1712" t="s">
        <v>491</v>
      </c>
      <c r="AC11" s="1712"/>
      <c r="AD11" s="1712"/>
      <c r="AE11" s="1712" t="s">
        <v>492</v>
      </c>
      <c r="AF11" s="1712"/>
      <c r="AG11" s="1712"/>
      <c r="AH11" s="1712" t="s">
        <v>493</v>
      </c>
      <c r="AI11" s="1712"/>
      <c r="AJ11" s="1712"/>
      <c r="AK11" s="1712" t="s">
        <v>494</v>
      </c>
      <c r="AL11" s="1712"/>
      <c r="AM11" s="1712"/>
      <c r="AN11" s="1712" t="s">
        <v>495</v>
      </c>
      <c r="AO11" s="1712"/>
      <c r="AP11" s="1712"/>
      <c r="AQ11" s="1712" t="s">
        <v>496</v>
      </c>
      <c r="AR11" s="1712"/>
      <c r="AS11" s="1712"/>
      <c r="AT11" s="1712" t="s">
        <v>497</v>
      </c>
      <c r="AU11" s="1712"/>
      <c r="AV11" s="1712"/>
      <c r="AW11" s="1712" t="s">
        <v>498</v>
      </c>
      <c r="AX11" s="1712"/>
      <c r="AY11" s="1712"/>
      <c r="AZ11" s="1712" t="s">
        <v>499</v>
      </c>
      <c r="BA11" s="1712"/>
      <c r="BB11" s="1712"/>
      <c r="BC11" s="1712" t="s">
        <v>500</v>
      </c>
      <c r="BD11" s="1712"/>
      <c r="BE11" s="1712" t="s">
        <v>501</v>
      </c>
      <c r="BF11" s="1712"/>
    </row>
    <row r="12" spans="2:58" s="1933" customFormat="1" ht="18" customHeight="1">
      <c r="C12" s="735"/>
      <c r="D12" s="735"/>
      <c r="E12" s="735"/>
      <c r="F12" s="735"/>
      <c r="G12" s="735"/>
      <c r="H12" s="735"/>
      <c r="I12" s="735"/>
      <c r="J12" s="735"/>
      <c r="K12" s="735"/>
      <c r="L12" s="735"/>
      <c r="M12" s="735"/>
      <c r="N12" s="736"/>
      <c r="O12" s="737"/>
      <c r="R12" s="1918"/>
      <c r="S12" s="1712" t="str">
        <f>B42</f>
        <v>Déperditions par transmission QT:</v>
      </c>
      <c r="T12" s="1712" t="s">
        <v>2383</v>
      </c>
      <c r="U12" s="1712">
        <f>C42</f>
        <v>0</v>
      </c>
      <c r="V12" s="1712"/>
      <c r="W12" s="1712"/>
      <c r="X12" s="1712">
        <f>D42</f>
        <v>0</v>
      </c>
      <c r="Y12" s="1712"/>
      <c r="Z12" s="1712"/>
      <c r="AA12" s="1712">
        <f>E42</f>
        <v>0</v>
      </c>
      <c r="AB12" s="1712"/>
      <c r="AC12" s="1712"/>
      <c r="AD12" s="1712">
        <f>F42</f>
        <v>0</v>
      </c>
      <c r="AE12" s="1712"/>
      <c r="AF12" s="1712"/>
      <c r="AG12" s="1712">
        <f>G42</f>
        <v>0</v>
      </c>
      <c r="AH12" s="1712"/>
      <c r="AI12" s="1712"/>
      <c r="AJ12" s="1712">
        <f>H42</f>
        <v>0</v>
      </c>
      <c r="AK12" s="1712"/>
      <c r="AL12" s="1712"/>
      <c r="AM12" s="1712">
        <f>I42</f>
        <v>0</v>
      </c>
      <c r="AN12" s="1712"/>
      <c r="AO12" s="1712"/>
      <c r="AP12" s="1712">
        <f>J42</f>
        <v>0</v>
      </c>
      <c r="AQ12" s="1712"/>
      <c r="AR12" s="1712"/>
      <c r="AS12" s="1712">
        <f>K42</f>
        <v>0</v>
      </c>
      <c r="AT12" s="1712"/>
      <c r="AU12" s="1712"/>
      <c r="AV12" s="1712">
        <f>L42</f>
        <v>0</v>
      </c>
      <c r="AW12" s="1712"/>
      <c r="AX12" s="1712"/>
      <c r="AY12" s="1712">
        <f>M42</f>
        <v>0</v>
      </c>
      <c r="AZ12" s="1712"/>
      <c r="BA12" s="1712"/>
      <c r="BB12" s="1712">
        <f>N42</f>
        <v>0</v>
      </c>
      <c r="BC12" s="1712"/>
      <c r="BD12" s="1712"/>
      <c r="BE12" s="1712">
        <f>O42</f>
        <v>0</v>
      </c>
      <c r="BF12" s="1712" t="str">
        <f>P42</f>
        <v>kWh/m2</v>
      </c>
    </row>
    <row r="13" spans="2:58" s="1933" customFormat="1" ht="18" customHeight="1">
      <c r="B13" s="729" t="str">
        <f>Uebersetzung!D353</f>
        <v>B:  Données climatiques</v>
      </c>
      <c r="C13" s="707"/>
      <c r="D13" s="707"/>
      <c r="E13" s="707"/>
      <c r="F13" s="707"/>
      <c r="G13" s="707"/>
      <c r="H13" s="707"/>
      <c r="I13" s="707"/>
      <c r="J13" s="707"/>
      <c r="K13" s="707"/>
      <c r="L13" s="707"/>
      <c r="M13" s="707"/>
      <c r="N13" s="740"/>
      <c r="O13" s="730"/>
      <c r="R13" s="1918"/>
      <c r="S13" s="1712" t="str">
        <f>B44</f>
        <v>Dép. par renouvellement de l'air QV:</v>
      </c>
      <c r="T13" s="1712" t="s">
        <v>2375</v>
      </c>
      <c r="U13" s="1712">
        <f>C44</f>
        <v>0</v>
      </c>
      <c r="V13" s="1712"/>
      <c r="W13" s="1712"/>
      <c r="X13" s="1712">
        <f>D44</f>
        <v>0</v>
      </c>
      <c r="Y13" s="1712"/>
      <c r="Z13" s="1712"/>
      <c r="AA13" s="1712">
        <f>E44</f>
        <v>0</v>
      </c>
      <c r="AB13" s="1712"/>
      <c r="AC13" s="1712"/>
      <c r="AD13" s="1712">
        <f>F44</f>
        <v>0</v>
      </c>
      <c r="AE13" s="1712"/>
      <c r="AF13" s="1712"/>
      <c r="AG13" s="1712">
        <f>G44</f>
        <v>0</v>
      </c>
      <c r="AH13" s="1712"/>
      <c r="AI13" s="1712"/>
      <c r="AJ13" s="1712">
        <f>H44</f>
        <v>0</v>
      </c>
      <c r="AK13" s="1712"/>
      <c r="AL13" s="1712"/>
      <c r="AM13" s="1712">
        <f>I44</f>
        <v>0</v>
      </c>
      <c r="AN13" s="1712"/>
      <c r="AO13" s="1712"/>
      <c r="AP13" s="1712">
        <f>J44</f>
        <v>0</v>
      </c>
      <c r="AQ13" s="1712"/>
      <c r="AR13" s="1712"/>
      <c r="AS13" s="1712">
        <f>K44</f>
        <v>0</v>
      </c>
      <c r="AT13" s="1712"/>
      <c r="AU13" s="1712"/>
      <c r="AV13" s="1712">
        <f>L44</f>
        <v>0</v>
      </c>
      <c r="AW13" s="1712"/>
      <c r="AX13" s="1712"/>
      <c r="AY13" s="1712">
        <f>M44</f>
        <v>0</v>
      </c>
      <c r="AZ13" s="1712"/>
      <c r="BA13" s="1712"/>
      <c r="BB13" s="1712">
        <f>N44</f>
        <v>0</v>
      </c>
      <c r="BC13" s="1712"/>
      <c r="BD13" s="1712"/>
      <c r="BE13" s="1712">
        <f>O44</f>
        <v>0</v>
      </c>
      <c r="BF13" s="1712" t="str">
        <f>P44</f>
        <v>kWh/m2</v>
      </c>
    </row>
    <row r="14" spans="2:58" ht="18" customHeight="1">
      <c r="B14" s="738" t="str">
        <f>Uebersetzung!D354</f>
        <v>Jours par mois:</v>
      </c>
      <c r="C14" s="735">
        <v>31</v>
      </c>
      <c r="D14" s="735">
        <v>28</v>
      </c>
      <c r="E14" s="735">
        <v>31</v>
      </c>
      <c r="F14" s="735">
        <v>30</v>
      </c>
      <c r="G14" s="735">
        <v>31</v>
      </c>
      <c r="H14" s="735">
        <v>30</v>
      </c>
      <c r="I14" s="735">
        <v>31</v>
      </c>
      <c r="J14" s="735">
        <v>31</v>
      </c>
      <c r="K14" s="735">
        <v>30</v>
      </c>
      <c r="L14" s="735">
        <v>31</v>
      </c>
      <c r="M14" s="735">
        <v>30</v>
      </c>
      <c r="N14" s="736">
        <v>31</v>
      </c>
      <c r="O14" s="741"/>
      <c r="P14" s="707" t="s">
        <v>505</v>
      </c>
      <c r="S14" s="1712" t="str">
        <f>B68</f>
        <v>Besoins de chaleur  Qh:</v>
      </c>
      <c r="T14" s="1712" t="s">
        <v>2376</v>
      </c>
      <c r="U14" s="1712"/>
      <c r="V14" s="1712">
        <f>C68</f>
        <v>0</v>
      </c>
      <c r="W14" s="1712"/>
      <c r="X14" s="1712"/>
      <c r="Y14" s="1712">
        <f>D68</f>
        <v>0</v>
      </c>
      <c r="Z14" s="1712"/>
      <c r="AA14" s="1712"/>
      <c r="AB14" s="1712">
        <f>E68</f>
        <v>0</v>
      </c>
      <c r="AC14" s="1712"/>
      <c r="AD14" s="1712"/>
      <c r="AE14" s="1712">
        <f>F68</f>
        <v>0</v>
      </c>
      <c r="AF14" s="1712"/>
      <c r="AG14" s="1712"/>
      <c r="AH14" s="1712">
        <f>G68</f>
        <v>0</v>
      </c>
      <c r="AI14" s="1712"/>
      <c r="AJ14" s="1712"/>
      <c r="AK14" s="1712">
        <f>H68</f>
        <v>0</v>
      </c>
      <c r="AL14" s="1712"/>
      <c r="AM14" s="1712"/>
      <c r="AN14" s="1712">
        <f>I68</f>
        <v>0</v>
      </c>
      <c r="AO14" s="1712"/>
      <c r="AP14" s="1712"/>
      <c r="AQ14" s="1712">
        <f>J68</f>
        <v>0</v>
      </c>
      <c r="AR14" s="1712"/>
      <c r="AS14" s="1712"/>
      <c r="AT14" s="1712">
        <f>K68</f>
        <v>0</v>
      </c>
      <c r="AU14" s="1712"/>
      <c r="AV14" s="1712"/>
      <c r="AW14" s="1712">
        <f>L68</f>
        <v>0</v>
      </c>
      <c r="AX14" s="1712"/>
      <c r="AY14" s="1712"/>
      <c r="AZ14" s="1712">
        <f>M68</f>
        <v>0</v>
      </c>
      <c r="BA14" s="1712"/>
      <c r="BB14" s="1712"/>
      <c r="BC14" s="1712">
        <f>N68</f>
        <v>0</v>
      </c>
      <c r="BD14" s="1712"/>
      <c r="BE14" s="1712">
        <f>O68</f>
        <v>0</v>
      </c>
      <c r="BF14" s="1712" t="str">
        <f>P68</f>
        <v>kWh/m2</v>
      </c>
    </row>
    <row r="15" spans="2:58" ht="18" customHeight="1">
      <c r="B15" s="738" t="str">
        <f>Uebersetzung!D355</f>
        <v>Température extérieure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2" t="str">
        <f>B59</f>
        <v>Apports totaux de chaleur Qg:</v>
      </c>
      <c r="T15" s="1712" t="s">
        <v>2377</v>
      </c>
      <c r="U15" s="1712"/>
      <c r="V15" s="1712">
        <f>C59</f>
        <v>0</v>
      </c>
      <c r="W15" s="1712"/>
      <c r="X15" s="1712"/>
      <c r="Y15" s="1712">
        <f>D59</f>
        <v>0</v>
      </c>
      <c r="Z15" s="1712"/>
      <c r="AA15" s="1712"/>
      <c r="AB15" s="1712">
        <f>E59</f>
        <v>0</v>
      </c>
      <c r="AC15" s="1712"/>
      <c r="AD15" s="1712"/>
      <c r="AE15" s="1712">
        <f>F59</f>
        <v>0</v>
      </c>
      <c r="AF15" s="1712"/>
      <c r="AG15" s="1712"/>
      <c r="AH15" s="1712">
        <f>G59</f>
        <v>0</v>
      </c>
      <c r="AI15" s="1712"/>
      <c r="AJ15" s="1712"/>
      <c r="AK15" s="1712">
        <f>H59</f>
        <v>0</v>
      </c>
      <c r="AL15" s="1712"/>
      <c r="AM15" s="1712"/>
      <c r="AN15" s="1712">
        <f>I59</f>
        <v>0</v>
      </c>
      <c r="AO15" s="1712"/>
      <c r="AP15" s="1712"/>
      <c r="AQ15" s="1712">
        <f>J59</f>
        <v>0</v>
      </c>
      <c r="AR15" s="1712"/>
      <c r="AS15" s="1712"/>
      <c r="AT15" s="1712">
        <f>K59</f>
        <v>0</v>
      </c>
      <c r="AU15" s="1712"/>
      <c r="AV15" s="1712"/>
      <c r="AW15" s="1712">
        <f>L59</f>
        <v>0</v>
      </c>
      <c r="AX15" s="1712"/>
      <c r="AY15" s="1712"/>
      <c r="AZ15" s="1712">
        <f>M59</f>
        <v>0</v>
      </c>
      <c r="BA15" s="1712"/>
      <c r="BB15" s="1712"/>
      <c r="BC15" s="1712">
        <f>N59</f>
        <v>0</v>
      </c>
      <c r="BD15" s="1712"/>
      <c r="BE15" s="1712">
        <f>O59</f>
        <v>0</v>
      </c>
      <c r="BF15" s="1712" t="str">
        <f>P59</f>
        <v>kWh/m2</v>
      </c>
    </row>
    <row r="16" spans="2:58" ht="18" customHeight="1">
      <c r="B16" s="738" t="str">
        <f>Uebersetzung!D356</f>
        <v>Durée de la période de calcul tc :</v>
      </c>
      <c r="C16" s="1933">
        <f ca="1">IF(AND(Klimastation&lt;&gt;"",Klimastation&gt;-1),INDEX(Klima!1:1048576,16+25*Klimastation,2+C$10),0)</f>
        <v>0</v>
      </c>
      <c r="D16" s="1933">
        <f ca="1">IF(AND(Klimastation&lt;&gt;"",Klimastation&gt;-1),INDEX(Klima!1:1048576,16+25*Klimastation,2+D$10),0)</f>
        <v>0</v>
      </c>
      <c r="E16" s="1933">
        <f ca="1">IF(AND(Klimastation&lt;&gt;"",Klimastation&gt;-1),INDEX(Klima!1:1048576,16+25*Klimastation,2+E$10),0)</f>
        <v>0</v>
      </c>
      <c r="F16" s="1933">
        <f ca="1">IF(AND(Klimastation&lt;&gt;"",Klimastation&gt;-1),INDEX(Klima!1:1048576,16+25*Klimastation,2+F$10),0)</f>
        <v>0</v>
      </c>
      <c r="G16" s="1933">
        <f ca="1">IF(AND(Klimastation&lt;&gt;"",Klimastation&gt;-1),INDEX(Klima!1:1048576,16+25*Klimastation,2+G$10),0)</f>
        <v>0</v>
      </c>
      <c r="H16" s="1933">
        <f ca="1">IF(AND(Klimastation&lt;&gt;"",Klimastation&gt;-1),INDEX(Klima!1:1048576,16+25*Klimastation,2+H$10),0)</f>
        <v>0</v>
      </c>
      <c r="I16" s="1933">
        <f ca="1">IF(AND(Klimastation&lt;&gt;"",Klimastation&gt;-1),INDEX(Klima!1:1048576,16+25*Klimastation,2+I$10),0)</f>
        <v>0</v>
      </c>
      <c r="J16" s="1933">
        <f ca="1">IF(AND(Klimastation&lt;&gt;"",Klimastation&gt;-1),INDEX(Klima!1:1048576,16+25*Klimastation,2+J$10),0)</f>
        <v>0</v>
      </c>
      <c r="K16" s="1933">
        <f ca="1">IF(AND(Klimastation&lt;&gt;"",Klimastation&gt;-1),INDEX(Klima!1:1048576,16+25*Klimastation,2+K$10),0)</f>
        <v>0</v>
      </c>
      <c r="L16" s="1933">
        <f ca="1">IF(AND(Klimastation&lt;&gt;"",Klimastation&gt;-1),INDEX(Klima!1:1048576,16+25*Klimastation,2+L$10),0)</f>
        <v>0</v>
      </c>
      <c r="M16" s="1933">
        <f ca="1">IF(AND(Klimastation&lt;&gt;"",Klimastation&gt;-1),INDEX(Klima!1:1048576,16+25*Klimastation,2+M$10),0)</f>
        <v>0</v>
      </c>
      <c r="N16" s="736">
        <f ca="1">IF(AND(Klimastation&lt;&gt;"",Klimastation&gt;-1),INDEX(Klima!1:1048576,16+25*Klimastation,2+N$10),0)</f>
        <v>0</v>
      </c>
      <c r="O16" s="741">
        <f t="shared" ref="O16:O21" ca="1" si="0">SUM(C16:N16)</f>
        <v>0</v>
      </c>
      <c r="P16" s="707" t="s">
        <v>505</v>
      </c>
      <c r="S16" s="1712" t="s">
        <v>2378</v>
      </c>
      <c r="T16" s="1712" t="s">
        <v>2379</v>
      </c>
      <c r="U16" s="1712"/>
      <c r="V16" s="1712">
        <f>U12+U13-V14</f>
        <v>0</v>
      </c>
      <c r="W16" s="1712"/>
      <c r="X16" s="1712"/>
      <c r="Y16" s="1712">
        <f>X12+X13-Y14</f>
        <v>0</v>
      </c>
      <c r="Z16" s="1712"/>
      <c r="AA16" s="1712"/>
      <c r="AB16" s="1712">
        <f>AA12+AA13-AB14</f>
        <v>0</v>
      </c>
      <c r="AC16" s="1712"/>
      <c r="AD16" s="1712"/>
      <c r="AE16" s="1712">
        <f>AD12+AD13-AE14</f>
        <v>0</v>
      </c>
      <c r="AF16" s="1712"/>
      <c r="AG16" s="1712"/>
      <c r="AH16" s="1712">
        <f>AG12+AG13-AH14</f>
        <v>0</v>
      </c>
      <c r="AI16" s="1712"/>
      <c r="AJ16" s="1712"/>
      <c r="AK16" s="1712">
        <f>AJ12+AJ13-AK14</f>
        <v>0</v>
      </c>
      <c r="AL16" s="1712"/>
      <c r="AM16" s="1712"/>
      <c r="AN16" s="1712">
        <f>AM12+AM13-AN14</f>
        <v>0</v>
      </c>
      <c r="AO16" s="1712"/>
      <c r="AP16" s="1712"/>
      <c r="AQ16" s="1712">
        <f>AP12+AP13-AQ14</f>
        <v>0</v>
      </c>
      <c r="AR16" s="1712"/>
      <c r="AS16" s="1712"/>
      <c r="AT16" s="1712">
        <f>AS12+AS13-AT14</f>
        <v>0</v>
      </c>
      <c r="AU16" s="1712"/>
      <c r="AV16" s="1712"/>
      <c r="AW16" s="1712">
        <f>AV12+AV13-AW14</f>
        <v>0</v>
      </c>
      <c r="AX16" s="1712"/>
      <c r="AY16" s="1712"/>
      <c r="AZ16" s="1712">
        <f>AY12+AY13-AZ14</f>
        <v>0</v>
      </c>
      <c r="BA16" s="1712"/>
      <c r="BB16" s="1712"/>
      <c r="BC16" s="1712">
        <f>BB12+BB13-BC14</f>
        <v>0</v>
      </c>
      <c r="BD16" s="1712"/>
      <c r="BE16" s="1712"/>
      <c r="BF16" s="1712"/>
    </row>
    <row r="17" spans="2:58" ht="18" customHeight="1">
      <c r="B17" s="738" t="str">
        <f>Uebersetzung!D357</f>
        <v>Rayonnement solaire glob. horizontale:</v>
      </c>
      <c r="C17" s="745">
        <f ca="1">(IF(AND(Klimastation&lt;&gt;"",Klimastation&gt;-1),INDEX(Klima!1:1048576,7+25*Klimastation,2+C$10),0))/IF(_Ver09,1,3.6)</f>
        <v>0</v>
      </c>
      <c r="D17" s="745">
        <f ca="1">(IF(AND(Klimastation&lt;&gt;"",Klimastation&gt;-1),INDEX(Klima!1:1048576,7+25*Klimastation,2+D$10),0))/IF(_Ver09,1,3.6)</f>
        <v>0</v>
      </c>
      <c r="E17" s="745">
        <f ca="1">(IF(AND(Klimastation&lt;&gt;"",Klimastation&gt;-1),INDEX(Klima!1:1048576,7+25*Klimastation,2+E$10),0))/IF(_Ver09,1,3.6)</f>
        <v>0</v>
      </c>
      <c r="F17" s="745">
        <f ca="1">(IF(AND(Klimastation&lt;&gt;"",Klimastation&gt;-1),INDEX(Klima!1:1048576,7+25*Klimastation,2+F$10),0))/IF(_Ver09,1,3.6)</f>
        <v>0</v>
      </c>
      <c r="G17" s="745">
        <f ca="1">(IF(AND(Klimastation&lt;&gt;"",Klimastation&gt;-1),INDEX(Klima!1:1048576,7+25*Klimastation,2+G$10),0))/IF(_Ver09,1,3.6)</f>
        <v>0</v>
      </c>
      <c r="H17" s="745">
        <f ca="1">(IF(AND(Klimastation&lt;&gt;"",Klimastation&gt;-1),INDEX(Klima!1:1048576,7+25*Klimastation,2+H$10),0))/IF(_Ver09,1,3.6)</f>
        <v>0</v>
      </c>
      <c r="I17" s="745">
        <f ca="1">(IF(AND(Klimastation&lt;&gt;"",Klimastation&gt;-1),INDEX(Klima!1:1048576,7+25*Klimastation,2+I$10),0))/IF(_Ver09,1,3.6)</f>
        <v>0</v>
      </c>
      <c r="J17" s="745">
        <f ca="1">(IF(AND(Klimastation&lt;&gt;"",Klimastation&gt;-1),INDEX(Klima!1:1048576,7+25*Klimastation,2+J$10),0))/IF(_Ver09,1,3.6)</f>
        <v>0</v>
      </c>
      <c r="K17" s="745">
        <f ca="1">(IF(AND(Klimastation&lt;&gt;"",Klimastation&gt;-1),INDEX(Klima!1:1048576,7+25*Klimastation,2+K$10),0))/IF(_Ver09,1,3.6)</f>
        <v>0</v>
      </c>
      <c r="L17" s="745">
        <f ca="1">(IF(AND(Klimastation&lt;&gt;"",Klimastation&gt;-1),INDEX(Klima!1:1048576,7+25*Klimastation,2+L$10),0))/IF(_Ver09,1,3.6)</f>
        <v>0</v>
      </c>
      <c r="M17" s="745">
        <f ca="1">(IF(AND(Klimastation&lt;&gt;"",Klimastation&gt;-1),INDEX(Klima!1:1048576,7+25*Klimastation,2+M$10),0))/IF(_Ver09,1,3.6)</f>
        <v>0</v>
      </c>
      <c r="N17" s="746">
        <f ca="1">(IF(AND(Klimastation&lt;&gt;"",Klimastation&gt;-1),INDEX(Klima!1:1048576,7+25*Klimastation,2+N$10),0))/IF(_Ver09,1,3.6)</f>
        <v>0</v>
      </c>
      <c r="O17" s="741">
        <f t="shared" ca="1" si="0"/>
        <v>0</v>
      </c>
      <c r="P17" s="707" t="str">
        <f>IF(_Ver09,"MJ/m2a","kWh/m2")</f>
        <v>kWh/m2</v>
      </c>
      <c r="S17" s="1712" t="s">
        <v>2380</v>
      </c>
      <c r="T17" s="1712" t="s">
        <v>2381</v>
      </c>
      <c r="U17" s="1712"/>
      <c r="V17" s="1712">
        <f>V14+V15-U13-U12</f>
        <v>0</v>
      </c>
      <c r="W17" s="1712"/>
      <c r="X17" s="1712"/>
      <c r="Y17" s="1712">
        <f>Y14+Y15-X13-X12</f>
        <v>0</v>
      </c>
      <c r="Z17" s="1712"/>
      <c r="AA17" s="1712"/>
      <c r="AB17" s="1712">
        <f>AB14+AB15-AA13-AA12</f>
        <v>0</v>
      </c>
      <c r="AC17" s="1712"/>
      <c r="AD17" s="1712"/>
      <c r="AE17" s="1712">
        <f>AE14+AE15-AD13-AD12</f>
        <v>0</v>
      </c>
      <c r="AF17" s="1712"/>
      <c r="AG17" s="1712"/>
      <c r="AH17" s="1712">
        <f>AH14+AH15-AG13-AG12</f>
        <v>0</v>
      </c>
      <c r="AI17" s="1712"/>
      <c r="AJ17" s="1712"/>
      <c r="AK17" s="1712">
        <f>AK14+AK15-AJ13-AJ12</f>
        <v>0</v>
      </c>
      <c r="AL17" s="1712"/>
      <c r="AM17" s="1712"/>
      <c r="AN17" s="1712">
        <f>AN14+AN15-AM13-AM12</f>
        <v>0</v>
      </c>
      <c r="AO17" s="1712"/>
      <c r="AP17" s="1712"/>
      <c r="AQ17" s="1712">
        <f>AQ14+AQ15-AP13-AP12</f>
        <v>0</v>
      </c>
      <c r="AR17" s="1712"/>
      <c r="AS17" s="1712"/>
      <c r="AT17" s="1712">
        <f>AT14+AT15-AS13-AS12</f>
        <v>0</v>
      </c>
      <c r="AU17" s="1712"/>
      <c r="AV17" s="1712"/>
      <c r="AW17" s="1712">
        <f>AW14+AW15-AV13-AV12</f>
        <v>0</v>
      </c>
      <c r="AX17" s="1712"/>
      <c r="AY17" s="1712"/>
      <c r="AZ17" s="1712">
        <f>AZ14+AZ15-AY13-AY12</f>
        <v>0</v>
      </c>
      <c r="BA17" s="1712"/>
      <c r="BB17" s="1712"/>
      <c r="BC17" s="1712">
        <f>BC14+BC15-BB13-BB12</f>
        <v>0</v>
      </c>
      <c r="BD17" s="1712"/>
      <c r="BE17" s="1712"/>
      <c r="BF17" s="1712"/>
    </row>
    <row r="18" spans="2:58" ht="18" customHeight="1">
      <c r="B18" s="738" t="str">
        <f>Uebersetzung!D358</f>
        <v>Rayonnement solaire global Sud:</v>
      </c>
      <c r="C18" s="745">
        <f ca="1">(IF(AND(Klimastation&lt;&gt;"",Klimastation&gt;-1),INDEX(Klima!1:1048576,8+25*Klimastation,2+C$10),0))/IF(_Ver09,1,3.6)</f>
        <v>0</v>
      </c>
      <c r="D18" s="745">
        <f ca="1">(IF(AND(Klimastation&lt;&gt;"",Klimastation&gt;-1),INDEX(Klima!1:1048576,8+25*Klimastation,2+D$10),0))/IF(_Ver09,1,3.6)</f>
        <v>0</v>
      </c>
      <c r="E18" s="745">
        <f ca="1">(IF(AND(Klimastation&lt;&gt;"",Klimastation&gt;-1),INDEX(Klima!1:1048576,8+25*Klimastation,2+E$10),0))/IF(_Ver09,1,3.6)</f>
        <v>0</v>
      </c>
      <c r="F18" s="745">
        <f ca="1">(IF(AND(Klimastation&lt;&gt;"",Klimastation&gt;-1),INDEX(Klima!1:1048576,8+25*Klimastation,2+F$10),0))/IF(_Ver09,1,3.6)</f>
        <v>0</v>
      </c>
      <c r="G18" s="745">
        <f ca="1">(IF(AND(Klimastation&lt;&gt;"",Klimastation&gt;-1),INDEX(Klima!1:1048576,8+25*Klimastation,2+G$10),0))/IF(_Ver09,1,3.6)</f>
        <v>0</v>
      </c>
      <c r="H18" s="745">
        <f ca="1">(IF(AND(Klimastation&lt;&gt;"",Klimastation&gt;-1),INDEX(Klima!1:1048576,8+25*Klimastation,2+H$10),0))/IF(_Ver09,1,3.6)</f>
        <v>0</v>
      </c>
      <c r="I18" s="745">
        <f ca="1">(IF(AND(Klimastation&lt;&gt;"",Klimastation&gt;-1),INDEX(Klima!1:1048576,8+25*Klimastation,2+I$10),0))/IF(_Ver09,1,3.6)</f>
        <v>0</v>
      </c>
      <c r="J18" s="745">
        <f ca="1">(IF(AND(Klimastation&lt;&gt;"",Klimastation&gt;-1),INDEX(Klima!1:1048576,8+25*Klimastation,2+J$10),0))/IF(_Ver09,1,3.6)</f>
        <v>0</v>
      </c>
      <c r="K18" s="745">
        <f ca="1">(IF(AND(Klimastation&lt;&gt;"",Klimastation&gt;-1),INDEX(Klima!1:1048576,8+25*Klimastation,2+K$10),0))/IF(_Ver09,1,3.6)</f>
        <v>0</v>
      </c>
      <c r="L18" s="745">
        <f ca="1">(IF(AND(Klimastation&lt;&gt;"",Klimastation&gt;-1),INDEX(Klima!1:1048576,8+25*Klimastation,2+L$10),0))/IF(_Ver09,1,3.6)</f>
        <v>0</v>
      </c>
      <c r="M18" s="745">
        <f ca="1">(IF(AND(Klimastation&lt;&gt;"",Klimastation&gt;-1),INDEX(Klima!1:1048576,8+25*Klimastation,2+M$10),0))/IF(_Ver09,1,3.6)</f>
        <v>0</v>
      </c>
      <c r="N18" s="746">
        <f ca="1">(IF(AND(Klimastation&lt;&gt;"",Klimastation&gt;-1),INDEX(Klima!1:1048576,8+25*Klimastation,2+N$10),0))/IF(_Ver09,1,3.6)</f>
        <v>0</v>
      </c>
      <c r="O18" s="741">
        <f t="shared" ca="1" si="0"/>
        <v>0</v>
      </c>
      <c r="P18" s="707" t="str">
        <f>IF(_Ver09,"MJ/m2a","kWh/m2")</f>
        <v>kWh/m2</v>
      </c>
      <c r="S18" s="1712" t="str">
        <f>B63</f>
        <v>Taux d'utilisation des apports:</v>
      </c>
      <c r="T18" s="1713" t="s">
        <v>1125</v>
      </c>
      <c r="U18" s="1714">
        <f>C63</f>
        <v>0</v>
      </c>
      <c r="V18" s="1714"/>
      <c r="W18" s="1714"/>
      <c r="X18" s="1714">
        <f>D63</f>
        <v>0</v>
      </c>
      <c r="Y18" s="1714"/>
      <c r="Z18" s="1714"/>
      <c r="AA18" s="1714">
        <f>E63</f>
        <v>0</v>
      </c>
      <c r="AB18" s="1714"/>
      <c r="AC18" s="1714"/>
      <c r="AD18" s="1714">
        <f>F63</f>
        <v>0</v>
      </c>
      <c r="AE18" s="1714"/>
      <c r="AF18" s="1714"/>
      <c r="AG18" s="1714">
        <f>G63</f>
        <v>0</v>
      </c>
      <c r="AH18" s="1714"/>
      <c r="AI18" s="1714"/>
      <c r="AJ18" s="1714">
        <f>H63</f>
        <v>0</v>
      </c>
      <c r="AK18" s="1714"/>
      <c r="AL18" s="1714"/>
      <c r="AM18" s="1714">
        <f>I63</f>
        <v>0</v>
      </c>
      <c r="AN18" s="1714"/>
      <c r="AO18" s="1714"/>
      <c r="AP18" s="1714">
        <f>J63</f>
        <v>0</v>
      </c>
      <c r="AQ18" s="1714"/>
      <c r="AR18" s="1714"/>
      <c r="AS18" s="1714">
        <f>K63</f>
        <v>0</v>
      </c>
      <c r="AT18" s="1714"/>
      <c r="AU18" s="1714"/>
      <c r="AV18" s="1714">
        <f>L63</f>
        <v>0</v>
      </c>
      <c r="AW18" s="1714"/>
      <c r="AX18" s="1714"/>
      <c r="AY18" s="1714">
        <f>M63</f>
        <v>0</v>
      </c>
      <c r="AZ18" s="1714"/>
      <c r="BA18" s="1714"/>
      <c r="BB18" s="1714">
        <f>N63</f>
        <v>0</v>
      </c>
      <c r="BC18" s="1714"/>
      <c r="BD18" s="1714"/>
      <c r="BE18" s="1714">
        <f>O63</f>
        <v>0</v>
      </c>
      <c r="BF18" s="1712"/>
    </row>
    <row r="19" spans="2:58" ht="18" customHeight="1">
      <c r="B19" s="738" t="str">
        <f>Uebersetzung!D359</f>
        <v>Rayonnement solaire global Est:</v>
      </c>
      <c r="C19" s="745">
        <f ca="1">(IF(AND(Klimastation&lt;&gt;"",Klimastation&gt;-1),INDEX(Klima!1:1048576,9+25*Klimastation,2+C$10),0))/IF(_Ver09,1,3.6)</f>
        <v>0</v>
      </c>
      <c r="D19" s="745">
        <f ca="1">(IF(AND(Klimastation&lt;&gt;"",Klimastation&gt;-1),INDEX(Klima!1:1048576,9+25*Klimastation,2+D$10),0))/IF(_Ver09,1,3.6)</f>
        <v>0</v>
      </c>
      <c r="E19" s="745">
        <f ca="1">(IF(AND(Klimastation&lt;&gt;"",Klimastation&gt;-1),INDEX(Klima!1:1048576,9+25*Klimastation,2+E$10),0))/IF(_Ver09,1,3.6)</f>
        <v>0</v>
      </c>
      <c r="F19" s="745">
        <f ca="1">(IF(AND(Klimastation&lt;&gt;"",Klimastation&gt;-1),INDEX(Klima!1:1048576,9+25*Klimastation,2+F$10),0))/IF(_Ver09,1,3.6)</f>
        <v>0</v>
      </c>
      <c r="G19" s="745">
        <f ca="1">(IF(AND(Klimastation&lt;&gt;"",Klimastation&gt;-1),INDEX(Klima!1:1048576,9+25*Klimastation,2+G$10),0))/IF(_Ver09,1,3.6)</f>
        <v>0</v>
      </c>
      <c r="H19" s="745">
        <f ca="1">(IF(AND(Klimastation&lt;&gt;"",Klimastation&gt;-1),INDEX(Klima!1:1048576,9+25*Klimastation,2+H$10),0))/IF(_Ver09,1,3.6)</f>
        <v>0</v>
      </c>
      <c r="I19" s="745">
        <f ca="1">(IF(AND(Klimastation&lt;&gt;"",Klimastation&gt;-1),INDEX(Klima!1:1048576,9+25*Klimastation,2+I$10),0))/IF(_Ver09,1,3.6)</f>
        <v>0</v>
      </c>
      <c r="J19" s="745">
        <f ca="1">(IF(AND(Klimastation&lt;&gt;"",Klimastation&gt;-1),INDEX(Klima!1:1048576,9+25*Klimastation,2+J$10),0))/IF(_Ver09,1,3.6)</f>
        <v>0</v>
      </c>
      <c r="K19" s="745">
        <f ca="1">(IF(AND(Klimastation&lt;&gt;"",Klimastation&gt;-1),INDEX(Klima!1:1048576,9+25*Klimastation,2+K$10),0))/IF(_Ver09,1,3.6)</f>
        <v>0</v>
      </c>
      <c r="L19" s="745">
        <f ca="1">(IF(AND(Klimastation&lt;&gt;"",Klimastation&gt;-1),INDEX(Klima!1:1048576,9+25*Klimastation,2+L$10),0))/IF(_Ver09,1,3.6)</f>
        <v>0</v>
      </c>
      <c r="M19" s="745">
        <f ca="1">(IF(AND(Klimastation&lt;&gt;"",Klimastation&gt;-1),INDEX(Klima!1:1048576,9+25*Klimastation,2+M$10),0))/IF(_Ver09,1,3.6)</f>
        <v>0</v>
      </c>
      <c r="N19" s="746">
        <f ca="1">(IF(AND(Klimastation&lt;&gt;"",Klimastation&gt;-1),INDEX(Klima!1:1048576,9+25*Klimastation,2+N$10),0))/IF(_Ver09,1,3.6)</f>
        <v>0</v>
      </c>
      <c r="O19" s="741">
        <f t="shared" ca="1" si="0"/>
        <v>0</v>
      </c>
      <c r="P19" s="707" t="str">
        <f>IF(_Ver09,"MJ/m2a","kWh/m2")</f>
        <v>kWh/m2</v>
      </c>
    </row>
    <row r="20" spans="2:58" ht="18" customHeight="1">
      <c r="B20" s="738" t="str">
        <f>Uebersetzung!D360</f>
        <v>Rayonnement solaire global Ouest:</v>
      </c>
      <c r="C20" s="745">
        <f ca="1">(IF(AND(Klimastation&lt;&gt;"",Klimastation&gt;-1),INDEX(Klima!1:1048576,10+25*Klimastation,2+C$10),0))/IF(_Ver09,1,3.6)</f>
        <v>0</v>
      </c>
      <c r="D20" s="745">
        <f ca="1">(IF(AND(Klimastation&lt;&gt;"",Klimastation&gt;-1),INDEX(Klima!1:1048576,10+25*Klimastation,2+D$10),0))/IF(_Ver09,1,3.6)</f>
        <v>0</v>
      </c>
      <c r="E20" s="745">
        <f ca="1">(IF(AND(Klimastation&lt;&gt;"",Klimastation&gt;-1),INDEX(Klima!1:1048576,10+25*Klimastation,2+E$10),0))/IF(_Ver09,1,3.6)</f>
        <v>0</v>
      </c>
      <c r="F20" s="745">
        <f ca="1">(IF(AND(Klimastation&lt;&gt;"",Klimastation&gt;-1),INDEX(Klima!1:1048576,10+25*Klimastation,2+F$10),0))/IF(_Ver09,1,3.6)</f>
        <v>0</v>
      </c>
      <c r="G20" s="745">
        <f ca="1">(IF(AND(Klimastation&lt;&gt;"",Klimastation&gt;-1),INDEX(Klima!1:1048576,10+25*Klimastation,2+G$10),0))/IF(_Ver09,1,3.6)</f>
        <v>0</v>
      </c>
      <c r="H20" s="745">
        <f ca="1">(IF(AND(Klimastation&lt;&gt;"",Klimastation&gt;-1),INDEX(Klima!1:1048576,10+25*Klimastation,2+H$10),0))/IF(_Ver09,1,3.6)</f>
        <v>0</v>
      </c>
      <c r="I20" s="745">
        <f ca="1">(IF(AND(Klimastation&lt;&gt;"",Klimastation&gt;-1),INDEX(Klima!1:1048576,10+25*Klimastation,2+I$10),0))/IF(_Ver09,1,3.6)</f>
        <v>0</v>
      </c>
      <c r="J20" s="745">
        <f ca="1">(IF(AND(Klimastation&lt;&gt;"",Klimastation&gt;-1),INDEX(Klima!1:1048576,10+25*Klimastation,2+J$10),0))/IF(_Ver09,1,3.6)</f>
        <v>0</v>
      </c>
      <c r="K20" s="745">
        <f ca="1">(IF(AND(Klimastation&lt;&gt;"",Klimastation&gt;-1),INDEX(Klima!1:1048576,10+25*Klimastation,2+K$10),0))/IF(_Ver09,1,3.6)</f>
        <v>0</v>
      </c>
      <c r="L20" s="745">
        <f ca="1">(IF(AND(Klimastation&lt;&gt;"",Klimastation&gt;-1),INDEX(Klima!1:1048576,10+25*Klimastation,2+L$10),0))/IF(_Ver09,1,3.6)</f>
        <v>0</v>
      </c>
      <c r="M20" s="745">
        <f ca="1">(IF(AND(Klimastation&lt;&gt;"",Klimastation&gt;-1),INDEX(Klima!1:1048576,10+25*Klimastation,2+M$10),0))/IF(_Ver09,1,3.6)</f>
        <v>0</v>
      </c>
      <c r="N20" s="746">
        <f ca="1">(IF(AND(Klimastation&lt;&gt;"",Klimastation&gt;-1),INDEX(Klima!1:1048576,10+25*Klimastation,2+N$10),0))/IF(_Ver09,1,3.6)</f>
        <v>0</v>
      </c>
      <c r="O20" s="741">
        <f t="shared" ca="1" si="0"/>
        <v>0</v>
      </c>
      <c r="P20" s="707" t="str">
        <f>IF(_Ver09,"MJ/m2a","kWh/m2")</f>
        <v>kWh/m2</v>
      </c>
    </row>
    <row r="21" spans="2:58" ht="18" customHeight="1">
      <c r="B21" s="738" t="str">
        <f>Uebersetzung!D361</f>
        <v>Rayonnement solaire global Nord:</v>
      </c>
      <c r="C21" s="745">
        <f ca="1">(IF(AND(Klimastation&lt;&gt;"",Klimastation&gt;-1),INDEX(Klima!1:1048576,11+25*Klimastation,2+C$10),0))/IF(_Ver09,1,3.6)</f>
        <v>0</v>
      </c>
      <c r="D21" s="745">
        <f ca="1">(IF(AND(Klimastation&lt;&gt;"",Klimastation&gt;-1),INDEX(Klima!1:1048576,11+25*Klimastation,2+D$10),0))/IF(_Ver09,1,3.6)</f>
        <v>0</v>
      </c>
      <c r="E21" s="745">
        <f ca="1">(IF(AND(Klimastation&lt;&gt;"",Klimastation&gt;-1),INDEX(Klima!1:1048576,11+25*Klimastation,2+E$10),0))/IF(_Ver09,1,3.6)</f>
        <v>0</v>
      </c>
      <c r="F21" s="745">
        <f ca="1">(IF(AND(Klimastation&lt;&gt;"",Klimastation&gt;-1),INDEX(Klima!1:1048576,11+25*Klimastation,2+F$10),0))/IF(_Ver09,1,3.6)</f>
        <v>0</v>
      </c>
      <c r="G21" s="745">
        <f ca="1">(IF(AND(Klimastation&lt;&gt;"",Klimastation&gt;-1),INDEX(Klima!1:1048576,11+25*Klimastation,2+G$10),0))/IF(_Ver09,1,3.6)</f>
        <v>0</v>
      </c>
      <c r="H21" s="745">
        <f ca="1">(IF(AND(Klimastation&lt;&gt;"",Klimastation&gt;-1),INDEX(Klima!1:1048576,11+25*Klimastation,2+H$10),0))/IF(_Ver09,1,3.6)</f>
        <v>0</v>
      </c>
      <c r="I21" s="745">
        <f ca="1">(IF(AND(Klimastation&lt;&gt;"",Klimastation&gt;-1),INDEX(Klima!1:1048576,11+25*Klimastation,2+I$10),0))/IF(_Ver09,1,3.6)</f>
        <v>0</v>
      </c>
      <c r="J21" s="745">
        <f ca="1">(IF(AND(Klimastation&lt;&gt;"",Klimastation&gt;-1),INDEX(Klima!1:1048576,11+25*Klimastation,2+J$10),0))/IF(_Ver09,1,3.6)</f>
        <v>0</v>
      </c>
      <c r="K21" s="745">
        <f ca="1">(IF(AND(Klimastation&lt;&gt;"",Klimastation&gt;-1),INDEX(Klima!1:1048576,11+25*Klimastation,2+K$10),0))/IF(_Ver09,1,3.6)</f>
        <v>0</v>
      </c>
      <c r="L21" s="745">
        <f ca="1">(IF(AND(Klimastation&lt;&gt;"",Klimastation&gt;-1),INDEX(Klima!1:1048576,11+25*Klimastation,2+L$10),0))/IF(_Ver09,1,3.6)</f>
        <v>0</v>
      </c>
      <c r="M21" s="745">
        <f ca="1">(IF(AND(Klimastation&lt;&gt;"",Klimastation&gt;-1),INDEX(Klima!1:1048576,11+25*Klimastation,2+M$10),0))/IF(_Ver09,1,3.6)</f>
        <v>0</v>
      </c>
      <c r="N21" s="746">
        <f ca="1">(IF(AND(Klimastation&lt;&gt;"",Klimastation&gt;-1),INDEX(Klima!1:1048576,11+25*Klimastation,2+N$10),0))/IF(_Ver09,1,3.6)</f>
        <v>0</v>
      </c>
      <c r="O21" s="741">
        <f t="shared" ca="1" si="0"/>
        <v>0</v>
      </c>
      <c r="P21" s="707" t="str">
        <f>IF(_Ver09,"MJ/m2a","kWh/m2")</f>
        <v>kWh/m2</v>
      </c>
    </row>
    <row r="22" spans="2:58" ht="18" customHeight="1">
      <c r="B22" s="738"/>
      <c r="C22" s="1933"/>
      <c r="D22" s="1933" t="s">
        <v>350</v>
      </c>
      <c r="E22" s="1933"/>
      <c r="F22" s="1933"/>
      <c r="G22" s="1933"/>
      <c r="H22" s="1933"/>
      <c r="I22" s="1933"/>
      <c r="J22" s="1933"/>
      <c r="K22" s="1933"/>
      <c r="L22" s="1933"/>
      <c r="M22" s="1933"/>
      <c r="N22" s="736"/>
      <c r="O22" s="741"/>
    </row>
    <row r="23" spans="2:58" ht="18" customHeight="1">
      <c r="B23" s="742" t="str">
        <f>Uebersetzung!D362</f>
        <v>F: Déperditions par transmission</v>
      </c>
      <c r="C23" s="1933"/>
      <c r="D23" s="742"/>
      <c r="E23" s="2525"/>
      <c r="F23" s="2525"/>
      <c r="G23" s="1933"/>
      <c r="H23" s="1933"/>
      <c r="I23" s="1933"/>
      <c r="J23" s="1933"/>
      <c r="K23" s="1933"/>
      <c r="L23" s="1933"/>
      <c r="M23" s="1933"/>
      <c r="N23" s="736"/>
      <c r="O23" s="741"/>
    </row>
    <row r="24" spans="2:58" ht="18" customHeight="1">
      <c r="B24" s="738" t="str">
        <f>Uebersetzung!D363</f>
        <v>Toit exposé à l'air extérieur:</v>
      </c>
      <c r="C24" s="743">
        <f>'M1'!C24/IF(_Ver09,1,3.6)</f>
        <v>0</v>
      </c>
      <c r="D24" s="743">
        <f>'M1'!D24/IF(_Ver09,1,3.6)</f>
        <v>0</v>
      </c>
      <c r="E24" s="743">
        <f>'M1'!E24/IF(_Ver09,1,3.6)</f>
        <v>0</v>
      </c>
      <c r="F24" s="743">
        <f>'M1'!F24/IF(_Ver09,1,3.6)</f>
        <v>0</v>
      </c>
      <c r="G24" s="743">
        <f>'M1'!G24/IF(_Ver09,1,3.6)</f>
        <v>0</v>
      </c>
      <c r="H24" s="743">
        <f>'M1'!H24/IF(_Ver09,1,3.6)</f>
        <v>0</v>
      </c>
      <c r="I24" s="743">
        <f>'M1'!I24/IF(_Ver09,1,3.6)</f>
        <v>0</v>
      </c>
      <c r="J24" s="743">
        <f>'M1'!J24/IF(_Ver09,1,3.6)</f>
        <v>0</v>
      </c>
      <c r="K24" s="743">
        <f>'M1'!K24/IF(_Ver09,1,3.6)</f>
        <v>0</v>
      </c>
      <c r="L24" s="743">
        <f>'M1'!L24/IF(_Ver09,1,3.6)</f>
        <v>0</v>
      </c>
      <c r="M24" s="743">
        <f>'M1'!M24/IF(_Ver09,1,3.6)</f>
        <v>0</v>
      </c>
      <c r="N24" s="744">
        <f>'M1'!N24/IF(_Ver09,1,3.6)</f>
        <v>0</v>
      </c>
      <c r="O24" s="1924">
        <f>SUM(C24:N24)</f>
        <v>0</v>
      </c>
      <c r="P24" s="707" t="str">
        <f t="shared" ref="P24:P42" si="1">IF(_Ver09,"MJ/m2a","kWh/m2")</f>
        <v>kWh/m2</v>
      </c>
      <c r="Q24" s="707" t="s">
        <v>350</v>
      </c>
      <c r="R24" s="1919"/>
    </row>
    <row r="25" spans="2:58" ht="18" customHeight="1">
      <c r="B25" s="738" t="str">
        <f>Uebersetzung!D364</f>
        <v>Plafond contre des loc. non chauffés:</v>
      </c>
      <c r="C25" s="743">
        <f>'M1'!C25/IF(_Ver09,1,3.6)</f>
        <v>0</v>
      </c>
      <c r="D25" s="743">
        <f>'M1'!D25/IF(_Ver09,1,3.6)</f>
        <v>0</v>
      </c>
      <c r="E25" s="743">
        <f>'M1'!E25/IF(_Ver09,1,3.6)</f>
        <v>0</v>
      </c>
      <c r="F25" s="743">
        <f>'M1'!F25/IF(_Ver09,1,3.6)</f>
        <v>0</v>
      </c>
      <c r="G25" s="743">
        <f>'M1'!G25/IF(_Ver09,1,3.6)</f>
        <v>0</v>
      </c>
      <c r="H25" s="743">
        <f>'M1'!H25/IF(_Ver09,1,3.6)</f>
        <v>0</v>
      </c>
      <c r="I25" s="743">
        <f>'M1'!I25/IF(_Ver09,1,3.6)</f>
        <v>0</v>
      </c>
      <c r="J25" s="743">
        <f>'M1'!J25/IF(_Ver09,1,3.6)</f>
        <v>0</v>
      </c>
      <c r="K25" s="743">
        <f>'M1'!K25/IF(_Ver09,1,3.6)</f>
        <v>0</v>
      </c>
      <c r="L25" s="743">
        <f>'M1'!L25/IF(_Ver09,1,3.6)</f>
        <v>0</v>
      </c>
      <c r="M25" s="743">
        <f>'M1'!M25/IF(_Ver09,1,3.6)</f>
        <v>0</v>
      </c>
      <c r="N25" s="744">
        <f>'M1'!N25/IF(_Ver09,1,3.6)</f>
        <v>0</v>
      </c>
      <c r="O25" s="1924">
        <f>SUM(C25:N25)</f>
        <v>0</v>
      </c>
      <c r="P25" s="707" t="str">
        <f t="shared" si="1"/>
        <v>kWh/m2</v>
      </c>
      <c r="Q25" s="707" t="s">
        <v>350</v>
      </c>
      <c r="R25" s="1919"/>
    </row>
    <row r="26" spans="2:58" ht="18" customHeight="1">
      <c r="B26" s="738" t="str">
        <f>Uebersetzung!D365</f>
        <v>Plafond contre des locaux chauffés:</v>
      </c>
      <c r="C26" s="743">
        <f>'M1'!C26/IF(_Ver09,1,3.6)</f>
        <v>0</v>
      </c>
      <c r="D26" s="743">
        <f>'M1'!D26/IF(_Ver09,1,3.6)</f>
        <v>0</v>
      </c>
      <c r="E26" s="743">
        <f>'M1'!E26/IF(_Ver09,1,3.6)</f>
        <v>0</v>
      </c>
      <c r="F26" s="743">
        <f>'M1'!F26/IF(_Ver09,1,3.6)</f>
        <v>0</v>
      </c>
      <c r="G26" s="743">
        <f>'M1'!G26/IF(_Ver09,1,3.6)</f>
        <v>0</v>
      </c>
      <c r="H26" s="743">
        <f>'M1'!H26/IF(_Ver09,1,3.6)</f>
        <v>0</v>
      </c>
      <c r="I26" s="743">
        <f>'M1'!I26/IF(_Ver09,1,3.6)</f>
        <v>0</v>
      </c>
      <c r="J26" s="743">
        <f>'M1'!J26/IF(_Ver09,1,3.6)</f>
        <v>0</v>
      </c>
      <c r="K26" s="743">
        <f>'M1'!K26/IF(_Ver09,1,3.6)</f>
        <v>0</v>
      </c>
      <c r="L26" s="743">
        <f>'M1'!L26/IF(_Ver09,1,3.6)</f>
        <v>0</v>
      </c>
      <c r="M26" s="743">
        <f>'M1'!M26/IF(_Ver09,1,3.6)</f>
        <v>0</v>
      </c>
      <c r="N26" s="744">
        <f>'M1'!N26/IF(_Ver09,1,3.6)</f>
        <v>0</v>
      </c>
      <c r="O26" s="1924">
        <f>SUM(C26:N26)</f>
        <v>0</v>
      </c>
      <c r="P26" s="707" t="str">
        <f t="shared" si="1"/>
        <v>kWh/m2</v>
      </c>
      <c r="R26" s="1919"/>
    </row>
    <row r="27" spans="2:58" ht="18" customHeight="1">
      <c r="B27" s="738" t="str">
        <f>Uebersetzung!D366</f>
        <v>Mur exposé à l'air extérieur:</v>
      </c>
      <c r="C27" s="743">
        <f>'M1'!C27/IF(_Ver09,1,3.6)</f>
        <v>0</v>
      </c>
      <c r="D27" s="743">
        <f>'M1'!D27/IF(_Ver09,1,3.6)</f>
        <v>0</v>
      </c>
      <c r="E27" s="743">
        <f>'M1'!E27/IF(_Ver09,1,3.6)</f>
        <v>0</v>
      </c>
      <c r="F27" s="743">
        <f>'M1'!F27/IF(_Ver09,1,3.6)</f>
        <v>0</v>
      </c>
      <c r="G27" s="743">
        <f>'M1'!G27/IF(_Ver09,1,3.6)</f>
        <v>0</v>
      </c>
      <c r="H27" s="743">
        <f>'M1'!H27/IF(_Ver09,1,3.6)</f>
        <v>0</v>
      </c>
      <c r="I27" s="743">
        <f>'M1'!I27/IF(_Ver09,1,3.6)</f>
        <v>0</v>
      </c>
      <c r="J27" s="743">
        <f>'M1'!J27/IF(_Ver09,1,3.6)</f>
        <v>0</v>
      </c>
      <c r="K27" s="743">
        <f>'M1'!K27/IF(_Ver09,1,3.6)</f>
        <v>0</v>
      </c>
      <c r="L27" s="743">
        <f>'M1'!L27/IF(_Ver09,1,3.6)</f>
        <v>0</v>
      </c>
      <c r="M27" s="743">
        <f>'M1'!M27/IF(_Ver09,1,3.6)</f>
        <v>0</v>
      </c>
      <c r="N27" s="744">
        <f>'M1'!N27/IF(_Ver09,1,3.6)</f>
        <v>0</v>
      </c>
      <c r="O27" s="1924">
        <f>SUM(C27:N27)</f>
        <v>0</v>
      </c>
      <c r="P27" s="707" t="str">
        <f t="shared" si="1"/>
        <v>kWh/m2</v>
      </c>
      <c r="Q27" s="707" t="s">
        <v>350</v>
      </c>
      <c r="R27" s="1919"/>
    </row>
    <row r="28" spans="2:58" ht="18" customHeight="1">
      <c r="B28" s="738" t="str">
        <f>Uebersetzung!D367</f>
        <v>Mur contre des locaux non chauffés:</v>
      </c>
      <c r="C28" s="743">
        <f>'M1'!C28/IF(_Ver09,1,3.6)</f>
        <v>0</v>
      </c>
      <c r="D28" s="743">
        <f>'M1'!D28/IF(_Ver09,1,3.6)</f>
        <v>0</v>
      </c>
      <c r="E28" s="743">
        <f>'M1'!E28/IF(_Ver09,1,3.6)</f>
        <v>0</v>
      </c>
      <c r="F28" s="743">
        <f>'M1'!F28/IF(_Ver09,1,3.6)</f>
        <v>0</v>
      </c>
      <c r="G28" s="743">
        <f>'M1'!G28/IF(_Ver09,1,3.6)</f>
        <v>0</v>
      </c>
      <c r="H28" s="743">
        <f>'M1'!H28/IF(_Ver09,1,3.6)</f>
        <v>0</v>
      </c>
      <c r="I28" s="743">
        <f>'M1'!I28/IF(_Ver09,1,3.6)</f>
        <v>0</v>
      </c>
      <c r="J28" s="743">
        <f>'M1'!J28/IF(_Ver09,1,3.6)</f>
        <v>0</v>
      </c>
      <c r="K28" s="743">
        <f>'M1'!K28/IF(_Ver09,1,3.6)</f>
        <v>0</v>
      </c>
      <c r="L28" s="743">
        <f>'M1'!L28/IF(_Ver09,1,3.6)</f>
        <v>0</v>
      </c>
      <c r="M28" s="743">
        <f>'M1'!M28/IF(_Ver09,1,3.6)</f>
        <v>0</v>
      </c>
      <c r="N28" s="744">
        <f>'M1'!N28/IF(_Ver09,1,3.6)</f>
        <v>0</v>
      </c>
      <c r="O28" s="1924">
        <f t="shared" ref="O28:O38" si="2">SUM(C28:N28)</f>
        <v>0</v>
      </c>
      <c r="P28" s="707" t="str">
        <f t="shared" si="1"/>
        <v>kWh/m2</v>
      </c>
      <c r="Q28" s="707" t="s">
        <v>350</v>
      </c>
      <c r="R28" s="1919"/>
      <c r="S28" s="1915"/>
    </row>
    <row r="29" spans="2:58" ht="18" customHeight="1">
      <c r="B29" s="738" t="str">
        <f>Uebersetzung!D368</f>
        <v>Mur contre le terrain:</v>
      </c>
      <c r="C29" s="743">
        <f>'M1'!C29/IF(_Ver09,1,3.6)</f>
        <v>0</v>
      </c>
      <c r="D29" s="743">
        <f>'M1'!D29/IF(_Ver09,1,3.6)</f>
        <v>0</v>
      </c>
      <c r="E29" s="743">
        <f>'M1'!E29/IF(_Ver09,1,3.6)</f>
        <v>0</v>
      </c>
      <c r="F29" s="743">
        <f>'M1'!F29/IF(_Ver09,1,3.6)</f>
        <v>0</v>
      </c>
      <c r="G29" s="743">
        <f>'M1'!G29/IF(_Ver09,1,3.6)</f>
        <v>0</v>
      </c>
      <c r="H29" s="743">
        <f>'M1'!H29/IF(_Ver09,1,3.6)</f>
        <v>0</v>
      </c>
      <c r="I29" s="743">
        <f>'M1'!I29/IF(_Ver09,1,3.6)</f>
        <v>0</v>
      </c>
      <c r="J29" s="743">
        <f>'M1'!J29/IF(_Ver09,1,3.6)</f>
        <v>0</v>
      </c>
      <c r="K29" s="743">
        <f>'M1'!K29/IF(_Ver09,1,3.6)</f>
        <v>0</v>
      </c>
      <c r="L29" s="743">
        <f>'M1'!L29/IF(_Ver09,1,3.6)</f>
        <v>0</v>
      </c>
      <c r="M29" s="743">
        <f>'M1'!M29/IF(_Ver09,1,3.6)</f>
        <v>0</v>
      </c>
      <c r="N29" s="744">
        <f>'M1'!N29/IF(_Ver09,1,3.6)</f>
        <v>0</v>
      </c>
      <c r="O29" s="1924">
        <f t="shared" si="2"/>
        <v>0</v>
      </c>
      <c r="P29" s="707" t="str">
        <f t="shared" si="1"/>
        <v>kWh/m2</v>
      </c>
      <c r="Q29" s="707" t="s">
        <v>350</v>
      </c>
      <c r="R29" s="1919"/>
    </row>
    <row r="30" spans="2:58" ht="18" customHeight="1">
      <c r="B30" s="738" t="str">
        <f>Uebersetzung!D369</f>
        <v>Mur contre des locaux chauffés:</v>
      </c>
      <c r="C30" s="743">
        <f>'M1'!C30/IF(_Ver09,1,3.6)</f>
        <v>0</v>
      </c>
      <c r="D30" s="743">
        <f>'M1'!D30/IF(_Ver09,1,3.6)</f>
        <v>0</v>
      </c>
      <c r="E30" s="743">
        <f>'M1'!E30/IF(_Ver09,1,3.6)</f>
        <v>0</v>
      </c>
      <c r="F30" s="743">
        <f>'M1'!F30/IF(_Ver09,1,3.6)</f>
        <v>0</v>
      </c>
      <c r="G30" s="743">
        <f>'M1'!G30/IF(_Ver09,1,3.6)</f>
        <v>0</v>
      </c>
      <c r="H30" s="743">
        <f>'M1'!H30/IF(_Ver09,1,3.6)</f>
        <v>0</v>
      </c>
      <c r="I30" s="743">
        <f>'M1'!I30/IF(_Ver09,1,3.6)</f>
        <v>0</v>
      </c>
      <c r="J30" s="743">
        <f>'M1'!J30/IF(_Ver09,1,3.6)</f>
        <v>0</v>
      </c>
      <c r="K30" s="743">
        <f>'M1'!K30/IF(_Ver09,1,3.6)</f>
        <v>0</v>
      </c>
      <c r="L30" s="743">
        <f>'M1'!L30/IF(_Ver09,1,3.6)</f>
        <v>0</v>
      </c>
      <c r="M30" s="743">
        <f>'M1'!M30/IF(_Ver09,1,3.6)</f>
        <v>0</v>
      </c>
      <c r="N30" s="744">
        <f>'M1'!N30/IF(_Ver09,1,3.6)</f>
        <v>0</v>
      </c>
      <c r="O30" s="1924">
        <f>SUM(C30:N30)</f>
        <v>0</v>
      </c>
      <c r="P30" s="707" t="str">
        <f t="shared" si="1"/>
        <v>kWh/m2</v>
      </c>
      <c r="R30" s="1919"/>
    </row>
    <row r="31" spans="2:58" ht="18" customHeight="1">
      <c r="B31" s="738" t="str">
        <f>Uebersetzung!D370</f>
        <v>Plancher exposé à l'air extérieur:</v>
      </c>
      <c r="C31" s="743">
        <f>'M1'!C31/IF(_Ver09,1,3.6)</f>
        <v>0</v>
      </c>
      <c r="D31" s="743">
        <f>'M1'!D31/IF(_Ver09,1,3.6)</f>
        <v>0</v>
      </c>
      <c r="E31" s="743">
        <f>'M1'!E31/IF(_Ver09,1,3.6)</f>
        <v>0</v>
      </c>
      <c r="F31" s="743">
        <f>'M1'!F31/IF(_Ver09,1,3.6)</f>
        <v>0</v>
      </c>
      <c r="G31" s="743">
        <f>'M1'!G31/IF(_Ver09,1,3.6)</f>
        <v>0</v>
      </c>
      <c r="H31" s="743">
        <f>'M1'!H31/IF(_Ver09,1,3.6)</f>
        <v>0</v>
      </c>
      <c r="I31" s="743">
        <f>'M1'!I31/IF(_Ver09,1,3.6)</f>
        <v>0</v>
      </c>
      <c r="J31" s="743">
        <f>'M1'!J31/IF(_Ver09,1,3.6)</f>
        <v>0</v>
      </c>
      <c r="K31" s="743">
        <f>'M1'!K31/IF(_Ver09,1,3.6)</f>
        <v>0</v>
      </c>
      <c r="L31" s="743">
        <f>'M1'!L31/IF(_Ver09,1,3.6)</f>
        <v>0</v>
      </c>
      <c r="M31" s="743">
        <f>'M1'!M31/IF(_Ver09,1,3.6)</f>
        <v>0</v>
      </c>
      <c r="N31" s="744">
        <f>'M1'!N31/IF(_Ver09,1,3.6)</f>
        <v>0</v>
      </c>
      <c r="O31" s="1924">
        <f t="shared" si="2"/>
        <v>0</v>
      </c>
      <c r="P31" s="707" t="str">
        <f t="shared" si="1"/>
        <v>kWh/m2</v>
      </c>
      <c r="Q31" s="707" t="s">
        <v>350</v>
      </c>
      <c r="R31" s="1919"/>
    </row>
    <row r="32" spans="2:58" ht="18" customHeight="1">
      <c r="B32" s="738" t="str">
        <f>Uebersetzung!D371</f>
        <v>Plancher contre des loc. non chauffés:</v>
      </c>
      <c r="C32" s="743">
        <f>'M1'!C32/IF(_Ver09,1,3.6)</f>
        <v>0</v>
      </c>
      <c r="D32" s="743">
        <f>'M1'!D32/IF(_Ver09,1,3.6)</f>
        <v>0</v>
      </c>
      <c r="E32" s="743">
        <f>'M1'!E32/IF(_Ver09,1,3.6)</f>
        <v>0</v>
      </c>
      <c r="F32" s="743">
        <f>'M1'!F32/IF(_Ver09,1,3.6)</f>
        <v>0</v>
      </c>
      <c r="G32" s="743">
        <f>'M1'!G32/IF(_Ver09,1,3.6)</f>
        <v>0</v>
      </c>
      <c r="H32" s="743">
        <f>'M1'!H32/IF(_Ver09,1,3.6)</f>
        <v>0</v>
      </c>
      <c r="I32" s="743">
        <f>'M1'!I32/IF(_Ver09,1,3.6)</f>
        <v>0</v>
      </c>
      <c r="J32" s="743">
        <f>'M1'!J32/IF(_Ver09,1,3.6)</f>
        <v>0</v>
      </c>
      <c r="K32" s="743">
        <f>'M1'!K32/IF(_Ver09,1,3.6)</f>
        <v>0</v>
      </c>
      <c r="L32" s="743">
        <f>'M1'!L32/IF(_Ver09,1,3.6)</f>
        <v>0</v>
      </c>
      <c r="M32" s="743">
        <f>'M1'!M32/IF(_Ver09,1,3.6)</f>
        <v>0</v>
      </c>
      <c r="N32" s="744">
        <f>'M1'!N32/IF(_Ver09,1,3.6)</f>
        <v>0</v>
      </c>
      <c r="O32" s="1924">
        <f t="shared" si="2"/>
        <v>0</v>
      </c>
      <c r="P32" s="707" t="str">
        <f t="shared" si="1"/>
        <v>kWh/m2</v>
      </c>
      <c r="Q32" s="707" t="s">
        <v>350</v>
      </c>
      <c r="R32" s="1919"/>
    </row>
    <row r="33" spans="2:20" ht="18" customHeight="1">
      <c r="B33" s="738" t="str">
        <f>Uebersetzung!D372</f>
        <v>Plancher contre le terrain:</v>
      </c>
      <c r="C33" s="743">
        <f>'M1'!C33/IF(_Ver09,1,3.6)</f>
        <v>0</v>
      </c>
      <c r="D33" s="743">
        <f>'M1'!D33/IF(_Ver09,1,3.6)</f>
        <v>0</v>
      </c>
      <c r="E33" s="743">
        <f>'M1'!E33/IF(_Ver09,1,3.6)</f>
        <v>0</v>
      </c>
      <c r="F33" s="743">
        <f>'M1'!F33/IF(_Ver09,1,3.6)</f>
        <v>0</v>
      </c>
      <c r="G33" s="743">
        <f>'M1'!G33/IF(_Ver09,1,3.6)</f>
        <v>0</v>
      </c>
      <c r="H33" s="743">
        <f>'M1'!H33/IF(_Ver09,1,3.6)</f>
        <v>0</v>
      </c>
      <c r="I33" s="743">
        <f>'M1'!I33/IF(_Ver09,1,3.6)</f>
        <v>0</v>
      </c>
      <c r="J33" s="743">
        <f>'M1'!J33/IF(_Ver09,1,3.6)</f>
        <v>0</v>
      </c>
      <c r="K33" s="743">
        <f>'M1'!K33/IF(_Ver09,1,3.6)</f>
        <v>0</v>
      </c>
      <c r="L33" s="743">
        <f>'M1'!L33/IF(_Ver09,1,3.6)</f>
        <v>0</v>
      </c>
      <c r="M33" s="743">
        <f>'M1'!M33/IF(_Ver09,1,3.6)</f>
        <v>0</v>
      </c>
      <c r="N33" s="744">
        <f>'M1'!N33/IF(_Ver09,1,3.6)</f>
        <v>0</v>
      </c>
      <c r="O33" s="1924">
        <f t="shared" si="2"/>
        <v>0</v>
      </c>
      <c r="P33" s="707" t="str">
        <f t="shared" si="1"/>
        <v>kWh/m2</v>
      </c>
      <c r="Q33" s="707" t="s">
        <v>350</v>
      </c>
      <c r="R33" s="1919"/>
    </row>
    <row r="34" spans="2:20" ht="18" customHeight="1">
      <c r="B34" s="738" t="str">
        <f>Uebersetzung!D373</f>
        <v>Plancher contre des locaux chauffés:</v>
      </c>
      <c r="C34" s="743">
        <f>'M1'!C34/IF(_Ver09,1,3.6)</f>
        <v>0</v>
      </c>
      <c r="D34" s="743">
        <f>'M1'!D34/IF(_Ver09,1,3.6)</f>
        <v>0</v>
      </c>
      <c r="E34" s="743">
        <f>'M1'!E34/IF(_Ver09,1,3.6)</f>
        <v>0</v>
      </c>
      <c r="F34" s="743">
        <f>'M1'!F34/IF(_Ver09,1,3.6)</f>
        <v>0</v>
      </c>
      <c r="G34" s="743">
        <f>'M1'!G34/IF(_Ver09,1,3.6)</f>
        <v>0</v>
      </c>
      <c r="H34" s="743">
        <f>'M1'!H34/IF(_Ver09,1,3.6)</f>
        <v>0</v>
      </c>
      <c r="I34" s="743">
        <f>'M1'!I34/IF(_Ver09,1,3.6)</f>
        <v>0</v>
      </c>
      <c r="J34" s="743">
        <f>'M1'!J34/IF(_Ver09,1,3.6)</f>
        <v>0</v>
      </c>
      <c r="K34" s="743">
        <f>'M1'!K34/IF(_Ver09,1,3.6)</f>
        <v>0</v>
      </c>
      <c r="L34" s="743">
        <f>'M1'!L34/IF(_Ver09,1,3.6)</f>
        <v>0</v>
      </c>
      <c r="M34" s="743">
        <f>'M1'!M34/IF(_Ver09,1,3.6)</f>
        <v>0</v>
      </c>
      <c r="N34" s="744">
        <f>'M1'!N34/IF(_Ver09,1,3.6)</f>
        <v>0</v>
      </c>
      <c r="O34" s="1924">
        <f>SUM(C34:N34)</f>
        <v>0</v>
      </c>
      <c r="P34" s="707" t="str">
        <f t="shared" si="1"/>
        <v>kWh/m2</v>
      </c>
      <c r="R34" s="1919"/>
    </row>
    <row r="35" spans="2:20" ht="18" customHeight="1">
      <c r="B35" s="738" t="str">
        <f>Uebersetzung!D374</f>
        <v>Fenêtre zénithale:</v>
      </c>
      <c r="C35" s="743">
        <f>'M1'!C35/IF(_Ver09,1,3.6)</f>
        <v>0</v>
      </c>
      <c r="D35" s="743">
        <f>'M1'!D35/IF(_Ver09,1,3.6)</f>
        <v>0</v>
      </c>
      <c r="E35" s="743">
        <f>'M1'!E35/IF(_Ver09,1,3.6)</f>
        <v>0</v>
      </c>
      <c r="F35" s="743">
        <f>'M1'!F35/IF(_Ver09,1,3.6)</f>
        <v>0</v>
      </c>
      <c r="G35" s="743">
        <f>'M1'!G35/IF(_Ver09,1,3.6)</f>
        <v>0</v>
      </c>
      <c r="H35" s="743">
        <f>'M1'!H35/IF(_Ver09,1,3.6)</f>
        <v>0</v>
      </c>
      <c r="I35" s="743">
        <f>'M1'!I35/IF(_Ver09,1,3.6)</f>
        <v>0</v>
      </c>
      <c r="J35" s="743">
        <f>'M1'!J35/IF(_Ver09,1,3.6)</f>
        <v>0</v>
      </c>
      <c r="K35" s="743">
        <f>'M1'!K35/IF(_Ver09,1,3.6)</f>
        <v>0</v>
      </c>
      <c r="L35" s="743">
        <f>'M1'!L35/IF(_Ver09,1,3.6)</f>
        <v>0</v>
      </c>
      <c r="M35" s="743">
        <f>'M1'!M35/IF(_Ver09,1,3.6)</f>
        <v>0</v>
      </c>
      <c r="N35" s="744">
        <f>'M1'!N35/IF(_Ver09,1,3.6)</f>
        <v>0</v>
      </c>
      <c r="O35" s="1924">
        <f t="shared" si="2"/>
        <v>0</v>
      </c>
      <c r="P35" s="707" t="str">
        <f t="shared" si="1"/>
        <v>kWh/m2</v>
      </c>
      <c r="Q35" s="707" t="s">
        <v>350</v>
      </c>
      <c r="R35" s="1919"/>
    </row>
    <row r="36" spans="2:20" ht="18" customHeight="1">
      <c r="B36" s="738" t="str">
        <f>'M1'!B36</f>
        <v>Fenêtre orientée au sud:</v>
      </c>
      <c r="C36" s="743">
        <f>'M1'!C36/IF(_Ver09,1,3.6)</f>
        <v>0</v>
      </c>
      <c r="D36" s="743">
        <f>'M1'!D36/IF(_Ver09,1,3.6)</f>
        <v>0</v>
      </c>
      <c r="E36" s="743">
        <f>'M1'!E36/IF(_Ver09,1,3.6)</f>
        <v>0</v>
      </c>
      <c r="F36" s="743">
        <f>'M1'!F36/IF(_Ver09,1,3.6)</f>
        <v>0</v>
      </c>
      <c r="G36" s="743">
        <f>'M1'!G36/IF(_Ver09,1,3.6)</f>
        <v>0</v>
      </c>
      <c r="H36" s="743">
        <f>'M1'!H36/IF(_Ver09,1,3.6)</f>
        <v>0</v>
      </c>
      <c r="I36" s="743">
        <f>'M1'!I36/IF(_Ver09,1,3.6)</f>
        <v>0</v>
      </c>
      <c r="J36" s="743">
        <f>'M1'!J36/IF(_Ver09,1,3.6)</f>
        <v>0</v>
      </c>
      <c r="K36" s="743">
        <f>'M1'!K36/IF(_Ver09,1,3.6)</f>
        <v>0</v>
      </c>
      <c r="L36" s="743">
        <f>'M1'!L36/IF(_Ver09,1,3.6)</f>
        <v>0</v>
      </c>
      <c r="M36" s="743">
        <f>'M1'!M36/IF(_Ver09,1,3.6)</f>
        <v>0</v>
      </c>
      <c r="N36" s="744">
        <f>'M1'!N36/IF(_Ver09,1,3.6)</f>
        <v>0</v>
      </c>
      <c r="O36" s="1924">
        <f t="shared" si="2"/>
        <v>0</v>
      </c>
      <c r="P36" s="707" t="str">
        <f t="shared" si="1"/>
        <v>kWh/m2</v>
      </c>
      <c r="Q36" s="707" t="s">
        <v>350</v>
      </c>
      <c r="R36" s="1919"/>
    </row>
    <row r="37" spans="2:20" ht="18" customHeight="1">
      <c r="B37" s="738" t="str">
        <f>'M1'!B37</f>
        <v>Fenêtre orientée à l'est:</v>
      </c>
      <c r="C37" s="743">
        <f>'M1'!C37/IF(_Ver09,1,3.6)</f>
        <v>0</v>
      </c>
      <c r="D37" s="743">
        <f>'M1'!D37/IF(_Ver09,1,3.6)</f>
        <v>0</v>
      </c>
      <c r="E37" s="743">
        <f>'M1'!E37/IF(_Ver09,1,3.6)</f>
        <v>0</v>
      </c>
      <c r="F37" s="743">
        <f>'M1'!F37/IF(_Ver09,1,3.6)</f>
        <v>0</v>
      </c>
      <c r="G37" s="743">
        <f>'M1'!G37/IF(_Ver09,1,3.6)</f>
        <v>0</v>
      </c>
      <c r="H37" s="743">
        <f>'M1'!H37/IF(_Ver09,1,3.6)</f>
        <v>0</v>
      </c>
      <c r="I37" s="743">
        <f>'M1'!I37/IF(_Ver09,1,3.6)</f>
        <v>0</v>
      </c>
      <c r="J37" s="743">
        <f>'M1'!J37/IF(_Ver09,1,3.6)</f>
        <v>0</v>
      </c>
      <c r="K37" s="743">
        <f>'M1'!K37/IF(_Ver09,1,3.6)</f>
        <v>0</v>
      </c>
      <c r="L37" s="743">
        <f>'M1'!L37/IF(_Ver09,1,3.6)</f>
        <v>0</v>
      </c>
      <c r="M37" s="743">
        <f>'M1'!M37/IF(_Ver09,1,3.6)</f>
        <v>0</v>
      </c>
      <c r="N37" s="744">
        <f>'M1'!N37/IF(_Ver09,1,3.6)</f>
        <v>0</v>
      </c>
      <c r="O37" s="1924">
        <f t="shared" si="2"/>
        <v>0</v>
      </c>
      <c r="P37" s="707" t="str">
        <f t="shared" si="1"/>
        <v>kWh/m2</v>
      </c>
      <c r="Q37" s="707" t="s">
        <v>350</v>
      </c>
      <c r="R37" s="1919"/>
    </row>
    <row r="38" spans="2:20" ht="18" customHeight="1">
      <c r="B38" s="738" t="str">
        <f>'M1'!B38</f>
        <v>Fenêtre orientée à l'ouest:</v>
      </c>
      <c r="C38" s="743">
        <f>'M1'!C38/IF(_Ver09,1,3.6)</f>
        <v>0</v>
      </c>
      <c r="D38" s="743">
        <f>'M1'!D38/IF(_Ver09,1,3.6)</f>
        <v>0</v>
      </c>
      <c r="E38" s="743">
        <f>'M1'!E38/IF(_Ver09,1,3.6)</f>
        <v>0</v>
      </c>
      <c r="F38" s="743">
        <f>'M1'!F38/IF(_Ver09,1,3.6)</f>
        <v>0</v>
      </c>
      <c r="G38" s="743">
        <f>'M1'!G38/IF(_Ver09,1,3.6)</f>
        <v>0</v>
      </c>
      <c r="H38" s="743">
        <f>'M1'!H38/IF(_Ver09,1,3.6)</f>
        <v>0</v>
      </c>
      <c r="I38" s="743">
        <f>'M1'!I38/IF(_Ver09,1,3.6)</f>
        <v>0</v>
      </c>
      <c r="J38" s="743">
        <f>'M1'!J38/IF(_Ver09,1,3.6)</f>
        <v>0</v>
      </c>
      <c r="K38" s="743">
        <f>'M1'!K38/IF(_Ver09,1,3.6)</f>
        <v>0</v>
      </c>
      <c r="L38" s="743">
        <f>'M1'!L38/IF(_Ver09,1,3.6)</f>
        <v>0</v>
      </c>
      <c r="M38" s="743">
        <f>'M1'!M38/IF(_Ver09,1,3.6)</f>
        <v>0</v>
      </c>
      <c r="N38" s="744">
        <f>'M1'!N38/IF(_Ver09,1,3.6)</f>
        <v>0</v>
      </c>
      <c r="O38" s="1924">
        <f t="shared" si="2"/>
        <v>0</v>
      </c>
      <c r="P38" s="707" t="str">
        <f t="shared" si="1"/>
        <v>kWh/m2</v>
      </c>
      <c r="Q38" s="707" t="s">
        <v>350</v>
      </c>
      <c r="R38" s="1919"/>
    </row>
    <row r="39" spans="2:20" ht="18" customHeight="1">
      <c r="B39" s="738" t="str">
        <f>'M1'!B39</f>
        <v>Fenêtre orientée au nord:</v>
      </c>
      <c r="C39" s="743">
        <f>'M1'!C39/IF(_Ver09,1,3.6)</f>
        <v>0</v>
      </c>
      <c r="D39" s="743">
        <f>'M1'!D39/IF(_Ver09,1,3.6)</f>
        <v>0</v>
      </c>
      <c r="E39" s="743">
        <f>'M1'!E39/IF(_Ver09,1,3.6)</f>
        <v>0</v>
      </c>
      <c r="F39" s="743">
        <f>'M1'!F39/IF(_Ver09,1,3.6)</f>
        <v>0</v>
      </c>
      <c r="G39" s="743">
        <f>'M1'!G39/IF(_Ver09,1,3.6)</f>
        <v>0</v>
      </c>
      <c r="H39" s="743">
        <f>'M1'!H39/IF(_Ver09,1,3.6)</f>
        <v>0</v>
      </c>
      <c r="I39" s="743">
        <f>'M1'!I39/IF(_Ver09,1,3.6)</f>
        <v>0</v>
      </c>
      <c r="J39" s="743">
        <f>'M1'!J39/IF(_Ver09,1,3.6)</f>
        <v>0</v>
      </c>
      <c r="K39" s="743">
        <f>'M1'!K39/IF(_Ver09,1,3.6)</f>
        <v>0</v>
      </c>
      <c r="L39" s="743">
        <f>'M1'!L39/IF(_Ver09,1,3.6)</f>
        <v>0</v>
      </c>
      <c r="M39" s="743">
        <f>'M1'!M39/IF(_Ver09,1,3.6)</f>
        <v>0</v>
      </c>
      <c r="N39" s="744">
        <f>'M1'!N39/IF(_Ver09,1,3.6)</f>
        <v>0</v>
      </c>
      <c r="O39" s="1924">
        <f>SUM(C39:N39)</f>
        <v>0</v>
      </c>
      <c r="P39" s="707" t="str">
        <f t="shared" si="1"/>
        <v>kWh/m2</v>
      </c>
      <c r="Q39" s="707" t="s">
        <v>350</v>
      </c>
      <c r="R39" s="1919"/>
    </row>
    <row r="40" spans="2:20" ht="18" customHeight="1">
      <c r="B40" s="738" t="str">
        <f>Uebersetzung!D383</f>
        <v>Ponts thermiques:</v>
      </c>
      <c r="C40" s="743">
        <f>'M1'!C40/IF(_Ver09,1,3.6)</f>
        <v>0</v>
      </c>
      <c r="D40" s="743">
        <f>'M1'!D40/IF(_Ver09,1,3.6)</f>
        <v>0</v>
      </c>
      <c r="E40" s="743">
        <f>'M1'!E40/IF(_Ver09,1,3.6)</f>
        <v>0</v>
      </c>
      <c r="F40" s="743">
        <f>'M1'!F40/IF(_Ver09,1,3.6)</f>
        <v>0</v>
      </c>
      <c r="G40" s="743">
        <f>'M1'!G40/IF(_Ver09,1,3.6)</f>
        <v>0</v>
      </c>
      <c r="H40" s="743">
        <f>'M1'!H40/IF(_Ver09,1,3.6)</f>
        <v>0</v>
      </c>
      <c r="I40" s="743">
        <f>'M1'!I40/IF(_Ver09,1,3.6)</f>
        <v>0</v>
      </c>
      <c r="J40" s="743">
        <f>'M1'!J40/IF(_Ver09,1,3.6)</f>
        <v>0</v>
      </c>
      <c r="K40" s="743">
        <f>'M1'!K40/IF(_Ver09,1,3.6)</f>
        <v>0</v>
      </c>
      <c r="L40" s="743">
        <f>'M1'!L40/IF(_Ver09,1,3.6)</f>
        <v>0</v>
      </c>
      <c r="M40" s="743">
        <f>'M1'!M40/IF(_Ver09,1,3.6)</f>
        <v>0</v>
      </c>
      <c r="N40" s="744">
        <f>'M1'!N40/IF(_Ver09,1,3.6)</f>
        <v>0</v>
      </c>
      <c r="O40" s="1924">
        <f>SUM(C40:N40)</f>
        <v>0</v>
      </c>
      <c r="P40" s="707" t="str">
        <f t="shared" si="1"/>
        <v>kWh/m2</v>
      </c>
      <c r="Q40" s="707" t="s">
        <v>350</v>
      </c>
      <c r="R40" s="1919"/>
    </row>
    <row r="41" spans="2:20" ht="18" customHeight="1">
      <c r="B41" s="738" t="str">
        <f>Uebersetzung!D384</f>
        <v>Lucido / TWD:</v>
      </c>
      <c r="C41" s="743">
        <f>'M1'!C41/IF(_Ver09,1,3.6)</f>
        <v>0</v>
      </c>
      <c r="D41" s="743">
        <f>'M1'!D41/IF(_Ver09,1,3.6)</f>
        <v>0</v>
      </c>
      <c r="E41" s="743">
        <f>'M1'!E41/IF(_Ver09,1,3.6)</f>
        <v>0</v>
      </c>
      <c r="F41" s="743">
        <f>'M1'!F41/IF(_Ver09,1,3.6)</f>
        <v>0</v>
      </c>
      <c r="G41" s="743">
        <f>'M1'!G41/IF(_Ver09,1,3.6)</f>
        <v>0</v>
      </c>
      <c r="H41" s="743">
        <f>'M1'!H41/IF(_Ver09,1,3.6)</f>
        <v>0</v>
      </c>
      <c r="I41" s="743">
        <f>'M1'!I41/IF(_Ver09,1,3.6)</f>
        <v>0</v>
      </c>
      <c r="J41" s="743">
        <f>'M1'!J41/IF(_Ver09,1,3.6)</f>
        <v>0</v>
      </c>
      <c r="K41" s="743">
        <f>'M1'!K41/IF(_Ver09,1,3.6)</f>
        <v>0</v>
      </c>
      <c r="L41" s="743">
        <f>'M1'!L41/IF(_Ver09,1,3.6)</f>
        <v>0</v>
      </c>
      <c r="M41" s="743">
        <f>'M1'!M41/IF(_Ver09,1,3.6)</f>
        <v>0</v>
      </c>
      <c r="N41" s="744">
        <f>'M1'!N41/IF(_Ver09,1,3.6)</f>
        <v>0</v>
      </c>
      <c r="O41" s="1924">
        <f>SUM(C41:N41)</f>
        <v>0</v>
      </c>
      <c r="P41" s="707" t="str">
        <f t="shared" si="1"/>
        <v>kWh/m2</v>
      </c>
      <c r="R41" s="1919"/>
    </row>
    <row r="42" spans="2:20" ht="18" customHeight="1">
      <c r="B42" s="738" t="str">
        <f>Uebersetzung!D385</f>
        <v>Déperditions par transmission QT:</v>
      </c>
      <c r="C42" s="743">
        <f>'M1'!C42/IF(_Ver09,1,3.6)</f>
        <v>0</v>
      </c>
      <c r="D42" s="743">
        <f>'M1'!D42/IF(_Ver09,1,3.6)</f>
        <v>0</v>
      </c>
      <c r="E42" s="743">
        <f>'M1'!E42/IF(_Ver09,1,3.6)</f>
        <v>0</v>
      </c>
      <c r="F42" s="743">
        <f>'M1'!F42/IF(_Ver09,1,3.6)</f>
        <v>0</v>
      </c>
      <c r="G42" s="743">
        <f>'M1'!G42/IF(_Ver09,1,3.6)</f>
        <v>0</v>
      </c>
      <c r="H42" s="743">
        <f>'M1'!H42/IF(_Ver09,1,3.6)</f>
        <v>0</v>
      </c>
      <c r="I42" s="743">
        <f>'M1'!I42/IF(_Ver09,1,3.6)</f>
        <v>0</v>
      </c>
      <c r="J42" s="743">
        <f>'M1'!J42/IF(_Ver09,1,3.6)</f>
        <v>0</v>
      </c>
      <c r="K42" s="743">
        <f>'M1'!K42/IF(_Ver09,1,3.6)</f>
        <v>0</v>
      </c>
      <c r="L42" s="743">
        <f>'M1'!L42/IF(_Ver09,1,3.6)</f>
        <v>0</v>
      </c>
      <c r="M42" s="743">
        <f>'M1'!M42/IF(_Ver09,1,3.6)</f>
        <v>0</v>
      </c>
      <c r="N42" s="744">
        <f>'M1'!N42/IF(_Ver09,1,3.6)</f>
        <v>0</v>
      </c>
      <c r="O42" s="1924">
        <f>SUM(C42:N42)</f>
        <v>0</v>
      </c>
      <c r="P42" s="707" t="str">
        <f t="shared" si="1"/>
        <v>kWh/m2</v>
      </c>
      <c r="R42" s="1919"/>
      <c r="S42" s="709"/>
    </row>
    <row r="43" spans="2:20" ht="29.45" customHeight="1">
      <c r="B43" s="687" t="str">
        <f>Uebersetzung!D386</f>
        <v>G: Déperditions par renouvellement d'air:</v>
      </c>
      <c r="C43" s="711"/>
      <c r="D43" s="743"/>
      <c r="E43" s="711"/>
      <c r="F43" s="711"/>
      <c r="G43" s="711"/>
      <c r="H43" s="711"/>
      <c r="I43" s="711"/>
      <c r="J43" s="711"/>
      <c r="K43" s="711"/>
      <c r="L43" s="711"/>
      <c r="M43" s="711"/>
      <c r="N43" s="747"/>
      <c r="O43" s="708"/>
      <c r="R43" s="1919"/>
    </row>
    <row r="44" spans="2:20" ht="18" customHeight="1">
      <c r="B44" s="738" t="str">
        <f>IF(eff,Uebersetzung!D669,Uebersetzung!D387)</f>
        <v>Dép. par renouvellement de l'air QV:</v>
      </c>
      <c r="C44" s="743">
        <f>IF(opti,'M2'!C44/IF(_Ver09,1,3.6),IF(eff,'M3'!C44/IF(_Ver09,1,3.6),'M1'!C44/IF(_Ver09,1,3.6)))</f>
        <v>0</v>
      </c>
      <c r="D44" s="743">
        <f>IF(opti,'M2'!D44/IF(_Ver09,1,3.6),IF(eff,'M3'!D44/IF(_Ver09,1,3.6),'M1'!D44/IF(_Ver09,1,3.6)))</f>
        <v>0</v>
      </c>
      <c r="E44" s="743">
        <f>IF(opti,'M2'!E44/IF(_Ver09,1,3.6),IF(eff,'M3'!E44/IF(_Ver09,1,3.6),'M1'!E44/IF(_Ver09,1,3.6)))</f>
        <v>0</v>
      </c>
      <c r="F44" s="743">
        <f>IF(opti,'M2'!F44/IF(_Ver09,1,3.6),IF(eff,'M3'!F44/IF(_Ver09,1,3.6),'M1'!F44/IF(_Ver09,1,3.6)))</f>
        <v>0</v>
      </c>
      <c r="G44" s="743">
        <f>IF(opti,'M2'!G44/IF(_Ver09,1,3.6),IF(eff,'M3'!G44/IF(_Ver09,1,3.6),'M1'!G44/IF(_Ver09,1,3.6)))</f>
        <v>0</v>
      </c>
      <c r="H44" s="743">
        <f>IF(opti,'M2'!H44/IF(_Ver09,1,3.6),IF(eff,'M3'!H44/IF(_Ver09,1,3.6),'M1'!H44/IF(_Ver09,1,3.6)))</f>
        <v>0</v>
      </c>
      <c r="I44" s="743">
        <f>IF(opti,'M2'!I44/IF(_Ver09,1,3.6),IF(eff,'M3'!I44/IF(_Ver09,1,3.6),'M1'!I44/IF(_Ver09,1,3.6)))</f>
        <v>0</v>
      </c>
      <c r="J44" s="743">
        <f>IF(opti,'M2'!J44/IF(_Ver09,1,3.6),IF(eff,'M3'!J44/IF(_Ver09,1,3.6),'M1'!J44/IF(_Ver09,1,3.6)))</f>
        <v>0</v>
      </c>
      <c r="K44" s="743">
        <f>IF(opti,'M2'!K44/IF(_Ver09,1,3.6),IF(eff,'M3'!K44/IF(_Ver09,1,3.6),'M1'!K44/IF(_Ver09,1,3.6)))</f>
        <v>0</v>
      </c>
      <c r="L44" s="743">
        <f>IF(opti,'M2'!L44/IF(_Ver09,1,3.6),IF(eff,'M3'!L44/IF(_Ver09,1,3.6),'M1'!L44/IF(_Ver09,1,3.6)))</f>
        <v>0</v>
      </c>
      <c r="M44" s="743">
        <f>IF(opti,'M2'!M44/IF(_Ver09,1,3.6),IF(eff,'M3'!M44/IF(_Ver09,1,3.6),'M1'!M44/IF(_Ver09,1,3.6)))</f>
        <v>0</v>
      </c>
      <c r="N44" s="744">
        <f>IF(opti,'M2'!N44/IF(_Ver09,1,3.6),IF(eff,'M3'!N44/IF(_Ver09,1,3.6),'M1'!N44/IF(_Ver09,1,3.6)))</f>
        <v>0</v>
      </c>
      <c r="O44" s="1924">
        <f>SUM(C44:N44)</f>
        <v>0</v>
      </c>
      <c r="P44" s="707" t="str">
        <f>IF(_Ver09,"MJ/m2a","kWh/m2")</f>
        <v>kWh/m2</v>
      </c>
      <c r="Q44" s="707" t="s">
        <v>350</v>
      </c>
      <c r="R44" s="1920"/>
      <c r="S44" s="1916"/>
      <c r="T44" s="749"/>
    </row>
    <row r="45" spans="2:20" ht="18" customHeight="1">
      <c r="B45" s="738"/>
      <c r="C45" s="750"/>
      <c r="D45" s="750"/>
      <c r="E45" s="750"/>
      <c r="F45" s="750"/>
      <c r="G45" s="750"/>
      <c r="H45" s="750"/>
      <c r="I45" s="750"/>
      <c r="J45" s="750"/>
      <c r="K45" s="750"/>
      <c r="L45" s="750"/>
      <c r="M45" s="750"/>
      <c r="N45" s="752"/>
      <c r="O45" s="1924"/>
      <c r="R45" s="1919"/>
    </row>
    <row r="46" spans="2:20" ht="18" customHeight="1">
      <c r="B46" s="742" t="str">
        <f>Uebersetzung!D388</f>
        <v>H: Déperditions totales:</v>
      </c>
      <c r="D46" s="711"/>
      <c r="N46" s="740"/>
      <c r="O46" s="708"/>
      <c r="R46" s="1919"/>
    </row>
    <row r="47" spans="2:20" ht="18" customHeight="1">
      <c r="B47" s="738" t="str">
        <f>Uebersetzung!D389</f>
        <v>Déperditions totales Qt:</v>
      </c>
      <c r="C47" s="743">
        <f t="shared" ref="C47:N47" si="3">C42+C44</f>
        <v>0</v>
      </c>
      <c r="D47" s="743">
        <f t="shared" si="3"/>
        <v>0</v>
      </c>
      <c r="E47" s="743">
        <f t="shared" si="3"/>
        <v>0</v>
      </c>
      <c r="F47" s="743">
        <f t="shared" si="3"/>
        <v>0</v>
      </c>
      <c r="G47" s="743">
        <f t="shared" si="3"/>
        <v>0</v>
      </c>
      <c r="H47" s="743">
        <f t="shared" si="3"/>
        <v>0</v>
      </c>
      <c r="I47" s="743">
        <f t="shared" si="3"/>
        <v>0</v>
      </c>
      <c r="J47" s="743">
        <f t="shared" si="3"/>
        <v>0</v>
      </c>
      <c r="K47" s="743">
        <f t="shared" si="3"/>
        <v>0</v>
      </c>
      <c r="L47" s="743">
        <f t="shared" si="3"/>
        <v>0</v>
      </c>
      <c r="M47" s="743">
        <f t="shared" si="3"/>
        <v>0</v>
      </c>
      <c r="N47" s="744">
        <f t="shared" si="3"/>
        <v>0</v>
      </c>
      <c r="O47" s="1924">
        <f>SUM(C47:N47)</f>
        <v>0</v>
      </c>
      <c r="P47" s="707" t="str">
        <f>IF(_Ver09,"MJ/m2a","kWh/m2")</f>
        <v>kWh/m2</v>
      </c>
      <c r="R47" s="1919"/>
      <c r="S47" s="753"/>
      <c r="T47" s="749"/>
    </row>
    <row r="48" spans="2:20" ht="29.45" customHeight="1">
      <c r="B48" s="754" t="str">
        <f>Uebersetzung!D390</f>
        <v>I: Apports de chaleur:</v>
      </c>
      <c r="C48" s="743"/>
      <c r="D48" s="743"/>
      <c r="E48" s="1933"/>
      <c r="F48" s="1933"/>
      <c r="G48" s="1933"/>
      <c r="H48" s="1933"/>
      <c r="I48" s="1933"/>
      <c r="J48" s="1933"/>
      <c r="K48" s="1933"/>
      <c r="L48" s="1933"/>
      <c r="M48" s="1933"/>
      <c r="N48" s="736"/>
      <c r="O48" s="1924"/>
      <c r="R48" s="1919"/>
    </row>
    <row r="49" spans="2:20" ht="18" customHeight="1">
      <c r="B49" s="738" t="str">
        <f>Uebersetzung!D391</f>
        <v>Apports solaires Lucido / TWD:</v>
      </c>
      <c r="C49" s="743">
        <f>'M1'!C49/IF(_Ver09,1,3.6)</f>
        <v>0</v>
      </c>
      <c r="D49" s="743">
        <f>'M1'!D49/IF(_Ver09,1,3.6)</f>
        <v>0</v>
      </c>
      <c r="E49" s="743">
        <f>'M1'!E49/IF(_Ver09,1,3.6)</f>
        <v>0</v>
      </c>
      <c r="F49" s="743">
        <f>'M1'!F49/IF(_Ver09,1,3.6)</f>
        <v>0</v>
      </c>
      <c r="G49" s="743">
        <f>'M1'!G49/IF(_Ver09,1,3.6)</f>
        <v>0</v>
      </c>
      <c r="H49" s="743">
        <f>'M1'!H49/IF(_Ver09,1,3.6)</f>
        <v>0</v>
      </c>
      <c r="I49" s="743">
        <f>'M1'!I49/IF(_Ver09,1,3.6)</f>
        <v>0</v>
      </c>
      <c r="J49" s="743">
        <f>'M1'!J49/IF(_Ver09,1,3.6)</f>
        <v>0</v>
      </c>
      <c r="K49" s="743">
        <f>'M1'!K49/IF(_Ver09,1,3.6)</f>
        <v>0</v>
      </c>
      <c r="L49" s="743">
        <f>'M1'!L49/IF(_Ver09,1,3.6)</f>
        <v>0</v>
      </c>
      <c r="M49" s="743">
        <f>'M1'!M49/IF(_Ver09,1,3.6)</f>
        <v>0</v>
      </c>
      <c r="N49" s="744">
        <f>'M1'!N49/IF(_Ver09,1,3.6)</f>
        <v>0</v>
      </c>
      <c r="O49" s="1924">
        <f>SUM(C49:N49)</f>
        <v>0</v>
      </c>
      <c r="P49" s="707" t="str">
        <f t="shared" ref="P49:P59" si="4">IF(_Ver09,"MJ/m2a","kWh/m2")</f>
        <v>kWh/m2</v>
      </c>
      <c r="R49" s="1919"/>
    </row>
    <row r="50" spans="2:20" ht="18" customHeight="1">
      <c r="B50" s="738" t="str">
        <f>Uebersetzung!D392</f>
        <v>interne des installations élec. QiE:</v>
      </c>
      <c r="C50" s="743">
        <f>IF(opti,'M2'!C50/IF(_Ver09,1,3.6),'M1'!C50/IF(_Ver09,1,3.6))</f>
        <v>0</v>
      </c>
      <c r="D50" s="743">
        <f>IF(opti,'M2'!D50/IF(_Ver09,1,3.6),'M1'!D50/IF(_Ver09,1,3.6))</f>
        <v>0</v>
      </c>
      <c r="E50" s="743">
        <f>IF(opti,'M2'!E50/IF(_Ver09,1,3.6),'M1'!E50/IF(_Ver09,1,3.6))</f>
        <v>0</v>
      </c>
      <c r="F50" s="743">
        <f>IF(opti,'M2'!F50/IF(_Ver09,1,3.6),'M1'!F50/IF(_Ver09,1,3.6))</f>
        <v>0</v>
      </c>
      <c r="G50" s="743">
        <f>IF(opti,'M2'!G50/IF(_Ver09,1,3.6),'M1'!G50/IF(_Ver09,1,3.6))</f>
        <v>0</v>
      </c>
      <c r="H50" s="743">
        <f>IF(opti,'M2'!H50/IF(_Ver09,1,3.6),'M1'!H50/IF(_Ver09,1,3.6))</f>
        <v>0</v>
      </c>
      <c r="I50" s="743">
        <f>IF(opti,'M2'!I50/IF(_Ver09,1,3.6),'M1'!I50/IF(_Ver09,1,3.6))</f>
        <v>0</v>
      </c>
      <c r="J50" s="743">
        <f>IF(opti,'M2'!J50/IF(_Ver09,1,3.6),'M1'!J50/IF(_Ver09,1,3.6))</f>
        <v>0</v>
      </c>
      <c r="K50" s="743">
        <f>IF(opti,'M2'!K50/IF(_Ver09,1,3.6),'M1'!K50/IF(_Ver09,1,3.6))</f>
        <v>0</v>
      </c>
      <c r="L50" s="743">
        <f>IF(opti,'M2'!L50/IF(_Ver09,1,3.6),'M1'!L50/IF(_Ver09,1,3.6))</f>
        <v>0</v>
      </c>
      <c r="M50" s="743">
        <f>IF(opti,'M2'!M50/IF(_Ver09,1,3.6),'M1'!M50/IF(_Ver09,1,3.6))</f>
        <v>0</v>
      </c>
      <c r="N50" s="744">
        <f>IF(opti,'M2'!N50/IF(_Ver09,1,3.6),'M1'!N50/IF(_Ver09,1,3.6))</f>
        <v>0</v>
      </c>
      <c r="O50" s="1924">
        <f>SUM(C50:N50)</f>
        <v>0</v>
      </c>
      <c r="P50" s="707" t="str">
        <f t="shared" si="4"/>
        <v>kWh/m2</v>
      </c>
      <c r="Q50" s="755" t="s">
        <v>350</v>
      </c>
      <c r="R50" s="1919"/>
    </row>
    <row r="51" spans="2:20" ht="18" customHeight="1">
      <c r="B51" s="738" t="str">
        <f>Uebersetzung!D393</f>
        <v>interne dus aux personnes QiP:</v>
      </c>
      <c r="C51" s="743">
        <f>IF(opti,'M2'!C51/IF(_Ver09,1,3.6),'M1'!C51/IF(_Ver09,1,3.6))</f>
        <v>0</v>
      </c>
      <c r="D51" s="743">
        <f>IF(opti,'M2'!D51/IF(_Ver09,1,3.6),'M1'!D51/IF(_Ver09,1,3.6))</f>
        <v>0</v>
      </c>
      <c r="E51" s="743">
        <f>IF(opti,'M2'!E51/IF(_Ver09,1,3.6),'M1'!E51/IF(_Ver09,1,3.6))</f>
        <v>0</v>
      </c>
      <c r="F51" s="743">
        <f>IF(opti,'M2'!F51/IF(_Ver09,1,3.6),'M1'!F51/IF(_Ver09,1,3.6))</f>
        <v>0</v>
      </c>
      <c r="G51" s="743">
        <f>IF(opti,'M2'!G51/IF(_Ver09,1,3.6),'M1'!G51/IF(_Ver09,1,3.6))</f>
        <v>0</v>
      </c>
      <c r="H51" s="743">
        <f>IF(opti,'M2'!H51/IF(_Ver09,1,3.6),'M1'!H51/IF(_Ver09,1,3.6))</f>
        <v>0</v>
      </c>
      <c r="I51" s="743">
        <f>IF(opti,'M2'!I51/IF(_Ver09,1,3.6),'M1'!I51/IF(_Ver09,1,3.6))</f>
        <v>0</v>
      </c>
      <c r="J51" s="743">
        <f>IF(opti,'M2'!J51/IF(_Ver09,1,3.6),'M1'!J51/IF(_Ver09,1,3.6))</f>
        <v>0</v>
      </c>
      <c r="K51" s="743">
        <f>IF(opti,'M2'!K51/IF(_Ver09,1,3.6),'M1'!K51/IF(_Ver09,1,3.6))</f>
        <v>0</v>
      </c>
      <c r="L51" s="743">
        <f>IF(opti,'M2'!L51/IF(_Ver09,1,3.6),'M1'!L51/IF(_Ver09,1,3.6))</f>
        <v>0</v>
      </c>
      <c r="M51" s="743">
        <f>IF(opti,'M2'!M51/IF(_Ver09,1,3.6),'M1'!M51/IF(_Ver09,1,3.6))</f>
        <v>0</v>
      </c>
      <c r="N51" s="744">
        <f>IF(opti,'M2'!N51/IF(_Ver09,1,3.6),'M1'!N51/IF(_Ver09,1,3.6))</f>
        <v>0</v>
      </c>
      <c r="O51" s="1924">
        <f>SUM(C51:N51)</f>
        <v>0</v>
      </c>
      <c r="P51" s="707" t="str">
        <f t="shared" si="4"/>
        <v>kWh/m2</v>
      </c>
      <c r="Q51" s="755" t="s">
        <v>350</v>
      </c>
      <c r="R51" s="1919"/>
    </row>
    <row r="52" spans="2:20" ht="18" customHeight="1">
      <c r="B52" s="738" t="str">
        <f>Uebersetzung!D394</f>
        <v>Apports de chaleur internes Qi:</v>
      </c>
      <c r="C52" s="743">
        <f>IF(opti,'M2'!C52/IF(_Ver09,1,3.6),'M1'!C52/IF(_Ver09,1,3.6))</f>
        <v>0</v>
      </c>
      <c r="D52" s="743">
        <f>IF(opti,'M2'!D52/IF(_Ver09,1,3.6),'M1'!D52/IF(_Ver09,1,3.6))</f>
        <v>0</v>
      </c>
      <c r="E52" s="743">
        <f>IF(opti,'M2'!E52/IF(_Ver09,1,3.6),'M1'!E52/IF(_Ver09,1,3.6))</f>
        <v>0</v>
      </c>
      <c r="F52" s="743">
        <f>IF(opti,'M2'!F52/IF(_Ver09,1,3.6),'M1'!F52/IF(_Ver09,1,3.6))</f>
        <v>0</v>
      </c>
      <c r="G52" s="743">
        <f>IF(opti,'M2'!G52/IF(_Ver09,1,3.6),'M1'!G52/IF(_Ver09,1,3.6))</f>
        <v>0</v>
      </c>
      <c r="H52" s="743">
        <f>IF(opti,'M2'!H52/IF(_Ver09,1,3.6),'M1'!H52/IF(_Ver09,1,3.6))</f>
        <v>0</v>
      </c>
      <c r="I52" s="743">
        <f>IF(opti,'M2'!I52/IF(_Ver09,1,3.6),'M1'!I52/IF(_Ver09,1,3.6))</f>
        <v>0</v>
      </c>
      <c r="J52" s="743">
        <f>IF(opti,'M2'!J52/IF(_Ver09,1,3.6),'M1'!J52/IF(_Ver09,1,3.6))</f>
        <v>0</v>
      </c>
      <c r="K52" s="743">
        <f>IF(opti,'M2'!K52/IF(_Ver09,1,3.6),'M1'!K52/IF(_Ver09,1,3.6))</f>
        <v>0</v>
      </c>
      <c r="L52" s="743">
        <f>IF(opti,'M2'!L52/IF(_Ver09,1,3.6),'M1'!L52/IF(_Ver09,1,3.6))</f>
        <v>0</v>
      </c>
      <c r="M52" s="743">
        <f>IF(opti,'M2'!M52/IF(_Ver09,1,3.6),'M1'!M52/IF(_Ver09,1,3.6))</f>
        <v>0</v>
      </c>
      <c r="N52" s="744">
        <f>IF(opti,'M2'!N52/IF(_Ver09,1,3.6),'M1'!N52/IF(_Ver09,1,3.6))</f>
        <v>0</v>
      </c>
      <c r="O52" s="1925">
        <f>SUM(C52:N52)</f>
        <v>0</v>
      </c>
      <c r="P52" s="707" t="str">
        <f t="shared" si="4"/>
        <v>kWh/m2</v>
      </c>
      <c r="Q52" s="756"/>
      <c r="R52" s="1919"/>
    </row>
    <row r="53" spans="2:20" s="757" customFormat="1" ht="18" customHeight="1">
      <c r="B53" s="738" t="str">
        <f>Uebersetzung!D395</f>
        <v>Apports solaires zénithaux:</v>
      </c>
      <c r="C53" s="743">
        <f>'M1'!C53/IF(_Ver09,1,3.6)</f>
        <v>0</v>
      </c>
      <c r="D53" s="743">
        <f>'M1'!D53/IF(_Ver09,1,3.6)</f>
        <v>0</v>
      </c>
      <c r="E53" s="743">
        <f>'M1'!E53/IF(_Ver09,1,3.6)</f>
        <v>0</v>
      </c>
      <c r="F53" s="743">
        <f>'M1'!F53/IF(_Ver09,1,3.6)</f>
        <v>0</v>
      </c>
      <c r="G53" s="743">
        <f>'M1'!G53/IF(_Ver09,1,3.6)</f>
        <v>0</v>
      </c>
      <c r="H53" s="743">
        <f>'M1'!H53/IF(_Ver09,1,3.6)</f>
        <v>0</v>
      </c>
      <c r="I53" s="743">
        <f>'M1'!I53/IF(_Ver09,1,3.6)</f>
        <v>0</v>
      </c>
      <c r="J53" s="743">
        <f>'M1'!J53/IF(_Ver09,1,3.6)</f>
        <v>0</v>
      </c>
      <c r="K53" s="743">
        <f>'M1'!K53/IF(_Ver09,1,3.6)</f>
        <v>0</v>
      </c>
      <c r="L53" s="743">
        <f>'M1'!L53/IF(_Ver09,1,3.6)</f>
        <v>0</v>
      </c>
      <c r="M53" s="743">
        <f>'M1'!M53/IF(_Ver09,1,3.6)</f>
        <v>0</v>
      </c>
      <c r="N53" s="744">
        <f>'M1'!N53/IF(_Ver09,1,3.6)</f>
        <v>0</v>
      </c>
      <c r="O53" s="1924">
        <f t="shared" ref="O53:O59" si="5">SUM(C53:N53)</f>
        <v>0</v>
      </c>
      <c r="P53" s="707" t="str">
        <f t="shared" si="4"/>
        <v>kWh/m2</v>
      </c>
      <c r="Q53" s="755" t="s">
        <v>350</v>
      </c>
      <c r="R53" s="1919"/>
    </row>
    <row r="54" spans="2:20" ht="18" customHeight="1">
      <c r="B54" s="738" t="str">
        <f>'M1'!B54</f>
        <v>Apports solaires sud:</v>
      </c>
      <c r="C54" s="743">
        <f>'M1'!C54/IF(_Ver09,1,3.6)</f>
        <v>0</v>
      </c>
      <c r="D54" s="743">
        <f>'M1'!D54/IF(_Ver09,1,3.6)</f>
        <v>0</v>
      </c>
      <c r="E54" s="743">
        <f>'M1'!E54/IF(_Ver09,1,3.6)</f>
        <v>0</v>
      </c>
      <c r="F54" s="743">
        <f>'M1'!F54/IF(_Ver09,1,3.6)</f>
        <v>0</v>
      </c>
      <c r="G54" s="743">
        <f>'M1'!G54/IF(_Ver09,1,3.6)</f>
        <v>0</v>
      </c>
      <c r="H54" s="743">
        <f>'M1'!H54/IF(_Ver09,1,3.6)</f>
        <v>0</v>
      </c>
      <c r="I54" s="743">
        <f>'M1'!I54/IF(_Ver09,1,3.6)</f>
        <v>0</v>
      </c>
      <c r="J54" s="743">
        <f>'M1'!J54/IF(_Ver09,1,3.6)</f>
        <v>0</v>
      </c>
      <c r="K54" s="743">
        <f>'M1'!K54/IF(_Ver09,1,3.6)</f>
        <v>0</v>
      </c>
      <c r="L54" s="743">
        <f>'M1'!L54/IF(_Ver09,1,3.6)</f>
        <v>0</v>
      </c>
      <c r="M54" s="743">
        <f>'M1'!M54/IF(_Ver09,1,3.6)</f>
        <v>0</v>
      </c>
      <c r="N54" s="744">
        <f>'M1'!N54/IF(_Ver09,1,3.6)</f>
        <v>0</v>
      </c>
      <c r="O54" s="1924">
        <f t="shared" si="5"/>
        <v>0</v>
      </c>
      <c r="P54" s="707" t="str">
        <f t="shared" si="4"/>
        <v>kWh/m2</v>
      </c>
      <c r="Q54" s="755" t="s">
        <v>350</v>
      </c>
      <c r="R54" s="1919"/>
    </row>
    <row r="55" spans="2:20" ht="18" customHeight="1">
      <c r="B55" s="738" t="str">
        <f>'M1'!B55</f>
        <v>Apports solaires est:</v>
      </c>
      <c r="C55" s="743">
        <f>'M1'!C55/IF(_Ver09,1,3.6)</f>
        <v>0</v>
      </c>
      <c r="D55" s="743">
        <f>'M1'!D55/IF(_Ver09,1,3.6)</f>
        <v>0</v>
      </c>
      <c r="E55" s="743">
        <f>'M1'!E55/IF(_Ver09,1,3.6)</f>
        <v>0</v>
      </c>
      <c r="F55" s="743">
        <f>'M1'!F55/IF(_Ver09,1,3.6)</f>
        <v>0</v>
      </c>
      <c r="G55" s="743">
        <f>'M1'!G55/IF(_Ver09,1,3.6)</f>
        <v>0</v>
      </c>
      <c r="H55" s="743">
        <f>'M1'!H55/IF(_Ver09,1,3.6)</f>
        <v>0</v>
      </c>
      <c r="I55" s="743">
        <f>'M1'!I55/IF(_Ver09,1,3.6)</f>
        <v>0</v>
      </c>
      <c r="J55" s="743">
        <f>'M1'!J55/IF(_Ver09,1,3.6)</f>
        <v>0</v>
      </c>
      <c r="K55" s="743">
        <f>'M1'!K55/IF(_Ver09,1,3.6)</f>
        <v>0</v>
      </c>
      <c r="L55" s="743">
        <f>'M1'!L55/IF(_Ver09,1,3.6)</f>
        <v>0</v>
      </c>
      <c r="M55" s="743">
        <f>'M1'!M55/IF(_Ver09,1,3.6)</f>
        <v>0</v>
      </c>
      <c r="N55" s="744">
        <f>'M1'!N55/IF(_Ver09,1,3.6)</f>
        <v>0</v>
      </c>
      <c r="O55" s="1924">
        <f t="shared" si="5"/>
        <v>0</v>
      </c>
      <c r="P55" s="707" t="str">
        <f t="shared" si="4"/>
        <v>kWh/m2</v>
      </c>
      <c r="Q55" s="755"/>
      <c r="R55" s="1919"/>
    </row>
    <row r="56" spans="2:20" ht="18" customHeight="1">
      <c r="B56" s="738" t="str">
        <f>'M1'!B56</f>
        <v>Apports solaires ouest:</v>
      </c>
      <c r="C56" s="743">
        <f>'M1'!C56/IF(_Ver09,1,3.6)</f>
        <v>0</v>
      </c>
      <c r="D56" s="743">
        <f>'M1'!D56/IF(_Ver09,1,3.6)</f>
        <v>0</v>
      </c>
      <c r="E56" s="743">
        <f>'M1'!E56/IF(_Ver09,1,3.6)</f>
        <v>0</v>
      </c>
      <c r="F56" s="743">
        <f>'M1'!F56/IF(_Ver09,1,3.6)</f>
        <v>0</v>
      </c>
      <c r="G56" s="743">
        <f>'M1'!G56/IF(_Ver09,1,3.6)</f>
        <v>0</v>
      </c>
      <c r="H56" s="743">
        <f>'M1'!H56/IF(_Ver09,1,3.6)</f>
        <v>0</v>
      </c>
      <c r="I56" s="743">
        <f>'M1'!I56/IF(_Ver09,1,3.6)</f>
        <v>0</v>
      </c>
      <c r="J56" s="743">
        <f>'M1'!J56/IF(_Ver09,1,3.6)</f>
        <v>0</v>
      </c>
      <c r="K56" s="743">
        <f>'M1'!K56/IF(_Ver09,1,3.6)</f>
        <v>0</v>
      </c>
      <c r="L56" s="743">
        <f>'M1'!L56/IF(_Ver09,1,3.6)</f>
        <v>0</v>
      </c>
      <c r="M56" s="743">
        <f>'M1'!M56/IF(_Ver09,1,3.6)</f>
        <v>0</v>
      </c>
      <c r="N56" s="744">
        <f>'M1'!N56/IF(_Ver09,1,3.6)</f>
        <v>0</v>
      </c>
      <c r="O56" s="1924">
        <f t="shared" si="5"/>
        <v>0</v>
      </c>
      <c r="P56" s="707" t="str">
        <f t="shared" si="4"/>
        <v>kWh/m2</v>
      </c>
      <c r="Q56" s="755"/>
      <c r="R56" s="1919"/>
    </row>
    <row r="57" spans="2:20" ht="18" customHeight="1">
      <c r="B57" s="738" t="str">
        <f>'M1'!B57</f>
        <v>Apports solaires nord:</v>
      </c>
      <c r="C57" s="743">
        <f>'M1'!C57/IF(_Ver09,1,3.6)</f>
        <v>0</v>
      </c>
      <c r="D57" s="743">
        <f>'M1'!D57/IF(_Ver09,1,3.6)</f>
        <v>0</v>
      </c>
      <c r="E57" s="743">
        <f>'M1'!E57/IF(_Ver09,1,3.6)</f>
        <v>0</v>
      </c>
      <c r="F57" s="743">
        <f>'M1'!F57/IF(_Ver09,1,3.6)</f>
        <v>0</v>
      </c>
      <c r="G57" s="743">
        <f>'M1'!G57/IF(_Ver09,1,3.6)</f>
        <v>0</v>
      </c>
      <c r="H57" s="743">
        <f>'M1'!H57/IF(_Ver09,1,3.6)</f>
        <v>0</v>
      </c>
      <c r="I57" s="743">
        <f>'M1'!I57/IF(_Ver09,1,3.6)</f>
        <v>0</v>
      </c>
      <c r="J57" s="743">
        <f>'M1'!J57/IF(_Ver09,1,3.6)</f>
        <v>0</v>
      </c>
      <c r="K57" s="743">
        <f>'M1'!K57/IF(_Ver09,1,3.6)</f>
        <v>0</v>
      </c>
      <c r="L57" s="743">
        <f>'M1'!L57/IF(_Ver09,1,3.6)</f>
        <v>0</v>
      </c>
      <c r="M57" s="743">
        <f>'M1'!M57/IF(_Ver09,1,3.6)</f>
        <v>0</v>
      </c>
      <c r="N57" s="744">
        <f>'M1'!N57/IF(_Ver09,1,3.6)</f>
        <v>0</v>
      </c>
      <c r="O57" s="1924">
        <f t="shared" si="5"/>
        <v>0</v>
      </c>
      <c r="P57" s="707" t="str">
        <f t="shared" si="4"/>
        <v>kWh/m2</v>
      </c>
      <c r="Q57" s="759"/>
      <c r="R57" s="1919"/>
    </row>
    <row r="58" spans="2:20" ht="18" customHeight="1">
      <c r="B58" s="738" t="str">
        <f>Uebersetzung!D404</f>
        <v>Apports solaires totaux Qs:</v>
      </c>
      <c r="C58" s="743">
        <f>'M1'!C58/IF(_Ver09,1,3.6)</f>
        <v>0</v>
      </c>
      <c r="D58" s="743">
        <f>'M1'!D58/IF(_Ver09,1,3.6)</f>
        <v>0</v>
      </c>
      <c r="E58" s="743">
        <f>'M1'!E58/IF(_Ver09,1,3.6)</f>
        <v>0</v>
      </c>
      <c r="F58" s="743">
        <f>'M1'!F58/IF(_Ver09,1,3.6)</f>
        <v>0</v>
      </c>
      <c r="G58" s="743">
        <f>'M1'!G58/IF(_Ver09,1,3.6)</f>
        <v>0</v>
      </c>
      <c r="H58" s="743">
        <f>'M1'!H58/IF(_Ver09,1,3.6)</f>
        <v>0</v>
      </c>
      <c r="I58" s="743">
        <f>'M1'!I58/IF(_Ver09,1,3.6)</f>
        <v>0</v>
      </c>
      <c r="J58" s="743">
        <f>'M1'!J58/IF(_Ver09,1,3.6)</f>
        <v>0</v>
      </c>
      <c r="K58" s="743">
        <f>'M1'!K58/IF(_Ver09,1,3.6)</f>
        <v>0</v>
      </c>
      <c r="L58" s="743">
        <f>'M1'!L58/IF(_Ver09,1,3.6)</f>
        <v>0</v>
      </c>
      <c r="M58" s="743">
        <f>'M1'!M58/IF(_Ver09,1,3.6)</f>
        <v>0</v>
      </c>
      <c r="N58" s="744">
        <f>'M1'!N58/IF(_Ver09,1,3.6)</f>
        <v>0</v>
      </c>
      <c r="O58" s="1924">
        <f t="shared" si="5"/>
        <v>0</v>
      </c>
      <c r="P58" s="707" t="str">
        <f t="shared" si="4"/>
        <v>kWh/m2</v>
      </c>
      <c r="Q58" s="755"/>
      <c r="R58" s="1919"/>
    </row>
    <row r="59" spans="2:20" ht="18" customHeight="1">
      <c r="B59" s="738" t="str">
        <f>Uebersetzung!D405</f>
        <v>Apports totaux de chaleur Qg:</v>
      </c>
      <c r="C59" s="743">
        <f>IF(opti,'M2'!C59/IF(_Ver09,1,3.6),'M1'!C59/IF(_Ver09,1,3.6))</f>
        <v>0</v>
      </c>
      <c r="D59" s="743">
        <f>IF(opti,'M2'!D59/IF(_Ver09,1,3.6),'M1'!D59/IF(_Ver09,1,3.6))</f>
        <v>0</v>
      </c>
      <c r="E59" s="743">
        <f>IF(opti,'M2'!E59/IF(_Ver09,1,3.6),'M1'!E59/IF(_Ver09,1,3.6))</f>
        <v>0</v>
      </c>
      <c r="F59" s="743">
        <f>IF(opti,'M2'!F59/IF(_Ver09,1,3.6),'M1'!F59/IF(_Ver09,1,3.6))</f>
        <v>0</v>
      </c>
      <c r="G59" s="743">
        <f>IF(opti,'M2'!G59/IF(_Ver09,1,3.6),'M1'!G59/IF(_Ver09,1,3.6))</f>
        <v>0</v>
      </c>
      <c r="H59" s="743">
        <f>IF(opti,'M2'!H59/IF(_Ver09,1,3.6),'M1'!H59/IF(_Ver09,1,3.6))</f>
        <v>0</v>
      </c>
      <c r="I59" s="743">
        <f>IF(opti,'M2'!I59/IF(_Ver09,1,3.6),'M1'!I59/IF(_Ver09,1,3.6))</f>
        <v>0</v>
      </c>
      <c r="J59" s="743">
        <f>IF(opti,'M2'!J59/IF(_Ver09,1,3.6),'M1'!J59/IF(_Ver09,1,3.6))</f>
        <v>0</v>
      </c>
      <c r="K59" s="743">
        <f>IF(opti,'M2'!K59/IF(_Ver09,1,3.6),'M1'!K59/IF(_Ver09,1,3.6))</f>
        <v>0</v>
      </c>
      <c r="L59" s="743">
        <f>IF(opti,'M2'!L59/IF(_Ver09,1,3.6),'M1'!L59/IF(_Ver09,1,3.6))</f>
        <v>0</v>
      </c>
      <c r="M59" s="743">
        <f>IF(opti,'M2'!M59/IF(_Ver09,1,3.6),'M1'!M59/IF(_Ver09,1,3.6))</f>
        <v>0</v>
      </c>
      <c r="N59" s="744">
        <f>IF(opti,'M2'!N59/IF(_Ver09,1,3.6),'M1'!N59/IF(_Ver09,1,3.6))</f>
        <v>0</v>
      </c>
      <c r="O59" s="1924">
        <f t="shared" si="5"/>
        <v>0</v>
      </c>
      <c r="P59" s="707" t="str">
        <f t="shared" si="4"/>
        <v>kWh/m2</v>
      </c>
      <c r="Q59" s="755"/>
      <c r="R59" s="1919"/>
      <c r="S59" s="741"/>
    </row>
    <row r="60" spans="2:20" ht="18" customHeight="1">
      <c r="B60" s="738" t="str">
        <f>Uebersetzung!D406</f>
        <v>Apports totaux / déperditions totales:</v>
      </c>
      <c r="C60" s="743">
        <f>IF(C47&gt;0,C59/C47,0)</f>
        <v>0</v>
      </c>
      <c r="D60" s="743">
        <f>IF(D47&gt;0,D59/D47,0)</f>
        <v>0</v>
      </c>
      <c r="E60" s="743">
        <f>IF(E47&gt;0,E59/E47,0)</f>
        <v>0</v>
      </c>
      <c r="F60" s="743">
        <f>IF(F47&lt;&gt;0,F59/F47,0)</f>
        <v>0</v>
      </c>
      <c r="G60" s="743">
        <f t="shared" ref="G60:N60" si="6">IF(G47&gt;0,G59/G47,0)</f>
        <v>0</v>
      </c>
      <c r="H60" s="743">
        <f t="shared" si="6"/>
        <v>0</v>
      </c>
      <c r="I60" s="743">
        <f t="shared" si="6"/>
        <v>0</v>
      </c>
      <c r="J60" s="743">
        <f t="shared" si="6"/>
        <v>0</v>
      </c>
      <c r="K60" s="743">
        <f t="shared" si="6"/>
        <v>0</v>
      </c>
      <c r="L60" s="743">
        <f t="shared" si="6"/>
        <v>0</v>
      </c>
      <c r="M60" s="743">
        <f t="shared" si="6"/>
        <v>0</v>
      </c>
      <c r="N60" s="744">
        <f t="shared" si="6"/>
        <v>0</v>
      </c>
      <c r="O60" s="755" t="s">
        <v>350</v>
      </c>
      <c r="R60" s="1919"/>
    </row>
    <row r="61" spans="2:20" ht="18" customHeight="1">
      <c r="B61" s="738" t="str">
        <f>Uebersetzung!D407</f>
        <v>Constante de temps du bâtiment:</v>
      </c>
      <c r="C61" s="1960">
        <f t="shared" ref="C61:N61" si="7">tau</f>
        <v>0</v>
      </c>
      <c r="D61" s="1960">
        <f t="shared" si="7"/>
        <v>0</v>
      </c>
      <c r="E61" s="1960">
        <f t="shared" si="7"/>
        <v>0</v>
      </c>
      <c r="F61" s="1960">
        <f t="shared" si="7"/>
        <v>0</v>
      </c>
      <c r="G61" s="1960">
        <f t="shared" si="7"/>
        <v>0</v>
      </c>
      <c r="H61" s="1960">
        <f t="shared" si="7"/>
        <v>0</v>
      </c>
      <c r="I61" s="1960">
        <f t="shared" si="7"/>
        <v>0</v>
      </c>
      <c r="J61" s="1960">
        <f t="shared" si="7"/>
        <v>0</v>
      </c>
      <c r="K61" s="1960">
        <f t="shared" si="7"/>
        <v>0</v>
      </c>
      <c r="L61" s="1960">
        <f t="shared" si="7"/>
        <v>0</v>
      </c>
      <c r="M61" s="1960">
        <f t="shared" si="7"/>
        <v>0</v>
      </c>
      <c r="N61" s="1961">
        <f t="shared" si="7"/>
        <v>0</v>
      </c>
      <c r="O61" s="739">
        <f>tau</f>
        <v>0</v>
      </c>
      <c r="P61" s="769" t="s">
        <v>1125</v>
      </c>
      <c r="R61" s="1919"/>
    </row>
    <row r="62" spans="2:20" ht="18" customHeight="1">
      <c r="B62" s="738" t="str">
        <f>Uebersetzung!D408</f>
        <v>Paramètre numérique a:</v>
      </c>
      <c r="C62" s="743">
        <f>'M1'!C62</f>
        <v>1</v>
      </c>
      <c r="D62" s="743">
        <f>'M1'!D62</f>
        <v>1</v>
      </c>
      <c r="E62" s="743">
        <f>'M1'!E62</f>
        <v>1</v>
      </c>
      <c r="F62" s="743">
        <f>'M1'!F62</f>
        <v>1</v>
      </c>
      <c r="G62" s="743">
        <f>'M1'!G62</f>
        <v>1</v>
      </c>
      <c r="H62" s="743">
        <f>'M1'!H62</f>
        <v>1</v>
      </c>
      <c r="I62" s="743">
        <f>'M1'!I62</f>
        <v>1</v>
      </c>
      <c r="J62" s="743">
        <f>'M1'!J62</f>
        <v>1</v>
      </c>
      <c r="K62" s="743">
        <f>'M1'!K62</f>
        <v>1</v>
      </c>
      <c r="L62" s="743">
        <f>'M1'!L62</f>
        <v>1</v>
      </c>
      <c r="M62" s="743">
        <f>'M1'!M62</f>
        <v>1</v>
      </c>
      <c r="N62" s="744">
        <f>'M1'!N62</f>
        <v>1</v>
      </c>
      <c r="O62" s="755"/>
      <c r="R62" s="1919"/>
    </row>
    <row r="63" spans="2:20" ht="18" customHeight="1">
      <c r="B63" s="738" t="str">
        <f>Uebersetzung!D409</f>
        <v>Taux d'utilisation des apports:</v>
      </c>
      <c r="C63" s="760">
        <f>IF(opti,'M2'!C63,IF(eff,'M3'!C63,'M1'!C63))</f>
        <v>0</v>
      </c>
      <c r="D63" s="760">
        <f>IF(opti,'M2'!D63,IF(eff,'M3'!D63,'M1'!D63))</f>
        <v>0</v>
      </c>
      <c r="E63" s="760">
        <f>IF(opti,'M2'!E63,IF(eff,'M3'!E63,'M1'!E63))</f>
        <v>0</v>
      </c>
      <c r="F63" s="760">
        <f>IF(opti,'M2'!F63,IF(eff,'M3'!F63,'M1'!F63))</f>
        <v>0</v>
      </c>
      <c r="G63" s="760">
        <f>IF(opti,'M2'!G63,IF(eff,'M3'!G63,'M1'!G63))</f>
        <v>0</v>
      </c>
      <c r="H63" s="760">
        <f>IF(opti,'M2'!H63,IF(eff,'M3'!H63,'M1'!H63))</f>
        <v>0</v>
      </c>
      <c r="I63" s="760">
        <f>IF(opti,'M2'!I63,IF(eff,'M3'!I63,'M1'!I63))</f>
        <v>0</v>
      </c>
      <c r="J63" s="760">
        <f>IF(opti,'M2'!J63,IF(eff,'M3'!J63,'M1'!J63))</f>
        <v>0</v>
      </c>
      <c r="K63" s="760">
        <f>IF(opti,'M2'!K63,IF(eff,'M3'!K63,'M1'!K63))</f>
        <v>0</v>
      </c>
      <c r="L63" s="760">
        <f>IF(opti,'M2'!L63,IF(eff,'M3'!L63,'M1'!L63))</f>
        <v>0</v>
      </c>
      <c r="M63" s="760">
        <f>IF(opti,'M2'!M63,IF(eff,'M3'!M63,'M1'!M63))</f>
        <v>0</v>
      </c>
      <c r="N63" s="761">
        <f>IF(opti,'M2'!N63,IF(eff,'M3'!N63,'M1'!N63))</f>
        <v>0</v>
      </c>
      <c r="O63" s="762">
        <f>IF(opti,'M2'!O63,IF(eff,'M3'!O63,'M1'!O63))</f>
        <v>0</v>
      </c>
      <c r="Q63" s="755"/>
      <c r="R63" s="1919"/>
      <c r="T63" s="763"/>
    </row>
    <row r="64" spans="2:20" ht="18" customHeight="1">
      <c r="B64" s="738" t="str">
        <f>Uebersetzung!D410</f>
        <v>Apports utiles de chaleur Qug:</v>
      </c>
      <c r="C64" s="743">
        <f>IF(C47=0,C47,C63*C59)</f>
        <v>0</v>
      </c>
      <c r="D64" s="743">
        <f>IF(D47=0,D47,D63*D59)</f>
        <v>0</v>
      </c>
      <c r="E64" s="743">
        <f>IF(E47=0,E47,E63*E59)</f>
        <v>0</v>
      </c>
      <c r="F64" s="743">
        <f>IF(F47=0,F47,F63*F59)</f>
        <v>0</v>
      </c>
      <c r="G64" s="743">
        <f>IF(G47=0,G47,G63*G59)</f>
        <v>0</v>
      </c>
      <c r="H64" s="743">
        <f t="shared" ref="H64:N64" si="8">IF(H47=0,H47,H63*H59)</f>
        <v>0</v>
      </c>
      <c r="I64" s="743">
        <f t="shared" si="8"/>
        <v>0</v>
      </c>
      <c r="J64" s="743">
        <f t="shared" si="8"/>
        <v>0</v>
      </c>
      <c r="K64" s="743">
        <f t="shared" si="8"/>
        <v>0</v>
      </c>
      <c r="L64" s="743">
        <f t="shared" si="8"/>
        <v>0</v>
      </c>
      <c r="M64" s="743">
        <f>IF(M47=0,M47,M63*M59)</f>
        <v>0</v>
      </c>
      <c r="N64" s="744">
        <f t="shared" si="8"/>
        <v>0</v>
      </c>
      <c r="O64" s="1924">
        <f>SUM(C64:N64)</f>
        <v>0</v>
      </c>
      <c r="P64" s="707" t="str">
        <f>IF(_Ver09,"MJ/m2a","kWh/m2")</f>
        <v>kWh/m2</v>
      </c>
      <c r="Q64" s="755"/>
      <c r="R64" s="1919"/>
    </row>
    <row r="65" spans="1:18" ht="18" customHeight="1">
      <c r="B65" s="738"/>
      <c r="C65" s="738"/>
      <c r="D65" s="738"/>
      <c r="E65" s="738"/>
      <c r="F65" s="738"/>
      <c r="G65" s="738"/>
      <c r="H65" s="738"/>
      <c r="I65" s="738"/>
      <c r="J65" s="738"/>
      <c r="K65" s="738"/>
      <c r="L65" s="738"/>
      <c r="M65" s="738"/>
      <c r="N65" s="1956"/>
      <c r="O65" s="738"/>
      <c r="P65" s="738"/>
      <c r="Q65" s="755"/>
      <c r="R65" s="1919"/>
    </row>
    <row r="66" spans="1:18" ht="1.1499999999999999" customHeight="1">
      <c r="C66" s="738"/>
      <c r="D66" s="738"/>
      <c r="E66" s="738"/>
      <c r="F66" s="738"/>
      <c r="G66" s="738"/>
      <c r="H66" s="738"/>
      <c r="I66" s="738"/>
      <c r="J66" s="738"/>
      <c r="K66" s="738"/>
      <c r="L66" s="738"/>
      <c r="M66" s="738"/>
      <c r="N66" s="1956"/>
      <c r="O66" s="738"/>
      <c r="P66" s="738"/>
      <c r="R66" s="1919"/>
    </row>
    <row r="67" spans="1:18" ht="24" customHeight="1">
      <c r="B67" s="729" t="str">
        <f>Uebersetzung!D411</f>
        <v>K: Besoins de chaleur pour le chauffage:</v>
      </c>
      <c r="D67" s="760"/>
      <c r="N67" s="740"/>
      <c r="O67" s="711"/>
      <c r="R67" s="1919"/>
    </row>
    <row r="68" spans="1:18" ht="18" customHeight="1" thickBot="1">
      <c r="B68" s="738" t="str">
        <f>Uebersetzung!D412</f>
        <v>Besoins de chaleur  Qh:</v>
      </c>
      <c r="C68" s="743">
        <f t="shared" ref="C68:N68" si="9">C47-C64</f>
        <v>0</v>
      </c>
      <c r="D68" s="743">
        <f t="shared" si="9"/>
        <v>0</v>
      </c>
      <c r="E68" s="743">
        <f t="shared" si="9"/>
        <v>0</v>
      </c>
      <c r="F68" s="743">
        <f t="shared" si="9"/>
        <v>0</v>
      </c>
      <c r="G68" s="743">
        <f t="shared" si="9"/>
        <v>0</v>
      </c>
      <c r="H68" s="743">
        <f t="shared" si="9"/>
        <v>0</v>
      </c>
      <c r="I68" s="743">
        <f t="shared" si="9"/>
        <v>0</v>
      </c>
      <c r="J68" s="743">
        <f t="shared" si="9"/>
        <v>0</v>
      </c>
      <c r="K68" s="743">
        <f t="shared" si="9"/>
        <v>0</v>
      </c>
      <c r="L68" s="743">
        <f t="shared" si="9"/>
        <v>0</v>
      </c>
      <c r="M68" s="743">
        <f t="shared" si="9"/>
        <v>0</v>
      </c>
      <c r="N68" s="744">
        <f t="shared" si="9"/>
        <v>0</v>
      </c>
      <c r="O68" s="1926">
        <f>SUM(C68:N68)</f>
        <v>0</v>
      </c>
      <c r="P68" s="769" t="str">
        <f>IF(_Ver09,"MJ/m2a","kWh/m2")</f>
        <v>kWh/m2</v>
      </c>
      <c r="R68" s="1919"/>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4">
    <mergeCell ref="C2:E2"/>
    <mergeCell ref="E23:F23"/>
    <mergeCell ref="B5:P5"/>
    <mergeCell ref="N6:O6"/>
  </mergeCells>
  <dataValidations count="1">
    <dataValidation type="list" allowBlank="1" showInputMessage="1" showErrorMessage="1" sqref="B5:P5">
      <formula1>$S$5:$S$7</formula1>
    </dataValidation>
  </dataValidations>
  <pageMargins left="0.70866141732283472" right="0.39370078740157483" top="0.39370078740157483" bottom="0.39370078740157483" header="0.31496062992125984" footer="0.27559055118110237"/>
  <pageSetup paperSize="9" scale="65" pageOrder="overThenDown" orientation="portrait" r:id="rId1"/>
  <headerFooter>
    <oddFooter>&amp;L&amp;"Arial,Kursiv"&amp;8&amp;F / Huber Energietechnik AG, Zürich&amp;C&amp;8Seite &amp;P&amp;R&amp;8ENTECH 380/1, Version 6.0</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342</vt:i4>
      </vt:variant>
    </vt:vector>
  </HeadingPairs>
  <TitlesOfParts>
    <vt:vector size="375" baseType="lpstr">
      <vt:lpstr>Info</vt:lpstr>
      <vt:lpstr>Projekt</vt:lpstr>
      <vt:lpstr>Bau</vt:lpstr>
      <vt:lpstr>Fenster</vt:lpstr>
      <vt:lpstr>UWert</vt:lpstr>
      <vt:lpstr>Nachweis</vt:lpstr>
      <vt:lpstr>Grafik</vt:lpstr>
      <vt:lpstr>Zonen</vt:lpstr>
      <vt:lpstr>M</vt:lpstr>
      <vt:lpstr>M1</vt:lpstr>
      <vt:lpstr>Uebersetzung</vt:lpstr>
      <vt:lpstr>erneuerbar</vt:lpstr>
      <vt:lpstr>Technik</vt:lpstr>
      <vt:lpstr>M2</vt:lpstr>
      <vt:lpstr>Minergie</vt:lpstr>
      <vt:lpstr>M3</vt:lpstr>
      <vt:lpstr>GE</vt:lpstr>
      <vt:lpstr>Bauteile</vt:lpstr>
      <vt:lpstr>Wände</vt:lpstr>
      <vt:lpstr>Fenster &amp; Türen</vt:lpstr>
      <vt:lpstr>Dach &amp; Decke</vt:lpstr>
      <vt:lpstr>Boden &amp; Keller</vt:lpstr>
      <vt:lpstr>Wärmebrücken</vt:lpstr>
      <vt:lpstr>DropDownData</vt:lpstr>
      <vt:lpstr>SIA2001</vt:lpstr>
      <vt:lpstr>Kondens</vt:lpstr>
      <vt:lpstr>Leistung</vt:lpstr>
      <vt:lpstr>Log</vt:lpstr>
      <vt:lpstr>Klima</vt:lpstr>
      <vt:lpstr>Tab</vt:lpstr>
      <vt:lpstr>Helas</vt:lpstr>
      <vt:lpstr>Tabelle1</vt:lpstr>
      <vt:lpstr>Grafik2</vt:lpstr>
      <vt:lpstr>_EBF1</vt:lpstr>
      <vt:lpstr>_EBF2</vt:lpstr>
      <vt:lpstr>_EBF3</vt:lpstr>
      <vt:lpstr>_EBF4</vt:lpstr>
      <vt:lpstr>_kWB1</vt:lpstr>
      <vt:lpstr>_tc1</vt:lpstr>
      <vt:lpstr>_tc10</vt:lpstr>
      <vt:lpstr>_tc11</vt:lpstr>
      <vt:lpstr>_tc12</vt:lpstr>
      <vt:lpstr>_tc2</vt:lpstr>
      <vt:lpstr>_tc3</vt:lpstr>
      <vt:lpstr>_tc4</vt:lpstr>
      <vt:lpstr>_tc5</vt:lpstr>
      <vt:lpstr>_tc6</vt:lpstr>
      <vt:lpstr>_tc7</vt:lpstr>
      <vt:lpstr>_tc8</vt:lpstr>
      <vt:lpstr>_tc9</vt:lpstr>
      <vt:lpstr>_Ver09</vt:lpstr>
      <vt:lpstr>_Vth1</vt:lpstr>
      <vt:lpstr>_Vth10</vt:lpstr>
      <vt:lpstr>_Vth11</vt:lpstr>
      <vt:lpstr>_Vth12</vt:lpstr>
      <vt:lpstr>_Vth2</vt:lpstr>
      <vt:lpstr>_Vth3</vt:lpstr>
      <vt:lpstr>_Vth4</vt:lpstr>
      <vt:lpstr>_Vth5</vt:lpstr>
      <vt:lpstr>_Vth6</vt:lpstr>
      <vt:lpstr>_Vth7</vt:lpstr>
      <vt:lpstr>_Vth8</vt:lpstr>
      <vt:lpstr>_Vth9</vt:lpstr>
      <vt:lpstr>A</vt:lpstr>
      <vt:lpstr>A_TWD</vt:lpstr>
      <vt:lpstr>A_TWD_N</vt:lpstr>
      <vt:lpstr>A_TWD_O</vt:lpstr>
      <vt:lpstr>A_TWD_S</vt:lpstr>
      <vt:lpstr>A_TWD_W</vt:lpstr>
      <vt:lpstr>a0</vt:lpstr>
      <vt:lpstr>AEBF1</vt:lpstr>
      <vt:lpstr>AEBF2</vt:lpstr>
      <vt:lpstr>AEBF3</vt:lpstr>
      <vt:lpstr>AEBF4</vt:lpstr>
      <vt:lpstr>AEHK</vt:lpstr>
      <vt:lpstr>AFe</vt:lpstr>
      <vt:lpstr>AFG</vt:lpstr>
      <vt:lpstr>AFn</vt:lpstr>
      <vt:lpstr>AFu</vt:lpstr>
      <vt:lpstr>Ak</vt:lpstr>
      <vt:lpstr>Altbau</vt:lpstr>
      <vt:lpstr>ANHK</vt:lpstr>
      <vt:lpstr>Anteil</vt:lpstr>
      <vt:lpstr>AP</vt:lpstr>
      <vt:lpstr>ARe</vt:lpstr>
      <vt:lpstr>ARn</vt:lpstr>
      <vt:lpstr>ARu</vt:lpstr>
      <vt:lpstr>ASHK</vt:lpstr>
      <vt:lpstr>Ath</vt:lpstr>
      <vt:lpstr>Ausrichtung</vt:lpstr>
      <vt:lpstr>AW.e</vt:lpstr>
      <vt:lpstr>AW.n</vt:lpstr>
      <vt:lpstr>AwE</vt:lpstr>
      <vt:lpstr>AWG</vt:lpstr>
      <vt:lpstr>AwH</vt:lpstr>
      <vt:lpstr>AWHK</vt:lpstr>
      <vt:lpstr>AwN</vt:lpstr>
      <vt:lpstr>AwS</vt:lpstr>
      <vt:lpstr>AWu</vt:lpstr>
      <vt:lpstr>AwW</vt:lpstr>
      <vt:lpstr>BasementHeatingLevel</vt:lpstr>
      <vt:lpstr>Baujahr</vt:lpstr>
      <vt:lpstr>bGF</vt:lpstr>
      <vt:lpstr>bGFF</vt:lpstr>
      <vt:lpstr>bGW</vt:lpstr>
      <vt:lpstr>bGWW</vt:lpstr>
      <vt:lpstr>Bk</vt:lpstr>
      <vt:lpstr>boden1</vt:lpstr>
      <vt:lpstr>boden2</vt:lpstr>
      <vt:lpstr>bodend1</vt:lpstr>
      <vt:lpstr>bodend2</vt:lpstr>
      <vt:lpstr>Boolean</vt:lpstr>
      <vt:lpstr>buF</vt:lpstr>
      <vt:lpstr>buFF</vt:lpstr>
      <vt:lpstr>buR</vt:lpstr>
      <vt:lpstr>buRR</vt:lpstr>
      <vt:lpstr>buW</vt:lpstr>
      <vt:lpstr>buWW</vt:lpstr>
      <vt:lpstr>CEBF0</vt:lpstr>
      <vt:lpstr>Chi</vt:lpstr>
      <vt:lpstr>deltaTheta</vt:lpstr>
      <vt:lpstr>deltaThetaH</vt:lpstr>
      <vt:lpstr>diche1</vt:lpstr>
      <vt:lpstr>dicke</vt:lpstr>
      <vt:lpstr>dicke1</vt:lpstr>
      <vt:lpstr>dreh</vt:lpstr>
      <vt:lpstr>UWert!Drehung</vt:lpstr>
      <vt:lpstr>Drehung</vt:lpstr>
      <vt:lpstr>Bau!Druckbereich</vt:lpstr>
      <vt:lpstr>Bauteile!Druckbereich</vt:lpstr>
      <vt:lpstr>erneuerbar!Druckbereich</vt:lpstr>
      <vt:lpstr>Fenster!Druckbereich</vt:lpstr>
      <vt:lpstr>GE!Druckbereich</vt:lpstr>
      <vt:lpstr>Klima!Druckbereich</vt:lpstr>
      <vt:lpstr>Kondens!Druckbereich</vt:lpstr>
      <vt:lpstr>Leistung!Druckbereich</vt:lpstr>
      <vt:lpstr>Log!Druckbereich</vt:lpstr>
      <vt:lpstr>M!Druckbereich</vt:lpstr>
      <vt:lpstr>'M1'!Druckbereich</vt:lpstr>
      <vt:lpstr>'M2'!Druckbereich</vt:lpstr>
      <vt:lpstr>'M3'!Druckbereich</vt:lpstr>
      <vt:lpstr>Minergie!Druckbereich</vt:lpstr>
      <vt:lpstr>Nachweis!Druckbereich</vt:lpstr>
      <vt:lpstr>Projekt!Druckbereich</vt:lpstr>
      <vt:lpstr>Tab!Druckbereich</vt:lpstr>
      <vt:lpstr>Technik!Druckbereich</vt:lpstr>
      <vt:lpstr>UWert!Druckbereich</vt:lpstr>
      <vt:lpstr>Zonen!Druckbereich</vt:lpstr>
      <vt:lpstr>dt</vt:lpstr>
      <vt:lpstr>dtt</vt:lpstr>
      <vt:lpstr>EBF</vt:lpstr>
      <vt:lpstr>EBF0</vt:lpstr>
      <vt:lpstr>EBFalt</vt:lpstr>
      <vt:lpstr>EBFneu</vt:lpstr>
      <vt:lpstr>EBFtotal</vt:lpstr>
      <vt:lpstr>eff</vt:lpstr>
      <vt:lpstr>Eta_jan</vt:lpstr>
      <vt:lpstr>FacadeStructure</vt:lpstr>
      <vt:lpstr>fE</vt:lpstr>
      <vt:lpstr>Fehler1</vt:lpstr>
      <vt:lpstr>Fenstertool</vt:lpstr>
      <vt:lpstr>FF</vt:lpstr>
      <vt:lpstr>FFE</vt:lpstr>
      <vt:lpstr>FFh</vt:lpstr>
      <vt:lpstr>FFN</vt:lpstr>
      <vt:lpstr>FFS</vt:lpstr>
      <vt:lpstr>FFW</vt:lpstr>
      <vt:lpstr>Fg</vt:lpstr>
      <vt:lpstr>UWert!Firma</vt:lpstr>
      <vt:lpstr>Firma</vt:lpstr>
      <vt:lpstr>FloorType</vt:lpstr>
      <vt:lpstr>FSE</vt:lpstr>
      <vt:lpstr>FSh</vt:lpstr>
      <vt:lpstr>FSN</vt:lpstr>
      <vt:lpstr>FSS</vt:lpstr>
      <vt:lpstr>FSW</vt:lpstr>
      <vt:lpstr>Funktion</vt:lpstr>
      <vt:lpstr>gE</vt:lpstr>
      <vt:lpstr>GeneralCondition</vt:lpstr>
      <vt:lpstr>gh</vt:lpstr>
      <vt:lpstr>gN</vt:lpstr>
      <vt:lpstr>GraueEnergie</vt:lpstr>
      <vt:lpstr>Projekt!Grenzwert</vt:lpstr>
      <vt:lpstr>GrenzwertHg</vt:lpstr>
      <vt:lpstr>Grossprojekt</vt:lpstr>
      <vt:lpstr>gS</vt:lpstr>
      <vt:lpstr>gW</vt:lpstr>
      <vt:lpstr>h</vt:lpstr>
      <vt:lpstr>hg</vt:lpstr>
      <vt:lpstr>Projekt!HGT</vt:lpstr>
      <vt:lpstr>hkorr</vt:lpstr>
      <vt:lpstr>HT</vt:lpstr>
      <vt:lpstr>IsEA</vt:lpstr>
      <vt:lpstr>IsEB</vt:lpstr>
      <vt:lpstr>IsH</vt:lpstr>
      <vt:lpstr>IsHA</vt:lpstr>
      <vt:lpstr>IsHB</vt:lpstr>
      <vt:lpstr>IsN</vt:lpstr>
      <vt:lpstr>IsNA</vt:lpstr>
      <vt:lpstr>IsNB</vt:lpstr>
      <vt:lpstr>IsO</vt:lpstr>
      <vt:lpstr>IsS</vt:lpstr>
      <vt:lpstr>IsSA</vt:lpstr>
      <vt:lpstr>IsSB</vt:lpstr>
      <vt:lpstr>IsW</vt:lpstr>
      <vt:lpstr>IsWA</vt:lpstr>
      <vt:lpstr>IsWB</vt:lpstr>
      <vt:lpstr>Projekt!Kategorie</vt:lpstr>
      <vt:lpstr>Kategorie</vt:lpstr>
      <vt:lpstr>Klima</vt:lpstr>
      <vt:lpstr>Klimakorr</vt:lpstr>
      <vt:lpstr>Projekt!Klimastation</vt:lpstr>
      <vt:lpstr>UWert!Klimastation</vt:lpstr>
      <vt:lpstr>Klimastation</vt:lpstr>
      <vt:lpstr>lamda</vt:lpstr>
      <vt:lpstr>lB</vt:lpstr>
      <vt:lpstr>lF</vt:lpstr>
      <vt:lpstr>Liechtenstein</vt:lpstr>
      <vt:lpstr>Lizenz</vt:lpstr>
      <vt:lpstr>lR</vt:lpstr>
      <vt:lpstr>lRW</vt:lpstr>
      <vt:lpstr>lW</vt:lpstr>
      <vt:lpstr>lWF</vt:lpstr>
      <vt:lpstr>MaxNr</vt:lpstr>
      <vt:lpstr>MaxNr2</vt:lpstr>
      <vt:lpstr>MaxNr3</vt:lpstr>
      <vt:lpstr>MaxNr4</vt:lpstr>
      <vt:lpstr>MaxNr5</vt:lpstr>
      <vt:lpstr>mj</vt:lpstr>
      <vt:lpstr>muken14</vt:lpstr>
      <vt:lpstr>opti</vt:lpstr>
      <vt:lpstr>Orientation</vt:lpstr>
      <vt:lpstr>OrientationH</vt:lpstr>
      <vt:lpstr>OrientationHExtended</vt:lpstr>
      <vt:lpstr>Projekt</vt:lpstr>
      <vt:lpstr>PsiB</vt:lpstr>
      <vt:lpstr>PsiF</vt:lpstr>
      <vt:lpstr>PsiR</vt:lpstr>
      <vt:lpstr>PsiRW</vt:lpstr>
      <vt:lpstr>PsiW</vt:lpstr>
      <vt:lpstr>PsiWF</vt:lpstr>
      <vt:lpstr>Q.t</vt:lpstr>
      <vt:lpstr>QE</vt:lpstr>
      <vt:lpstr>Qg</vt:lpstr>
      <vt:lpstr>UWert!Qh</vt:lpstr>
      <vt:lpstr>Qh</vt:lpstr>
      <vt:lpstr>QhMin</vt:lpstr>
      <vt:lpstr>QhmL</vt:lpstr>
      <vt:lpstr>qhMPA</vt:lpstr>
      <vt:lpstr>qhMPB</vt:lpstr>
      <vt:lpstr>qhMPmax</vt:lpstr>
      <vt:lpstr>Qhneu</vt:lpstr>
      <vt:lpstr>Qhtot</vt:lpstr>
      <vt:lpstr>Qhtotal</vt:lpstr>
      <vt:lpstr>Qi</vt:lpstr>
      <vt:lpstr>QiE</vt:lpstr>
      <vt:lpstr>QiP</vt:lpstr>
      <vt:lpstr>QP</vt:lpstr>
      <vt:lpstr>Qs</vt:lpstr>
      <vt:lpstr>qsA</vt:lpstr>
      <vt:lpstr>qsB</vt:lpstr>
      <vt:lpstr>qsEA</vt:lpstr>
      <vt:lpstr>qsEB</vt:lpstr>
      <vt:lpstr>qsHA</vt:lpstr>
      <vt:lpstr>qsHB</vt:lpstr>
      <vt:lpstr>qsNA</vt:lpstr>
      <vt:lpstr>qsNB</vt:lpstr>
      <vt:lpstr>qsSA</vt:lpstr>
      <vt:lpstr>qsSB</vt:lpstr>
      <vt:lpstr>qsWA</vt:lpstr>
      <vt:lpstr>qsWB</vt:lpstr>
      <vt:lpstr>QT</vt:lpstr>
      <vt:lpstr>Qug</vt:lpstr>
      <vt:lpstr>qugA</vt:lpstr>
      <vt:lpstr>qugB</vt:lpstr>
      <vt:lpstr>QV</vt:lpstr>
      <vt:lpstr>QWW</vt:lpstr>
      <vt:lpstr>Qwwneu</vt:lpstr>
      <vt:lpstr>Qwwtotal</vt:lpstr>
      <vt:lpstr>Raumhöhe</vt:lpstr>
      <vt:lpstr>Rh_aussen</vt:lpstr>
      <vt:lpstr>Rh_innen</vt:lpstr>
      <vt:lpstr>UWert!Ro</vt:lpstr>
      <vt:lpstr>RoofCeilingType</vt:lpstr>
      <vt:lpstr>RoofType</vt:lpstr>
      <vt:lpstr>UWert!Rtot</vt:lpstr>
      <vt:lpstr>UWert!Ru</vt:lpstr>
      <vt:lpstr>Sperrzeit</vt:lpstr>
      <vt:lpstr>Station</vt:lpstr>
      <vt:lpstr>Ta_feuchte</vt:lpstr>
      <vt:lpstr>Takorr</vt:lpstr>
      <vt:lpstr>TaMin</vt:lpstr>
      <vt:lpstr>TaMinPA</vt:lpstr>
      <vt:lpstr>TaMinPB</vt:lpstr>
      <vt:lpstr>tau</vt:lpstr>
      <vt:lpstr>tau0</vt:lpstr>
      <vt:lpstr>Projekt!Td</vt:lpstr>
      <vt:lpstr>TEstrich</vt:lpstr>
      <vt:lpstr>ThermalBridgeType</vt:lpstr>
      <vt:lpstr>Theta</vt:lpstr>
      <vt:lpstr>UWert!Thetaea</vt:lpstr>
      <vt:lpstr>Thetaea</vt:lpstr>
      <vt:lpstr>Thetah</vt:lpstr>
      <vt:lpstr>ThetahH</vt:lpstr>
      <vt:lpstr>UWert!Thetai</vt:lpstr>
      <vt:lpstr>Thetai</vt:lpstr>
      <vt:lpstr>Thetain</vt:lpstr>
      <vt:lpstr>ThetainF</vt:lpstr>
      <vt:lpstr>ThetainR</vt:lpstr>
      <vt:lpstr>UWert!Thetamin</vt:lpstr>
      <vt:lpstr>Ti_feuchte</vt:lpstr>
      <vt:lpstr>Tiefe_1</vt:lpstr>
      <vt:lpstr>Tiefe_2</vt:lpstr>
      <vt:lpstr>Tiefe_3</vt:lpstr>
      <vt:lpstr>Tiefe_4</vt:lpstr>
      <vt:lpstr>Tiefe_5</vt:lpstr>
      <vt:lpstr>Tiefe_6</vt:lpstr>
      <vt:lpstr>Tiefe_7</vt:lpstr>
      <vt:lpstr>Tiefe_8</vt:lpstr>
      <vt:lpstr>Tiefe1</vt:lpstr>
      <vt:lpstr>Tiefe2</vt:lpstr>
      <vt:lpstr>Tiefe3</vt:lpstr>
      <vt:lpstr>Tiefe4</vt:lpstr>
      <vt:lpstr>Tiefe9</vt:lpstr>
      <vt:lpstr>tP</vt:lpstr>
      <vt:lpstr>U_TWD</vt:lpstr>
      <vt:lpstr>UBoden3</vt:lpstr>
      <vt:lpstr>UBoden4</vt:lpstr>
      <vt:lpstr>UDecke1</vt:lpstr>
      <vt:lpstr>UFe</vt:lpstr>
      <vt:lpstr>UFG0</vt:lpstr>
      <vt:lpstr>UFn</vt:lpstr>
      <vt:lpstr>UFu</vt:lpstr>
      <vt:lpstr>Projekt!Umbau</vt:lpstr>
      <vt:lpstr>URe</vt:lpstr>
      <vt:lpstr>URn</vt:lpstr>
      <vt:lpstr>URu</vt:lpstr>
      <vt:lpstr>UW.e</vt:lpstr>
      <vt:lpstr>UW.n</vt:lpstr>
      <vt:lpstr>UWand_1</vt:lpstr>
      <vt:lpstr>UWand_2</vt:lpstr>
      <vt:lpstr>UWand1</vt:lpstr>
      <vt:lpstr>UWand2</vt:lpstr>
      <vt:lpstr>UWand3</vt:lpstr>
      <vt:lpstr>UWand4</vt:lpstr>
      <vt:lpstr>UWand5</vt:lpstr>
      <vt:lpstr>UWand6</vt:lpstr>
      <vt:lpstr>UWand7</vt:lpstr>
      <vt:lpstr>UWand8</vt:lpstr>
      <vt:lpstr>UwE</vt:lpstr>
      <vt:lpstr>UWG0</vt:lpstr>
      <vt:lpstr>UwH</vt:lpstr>
      <vt:lpstr>UwN</vt:lpstr>
      <vt:lpstr>UwS</vt:lpstr>
      <vt:lpstr>UWu</vt:lpstr>
      <vt:lpstr>UwW</vt:lpstr>
      <vt:lpstr>Vbrutto</vt:lpstr>
      <vt:lpstr>VEBF0</vt:lpstr>
      <vt:lpstr>Vnetto</vt:lpstr>
      <vt:lpstr>VStandard</vt:lpstr>
      <vt:lpstr>Vth</vt:lpstr>
      <vt:lpstr>WallOpeningType</vt:lpstr>
      <vt:lpstr>WallType</vt:lpstr>
      <vt:lpstr>wandd1</vt:lpstr>
      <vt:lpstr>wandd2</vt:lpstr>
      <vt:lpstr>Wettbewerb</vt:lpstr>
      <vt:lpstr>z.</vt:lpstr>
      <vt:lpstr>Zertifikat</vt:lpstr>
      <vt:lpstr>Zone1neu</vt:lpstr>
      <vt:lpstr>Zone2neu</vt:lpstr>
      <vt:lpstr>Zone3neu</vt:lpstr>
      <vt:lpstr>Zone4neu</vt:lpstr>
      <vt:lpstr>Zonen</vt:lpstr>
      <vt:lpstr>ZulaessigerEnergiebedarf</vt:lpstr>
      <vt:lpstr>ZulässigerEnergiebedarf</vt:lpstr>
    </vt:vector>
  </TitlesOfParts>
  <Manager>Tel: +41 44 227 79 78</Manager>
  <Company>Huber Energietechnik AG, Ingenieur- und Planungsbüro</Company>
  <LinksUpToDate>false</LinksUpToDate>
  <SharedDoc>false</SharedDoc>
  <HyperlinkBase>http://www.hetag.ch</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ENTECH 380/1, Version 6.0</dc:title>
  <dc:subject>Norm SIA 380/1, Ausgabe 2016</dc:subject>
  <dc:creator>Arthur Huber, mail@hetag.ch</dc:creator>
  <cp:keywords>Energiebilanz, Norm, SIA 380/1, Nachweis, Programm</cp:keywords>
  <dc:description>Version 6.0 des Programms ENTECH 380/1_x000d_
_x000d_
Programm zur Berechnung der Energiebilanz_x000d_
für ein Gebäude nach der Norm SIA 380/1:2016 und SIA 380/1:2009_x000d_
BFE-Zertifikatsnr. 1639 und 0915_x000d_
Letzte Änderung: 1. 6. 2017_x000d_
_x000d_
Copyright: Huber Energietechnik AG, Zürich</dc:description>
  <cp:lastModifiedBy>arthur</cp:lastModifiedBy>
  <cp:lastPrinted>2018-02-10T10:48:27Z</cp:lastPrinted>
  <dcterms:created xsi:type="dcterms:W3CDTF">2000-11-09T11:00:02Z</dcterms:created>
  <dcterms:modified xsi:type="dcterms:W3CDTF">2019-04-11T13:05:49Z</dcterms:modified>
  <cp:category>Nachweisprogramm nach Norm SIA 380/1, Version 2016</cp:category>
</cp:coreProperties>
</file>